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rchivos del Administrador\Downloads\"/>
    </mc:Choice>
  </mc:AlternateContent>
  <bookViews>
    <workbookView xWindow="0" yWindow="0" windowWidth="28800" windowHeight="12435"/>
  </bookViews>
  <sheets>
    <sheet name="RESUMEN" sheetId="11" r:id="rId1"/>
    <sheet name="Gonzalo Pavia" sheetId="23" r:id="rId2"/>
    <sheet name="Joaquin Bello" sheetId="18" r:id="rId3"/>
    <sheet name="Miriam Sebastian" sheetId="24" r:id="rId4"/>
    <sheet name="G Ansaldo - C Trillo" sheetId="21" r:id="rId5"/>
    <sheet name="Santiago Trillo" sheetId="20" r:id="rId6"/>
    <sheet name="Nacho Baglieto" sheetId="19" r:id="rId7"/>
    <sheet name="Yiye" sheetId="25" r:id="rId8"/>
    <sheet name="Olga Camamarota" sheetId="26" r:id="rId9"/>
    <sheet name="Vene3558 - Venta pend" sheetId="16" r:id="rId10"/>
    <sheet name="Sanlo - Venta pend" sheetId="15" r:id="rId11"/>
    <sheet name="Fournier - Venta pend " sheetId="13" r:id="rId12"/>
    <sheet name="JB Justo - Venta pend" sheetId="14" r:id="rId13"/>
    <sheet name="Luis M Campos - Venta pend" sheetId="17" r:id="rId14"/>
    <sheet name="INgPEnPago" sheetId="12" r:id="rId15"/>
    <sheet name="Caja vene3558" sheetId="27" r:id="rId16"/>
    <sheet name="Caja Sano" sheetId="28" r:id="rId17"/>
  </sheets>
  <definedNames>
    <definedName name="_xlnm._FilterDatabase" localSheetId="14" hidden="1">INgPEnPago!$B$5:$G$32</definedName>
    <definedName name="_xlnm.Print_Area" localSheetId="3">'Miriam Sebastian'!$D$4:$H$29</definedName>
    <definedName name="_xlnm.Print_Area" localSheetId="5">'Santiago Trillo'!$D$4:$I$42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1" l="1"/>
  <c r="G39" i="20"/>
  <c r="C20" i="11"/>
  <c r="C19" i="11"/>
  <c r="C18" i="11"/>
  <c r="L43" i="23"/>
  <c r="C17" i="11"/>
  <c r="H50" i="23"/>
  <c r="N29" i="11"/>
  <c r="M29" i="11"/>
  <c r="L29" i="11"/>
  <c r="K29" i="11"/>
  <c r="J29" i="11"/>
  <c r="G24" i="11"/>
  <c r="F31" i="26"/>
  <c r="D31" i="26"/>
  <c r="G23" i="11"/>
  <c r="F31" i="25"/>
  <c r="D31" i="25"/>
  <c r="G22" i="11"/>
  <c r="G20" i="11"/>
  <c r="E5" i="11"/>
  <c r="E8" i="11"/>
  <c r="E9" i="11"/>
  <c r="E10" i="11"/>
  <c r="E12" i="11"/>
  <c r="E29" i="11"/>
  <c r="D5" i="11"/>
  <c r="D6" i="11"/>
  <c r="D7" i="11"/>
  <c r="D8" i="11"/>
  <c r="D11" i="11"/>
  <c r="D29" i="11"/>
  <c r="C29" i="11"/>
  <c r="H22" i="11"/>
  <c r="H17" i="11"/>
  <c r="H18" i="11"/>
  <c r="H19" i="11"/>
  <c r="H20" i="11"/>
  <c r="H21" i="11"/>
  <c r="H29" i="11"/>
  <c r="G17" i="11"/>
  <c r="G18" i="11"/>
  <c r="G19" i="11"/>
  <c r="G21" i="11"/>
  <c r="G29" i="11"/>
  <c r="F31" i="19"/>
  <c r="D31" i="19"/>
  <c r="D14" i="21"/>
  <c r="D15" i="21"/>
  <c r="D16" i="21"/>
  <c r="D17" i="21"/>
  <c r="D18" i="21"/>
  <c r="D19" i="21"/>
  <c r="D20" i="21"/>
  <c r="D21" i="21"/>
  <c r="D22" i="21"/>
  <c r="F42" i="21"/>
  <c r="F11" i="21"/>
  <c r="F12" i="21"/>
  <c r="F22" i="21"/>
  <c r="D42" i="21"/>
  <c r="H23" i="24"/>
  <c r="F23" i="24"/>
  <c r="D31" i="18"/>
  <c r="C31" i="18"/>
  <c r="G43" i="23"/>
  <c r="E7" i="23"/>
  <c r="M7" i="23"/>
  <c r="E8" i="23"/>
  <c r="M8" i="23"/>
  <c r="M9" i="23"/>
  <c r="M10" i="23"/>
  <c r="M11" i="23"/>
  <c r="E9" i="23"/>
  <c r="E10" i="23"/>
  <c r="E11" i="23"/>
  <c r="E12" i="23"/>
  <c r="M12" i="23"/>
  <c r="E13" i="23"/>
  <c r="M13" i="23"/>
  <c r="E14" i="23"/>
  <c r="M14" i="23"/>
  <c r="E15" i="23"/>
  <c r="M15" i="23"/>
  <c r="E16" i="23"/>
  <c r="M16" i="23"/>
  <c r="M43" i="23"/>
  <c r="M48" i="23"/>
  <c r="M49" i="23"/>
  <c r="D3" i="23"/>
  <c r="D7" i="23"/>
  <c r="G7" i="23"/>
  <c r="F7" i="23"/>
  <c r="H7" i="23"/>
  <c r="L7" i="23"/>
  <c r="C8" i="23"/>
  <c r="D8" i="23"/>
  <c r="G8" i="23"/>
  <c r="F8" i="23"/>
  <c r="H8" i="23"/>
  <c r="L8" i="23"/>
  <c r="C9" i="23"/>
  <c r="D9" i="23"/>
  <c r="G9" i="23"/>
  <c r="F9" i="23"/>
  <c r="H9" i="23"/>
  <c r="L9" i="23"/>
  <c r="C10" i="23"/>
  <c r="D10" i="23"/>
  <c r="G10" i="23"/>
  <c r="F10" i="23"/>
  <c r="H10" i="23"/>
  <c r="L10" i="23"/>
  <c r="C11" i="23"/>
  <c r="D11" i="23"/>
  <c r="G11" i="23"/>
  <c r="F11" i="23"/>
  <c r="H11" i="23"/>
  <c r="L11" i="23"/>
  <c r="C12" i="23"/>
  <c r="D12" i="23"/>
  <c r="G12" i="23"/>
  <c r="F12" i="23"/>
  <c r="H12" i="23"/>
  <c r="L12" i="23"/>
  <c r="C13" i="23"/>
  <c r="D13" i="23"/>
  <c r="G13" i="23"/>
  <c r="F13" i="23"/>
  <c r="H13" i="23"/>
  <c r="L13" i="23"/>
  <c r="C14" i="23"/>
  <c r="D14" i="23"/>
  <c r="G14" i="23"/>
  <c r="F14" i="23"/>
  <c r="H14" i="23"/>
  <c r="L14" i="23"/>
  <c r="C15" i="23"/>
  <c r="D15" i="23"/>
  <c r="G15" i="23"/>
  <c r="F15" i="23"/>
  <c r="H15" i="23"/>
  <c r="L15" i="23"/>
  <c r="C16" i="23"/>
  <c r="D16" i="23"/>
  <c r="G16" i="23"/>
  <c r="F16" i="23"/>
  <c r="H16" i="23"/>
  <c r="L16" i="23"/>
  <c r="L47" i="23"/>
  <c r="L49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M44" i="23"/>
  <c r="M45" i="23"/>
  <c r="C17" i="23"/>
  <c r="D17" i="23"/>
  <c r="C18" i="23"/>
  <c r="D18" i="23"/>
  <c r="C19" i="23"/>
  <c r="D19" i="23"/>
  <c r="C20" i="23"/>
  <c r="D20" i="23"/>
  <c r="C21" i="23"/>
  <c r="D21" i="23"/>
  <c r="C22" i="23"/>
  <c r="D22" i="23"/>
  <c r="C23" i="23"/>
  <c r="D23" i="23"/>
  <c r="C24" i="23"/>
  <c r="D24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31" i="23"/>
  <c r="D31" i="23"/>
  <c r="C32" i="23"/>
  <c r="D32" i="23"/>
  <c r="C33" i="23"/>
  <c r="D33" i="23"/>
  <c r="C34" i="23"/>
  <c r="D34" i="23"/>
  <c r="C35" i="23"/>
  <c r="D35" i="23"/>
  <c r="C36" i="23"/>
  <c r="D36" i="23"/>
  <c r="C37" i="23"/>
  <c r="D37" i="23"/>
  <c r="C38" i="23"/>
  <c r="D38" i="23"/>
  <c r="C39" i="23"/>
  <c r="D39" i="23"/>
  <c r="C40" i="23"/>
  <c r="D40" i="23"/>
  <c r="C41" i="23"/>
  <c r="D41" i="23"/>
  <c r="C42" i="23"/>
  <c r="D42" i="23"/>
  <c r="D43" i="23"/>
  <c r="F44" i="23"/>
  <c r="N7" i="23"/>
  <c r="N8" i="23"/>
  <c r="N9" i="23"/>
  <c r="N10" i="23"/>
  <c r="N11" i="23"/>
  <c r="N12" i="23"/>
  <c r="N13" i="23"/>
  <c r="N14" i="23"/>
  <c r="N15" i="23"/>
  <c r="N16" i="23"/>
  <c r="N43" i="23"/>
  <c r="G17" i="23"/>
  <c r="F17" i="23"/>
  <c r="H17" i="23"/>
  <c r="G18" i="23"/>
  <c r="F18" i="23"/>
  <c r="H18" i="23"/>
  <c r="G19" i="23"/>
  <c r="F19" i="23"/>
  <c r="H19" i="23"/>
  <c r="G20" i="23"/>
  <c r="F20" i="23"/>
  <c r="H20" i="23"/>
  <c r="G21" i="23"/>
  <c r="F21" i="23"/>
  <c r="H21" i="23"/>
  <c r="G22" i="23"/>
  <c r="F22" i="23"/>
  <c r="H22" i="23"/>
  <c r="G23" i="23"/>
  <c r="F23" i="23"/>
  <c r="H23" i="23"/>
  <c r="G24" i="23"/>
  <c r="F24" i="23"/>
  <c r="H24" i="23"/>
  <c r="G25" i="23"/>
  <c r="F25" i="23"/>
  <c r="H25" i="23"/>
  <c r="G26" i="23"/>
  <c r="F26" i="23"/>
  <c r="H26" i="23"/>
  <c r="G27" i="23"/>
  <c r="F27" i="23"/>
  <c r="H27" i="23"/>
  <c r="G28" i="23"/>
  <c r="F28" i="23"/>
  <c r="H28" i="23"/>
  <c r="G29" i="23"/>
  <c r="F29" i="23"/>
  <c r="H29" i="23"/>
  <c r="G30" i="23"/>
  <c r="F30" i="23"/>
  <c r="H30" i="23"/>
  <c r="G31" i="23"/>
  <c r="F31" i="23"/>
  <c r="H31" i="23"/>
  <c r="G32" i="23"/>
  <c r="F32" i="23"/>
  <c r="H32" i="23"/>
  <c r="G33" i="23"/>
  <c r="F33" i="23"/>
  <c r="H33" i="23"/>
  <c r="G34" i="23"/>
  <c r="F34" i="23"/>
  <c r="H34" i="23"/>
  <c r="G35" i="23"/>
  <c r="F35" i="23"/>
  <c r="H35" i="23"/>
  <c r="G36" i="23"/>
  <c r="F36" i="23"/>
  <c r="H36" i="23"/>
  <c r="G37" i="23"/>
  <c r="F37" i="23"/>
  <c r="H37" i="23"/>
  <c r="G38" i="23"/>
  <c r="F38" i="23"/>
  <c r="H38" i="23"/>
  <c r="G39" i="23"/>
  <c r="F39" i="23"/>
  <c r="H39" i="23"/>
  <c r="G40" i="23"/>
  <c r="F40" i="23"/>
  <c r="H40" i="23"/>
  <c r="G41" i="23"/>
  <c r="F41" i="23"/>
  <c r="H41" i="23"/>
  <c r="G42" i="23"/>
  <c r="F42" i="23"/>
  <c r="H42" i="23"/>
  <c r="H43" i="23"/>
  <c r="F43" i="23"/>
  <c r="O7" i="23"/>
  <c r="D11" i="21"/>
  <c r="D12" i="21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H35" i="20"/>
  <c r="H36" i="20"/>
  <c r="I36" i="20"/>
  <c r="E7" i="20"/>
  <c r="E8" i="20"/>
  <c r="F15" i="19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D13" i="18"/>
  <c r="C12" i="18"/>
  <c r="C11" i="18"/>
  <c r="C10" i="18"/>
  <c r="C9" i="18"/>
  <c r="D9" i="18"/>
  <c r="C8" i="18"/>
  <c r="C7" i="18"/>
  <c r="D7" i="18"/>
  <c r="G9" i="17"/>
  <c r="S22" i="15"/>
  <c r="S4" i="15"/>
  <c r="S5" i="15"/>
  <c r="S6" i="15"/>
  <c r="S7" i="15"/>
  <c r="S8" i="15"/>
  <c r="S16" i="15"/>
  <c r="S17" i="15"/>
  <c r="S18" i="15"/>
  <c r="S19" i="15"/>
  <c r="S20" i="15"/>
  <c r="S21" i="15"/>
  <c r="S30" i="15"/>
  <c r="G13" i="16"/>
  <c r="K5" i="15"/>
  <c r="K7" i="15"/>
  <c r="K18" i="14"/>
  <c r="J6" i="14"/>
  <c r="J7" i="14"/>
  <c r="J8" i="14"/>
  <c r="J9" i="14"/>
  <c r="J10" i="14"/>
  <c r="J11" i="14"/>
  <c r="J12" i="14"/>
  <c r="J13" i="14"/>
  <c r="J14" i="14"/>
  <c r="J17" i="14"/>
  <c r="J18" i="14"/>
  <c r="I6" i="14"/>
  <c r="I7" i="14"/>
  <c r="I8" i="14"/>
  <c r="I9" i="14"/>
  <c r="I10" i="14"/>
  <c r="I11" i="14"/>
  <c r="I12" i="14"/>
  <c r="I13" i="14"/>
  <c r="I14" i="14"/>
  <c r="I17" i="14"/>
  <c r="I18" i="14"/>
  <c r="H18" i="14"/>
  <c r="M5" i="13"/>
  <c r="M6" i="13"/>
  <c r="M7" i="13"/>
  <c r="M8" i="13"/>
  <c r="M9" i="13"/>
  <c r="M10" i="13"/>
  <c r="M11" i="13"/>
  <c r="M12" i="13"/>
  <c r="M13" i="13"/>
  <c r="M14" i="13"/>
  <c r="M15" i="13"/>
  <c r="M16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1" i="13"/>
  <c r="M32" i="13"/>
  <c r="K16" i="13"/>
  <c r="K29" i="13"/>
  <c r="K31" i="13"/>
  <c r="K32" i="13"/>
  <c r="J5" i="13"/>
  <c r="J6" i="13"/>
  <c r="J7" i="13"/>
  <c r="J8" i="13"/>
  <c r="J9" i="13"/>
  <c r="J10" i="13"/>
  <c r="J11" i="13"/>
  <c r="J12" i="13"/>
  <c r="J13" i="13"/>
  <c r="J14" i="13"/>
  <c r="J15" i="13"/>
  <c r="J16" i="13"/>
  <c r="J29" i="13"/>
  <c r="J31" i="13"/>
  <c r="H28" i="13"/>
  <c r="H27" i="13"/>
  <c r="H26" i="13"/>
  <c r="H25" i="13"/>
  <c r="H24" i="13"/>
  <c r="H23" i="13"/>
  <c r="H22" i="13"/>
  <c r="H21" i="13"/>
  <c r="H20" i="13"/>
  <c r="H19" i="13"/>
  <c r="H18" i="13"/>
  <c r="I16" i="13"/>
  <c r="G16" i="13"/>
  <c r="F16" i="13"/>
  <c r="E16" i="13"/>
  <c r="H15" i="13"/>
  <c r="H14" i="13"/>
  <c r="H13" i="13"/>
  <c r="H12" i="13"/>
  <c r="H11" i="13"/>
  <c r="H10" i="13"/>
  <c r="H9" i="13"/>
  <c r="H8" i="13"/>
  <c r="H7" i="13"/>
  <c r="H6" i="13"/>
  <c r="H5" i="13"/>
  <c r="I30" i="12"/>
  <c r="K32" i="12"/>
  <c r="K34" i="12"/>
  <c r="J31" i="12"/>
  <c r="J34" i="12"/>
  <c r="I19" i="12"/>
  <c r="I20" i="12"/>
  <c r="I21" i="12"/>
  <c r="I22" i="12"/>
  <c r="I23" i="12"/>
  <c r="I24" i="12"/>
  <c r="I25" i="12"/>
  <c r="I26" i="12"/>
  <c r="I27" i="12"/>
  <c r="I28" i="12"/>
  <c r="I29" i="12"/>
  <c r="I34" i="12"/>
  <c r="H16" i="12"/>
  <c r="H17" i="12"/>
  <c r="H18" i="12"/>
  <c r="H34" i="12"/>
  <c r="G6" i="12"/>
  <c r="G7" i="12"/>
  <c r="G8" i="12"/>
  <c r="G9" i="12"/>
  <c r="G10" i="12"/>
  <c r="G11" i="12"/>
  <c r="G12" i="12"/>
  <c r="G13" i="12"/>
  <c r="G14" i="12"/>
  <c r="G15" i="12"/>
  <c r="G34" i="12"/>
</calcChain>
</file>

<file path=xl/sharedStrings.xml><?xml version="1.0" encoding="utf-8"?>
<sst xmlns="http://schemas.openxmlformats.org/spreadsheetml/2006/main" count="368" uniqueCount="180">
  <si>
    <t>Deudas</t>
  </si>
  <si>
    <t>Detalle</t>
  </si>
  <si>
    <t>J B Justo</t>
  </si>
  <si>
    <t>Fecha</t>
  </si>
  <si>
    <t>Importe</t>
  </si>
  <si>
    <t>Ingresos pendientes</t>
  </si>
  <si>
    <t>Ventas pendientes</t>
  </si>
  <si>
    <t>Efectivo</t>
  </si>
  <si>
    <t>Vene3558</t>
  </si>
  <si>
    <t>Ugarte</t>
  </si>
  <si>
    <t>Paz</t>
  </si>
  <si>
    <t>Fournier</t>
  </si>
  <si>
    <t>Sanlo</t>
  </si>
  <si>
    <t>Viamonte</t>
  </si>
  <si>
    <t>Obra</t>
  </si>
  <si>
    <t>Monto U$</t>
  </si>
  <si>
    <t>Pagado U$</t>
  </si>
  <si>
    <t>3ro 7</t>
  </si>
  <si>
    <t>Leza 2B; 2C y EG 12</t>
  </si>
  <si>
    <t>1º piso unidad 3+ EG5</t>
  </si>
  <si>
    <t>PB 1</t>
  </si>
  <si>
    <t>Lucia Sosa del Valle 2B BAULERA</t>
  </si>
  <si>
    <t>a la posesion</t>
  </si>
  <si>
    <t>en posesion</t>
  </si>
  <si>
    <t>PB D</t>
  </si>
  <si>
    <t>confirmar</t>
  </si>
  <si>
    <t>Miriam ex Marcelo</t>
  </si>
  <si>
    <t>fin obra</t>
  </si>
  <si>
    <t>San Lo 2do E + EG 22 BAULERA</t>
  </si>
  <si>
    <t>3A+3F+EG3+Eg12+Bau2y14 de 4mts2</t>
  </si>
  <si>
    <t>manzella</t>
  </si>
  <si>
    <t>Por retención</t>
  </si>
  <si>
    <t>Venezuela</t>
  </si>
  <si>
    <t>Laura Correa 2E</t>
  </si>
  <si>
    <t>2J Marta Chiminelli</t>
  </si>
  <si>
    <t>PBB Papa Juan Solimano</t>
  </si>
  <si>
    <t>1B Sonkin</t>
  </si>
  <si>
    <t xml:space="preserve">Viamonte 2G </t>
  </si>
  <si>
    <t>manzella (caja Charlie en Ugarte)</t>
  </si>
  <si>
    <t>16% del 3C</t>
  </si>
  <si>
    <t>SanLo</t>
  </si>
  <si>
    <t>Fournier Precios</t>
  </si>
  <si>
    <t>UN</t>
  </si>
  <si>
    <t>PISO</t>
  </si>
  <si>
    <t>TIPOLOG</t>
  </si>
  <si>
    <t>DPTO</t>
  </si>
  <si>
    <t>M2 CUB</t>
  </si>
  <si>
    <t>EXPANSION</t>
  </si>
  <si>
    <t>TOTAL</t>
  </si>
  <si>
    <t>usd/m2</t>
  </si>
  <si>
    <t>VALOR</t>
  </si>
  <si>
    <t>PAGO CONTADO</t>
  </si>
  <si>
    <t>3 Amb 2 baños</t>
  </si>
  <si>
    <t>A</t>
  </si>
  <si>
    <t>C</t>
  </si>
  <si>
    <t>3 amb</t>
  </si>
  <si>
    <t>E</t>
  </si>
  <si>
    <t xml:space="preserve">1 amb </t>
  </si>
  <si>
    <t xml:space="preserve">Reservado </t>
  </si>
  <si>
    <t>D</t>
  </si>
  <si>
    <t xml:space="preserve">3 amb </t>
  </si>
  <si>
    <t>F</t>
  </si>
  <si>
    <t xml:space="preserve"> </t>
  </si>
  <si>
    <t>4 amb</t>
  </si>
  <si>
    <t>B</t>
  </si>
  <si>
    <t>cochera</t>
  </si>
  <si>
    <t>Juan B. Justo</t>
  </si>
  <si>
    <t>M2 EXPANSION</t>
  </si>
  <si>
    <t>M2 TOTALES</t>
  </si>
  <si>
    <t>USD/M2</t>
  </si>
  <si>
    <t>VALOR USD</t>
  </si>
  <si>
    <t>Precio Pozo</t>
  </si>
  <si>
    <t>PB</t>
  </si>
  <si>
    <t>vendido</t>
  </si>
  <si>
    <t>EG/Cochera</t>
  </si>
  <si>
    <t xml:space="preserve">Consultar Financiación </t>
  </si>
  <si>
    <t>Reservado</t>
  </si>
  <si>
    <t>J</t>
  </si>
  <si>
    <t>G</t>
  </si>
  <si>
    <t>En negociación</t>
  </si>
  <si>
    <t>ESTADO</t>
  </si>
  <si>
    <t>VALOR PAGO CONTADO</t>
  </si>
  <si>
    <t>VALOR USD PAGO CONTADO</t>
  </si>
  <si>
    <t>Superficie M2 Totales</t>
  </si>
  <si>
    <t>% de participa (34)</t>
  </si>
  <si>
    <t>Mts adop p % parti (34)</t>
  </si>
  <si>
    <t>Mts asignados para calcular % de participacion</t>
  </si>
  <si>
    <t>Superficie M2 Cub y Semicub</t>
  </si>
  <si>
    <t>Espacios Guardacoches</t>
  </si>
  <si>
    <t>Terraza M2 Desc</t>
  </si>
  <si>
    <t>Unidad Triplex M2 Desc</t>
  </si>
  <si>
    <t>Unidad Triplex M2 Cub</t>
  </si>
  <si>
    <t>M2 BAULERA</t>
  </si>
  <si>
    <t>M2 PATIO</t>
  </si>
  <si>
    <t>M2 BALCON</t>
  </si>
  <si>
    <t>Nro de Unidades</t>
  </si>
  <si>
    <t>SAN LORENZO 2440 Olivos.-</t>
  </si>
  <si>
    <t>a canjear por depto San Lorenzo</t>
  </si>
  <si>
    <t>A confirmar</t>
  </si>
  <si>
    <t>11vo A</t>
  </si>
  <si>
    <t>Venezuela 1260, CABA</t>
  </si>
  <si>
    <t>Disponible</t>
  </si>
  <si>
    <t>6to X</t>
  </si>
  <si>
    <t>Luis Maria Campos 125, CABA</t>
  </si>
  <si>
    <t>1ro D</t>
  </si>
  <si>
    <t>Venezuela 3558, CABA</t>
  </si>
  <si>
    <t>Observaciones</t>
  </si>
  <si>
    <t>Estado</t>
  </si>
  <si>
    <t>Precio contado</t>
  </si>
  <si>
    <t>M2 Totales</t>
  </si>
  <si>
    <t>M2 descub</t>
  </si>
  <si>
    <t>M2 cub</t>
  </si>
  <si>
    <t>Cant de amb</t>
  </si>
  <si>
    <t xml:space="preserve">Depto </t>
  </si>
  <si>
    <t xml:space="preserve">Domicilio </t>
  </si>
  <si>
    <t xml:space="preserve">Otras Unidades Disponibles para la Venta </t>
  </si>
  <si>
    <t>4D</t>
  </si>
  <si>
    <t>JM Campos</t>
  </si>
  <si>
    <t>Jujuy</t>
  </si>
  <si>
    <t>Total</t>
  </si>
  <si>
    <t>Gonzalo Pavia</t>
  </si>
  <si>
    <t>Joaquin Bello</t>
  </si>
  <si>
    <t>Miriam Sebastian</t>
  </si>
  <si>
    <t>U$</t>
  </si>
  <si>
    <t>pagado</t>
  </si>
  <si>
    <t>pagado 2 de marzo 18</t>
  </si>
  <si>
    <t>pagado 4 mayo 18</t>
  </si>
  <si>
    <t>Pagado 31/08</t>
  </si>
  <si>
    <t>pagado 8/1/19</t>
  </si>
  <si>
    <t>Capital</t>
  </si>
  <si>
    <t>Intereses</t>
  </si>
  <si>
    <t>Fecha de pago</t>
  </si>
  <si>
    <t>Mutuo con interes capitalizado</t>
  </si>
  <si>
    <t>fecha 24/12/18</t>
  </si>
  <si>
    <t>Fecha 24/12/18</t>
  </si>
  <si>
    <t>capitalizo</t>
  </si>
  <si>
    <t>German Ansaldo</t>
  </si>
  <si>
    <t>Cuota</t>
  </si>
  <si>
    <t>Vto</t>
  </si>
  <si>
    <t>Fecha pago</t>
  </si>
  <si>
    <t>Carolina Trillo</t>
  </si>
  <si>
    <t>Fournier Interes con amortizacion de capital</t>
  </si>
  <si>
    <t>USS 9.722</t>
  </si>
  <si>
    <t>USS 2.042</t>
  </si>
  <si>
    <t>USS 11.764</t>
  </si>
  <si>
    <t>A pagar</t>
  </si>
  <si>
    <t>Interes</t>
  </si>
  <si>
    <t>capital</t>
  </si>
  <si>
    <t>interes</t>
  </si>
  <si>
    <t>por mes U$</t>
  </si>
  <si>
    <t>IVA</t>
  </si>
  <si>
    <t>cuota total</t>
  </si>
  <si>
    <t>e IVA</t>
  </si>
  <si>
    <t>pagado el 09 abr 18</t>
  </si>
  <si>
    <t>pagado 4 de m,ayo</t>
  </si>
  <si>
    <t>pagado 5 de junio 18</t>
  </si>
  <si>
    <t>pagado 29 junio 18</t>
  </si>
  <si>
    <t>pagado el 3 ago 18</t>
  </si>
  <si>
    <t>Pagado 3 Septiembre</t>
  </si>
  <si>
    <t>pagado 2 octubre</t>
  </si>
  <si>
    <t>pagado 1 de noviembre</t>
  </si>
  <si>
    <t>pagado 4 diciembre</t>
  </si>
  <si>
    <t>Pagado 4 ener/19</t>
  </si>
  <si>
    <t>deuda de capital</t>
  </si>
  <si>
    <t>Intereses e IVA</t>
  </si>
  <si>
    <t>Fecha 30/05/18</t>
  </si>
  <si>
    <t>30/02/2019</t>
  </si>
  <si>
    <t>G Ansaldo y C Trillo</t>
  </si>
  <si>
    <t>Nacho Baglietto</t>
  </si>
  <si>
    <t>Ingresos</t>
  </si>
  <si>
    <t>Yiye</t>
  </si>
  <si>
    <t>Olga Cammarota</t>
  </si>
  <si>
    <t>Concepto</t>
  </si>
  <si>
    <t>Gastos</t>
  </si>
  <si>
    <t>Oficina</t>
  </si>
  <si>
    <t>Comerciales</t>
  </si>
  <si>
    <t>Proyecto y Direccion de obras</t>
  </si>
  <si>
    <t>Obras (Material y MO)</t>
  </si>
  <si>
    <t>SE abona total al final</t>
  </si>
  <si>
    <t>Sntiago Trillo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</si>
</sst>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[$USD]\ #,##0.00"/>
    <numFmt numFmtId="165" formatCode="dd/mm/yy;@"/>
    <numFmt numFmtId="166" formatCode="[$USS]\ #,##0"/>
    <numFmt numFmtId="169" formatCode="dd\-mm\-yy;@"/>
    <numFmt numFmtId="170" formatCode="[$USS]\ #,##0.00"/>
    <numFmt numFmtId="171" formatCode="0.0000%"/>
    <numFmt numFmtId="172" formatCode="_-* #,##0.00_-;\-* #,##0.00_-;_-* &quot;-&quot;??_-;_-@_-"/>
    <numFmt numFmtId="173" formatCode="[$USD]\ #,##0"/>
    <numFmt numFmtId="174" formatCode="&quot;$&quot;#,##0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i/>
      <u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indexed="8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sz val="12"/>
      <name val="Calibri"/>
      <family val="2"/>
    </font>
    <font>
      <sz val="10"/>
      <name val="Calibri"/>
      <family val="2"/>
    </font>
    <font>
      <sz val="13"/>
      <color indexed="8"/>
      <name val="Calibri"/>
      <family val="2"/>
    </font>
    <font>
      <sz val="11"/>
      <name val="Calibri"/>
      <family val="2"/>
    </font>
    <font>
      <sz val="13"/>
      <name val="Calibri"/>
      <family val="2"/>
    </font>
    <font>
      <b/>
      <i/>
      <sz val="13"/>
      <color indexed="8"/>
      <name val="Calibri"/>
      <family val="2"/>
    </font>
    <font>
      <b/>
      <u/>
      <sz val="16"/>
      <color theme="1"/>
      <name val="Century Gothic"/>
      <family val="2"/>
    </font>
    <font>
      <sz val="12"/>
      <color theme="1"/>
      <name val="Century Gothic"/>
      <family val="2"/>
    </font>
    <font>
      <b/>
      <u/>
      <sz val="12"/>
      <color theme="1"/>
      <name val="Century Gothic"/>
      <family val="2"/>
    </font>
    <font>
      <u/>
      <sz val="12"/>
      <color theme="1"/>
      <name val="Century Gothic"/>
      <family val="2"/>
    </font>
    <font>
      <sz val="12"/>
      <color theme="0"/>
      <name val="Century Gothic"/>
      <family val="2"/>
    </font>
    <font>
      <b/>
      <i/>
      <u/>
      <sz val="12"/>
      <color theme="1"/>
      <name val="Century Gothic"/>
      <family val="2"/>
    </font>
    <font>
      <sz val="12"/>
      <name val="Century Gothic"/>
      <family val="2"/>
    </font>
    <font>
      <b/>
      <sz val="12"/>
      <color theme="0"/>
      <name val="Century Gothic"/>
      <family val="2"/>
    </font>
    <font>
      <u/>
      <sz val="18"/>
      <color theme="1"/>
      <name val="Century Gothic"/>
      <family val="2"/>
    </font>
    <font>
      <sz val="18"/>
      <color theme="1"/>
      <name val="Century Gothic"/>
      <family val="2"/>
    </font>
    <font>
      <b/>
      <sz val="12"/>
      <name val="Century Gothic"/>
      <family val="2"/>
    </font>
    <font>
      <sz val="11"/>
      <color indexed="8"/>
      <name val="Century Gothic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sz val="11"/>
      <name val="Century Gothic"/>
      <family val="2"/>
    </font>
    <font>
      <sz val="11"/>
      <color theme="0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Century Gothic"/>
      <family val="2"/>
    </font>
    <font>
      <b/>
      <u/>
      <sz val="16"/>
      <color indexed="8"/>
      <name val="Century Gothic"/>
      <family val="2"/>
    </font>
    <font>
      <b/>
      <u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i/>
      <u/>
      <sz val="12"/>
      <name val="Calibri"/>
      <family val="2"/>
      <scheme val="minor"/>
    </font>
    <font>
      <b/>
      <i/>
      <u/>
      <sz val="2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166" fontId="6" fillId="0" borderId="0"/>
    <xf numFmtId="0" fontId="7" fillId="0" borderId="0"/>
    <xf numFmtId="0" fontId="7" fillId="0" borderId="0"/>
  </cellStyleXfs>
  <cellXfs count="378">
    <xf numFmtId="0" fontId="0" fillId="0" borderId="0" xfId="0"/>
    <xf numFmtId="164" fontId="0" fillId="0" borderId="0" xfId="0" applyNumberFormat="1"/>
    <xf numFmtId="0" fontId="4" fillId="0" borderId="0" xfId="1"/>
    <xf numFmtId="166" fontId="4" fillId="0" borderId="0" xfId="1" applyNumberFormat="1"/>
    <xf numFmtId="0" fontId="5" fillId="0" borderId="0" xfId="1" applyFont="1"/>
    <xf numFmtId="0" fontId="4" fillId="0" borderId="1" xfId="1" applyBorder="1"/>
    <xf numFmtId="0" fontId="0" fillId="0" borderId="1" xfId="0" applyBorder="1"/>
    <xf numFmtId="164" fontId="0" fillId="0" borderId="1" xfId="0" applyNumberFormat="1" applyBorder="1"/>
    <xf numFmtId="166" fontId="3" fillId="0" borderId="0" xfId="1" applyNumberFormat="1" applyFont="1"/>
    <xf numFmtId="164" fontId="0" fillId="0" borderId="8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0" fontId="10" fillId="0" borderId="0" xfId="1" applyFont="1" applyAlignment="1">
      <alignment horizontal="center"/>
    </xf>
    <xf numFmtId="169" fontId="4" fillId="0" borderId="0" xfId="1" applyNumberFormat="1" applyAlignment="1">
      <alignment horizontal="right"/>
    </xf>
    <xf numFmtId="4" fontId="15" fillId="0" borderId="0" xfId="1" applyNumberFormat="1" applyFont="1" applyFill="1" applyBorder="1"/>
    <xf numFmtId="0" fontId="8" fillId="0" borderId="0" xfId="1" applyFont="1" applyFill="1" applyAlignment="1">
      <alignment vertical="center"/>
    </xf>
    <xf numFmtId="0" fontId="2" fillId="0" borderId="1" xfId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 vertical="center" wrapText="1"/>
    </xf>
    <xf numFmtId="169" fontId="2" fillId="0" borderId="1" xfId="1" applyNumberFormat="1" applyFont="1" applyFill="1" applyBorder="1" applyAlignment="1">
      <alignment horizontal="right"/>
    </xf>
    <xf numFmtId="166" fontId="2" fillId="0" borderId="1" xfId="1" applyNumberFormat="1" applyFont="1" applyFill="1" applyBorder="1"/>
    <xf numFmtId="0" fontId="13" fillId="0" borderId="1" xfId="1" applyFont="1" applyFill="1" applyBorder="1" applyAlignment="1">
      <alignment horizontal="center"/>
    </xf>
    <xf numFmtId="169" fontId="13" fillId="0" borderId="1" xfId="1" applyNumberFormat="1" applyFont="1" applyFill="1" applyBorder="1" applyAlignment="1">
      <alignment horizontal="right"/>
    </xf>
    <xf numFmtId="166" fontId="13" fillId="0" borderId="1" xfId="1" applyNumberFormat="1" applyFont="1" applyFill="1" applyBorder="1"/>
    <xf numFmtId="0" fontId="10" fillId="0" borderId="1" xfId="1" applyFont="1" applyFill="1" applyBorder="1" applyAlignment="1">
      <alignment horizontal="center"/>
    </xf>
    <xf numFmtId="165" fontId="15" fillId="0" borderId="1" xfId="1" applyNumberFormat="1" applyFont="1" applyFill="1" applyBorder="1" applyAlignment="1">
      <alignment horizontal="right"/>
    </xf>
    <xf numFmtId="166" fontId="15" fillId="0" borderId="1" xfId="1" applyNumberFormat="1" applyFont="1" applyFill="1" applyBorder="1"/>
    <xf numFmtId="0" fontId="8" fillId="0" borderId="1" xfId="1" applyFont="1" applyFill="1" applyBorder="1" applyAlignment="1">
      <alignment horizontal="center"/>
    </xf>
    <xf numFmtId="0" fontId="14" fillId="0" borderId="1" xfId="1" applyFont="1" applyFill="1" applyBorder="1" applyAlignment="1">
      <alignment horizontal="center" vertical="center" wrapText="1"/>
    </xf>
    <xf numFmtId="169" fontId="8" fillId="0" borderId="1" xfId="1" applyNumberFormat="1" applyFont="1" applyFill="1" applyBorder="1" applyAlignment="1">
      <alignment horizontal="right"/>
    </xf>
    <xf numFmtId="166" fontId="8" fillId="0" borderId="1" xfId="1" applyNumberFormat="1" applyFont="1" applyFill="1" applyBorder="1"/>
    <xf numFmtId="0" fontId="8" fillId="0" borderId="1" xfId="1" applyFont="1" applyFill="1" applyBorder="1"/>
    <xf numFmtId="0" fontId="14" fillId="0" borderId="1" xfId="1" applyFont="1" applyFill="1" applyBorder="1" applyAlignment="1">
      <alignment horizontal="center"/>
    </xf>
    <xf numFmtId="0" fontId="16" fillId="0" borderId="1" xfId="1" applyFont="1" applyFill="1" applyBorder="1" applyAlignment="1">
      <alignment horizontal="center"/>
    </xf>
    <xf numFmtId="165" fontId="17" fillId="0" borderId="1" xfId="1" applyNumberFormat="1" applyFont="1" applyFill="1" applyBorder="1" applyAlignment="1">
      <alignment horizontal="right"/>
    </xf>
    <xf numFmtId="166" fontId="17" fillId="0" borderId="1" xfId="1" applyNumberFormat="1" applyFont="1" applyFill="1" applyBorder="1"/>
    <xf numFmtId="0" fontId="2" fillId="0" borderId="1" xfId="1" applyFont="1" applyFill="1" applyBorder="1"/>
    <xf numFmtId="0" fontId="10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/>
    </xf>
    <xf numFmtId="169" fontId="2" fillId="0" borderId="2" xfId="1" applyNumberFormat="1" applyFont="1" applyFill="1" applyBorder="1" applyAlignment="1">
      <alignment horizontal="right"/>
    </xf>
    <xf numFmtId="166" fontId="2" fillId="0" borderId="2" xfId="1" applyNumberFormat="1" applyFont="1" applyFill="1" applyBorder="1"/>
    <xf numFmtId="0" fontId="2" fillId="0" borderId="2" xfId="1" applyFont="1" applyFill="1" applyBorder="1"/>
    <xf numFmtId="0" fontId="12" fillId="0" borderId="3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center" vertical="center"/>
    </xf>
    <xf numFmtId="169" fontId="11" fillId="0" borderId="4" xfId="1" applyNumberFormat="1" applyFont="1" applyFill="1" applyBorder="1" applyAlignment="1">
      <alignment horizontal="right" vertical="center"/>
    </xf>
    <xf numFmtId="166" fontId="11" fillId="0" borderId="4" xfId="1" applyNumberFormat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vertical="center"/>
    </xf>
    <xf numFmtId="0" fontId="10" fillId="0" borderId="1" xfId="1" applyFont="1" applyBorder="1" applyAlignment="1">
      <alignment horizontal="center"/>
    </xf>
    <xf numFmtId="169" fontId="4" fillId="0" borderId="1" xfId="1" applyNumberFormat="1" applyBorder="1" applyAlignment="1">
      <alignment horizontal="right"/>
    </xf>
    <xf numFmtId="4" fontId="18" fillId="0" borderId="1" xfId="1" applyNumberFormat="1" applyFont="1" applyFill="1" applyBorder="1" applyAlignment="1">
      <alignment horizontal="center"/>
    </xf>
    <xf numFmtId="0" fontId="9" fillId="0" borderId="5" xfId="1" applyFont="1" applyFill="1" applyBorder="1" applyAlignment="1">
      <alignment horizontal="center" vertical="center" wrapText="1"/>
    </xf>
    <xf numFmtId="4" fontId="20" fillId="0" borderId="0" xfId="0" applyNumberFormat="1" applyFont="1"/>
    <xf numFmtId="0" fontId="20" fillId="0" borderId="0" xfId="0" applyFont="1"/>
    <xf numFmtId="0" fontId="21" fillId="0" borderId="0" xfId="0" applyFont="1" applyFill="1" applyAlignment="1" applyProtection="1">
      <alignment horizontal="center"/>
      <protection locked="0"/>
    </xf>
    <xf numFmtId="0" fontId="22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Alignment="1" applyProtection="1">
      <alignment horizontal="center" vertical="center"/>
      <protection locked="0"/>
    </xf>
    <xf numFmtId="0" fontId="23" fillId="0" borderId="0" xfId="0" applyFont="1" applyFill="1" applyAlignment="1">
      <alignment horizontal="center"/>
    </xf>
    <xf numFmtId="0" fontId="20" fillId="0" borderId="0" xfId="0" applyFont="1" applyFill="1"/>
    <xf numFmtId="0" fontId="20" fillId="0" borderId="0" xfId="0" applyFont="1" applyFill="1" applyAlignment="1">
      <alignment horizontal="center"/>
    </xf>
    <xf numFmtId="4" fontId="20" fillId="0" borderId="0" xfId="0" applyNumberFormat="1" applyFont="1" applyFill="1"/>
    <xf numFmtId="0" fontId="20" fillId="0" borderId="0" xfId="0" applyFont="1" applyFill="1" applyAlignment="1">
      <alignment vertical="center"/>
    </xf>
    <xf numFmtId="4" fontId="24" fillId="0" borderId="0" xfId="0" applyNumberFormat="1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4" fontId="24" fillId="0" borderId="0" xfId="0" applyNumberFormat="1" applyFont="1" applyAlignment="1">
      <alignment horizontal="center" vertical="center"/>
    </xf>
    <xf numFmtId="0" fontId="20" fillId="0" borderId="31" xfId="0" applyFont="1" applyFill="1" applyBorder="1" applyAlignment="1" applyProtection="1">
      <alignment horizontal="center"/>
      <protection locked="0"/>
    </xf>
    <xf numFmtId="0" fontId="20" fillId="0" borderId="33" xfId="0" applyFont="1" applyFill="1" applyBorder="1" applyAlignment="1" applyProtection="1">
      <alignment horizontal="left"/>
      <protection locked="0"/>
    </xf>
    <xf numFmtId="0" fontId="20" fillId="0" borderId="34" xfId="0" applyFont="1" applyFill="1" applyBorder="1" applyAlignment="1" applyProtection="1">
      <alignment horizontal="center"/>
      <protection locked="0"/>
    </xf>
    <xf numFmtId="0" fontId="20" fillId="0" borderId="33" xfId="0" applyFont="1" applyFill="1" applyBorder="1" applyAlignment="1" applyProtection="1">
      <alignment horizontal="center"/>
      <protection locked="0"/>
    </xf>
    <xf numFmtId="170" fontId="20" fillId="0" borderId="34" xfId="0" applyNumberFormat="1" applyFont="1" applyFill="1" applyBorder="1" applyAlignment="1">
      <alignment horizontal="center"/>
    </xf>
    <xf numFmtId="170" fontId="20" fillId="6" borderId="34" xfId="0" applyNumberFormat="1" applyFont="1" applyFill="1" applyBorder="1" applyAlignment="1">
      <alignment horizontal="center"/>
    </xf>
    <xf numFmtId="166" fontId="20" fillId="6" borderId="33" xfId="0" applyNumberFormat="1" applyFont="1" applyFill="1" applyBorder="1" applyAlignment="1">
      <alignment horizontal="center"/>
    </xf>
    <xf numFmtId="166" fontId="20" fillId="0" borderId="33" xfId="0" applyNumberFormat="1" applyFont="1" applyFill="1" applyBorder="1" applyAlignment="1">
      <alignment horizontal="center"/>
    </xf>
    <xf numFmtId="166" fontId="20" fillId="0" borderId="24" xfId="0" applyNumberFormat="1" applyFont="1" applyBorder="1" applyAlignment="1">
      <alignment horizontal="center"/>
    </xf>
    <xf numFmtId="166" fontId="20" fillId="7" borderId="35" xfId="0" applyNumberFormat="1" applyFont="1" applyFill="1" applyBorder="1" applyAlignment="1">
      <alignment horizontal="center"/>
    </xf>
    <xf numFmtId="166" fontId="20" fillId="0" borderId="0" xfId="0" applyNumberFormat="1" applyFont="1"/>
    <xf numFmtId="0" fontId="20" fillId="0" borderId="36" xfId="0" applyFont="1" applyFill="1" applyBorder="1" applyAlignment="1" applyProtection="1">
      <alignment horizontal="center"/>
      <protection locked="0"/>
    </xf>
    <xf numFmtId="0" fontId="20" fillId="0" borderId="38" xfId="0" applyFont="1" applyFill="1" applyBorder="1" applyAlignment="1" applyProtection="1">
      <alignment horizontal="left"/>
      <protection locked="0"/>
    </xf>
    <xf numFmtId="0" fontId="20" fillId="0" borderId="39" xfId="0" applyFont="1" applyFill="1" applyBorder="1" applyAlignment="1" applyProtection="1">
      <alignment horizontal="center"/>
      <protection locked="0"/>
    </xf>
    <xf numFmtId="0" fontId="20" fillId="0" borderId="38" xfId="0" applyFont="1" applyFill="1" applyBorder="1" applyAlignment="1" applyProtection="1">
      <alignment horizontal="center"/>
      <protection locked="0"/>
    </xf>
    <xf numFmtId="170" fontId="20" fillId="0" borderId="39" xfId="0" applyNumberFormat="1" applyFont="1" applyFill="1" applyBorder="1" applyAlignment="1">
      <alignment horizontal="center"/>
    </xf>
    <xf numFmtId="170" fontId="20" fillId="6" borderId="39" xfId="0" applyNumberFormat="1" applyFont="1" applyFill="1" applyBorder="1" applyAlignment="1">
      <alignment horizontal="center"/>
    </xf>
    <xf numFmtId="166" fontId="20" fillId="6" borderId="38" xfId="0" applyNumberFormat="1" applyFont="1" applyFill="1" applyBorder="1" applyAlignment="1">
      <alignment horizontal="center"/>
    </xf>
    <xf numFmtId="166" fontId="20" fillId="0" borderId="38" xfId="0" applyNumberFormat="1" applyFont="1" applyFill="1" applyBorder="1" applyAlignment="1">
      <alignment horizontal="center"/>
    </xf>
    <xf numFmtId="166" fontId="20" fillId="0" borderId="38" xfId="0" applyNumberFormat="1" applyFont="1" applyBorder="1" applyAlignment="1">
      <alignment horizontal="center"/>
    </xf>
    <xf numFmtId="166" fontId="20" fillId="7" borderId="40" xfId="0" applyNumberFormat="1" applyFont="1" applyFill="1" applyBorder="1" applyAlignment="1">
      <alignment horizontal="center"/>
    </xf>
    <xf numFmtId="0" fontId="20" fillId="0" borderId="42" xfId="0" applyFont="1" applyFill="1" applyBorder="1" applyAlignment="1" applyProtection="1">
      <alignment horizontal="left"/>
      <protection locked="0"/>
    </xf>
    <xf numFmtId="0" fontId="20" fillId="0" borderId="43" xfId="0" applyFont="1" applyFill="1" applyBorder="1" applyAlignment="1" applyProtection="1">
      <alignment horizontal="center"/>
      <protection locked="0"/>
    </xf>
    <xf numFmtId="0" fontId="20" fillId="0" borderId="42" xfId="0" applyFont="1" applyFill="1" applyBorder="1" applyAlignment="1" applyProtection="1">
      <alignment horizontal="center"/>
      <protection locked="0"/>
    </xf>
    <xf numFmtId="170" fontId="20" fillId="0" borderId="43" xfId="0" applyNumberFormat="1" applyFont="1" applyFill="1" applyBorder="1" applyAlignment="1">
      <alignment horizontal="center"/>
    </xf>
    <xf numFmtId="170" fontId="20" fillId="6" borderId="43" xfId="0" applyNumberFormat="1" applyFont="1" applyFill="1" applyBorder="1" applyAlignment="1">
      <alignment horizontal="center"/>
    </xf>
    <xf numFmtId="166" fontId="20" fillId="6" borderId="42" xfId="0" applyNumberFormat="1" applyFont="1" applyFill="1" applyBorder="1" applyAlignment="1">
      <alignment horizontal="center"/>
    </xf>
    <xf numFmtId="166" fontId="20" fillId="0" borderId="42" xfId="0" applyNumberFormat="1" applyFont="1" applyFill="1" applyBorder="1" applyAlignment="1">
      <alignment horizontal="center"/>
    </xf>
    <xf numFmtId="166" fontId="20" fillId="0" borderId="27" xfId="0" applyNumberFormat="1" applyFont="1" applyBorder="1" applyAlignment="1">
      <alignment horizontal="center"/>
    </xf>
    <xf numFmtId="166" fontId="20" fillId="7" borderId="44" xfId="0" applyNumberFormat="1" applyFont="1" applyFill="1" applyBorder="1" applyAlignment="1">
      <alignment horizontal="center"/>
    </xf>
    <xf numFmtId="0" fontId="20" fillId="3" borderId="45" xfId="0" applyFont="1" applyFill="1" applyBorder="1" applyAlignment="1" applyProtection="1">
      <alignment horizontal="center"/>
      <protection locked="0"/>
    </xf>
    <xf numFmtId="0" fontId="20" fillId="3" borderId="38" xfId="0" applyFont="1" applyFill="1" applyBorder="1" applyAlignment="1" applyProtection="1">
      <alignment horizontal="left"/>
      <protection locked="0"/>
    </xf>
    <xf numFmtId="0" fontId="20" fillId="3" borderId="39" xfId="0" applyFont="1" applyFill="1" applyBorder="1" applyAlignment="1" applyProtection="1">
      <alignment horizontal="center"/>
      <protection locked="0"/>
    </xf>
    <xf numFmtId="0" fontId="20" fillId="3" borderId="38" xfId="0" applyFont="1" applyFill="1" applyBorder="1" applyAlignment="1" applyProtection="1">
      <alignment horizontal="center"/>
      <protection locked="0"/>
    </xf>
    <xf numFmtId="170" fontId="20" fillId="3" borderId="39" xfId="0" applyNumberFormat="1" applyFont="1" applyFill="1" applyBorder="1" applyAlignment="1">
      <alignment horizontal="center"/>
    </xf>
    <xf numFmtId="166" fontId="20" fillId="3" borderId="38" xfId="0" applyNumberFormat="1" applyFont="1" applyFill="1" applyBorder="1" applyAlignment="1">
      <alignment horizontal="center"/>
    </xf>
    <xf numFmtId="0" fontId="20" fillId="3" borderId="0" xfId="0" applyFont="1" applyFill="1"/>
    <xf numFmtId="166" fontId="20" fillId="3" borderId="40" xfId="0" applyNumberFormat="1" applyFont="1" applyFill="1" applyBorder="1" applyAlignment="1">
      <alignment horizontal="center"/>
    </xf>
    <xf numFmtId="4" fontId="20" fillId="3" borderId="0" xfId="0" applyNumberFormat="1" applyFont="1" applyFill="1"/>
    <xf numFmtId="166" fontId="20" fillId="0" borderId="0" xfId="0" applyNumberFormat="1" applyFont="1" applyFill="1"/>
    <xf numFmtId="0" fontId="20" fillId="0" borderId="45" xfId="0" applyFont="1" applyFill="1" applyBorder="1" applyAlignment="1" applyProtection="1">
      <alignment horizontal="center"/>
      <protection locked="0"/>
    </xf>
    <xf numFmtId="0" fontId="20" fillId="3" borderId="27" xfId="0" applyFont="1" applyFill="1" applyBorder="1" applyAlignment="1" applyProtection="1">
      <alignment horizontal="left"/>
      <protection locked="0"/>
    </xf>
    <xf numFmtId="0" fontId="20" fillId="3" borderId="28" xfId="0" applyFont="1" applyFill="1" applyBorder="1" applyAlignment="1" applyProtection="1">
      <alignment horizontal="center"/>
      <protection locked="0"/>
    </xf>
    <xf numFmtId="0" fontId="20" fillId="3" borderId="27" xfId="0" applyFont="1" applyFill="1" applyBorder="1" applyAlignment="1" applyProtection="1">
      <alignment horizontal="center"/>
      <protection locked="0"/>
    </xf>
    <xf numFmtId="170" fontId="20" fillId="3" borderId="28" xfId="0" applyNumberFormat="1" applyFont="1" applyFill="1" applyBorder="1" applyAlignment="1">
      <alignment horizontal="center"/>
    </xf>
    <xf numFmtId="166" fontId="20" fillId="3" borderId="27" xfId="0" applyNumberFormat="1" applyFont="1" applyFill="1" applyBorder="1" applyAlignment="1">
      <alignment horizontal="center"/>
    </xf>
    <xf numFmtId="166" fontId="20" fillId="3" borderId="42" xfId="0" applyNumberFormat="1" applyFont="1" applyFill="1" applyBorder="1" applyAlignment="1">
      <alignment horizontal="center"/>
    </xf>
    <xf numFmtId="166" fontId="20" fillId="3" borderId="47" xfId="0" applyNumberFormat="1" applyFont="1" applyFill="1" applyBorder="1" applyAlignment="1">
      <alignment horizontal="center"/>
    </xf>
    <xf numFmtId="0" fontId="20" fillId="0" borderId="10" xfId="0" applyFont="1" applyFill="1" applyBorder="1" applyAlignment="1" applyProtection="1">
      <alignment horizontal="center"/>
      <protection locked="0"/>
    </xf>
    <xf numFmtId="0" fontId="20" fillId="0" borderId="27" xfId="0" applyFont="1" applyFill="1" applyBorder="1" applyAlignment="1" applyProtection="1">
      <alignment horizontal="left"/>
      <protection locked="0"/>
    </xf>
    <xf numFmtId="0" fontId="20" fillId="0" borderId="28" xfId="0" applyFont="1" applyFill="1" applyBorder="1" applyAlignment="1" applyProtection="1">
      <alignment horizontal="center"/>
      <protection locked="0"/>
    </xf>
    <xf numFmtId="0" fontId="20" fillId="0" borderId="27" xfId="0" applyFont="1" applyFill="1" applyBorder="1" applyAlignment="1" applyProtection="1">
      <alignment horizontal="center"/>
      <protection locked="0"/>
    </xf>
    <xf numFmtId="170" fontId="20" fillId="0" borderId="28" xfId="0" applyNumberFormat="1" applyFont="1" applyFill="1" applyBorder="1" applyAlignment="1">
      <alignment horizontal="center"/>
    </xf>
    <xf numFmtId="170" fontId="20" fillId="6" borderId="28" xfId="0" applyNumberFormat="1" applyFont="1" applyFill="1" applyBorder="1" applyAlignment="1">
      <alignment horizontal="center"/>
    </xf>
    <xf numFmtId="166" fontId="20" fillId="6" borderId="27" xfId="0" applyNumberFormat="1" applyFont="1" applyFill="1" applyBorder="1" applyAlignment="1">
      <alignment horizontal="center"/>
    </xf>
    <xf numFmtId="166" fontId="20" fillId="0" borderId="27" xfId="0" applyNumberFormat="1" applyFont="1" applyFill="1" applyBorder="1" applyAlignment="1">
      <alignment horizontal="center"/>
    </xf>
    <xf numFmtId="0" fontId="20" fillId="0" borderId="0" xfId="0" applyFont="1" applyAlignment="1" applyProtection="1">
      <alignment horizontal="center"/>
      <protection locked="0"/>
    </xf>
    <xf numFmtId="3" fontId="23" fillId="9" borderId="0" xfId="0" applyNumberFormat="1" applyFont="1" applyFill="1" applyAlignment="1" applyProtection="1">
      <alignment horizontal="center"/>
      <protection locked="0"/>
    </xf>
    <xf numFmtId="3" fontId="23" fillId="6" borderId="0" xfId="0" applyNumberFormat="1" applyFont="1" applyFill="1" applyAlignment="1" applyProtection="1">
      <alignment horizontal="center"/>
      <protection locked="0"/>
    </xf>
    <xf numFmtId="166" fontId="26" fillId="10" borderId="0" xfId="0" applyNumberFormat="1" applyFont="1" applyFill="1" applyAlignment="1">
      <alignment horizontal="center"/>
    </xf>
    <xf numFmtId="0" fontId="20" fillId="0" borderId="0" xfId="0" applyFont="1" applyAlignment="1">
      <alignment horizontal="center"/>
    </xf>
    <xf numFmtId="166" fontId="20" fillId="0" borderId="0" xfId="0" applyNumberFormat="1" applyFont="1" applyAlignment="1">
      <alignment horizontal="center"/>
    </xf>
    <xf numFmtId="0" fontId="20" fillId="0" borderId="1" xfId="0" applyFont="1" applyFill="1" applyBorder="1" applyAlignment="1" applyProtection="1">
      <alignment horizontal="center"/>
      <protection locked="0"/>
    </xf>
    <xf numFmtId="0" fontId="20" fillId="0" borderId="1" xfId="0" applyFont="1" applyBorder="1" applyAlignment="1" applyProtection="1">
      <alignment horizontal="center"/>
      <protection locked="0"/>
    </xf>
    <xf numFmtId="166" fontId="25" fillId="0" borderId="1" xfId="0" applyNumberFormat="1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166" fontId="20" fillId="7" borderId="1" xfId="0" applyNumberFormat="1" applyFont="1" applyFill="1" applyBorder="1" applyAlignment="1">
      <alignment horizontal="center"/>
    </xf>
    <xf numFmtId="166" fontId="20" fillId="0" borderId="1" xfId="0" applyNumberFormat="1" applyFont="1" applyBorder="1" applyAlignment="1">
      <alignment horizontal="center"/>
    </xf>
    <xf numFmtId="166" fontId="20" fillId="7" borderId="48" xfId="0" applyNumberFormat="1" applyFont="1" applyFill="1" applyBorder="1" applyAlignment="1">
      <alignment horizontal="center"/>
    </xf>
    <xf numFmtId="166" fontId="20" fillId="0" borderId="1" xfId="0" applyNumberFormat="1" applyFont="1" applyFill="1" applyBorder="1" applyAlignment="1">
      <alignment horizontal="center"/>
    </xf>
    <xf numFmtId="0" fontId="20" fillId="0" borderId="11" xfId="0" applyFont="1" applyFill="1" applyBorder="1" applyAlignment="1" applyProtection="1">
      <alignment horizontal="center"/>
      <protection locked="0"/>
    </xf>
    <xf numFmtId="0" fontId="20" fillId="0" borderId="11" xfId="0" applyFont="1" applyBorder="1" applyAlignment="1" applyProtection="1">
      <alignment horizontal="center"/>
      <protection locked="0"/>
    </xf>
    <xf numFmtId="0" fontId="20" fillId="7" borderId="11" xfId="0" applyFont="1" applyFill="1" applyBorder="1" applyAlignment="1">
      <alignment horizontal="center"/>
    </xf>
    <xf numFmtId="166" fontId="20" fillId="7" borderId="11" xfId="0" applyNumberFormat="1" applyFont="1" applyFill="1" applyBorder="1" applyAlignment="1">
      <alignment horizontal="center"/>
    </xf>
    <xf numFmtId="166" fontId="20" fillId="0" borderId="11" xfId="0" applyNumberFormat="1" applyFont="1" applyBorder="1" applyAlignment="1">
      <alignment horizontal="center"/>
    </xf>
    <xf numFmtId="166" fontId="20" fillId="7" borderId="49" xfId="0" applyNumberFormat="1" applyFont="1" applyFill="1" applyBorder="1" applyAlignment="1">
      <alignment horizontal="center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Border="1" applyAlignment="1" applyProtection="1">
      <alignment horizontal="center"/>
      <protection locked="0"/>
    </xf>
    <xf numFmtId="0" fontId="20" fillId="0" borderId="0" xfId="0" applyFont="1" applyBorder="1" applyAlignment="1">
      <alignment horizontal="center"/>
    </xf>
    <xf numFmtId="166" fontId="23" fillId="9" borderId="0" xfId="0" applyNumberFormat="1" applyFont="1" applyFill="1" applyBorder="1" applyAlignment="1">
      <alignment horizontal="center"/>
    </xf>
    <xf numFmtId="166" fontId="23" fillId="10" borderId="0" xfId="0" applyNumberFormat="1" applyFont="1" applyFill="1" applyAlignment="1">
      <alignment horizontal="center"/>
    </xf>
    <xf numFmtId="4" fontId="20" fillId="0" borderId="0" xfId="0" applyNumberFormat="1" applyFont="1" applyAlignment="1">
      <alignment horizontal="center"/>
    </xf>
    <xf numFmtId="166" fontId="23" fillId="11" borderId="50" xfId="0" applyNumberFormat="1" applyFont="1" applyFill="1" applyBorder="1" applyAlignment="1">
      <alignment horizontal="center"/>
    </xf>
    <xf numFmtId="4" fontId="23" fillId="9" borderId="0" xfId="0" applyNumberFormat="1" applyFont="1" applyFill="1" applyAlignment="1">
      <alignment horizontal="center"/>
    </xf>
    <xf numFmtId="0" fontId="27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/>
    </xf>
    <xf numFmtId="166" fontId="25" fillId="0" borderId="1" xfId="0" applyNumberFormat="1" applyFont="1" applyFill="1" applyBorder="1"/>
    <xf numFmtId="166" fontId="25" fillId="13" borderId="1" xfId="0" applyNumberFormat="1" applyFont="1" applyFill="1" applyBorder="1"/>
    <xf numFmtId="166" fontId="29" fillId="0" borderId="1" xfId="0" applyNumberFormat="1" applyFont="1" applyFill="1" applyBorder="1" applyAlignment="1">
      <alignment horizontal="center"/>
    </xf>
    <xf numFmtId="166" fontId="25" fillId="13" borderId="0" xfId="0" applyNumberFormat="1" applyFont="1" applyFill="1" applyBorder="1"/>
    <xf numFmtId="0" fontId="25" fillId="0" borderId="1" xfId="0" applyFont="1" applyFill="1" applyBorder="1"/>
    <xf numFmtId="166" fontId="23" fillId="13" borderId="1" xfId="0" applyNumberFormat="1" applyFont="1" applyFill="1" applyBorder="1"/>
    <xf numFmtId="166" fontId="23" fillId="13" borderId="0" xfId="0" applyNumberFormat="1" applyFont="1" applyFill="1" applyBorder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Fill="1" applyBorder="1"/>
    <xf numFmtId="0" fontId="30" fillId="0" borderId="0" xfId="0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171" fontId="32" fillId="0" borderId="0" xfId="0" applyNumberFormat="1" applyFont="1" applyAlignment="1">
      <alignment horizontal="center"/>
    </xf>
    <xf numFmtId="0" fontId="33" fillId="0" borderId="0" xfId="0" applyFont="1" applyFill="1" applyBorder="1" applyAlignment="1">
      <alignment vertical="center"/>
    </xf>
    <xf numFmtId="0" fontId="30" fillId="0" borderId="1" xfId="0" applyFont="1" applyFill="1" applyBorder="1" applyAlignment="1">
      <alignment horizontal="center"/>
    </xf>
    <xf numFmtId="166" fontId="30" fillId="0" borderId="1" xfId="0" applyNumberFormat="1" applyFont="1" applyFill="1" applyBorder="1"/>
    <xf numFmtId="166" fontId="31" fillId="0" borderId="1" xfId="0" applyNumberFormat="1" applyFont="1" applyFill="1" applyBorder="1" applyAlignment="1">
      <alignment horizontal="center"/>
    </xf>
    <xf numFmtId="171" fontId="32" fillId="0" borderId="1" xfId="0" applyNumberFormat="1" applyFont="1" applyBorder="1" applyAlignment="1">
      <alignment horizontal="center"/>
    </xf>
    <xf numFmtId="0" fontId="33" fillId="0" borderId="1" xfId="0" applyFont="1" applyFill="1" applyBorder="1" applyAlignment="1">
      <alignment vertical="center"/>
    </xf>
    <xf numFmtId="0" fontId="30" fillId="14" borderId="0" xfId="0" applyFont="1" applyFill="1" applyBorder="1"/>
    <xf numFmtId="0" fontId="34" fillId="14" borderId="1" xfId="0" applyFont="1" applyFill="1" applyBorder="1" applyAlignment="1">
      <alignment horizontal="center"/>
    </xf>
    <xf numFmtId="166" fontId="35" fillId="14" borderId="1" xfId="0" applyNumberFormat="1" applyFont="1" applyFill="1" applyBorder="1" applyAlignment="1">
      <alignment horizontal="center"/>
    </xf>
    <xf numFmtId="166" fontId="35" fillId="13" borderId="1" xfId="0" applyNumberFormat="1" applyFont="1" applyFill="1" applyBorder="1" applyAlignment="1">
      <alignment horizontal="center"/>
    </xf>
    <xf numFmtId="171" fontId="34" fillId="14" borderId="1" xfId="0" applyNumberFormat="1" applyFont="1" applyFill="1" applyBorder="1" applyAlignment="1">
      <alignment horizontal="center"/>
    </xf>
    <xf numFmtId="0" fontId="33" fillId="14" borderId="1" xfId="0" applyFont="1" applyFill="1" applyBorder="1" applyAlignment="1">
      <alignment horizontal="center"/>
    </xf>
    <xf numFmtId="0" fontId="30" fillId="14" borderId="1" xfId="0" applyFont="1" applyFill="1" applyBorder="1" applyAlignment="1">
      <alignment horizontal="center"/>
    </xf>
    <xf numFmtId="172" fontId="34" fillId="14" borderId="1" xfId="0" applyNumberFormat="1" applyFont="1" applyFill="1" applyBorder="1" applyAlignment="1">
      <alignment horizontal="center"/>
    </xf>
    <xf numFmtId="43" fontId="34" fillId="14" borderId="1" xfId="0" applyNumberFormat="1" applyFont="1" applyFill="1" applyBorder="1" applyAlignment="1">
      <alignment horizontal="center"/>
    </xf>
    <xf numFmtId="0" fontId="33" fillId="0" borderId="0" xfId="0" applyFont="1" applyFill="1" applyBorder="1"/>
    <xf numFmtId="0" fontId="33" fillId="0" borderId="1" xfId="0" applyFont="1" applyFill="1" applyBorder="1" applyAlignment="1">
      <alignment horizontal="center"/>
    </xf>
    <xf numFmtId="166" fontId="31" fillId="13" borderId="1" xfId="0" applyNumberFormat="1" applyFont="1" applyFill="1" applyBorder="1" applyAlignment="1">
      <alignment horizontal="center"/>
    </xf>
    <xf numFmtId="171" fontId="33" fillId="0" borderId="1" xfId="0" applyNumberFormat="1" applyFont="1" applyFill="1" applyBorder="1" applyAlignment="1">
      <alignment horizontal="center"/>
    </xf>
    <xf numFmtId="0" fontId="32" fillId="14" borderId="0" xfId="0" applyFont="1" applyFill="1"/>
    <xf numFmtId="172" fontId="34" fillId="14" borderId="1" xfId="0" applyNumberFormat="1" applyFont="1" applyFill="1" applyBorder="1" applyAlignment="1">
      <alignment horizontal="right"/>
    </xf>
    <xf numFmtId="0" fontId="33" fillId="3" borderId="1" xfId="0" applyFont="1" applyFill="1" applyBorder="1" applyAlignment="1">
      <alignment horizontal="center"/>
    </xf>
    <xf numFmtId="166" fontId="31" fillId="3" borderId="1" xfId="0" applyNumberFormat="1" applyFont="1" applyFill="1" applyBorder="1" applyAlignment="1">
      <alignment horizontal="center"/>
    </xf>
    <xf numFmtId="0" fontId="33" fillId="3" borderId="1" xfId="0" applyFont="1" applyFill="1" applyBorder="1" applyAlignment="1">
      <alignment horizontal="right"/>
    </xf>
    <xf numFmtId="171" fontId="33" fillId="3" borderId="1" xfId="0" applyNumberFormat="1" applyFont="1" applyFill="1" applyBorder="1" applyAlignment="1">
      <alignment horizontal="center"/>
    </xf>
    <xf numFmtId="0" fontId="33" fillId="0" borderId="1" xfId="0" applyFont="1" applyFill="1" applyBorder="1" applyAlignment="1">
      <alignment horizontal="right"/>
    </xf>
    <xf numFmtId="0" fontId="33" fillId="3" borderId="1" xfId="0" applyFont="1" applyFill="1" applyBorder="1" applyAlignment="1">
      <alignment horizontal="right" vertical="center"/>
    </xf>
    <xf numFmtId="0" fontId="33" fillId="3" borderId="1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0" fontId="33" fillId="15" borderId="1" xfId="0" applyFont="1" applyFill="1" applyBorder="1" applyAlignment="1">
      <alignment horizontal="center" vertical="center" wrapText="1"/>
    </xf>
    <xf numFmtId="166" fontId="31" fillId="6" borderId="1" xfId="0" applyNumberFormat="1" applyFont="1" applyFill="1" applyBorder="1" applyAlignment="1">
      <alignment horizontal="center" vertical="center" wrapText="1"/>
    </xf>
    <xf numFmtId="166" fontId="31" fillId="13" borderId="1" xfId="0" applyNumberFormat="1" applyFont="1" applyFill="1" applyBorder="1" applyAlignment="1">
      <alignment horizontal="center" vertical="center" wrapText="1"/>
    </xf>
    <xf numFmtId="171" fontId="33" fillId="15" borderId="1" xfId="0" applyNumberFormat="1" applyFont="1" applyFill="1" applyBorder="1" applyAlignment="1">
      <alignment horizontal="center" vertical="center" wrapText="1"/>
    </xf>
    <xf numFmtId="172" fontId="30" fillId="0" borderId="0" xfId="0" applyNumberFormat="1" applyFont="1" applyFill="1" applyBorder="1" applyAlignment="1">
      <alignment horizontal="center"/>
    </xf>
    <xf numFmtId="166" fontId="36" fillId="0" borderId="0" xfId="0" applyNumberFormat="1" applyFont="1" applyAlignment="1">
      <alignment horizontal="center"/>
    </xf>
    <xf numFmtId="43" fontId="30" fillId="0" borderId="0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173" fontId="0" fillId="3" borderId="1" xfId="0" applyNumberFormat="1" applyFill="1" applyBorder="1"/>
    <xf numFmtId="18" fontId="0" fillId="3" borderId="1" xfId="0" applyNumberFormat="1" applyFill="1" applyBorder="1"/>
    <xf numFmtId="173" fontId="0" fillId="0" borderId="1" xfId="0" applyNumberFormat="1" applyBorder="1"/>
    <xf numFmtId="0" fontId="1" fillId="0" borderId="1" xfId="0" applyFont="1" applyBorder="1" applyAlignment="1">
      <alignment horizontal="center"/>
    </xf>
    <xf numFmtId="0" fontId="38" fillId="0" borderId="0" xfId="0" applyFont="1"/>
    <xf numFmtId="173" fontId="0" fillId="16" borderId="0" xfId="0" applyNumberFormat="1" applyFill="1"/>
    <xf numFmtId="166" fontId="31" fillId="16" borderId="0" xfId="0" applyNumberFormat="1" applyFont="1" applyFill="1" applyBorder="1" applyAlignment="1">
      <alignment horizontal="center"/>
    </xf>
    <xf numFmtId="4" fontId="20" fillId="16" borderId="0" xfId="0" applyNumberFormat="1" applyFont="1" applyFill="1" applyAlignment="1">
      <alignment horizontal="center"/>
    </xf>
    <xf numFmtId="166" fontId="25" fillId="16" borderId="1" xfId="0" applyNumberFormat="1" applyFont="1" applyFill="1" applyBorder="1"/>
    <xf numFmtId="164" fontId="1" fillId="0" borderId="0" xfId="0" applyNumberFormat="1" applyFont="1"/>
    <xf numFmtId="0" fontId="1" fillId="17" borderId="0" xfId="0" applyFont="1" applyFill="1"/>
    <xf numFmtId="4" fontId="4" fillId="0" borderId="0" xfId="1" applyNumberFormat="1"/>
    <xf numFmtId="174" fontId="4" fillId="0" borderId="0" xfId="1" applyNumberFormat="1"/>
    <xf numFmtId="15" fontId="4" fillId="0" borderId="0" xfId="1" applyNumberFormat="1"/>
    <xf numFmtId="15" fontId="5" fillId="0" borderId="0" xfId="1" applyNumberFormat="1" applyFont="1" applyAlignment="1">
      <alignment horizontal="center"/>
    </xf>
    <xf numFmtId="165" fontId="4" fillId="0" borderId="0" xfId="1" applyNumberFormat="1"/>
    <xf numFmtId="166" fontId="39" fillId="0" borderId="0" xfId="1" applyNumberFormat="1" applyFont="1" applyAlignment="1">
      <alignment horizontal="center"/>
    </xf>
    <xf numFmtId="165" fontId="4" fillId="0" borderId="0" xfId="1" applyNumberFormat="1" applyFill="1"/>
    <xf numFmtId="166" fontId="4" fillId="0" borderId="0" xfId="1" applyNumberFormat="1" applyFill="1"/>
    <xf numFmtId="0" fontId="4" fillId="0" borderId="0" xfId="1" applyFill="1"/>
    <xf numFmtId="0" fontId="3" fillId="0" borderId="0" xfId="1" applyFont="1" applyAlignment="1">
      <alignment horizontal="right"/>
    </xf>
    <xf numFmtId="166" fontId="3" fillId="0" borderId="0" xfId="1" applyNumberFormat="1" applyFont="1" applyFill="1"/>
    <xf numFmtId="14" fontId="4" fillId="0" borderId="0" xfId="1" applyNumberFormat="1"/>
    <xf numFmtId="0" fontId="3" fillId="0" borderId="0" xfId="1" applyFont="1"/>
    <xf numFmtId="166" fontId="3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165" fontId="4" fillId="18" borderId="0" xfId="1" applyNumberFormat="1" applyFill="1"/>
    <xf numFmtId="166" fontId="4" fillId="18" borderId="0" xfId="1" applyNumberFormat="1" applyFill="1"/>
    <xf numFmtId="165" fontId="4" fillId="16" borderId="0" xfId="1" applyNumberFormat="1" applyFill="1"/>
    <xf numFmtId="166" fontId="4" fillId="16" borderId="0" xfId="1" applyNumberFormat="1" applyFill="1"/>
    <xf numFmtId="166" fontId="4" fillId="0" borderId="0" xfId="1" applyNumberFormat="1" applyFill="1" applyAlignment="1">
      <alignment vertical="center"/>
    </xf>
    <xf numFmtId="14" fontId="4" fillId="0" borderId="0" xfId="1" applyNumberFormat="1" applyFill="1"/>
    <xf numFmtId="0" fontId="8" fillId="0" borderId="0" xfId="1" applyFont="1" applyFill="1"/>
    <xf numFmtId="0" fontId="40" fillId="0" borderId="0" xfId="1" applyFont="1" applyFill="1"/>
    <xf numFmtId="166" fontId="41" fillId="0" borderId="0" xfId="1" applyNumberFormat="1" applyFont="1" applyFill="1"/>
    <xf numFmtId="0" fontId="9" fillId="0" borderId="0" xfId="1" applyFont="1" applyFill="1"/>
    <xf numFmtId="9" fontId="9" fillId="0" borderId="0" xfId="1" applyNumberFormat="1" applyFont="1" applyFill="1"/>
    <xf numFmtId="166" fontId="8" fillId="0" borderId="0" xfId="1" applyNumberFormat="1" applyFont="1" applyFill="1"/>
    <xf numFmtId="9" fontId="8" fillId="0" borderId="0" xfId="1" applyNumberFormat="1" applyFont="1" applyFill="1"/>
    <xf numFmtId="0" fontId="9" fillId="0" borderId="1" xfId="1" applyFont="1" applyFill="1" applyBorder="1" applyAlignment="1">
      <alignment horizontal="center"/>
    </xf>
    <xf numFmtId="15" fontId="8" fillId="0" borderId="1" xfId="1" applyNumberFormat="1" applyFont="1" applyFill="1" applyBorder="1"/>
    <xf numFmtId="170" fontId="8" fillId="0" borderId="1" xfId="1" applyNumberFormat="1" applyFont="1" applyFill="1" applyBorder="1"/>
    <xf numFmtId="0" fontId="42" fillId="0" borderId="0" xfId="1" applyFont="1" applyFill="1"/>
    <xf numFmtId="166" fontId="42" fillId="0" borderId="0" xfId="1" applyNumberFormat="1" applyFont="1" applyFill="1"/>
    <xf numFmtId="0" fontId="7" fillId="0" borderId="0" xfId="4"/>
    <xf numFmtId="0" fontId="1" fillId="0" borderId="1" xfId="4" applyFont="1" applyBorder="1" applyAlignment="1">
      <alignment horizontal="center"/>
    </xf>
    <xf numFmtId="164" fontId="1" fillId="0" borderId="1" xfId="4" applyNumberFormat="1" applyFont="1" applyBorder="1" applyAlignment="1">
      <alignment horizontal="center"/>
    </xf>
    <xf numFmtId="14" fontId="1" fillId="0" borderId="1" xfId="4" applyNumberFormat="1" applyFont="1" applyBorder="1" applyAlignment="1">
      <alignment horizontal="center"/>
    </xf>
    <xf numFmtId="0" fontId="7" fillId="4" borderId="1" xfId="4" applyFill="1" applyBorder="1"/>
    <xf numFmtId="17" fontId="7" fillId="4" borderId="1" xfId="4" applyNumberFormat="1" applyFill="1" applyBorder="1"/>
    <xf numFmtId="164" fontId="7" fillId="4" borderId="1" xfId="4" applyNumberFormat="1" applyFill="1" applyBorder="1"/>
    <xf numFmtId="14" fontId="7" fillId="4" borderId="1" xfId="4" applyNumberFormat="1" applyFill="1" applyBorder="1"/>
    <xf numFmtId="0" fontId="7" fillId="0" borderId="1" xfId="4" applyBorder="1"/>
    <xf numFmtId="17" fontId="7" fillId="0" borderId="1" xfId="4" applyNumberFormat="1" applyBorder="1"/>
    <xf numFmtId="164" fontId="7" fillId="0" borderId="1" xfId="4" applyNumberFormat="1" applyBorder="1"/>
    <xf numFmtId="14" fontId="7" fillId="0" borderId="1" xfId="4" applyNumberFormat="1" applyBorder="1"/>
    <xf numFmtId="164" fontId="7" fillId="0" borderId="0" xfId="4" applyNumberFormat="1"/>
    <xf numFmtId="14" fontId="7" fillId="0" borderId="0" xfId="4" applyNumberFormat="1"/>
    <xf numFmtId="0" fontId="43" fillId="0" borderId="0" xfId="1" applyFont="1"/>
    <xf numFmtId="0" fontId="39" fillId="0" borderId="0" xfId="1" applyFont="1"/>
    <xf numFmtId="0" fontId="44" fillId="2" borderId="0" xfId="1" applyFont="1" applyFill="1" applyAlignment="1">
      <alignment horizontal="center"/>
    </xf>
    <xf numFmtId="166" fontId="44" fillId="2" borderId="0" xfId="1" applyNumberFormat="1" applyFont="1" applyFill="1" applyAlignment="1">
      <alignment horizontal="center"/>
    </xf>
    <xf numFmtId="0" fontId="4" fillId="2" borderId="0" xfId="1" applyFill="1" applyAlignment="1">
      <alignment horizontal="center"/>
    </xf>
    <xf numFmtId="0" fontId="5" fillId="0" borderId="0" xfId="1" applyFont="1" applyAlignment="1">
      <alignment horizontal="center"/>
    </xf>
    <xf numFmtId="9" fontId="4" fillId="0" borderId="0" xfId="1" applyNumberFormat="1" applyAlignment="1">
      <alignment horizontal="center"/>
    </xf>
    <xf numFmtId="170" fontId="4" fillId="0" borderId="0" xfId="1" applyNumberFormat="1"/>
    <xf numFmtId="0" fontId="8" fillId="2" borderId="0" xfId="1" applyFont="1" applyFill="1"/>
    <xf numFmtId="15" fontId="8" fillId="2" borderId="0" xfId="1" applyNumberFormat="1" applyFont="1" applyFill="1"/>
    <xf numFmtId="170" fontId="8" fillId="2" borderId="0" xfId="1" applyNumberFormat="1" applyFont="1" applyFill="1"/>
    <xf numFmtId="170" fontId="42" fillId="19" borderId="0" xfId="1" applyNumberFormat="1" applyFont="1" applyFill="1" applyAlignment="1">
      <alignment horizontal="center"/>
    </xf>
    <xf numFmtId="170" fontId="5" fillId="0" borderId="0" xfId="1" applyNumberFormat="1" applyFont="1"/>
    <xf numFmtId="170" fontId="3" fillId="16" borderId="50" xfId="1" applyNumberFormat="1" applyFont="1" applyFill="1" applyBorder="1"/>
    <xf numFmtId="170" fontId="3" fillId="0" borderId="50" xfId="1" applyNumberFormat="1" applyFont="1" applyFill="1" applyBorder="1"/>
    <xf numFmtId="166" fontId="3" fillId="16" borderId="0" xfId="1" applyNumberFormat="1" applyFont="1" applyFill="1"/>
    <xf numFmtId="170" fontId="8" fillId="0" borderId="0" xfId="1" applyNumberFormat="1" applyFont="1" applyFill="1"/>
    <xf numFmtId="164" fontId="1" fillId="0" borderId="0" xfId="4" applyNumberFormat="1" applyFont="1"/>
    <xf numFmtId="0" fontId="7" fillId="2" borderId="1" xfId="4" applyFill="1" applyBorder="1"/>
    <xf numFmtId="17" fontId="7" fillId="2" borderId="1" xfId="4" applyNumberFormat="1" applyFill="1" applyBorder="1"/>
    <xf numFmtId="164" fontId="7" fillId="2" borderId="1" xfId="4" applyNumberFormat="1" applyFill="1" applyBorder="1"/>
    <xf numFmtId="14" fontId="7" fillId="2" borderId="1" xfId="4" applyNumberFormat="1" applyFill="1" applyBorder="1"/>
    <xf numFmtId="0" fontId="1" fillId="0" borderId="0" xfId="4" applyFont="1" applyAlignment="1">
      <alignment horizontal="center"/>
    </xf>
    <xf numFmtId="0" fontId="1" fillId="0" borderId="0" xfId="4" applyFont="1" applyAlignment="1">
      <alignment horizontal="center" vertical="center"/>
    </xf>
    <xf numFmtId="0" fontId="1" fillId="0" borderId="0" xfId="4" applyFont="1"/>
    <xf numFmtId="165" fontId="4" fillId="0" borderId="1" xfId="1" applyNumberFormat="1" applyFill="1" applyBorder="1" applyAlignment="1"/>
    <xf numFmtId="164" fontId="1" fillId="17" borderId="19" xfId="0" applyNumberFormat="1" applyFont="1" applyFill="1" applyBorder="1" applyAlignment="1">
      <alignment horizontal="center" vertical="center" wrapText="1"/>
    </xf>
    <xf numFmtId="164" fontId="1" fillId="17" borderId="22" xfId="0" applyNumberFormat="1" applyFont="1" applyFill="1" applyBorder="1" applyAlignment="1">
      <alignment horizontal="center" vertical="center" wrapText="1"/>
    </xf>
    <xf numFmtId="164" fontId="1" fillId="17" borderId="23" xfId="0" applyNumberFormat="1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164" fontId="0" fillId="0" borderId="53" xfId="0" applyNumberFormat="1" applyBorder="1"/>
    <xf numFmtId="0" fontId="0" fillId="0" borderId="7" xfId="0" applyBorder="1"/>
    <xf numFmtId="0" fontId="0" fillId="0" borderId="9" xfId="0" applyBorder="1"/>
    <xf numFmtId="164" fontId="0" fillId="0" borderId="36" xfId="0" applyNumberFormat="1" applyBorder="1"/>
    <xf numFmtId="164" fontId="0" fillId="0" borderId="10" xfId="0" applyNumberFormat="1" applyBorder="1"/>
    <xf numFmtId="0" fontId="0" fillId="0" borderId="25" xfId="0" applyBorder="1"/>
    <xf numFmtId="164" fontId="0" fillId="0" borderId="39" xfId="0" applyNumberFormat="1" applyBorder="1"/>
    <xf numFmtId="164" fontId="0" fillId="0" borderId="28" xfId="0" applyNumberFormat="1" applyBorder="1"/>
    <xf numFmtId="164" fontId="1" fillId="17" borderId="4" xfId="0" applyNumberFormat="1" applyFont="1" applyFill="1" applyBorder="1" applyAlignment="1">
      <alignment horizontal="center" vertical="center"/>
    </xf>
    <xf numFmtId="0" fontId="0" fillId="0" borderId="8" xfId="0" applyBorder="1"/>
    <xf numFmtId="164" fontId="1" fillId="17" borderId="4" xfId="0" applyNumberFormat="1" applyFont="1" applyFill="1" applyBorder="1" applyAlignment="1">
      <alignment horizontal="center" vertical="center" wrapText="1"/>
    </xf>
    <xf numFmtId="164" fontId="1" fillId="17" borderId="23" xfId="0" applyNumberFormat="1" applyFont="1" applyFill="1" applyBorder="1" applyAlignment="1">
      <alignment horizontal="center" vertical="center" wrapText="1"/>
    </xf>
    <xf numFmtId="164" fontId="1" fillId="17" borderId="16" xfId="0" applyNumberFormat="1" applyFont="1" applyFill="1" applyBorder="1" applyAlignment="1">
      <alignment horizontal="center" vertical="center"/>
    </xf>
    <xf numFmtId="164" fontId="1" fillId="17" borderId="17" xfId="0" applyNumberFormat="1" applyFont="1" applyFill="1" applyBorder="1" applyAlignment="1">
      <alignment horizontal="center" vertical="center"/>
    </xf>
    <xf numFmtId="164" fontId="1" fillId="17" borderId="4" xfId="0" applyNumberFormat="1" applyFont="1" applyFill="1" applyBorder="1" applyAlignment="1">
      <alignment horizontal="center" vertical="center"/>
    </xf>
    <xf numFmtId="164" fontId="1" fillId="17" borderId="5" xfId="0" applyNumberFormat="1" applyFont="1" applyFill="1" applyBorder="1" applyAlignment="1">
      <alignment horizontal="center" vertical="center"/>
    </xf>
    <xf numFmtId="164" fontId="1" fillId="17" borderId="52" xfId="0" applyNumberFormat="1" applyFont="1" applyFill="1" applyBorder="1" applyAlignment="1">
      <alignment horizontal="center" vertical="center"/>
    </xf>
    <xf numFmtId="166" fontId="4" fillId="0" borderId="0" xfId="1" applyNumberFormat="1" applyFill="1" applyAlignment="1">
      <alignment horizontal="center" vertical="center" wrapText="1"/>
    </xf>
    <xf numFmtId="166" fontId="4" fillId="0" borderId="0" xfId="1" applyNumberFormat="1" applyFill="1" applyAlignment="1">
      <alignment horizontal="center" vertical="center"/>
    </xf>
    <xf numFmtId="15" fontId="8" fillId="0" borderId="51" xfId="1" applyNumberFormat="1" applyFont="1" applyFill="1" applyBorder="1" applyAlignment="1">
      <alignment horizontal="center" vertical="center"/>
    </xf>
    <xf numFmtId="15" fontId="8" fillId="0" borderId="2" xfId="1" applyNumberFormat="1" applyFont="1" applyFill="1" applyBorder="1" applyAlignment="1">
      <alignment horizontal="center" vertical="center"/>
    </xf>
    <xf numFmtId="170" fontId="8" fillId="0" borderId="51" xfId="1" applyNumberFormat="1" applyFont="1" applyFill="1" applyBorder="1" applyAlignment="1">
      <alignment horizontal="center" vertical="center"/>
    </xf>
    <xf numFmtId="170" fontId="8" fillId="0" borderId="2" xfId="1" applyNumberFormat="1" applyFont="1" applyFill="1" applyBorder="1" applyAlignment="1">
      <alignment horizontal="center" vertical="center"/>
    </xf>
    <xf numFmtId="170" fontId="8" fillId="0" borderId="51" xfId="1" applyNumberFormat="1" applyFont="1" applyFill="1" applyBorder="1" applyAlignment="1">
      <alignment vertical="center"/>
    </xf>
    <xf numFmtId="170" fontId="8" fillId="0" borderId="2" xfId="1" applyNumberFormat="1" applyFont="1" applyFill="1" applyBorder="1" applyAlignment="1">
      <alignment vertical="center"/>
    </xf>
    <xf numFmtId="15" fontId="8" fillId="0" borderId="6" xfId="1" applyNumberFormat="1" applyFont="1" applyFill="1" applyBorder="1" applyAlignment="1">
      <alignment horizontal="center" vertical="center"/>
    </xf>
    <xf numFmtId="170" fontId="8" fillId="0" borderId="6" xfId="1" applyNumberFormat="1" applyFont="1" applyFill="1" applyBorder="1" applyAlignment="1">
      <alignment horizontal="center" vertical="center"/>
    </xf>
    <xf numFmtId="0" fontId="1" fillId="0" borderId="0" xfId="4" applyFont="1" applyAlignment="1">
      <alignment horizontal="center"/>
    </xf>
    <xf numFmtId="0" fontId="1" fillId="0" borderId="0" xfId="4" applyFont="1" applyAlignment="1">
      <alignment horizontal="center" vertical="center"/>
    </xf>
    <xf numFmtId="14" fontId="4" fillId="18" borderId="0" xfId="1" applyNumberFormat="1" applyFill="1" applyAlignment="1">
      <alignment horizontal="center" vertical="center" wrapText="1"/>
    </xf>
    <xf numFmtId="166" fontId="4" fillId="18" borderId="0" xfId="1" applyNumberFormat="1" applyFill="1" applyAlignment="1">
      <alignment horizontal="center" vertical="center" wrapText="1"/>
    </xf>
    <xf numFmtId="14" fontId="4" fillId="16" borderId="0" xfId="1" applyNumberFormat="1" applyFill="1" applyAlignment="1">
      <alignment horizontal="center" vertical="center" wrapText="1"/>
    </xf>
    <xf numFmtId="166" fontId="4" fillId="16" borderId="0" xfId="1" applyNumberFormat="1" applyFill="1" applyAlignment="1">
      <alignment horizontal="center" vertical="center" wrapText="1"/>
    </xf>
    <xf numFmtId="14" fontId="4" fillId="18" borderId="0" xfId="1" applyNumberFormat="1" applyFill="1" applyAlignment="1">
      <alignment horizontal="center" vertical="center"/>
    </xf>
    <xf numFmtId="0" fontId="37" fillId="0" borderId="0" xfId="0" applyFont="1" applyFill="1" applyBorder="1" applyAlignment="1">
      <alignment horizontal="left"/>
    </xf>
    <xf numFmtId="0" fontId="33" fillId="0" borderId="1" xfId="0" applyFont="1" applyFill="1" applyBorder="1" applyAlignment="1">
      <alignment horizontal="center" vertical="center"/>
    </xf>
    <xf numFmtId="0" fontId="25" fillId="0" borderId="32" xfId="0" applyFont="1" applyFill="1" applyBorder="1" applyAlignment="1" applyProtection="1">
      <alignment horizontal="center" vertical="center"/>
      <protection locked="0"/>
    </xf>
    <xf numFmtId="0" fontId="25" fillId="0" borderId="37" xfId="0" applyFont="1" applyFill="1" applyBorder="1" applyAlignment="1" applyProtection="1">
      <alignment horizontal="center" vertical="center"/>
      <protection locked="0"/>
    </xf>
    <xf numFmtId="0" fontId="25" fillId="0" borderId="14" xfId="0" applyFont="1" applyFill="1" applyBorder="1" applyAlignment="1" applyProtection="1">
      <alignment horizontal="center" vertical="center"/>
      <protection locked="0"/>
    </xf>
    <xf numFmtId="0" fontId="20" fillId="6" borderId="24" xfId="0" applyFont="1" applyFill="1" applyBorder="1" applyAlignment="1">
      <alignment horizontal="center" vertical="center"/>
    </xf>
    <xf numFmtId="0" fontId="20" fillId="6" borderId="27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6" xfId="0" applyFont="1" applyFill="1" applyBorder="1" applyAlignment="1">
      <alignment horizontal="center" vertical="center" wrapText="1"/>
    </xf>
    <xf numFmtId="0" fontId="20" fillId="5" borderId="29" xfId="0" applyFont="1" applyFill="1" applyBorder="1" applyAlignment="1">
      <alignment horizontal="center" vertical="center" wrapText="1"/>
    </xf>
    <xf numFmtId="0" fontId="20" fillId="7" borderId="26" xfId="0" applyFont="1" applyFill="1" applyBorder="1" applyAlignment="1">
      <alignment horizontal="center" vertical="center" wrapText="1"/>
    </xf>
    <xf numFmtId="0" fontId="20" fillId="7" borderId="30" xfId="0" applyFont="1" applyFill="1" applyBorder="1" applyAlignment="1">
      <alignment horizontal="center" vertical="center" wrapText="1"/>
    </xf>
    <xf numFmtId="0" fontId="25" fillId="0" borderId="41" xfId="0" applyFont="1" applyFill="1" applyBorder="1" applyAlignment="1" applyProtection="1">
      <alignment horizontal="center" vertical="center"/>
      <protection locked="0"/>
    </xf>
    <xf numFmtId="0" fontId="25" fillId="8" borderId="45" xfId="0" applyFont="1" applyFill="1" applyBorder="1" applyAlignment="1" applyProtection="1">
      <alignment horizontal="center" vertical="center"/>
      <protection locked="0"/>
    </xf>
    <xf numFmtId="0" fontId="25" fillId="8" borderId="46" xfId="0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7" xfId="0" applyFont="1" applyBorder="1" applyAlignment="1" applyProtection="1">
      <alignment horizontal="center" vertical="center"/>
      <protection locked="0"/>
    </xf>
    <xf numFmtId="0" fontId="20" fillId="0" borderId="10" xfId="0" applyFont="1" applyBorder="1" applyAlignment="1" applyProtection="1">
      <alignment horizontal="center" vertical="center"/>
      <protection locked="0"/>
    </xf>
    <xf numFmtId="0" fontId="20" fillId="5" borderId="13" xfId="0" applyFont="1" applyFill="1" applyBorder="1" applyAlignment="1" applyProtection="1">
      <alignment horizontal="center" vertical="center"/>
      <protection locked="0"/>
    </xf>
    <xf numFmtId="0" fontId="20" fillId="5" borderId="14" xfId="0" applyFont="1" applyFill="1" applyBorder="1" applyAlignment="1" applyProtection="1">
      <alignment horizontal="center" vertical="center"/>
      <protection locked="0"/>
    </xf>
    <xf numFmtId="0" fontId="20" fillId="5" borderId="24" xfId="0" applyFont="1" applyFill="1" applyBorder="1" applyAlignment="1" applyProtection="1">
      <alignment horizontal="center" vertical="center"/>
      <protection locked="0"/>
    </xf>
    <xf numFmtId="0" fontId="20" fillId="5" borderId="27" xfId="0" applyFont="1" applyFill="1" applyBorder="1" applyAlignment="1" applyProtection="1">
      <alignment horizontal="center" vertical="center"/>
      <protection locked="0"/>
    </xf>
    <xf numFmtId="0" fontId="20" fillId="5" borderId="25" xfId="0" applyFont="1" applyFill="1" applyBorder="1" applyAlignment="1" applyProtection="1">
      <alignment horizontal="center" vertical="center"/>
      <protection locked="0"/>
    </xf>
    <xf numFmtId="0" fontId="20" fillId="5" borderId="28" xfId="0" applyFont="1" applyFill="1" applyBorder="1" applyAlignment="1" applyProtection="1">
      <alignment horizontal="center" vertical="center"/>
      <protection locked="0"/>
    </xf>
    <xf numFmtId="0" fontId="22" fillId="5" borderId="24" xfId="0" applyFont="1" applyFill="1" applyBorder="1" applyAlignment="1" applyProtection="1">
      <alignment horizontal="center" vertical="center"/>
      <protection locked="0"/>
    </xf>
    <xf numFmtId="0" fontId="22" fillId="5" borderId="27" xfId="0" applyFont="1" applyFill="1" applyBorder="1" applyAlignment="1" applyProtection="1">
      <alignment horizontal="center" vertical="center"/>
      <protection locked="0"/>
    </xf>
    <xf numFmtId="0" fontId="22" fillId="5" borderId="25" xfId="0" applyFont="1" applyFill="1" applyBorder="1" applyAlignment="1" applyProtection="1">
      <alignment horizontal="center" vertical="center"/>
      <protection locked="0"/>
    </xf>
    <xf numFmtId="0" fontId="22" fillId="5" borderId="28" xfId="0" applyFont="1" applyFill="1" applyBorder="1" applyAlignment="1" applyProtection="1">
      <alignment horizontal="center" vertical="center"/>
      <protection locked="0"/>
    </xf>
    <xf numFmtId="0" fontId="20" fillId="5" borderId="25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20" fillId="6" borderId="25" xfId="0" applyFont="1" applyFill="1" applyBorder="1" applyAlignment="1">
      <alignment horizontal="center" vertical="center"/>
    </xf>
    <xf numFmtId="0" fontId="20" fillId="6" borderId="28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166" fontId="25" fillId="12" borderId="1" xfId="0" applyNumberFormat="1" applyFont="1" applyFill="1" applyBorder="1" applyAlignment="1">
      <alignment horizontal="center" vertical="center" wrapText="1"/>
    </xf>
    <xf numFmtId="166" fontId="25" fillId="13" borderId="1" xfId="0" applyNumberFormat="1" applyFont="1" applyFill="1" applyBorder="1" applyAlignment="1">
      <alignment horizontal="center" vertical="center" wrapText="1"/>
    </xf>
    <xf numFmtId="166" fontId="29" fillId="12" borderId="1" xfId="0" applyNumberFormat="1" applyFont="1" applyFill="1" applyBorder="1" applyAlignment="1">
      <alignment horizontal="center" vertical="center" wrapText="1"/>
    </xf>
    <xf numFmtId="166" fontId="25" fillId="13" borderId="0" xfId="0" applyNumberFormat="1" applyFont="1" applyFill="1" applyBorder="1" applyAlignment="1">
      <alignment horizontal="center" vertical="center" wrapText="1"/>
    </xf>
    <xf numFmtId="0" fontId="25" fillId="12" borderId="1" xfId="0" applyFont="1" applyFill="1" applyBorder="1" applyAlignment="1">
      <alignment horizontal="center" vertical="center" wrapText="1"/>
    </xf>
    <xf numFmtId="0" fontId="8" fillId="3" borderId="0" xfId="1" applyFont="1" applyFill="1"/>
    <xf numFmtId="164" fontId="1" fillId="17" borderId="18" xfId="0" applyNumberFormat="1" applyFont="1" applyFill="1" applyBorder="1" applyAlignment="1">
      <alignment horizontal="center" vertical="center"/>
    </xf>
    <xf numFmtId="164" fontId="1" fillId="17" borderId="15" xfId="0" applyNumberFormat="1" applyFont="1" applyFill="1" applyBorder="1" applyAlignment="1">
      <alignment horizontal="center" vertical="center"/>
    </xf>
    <xf numFmtId="164" fontId="0" fillId="0" borderId="54" xfId="0" applyNumberFormat="1" applyBorder="1"/>
    <xf numFmtId="0" fontId="1" fillId="17" borderId="24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7" borderId="24" xfId="0" applyFont="1" applyFill="1" applyBorder="1"/>
    <xf numFmtId="0" fontId="1" fillId="17" borderId="38" xfId="0" applyFont="1" applyFill="1" applyBorder="1"/>
    <xf numFmtId="0" fontId="1" fillId="17" borderId="27" xfId="0" applyFont="1" applyFill="1" applyBorder="1"/>
  </cellXfs>
  <cellStyles count="5">
    <cellStyle name="Normal" xfId="0" builtinId="0"/>
    <cellStyle name="Normal 2" xfId="1"/>
    <cellStyle name="Normal 2 2" xfId="3"/>
    <cellStyle name="Normal 3" xfId="2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29"/>
  <sheetViews>
    <sheetView tabSelected="1" workbookViewId="0">
      <selection activeCell="C22" sqref="C22"/>
    </sheetView>
  </sheetViews>
  <sheetFormatPr baseColWidth="10" defaultRowHeight="15" x14ac:dyDescent="0.25"/>
  <cols>
    <col min="2" max="2" width="23.42578125" customWidth="1"/>
    <col min="3" max="3" width="15" style="1" customWidth="1"/>
    <col min="4" max="4" width="14.140625" style="1" bestFit="1" customWidth="1"/>
    <col min="5" max="5" width="15.7109375" style="1" bestFit="1" customWidth="1"/>
    <col min="7" max="7" width="16.140625" customWidth="1"/>
    <col min="8" max="8" width="18" customWidth="1"/>
    <col min="10" max="13" width="16.140625" customWidth="1"/>
    <col min="14" max="14" width="18" customWidth="1"/>
  </cols>
  <sheetData>
    <row r="2" spans="2:14" ht="15.75" thickBot="1" x14ac:dyDescent="0.3"/>
    <row r="3" spans="2:14" ht="28.5" customHeight="1" thickBot="1" x14ac:dyDescent="0.3">
      <c r="B3" s="373" t="s">
        <v>172</v>
      </c>
      <c r="C3" s="370" t="s">
        <v>169</v>
      </c>
      <c r="D3" s="310"/>
      <c r="E3" s="311"/>
      <c r="G3" s="308" t="s">
        <v>0</v>
      </c>
      <c r="H3" s="309"/>
      <c r="J3" s="308" t="s">
        <v>173</v>
      </c>
      <c r="K3" s="312"/>
      <c r="L3" s="312"/>
      <c r="M3" s="312"/>
      <c r="N3" s="309"/>
    </row>
    <row r="4" spans="2:14" ht="42" customHeight="1" thickBot="1" x14ac:dyDescent="0.3">
      <c r="B4" s="374"/>
      <c r="C4" s="371" t="s">
        <v>7</v>
      </c>
      <c r="D4" s="292" t="s">
        <v>5</v>
      </c>
      <c r="E4" s="293" t="s">
        <v>6</v>
      </c>
      <c r="G4" s="294" t="s">
        <v>129</v>
      </c>
      <c r="H4" s="295" t="s">
        <v>164</v>
      </c>
      <c r="J4" s="307" t="s">
        <v>177</v>
      </c>
      <c r="K4" s="306" t="s">
        <v>176</v>
      </c>
      <c r="L4" s="304" t="s">
        <v>174</v>
      </c>
      <c r="M4" s="304" t="s">
        <v>175</v>
      </c>
      <c r="N4" s="295"/>
    </row>
    <row r="5" spans="2:14" x14ac:dyDescent="0.25">
      <c r="B5" s="375" t="s">
        <v>8</v>
      </c>
      <c r="C5" s="13"/>
      <c r="D5" s="9">
        <f>+INgPEnPago!G34</f>
        <v>16200</v>
      </c>
      <c r="E5" s="10">
        <f>+'Vene3558 - Venta pend'!G13</f>
        <v>206000</v>
      </c>
      <c r="G5" s="297"/>
      <c r="H5" s="298"/>
      <c r="J5" s="297"/>
      <c r="K5" s="305"/>
      <c r="L5" s="305"/>
      <c r="M5" s="301"/>
      <c r="N5" s="298"/>
    </row>
    <row r="6" spans="2:14" x14ac:dyDescent="0.25">
      <c r="B6" s="376" t="s">
        <v>9</v>
      </c>
      <c r="C6" s="372"/>
      <c r="D6" s="7">
        <f>+INgPEnPago!K34</f>
        <v>2736</v>
      </c>
      <c r="E6" s="296"/>
      <c r="G6" s="299"/>
      <c r="H6" s="296"/>
      <c r="J6" s="299"/>
      <c r="K6" s="7"/>
      <c r="L6" s="7"/>
      <c r="M6" s="302"/>
      <c r="N6" s="296"/>
    </row>
    <row r="7" spans="2:14" x14ac:dyDescent="0.25">
      <c r="B7" s="376" t="s">
        <v>10</v>
      </c>
      <c r="C7" s="372"/>
      <c r="D7" s="7">
        <f>+INgPEnPago!H34</f>
        <v>27844</v>
      </c>
      <c r="E7" s="296"/>
      <c r="G7" s="299"/>
      <c r="H7" s="296"/>
      <c r="J7" s="299"/>
      <c r="K7" s="7"/>
      <c r="L7" s="7"/>
      <c r="M7" s="302"/>
      <c r="N7" s="296"/>
    </row>
    <row r="8" spans="2:14" x14ac:dyDescent="0.25">
      <c r="B8" s="376" t="s">
        <v>40</v>
      </c>
      <c r="C8" s="372"/>
      <c r="D8" s="7">
        <f>+INgPEnPago!I34</f>
        <v>198721</v>
      </c>
      <c r="E8" s="296">
        <f>+'Sanlo - Venta pend'!S30</f>
        <v>1608680.5</v>
      </c>
      <c r="G8" s="299"/>
      <c r="H8" s="296"/>
      <c r="J8" s="299"/>
      <c r="K8" s="7"/>
      <c r="L8" s="7"/>
      <c r="M8" s="302"/>
      <c r="N8" s="296"/>
    </row>
    <row r="9" spans="2:14" x14ac:dyDescent="0.25">
      <c r="B9" s="376" t="s">
        <v>11</v>
      </c>
      <c r="C9" s="372"/>
      <c r="D9" s="7"/>
      <c r="E9" s="296">
        <f>+'Fournier - Venta pend '!M32</f>
        <v>2073390</v>
      </c>
      <c r="G9" s="299"/>
      <c r="H9" s="296"/>
      <c r="J9" s="299"/>
      <c r="K9" s="7"/>
      <c r="L9" s="7"/>
      <c r="M9" s="302"/>
      <c r="N9" s="296"/>
    </row>
    <row r="10" spans="2:14" x14ac:dyDescent="0.25">
      <c r="B10" s="376" t="s">
        <v>2</v>
      </c>
      <c r="C10" s="372"/>
      <c r="D10" s="7"/>
      <c r="E10" s="296">
        <f>+'JB Justo - Venta pend'!J18</f>
        <v>1188316.1499999999</v>
      </c>
      <c r="G10" s="299"/>
      <c r="H10" s="296"/>
      <c r="J10" s="299"/>
      <c r="K10" s="7"/>
      <c r="L10" s="7"/>
      <c r="M10" s="302"/>
      <c r="N10" s="296"/>
    </row>
    <row r="11" spans="2:14" x14ac:dyDescent="0.25">
      <c r="B11" s="376" t="s">
        <v>13</v>
      </c>
      <c r="C11" s="372"/>
      <c r="D11" s="7">
        <f>+INgPEnPago!J34</f>
        <v>8000</v>
      </c>
      <c r="E11" s="296"/>
      <c r="G11" s="299"/>
      <c r="H11" s="296"/>
      <c r="J11" s="299"/>
      <c r="K11" s="7"/>
      <c r="L11" s="7"/>
      <c r="M11" s="302"/>
      <c r="N11" s="296"/>
    </row>
    <row r="12" spans="2:14" x14ac:dyDescent="0.25">
      <c r="B12" s="376" t="s">
        <v>117</v>
      </c>
      <c r="C12" s="372"/>
      <c r="D12" s="7"/>
      <c r="E12" s="296">
        <f>+'Luis M Campos - Venta pend'!G9</f>
        <v>200000</v>
      </c>
      <c r="G12" s="299"/>
      <c r="H12" s="296"/>
      <c r="J12" s="299"/>
      <c r="K12" s="7"/>
      <c r="L12" s="7"/>
      <c r="M12" s="302"/>
      <c r="N12" s="296"/>
    </row>
    <row r="13" spans="2:14" x14ac:dyDescent="0.25">
      <c r="B13" s="376" t="s">
        <v>118</v>
      </c>
      <c r="C13" s="372"/>
      <c r="D13" s="7"/>
      <c r="E13" s="296">
        <v>130000</v>
      </c>
      <c r="G13" s="299"/>
      <c r="H13" s="296"/>
      <c r="J13" s="299"/>
      <c r="K13" s="7"/>
      <c r="L13" s="7"/>
      <c r="M13" s="302"/>
      <c r="N13" s="296"/>
    </row>
    <row r="14" spans="2:14" x14ac:dyDescent="0.25">
      <c r="B14" s="376"/>
      <c r="C14" s="372"/>
      <c r="D14" s="7"/>
      <c r="E14" s="296"/>
      <c r="G14" s="299"/>
      <c r="H14" s="296"/>
      <c r="J14" s="299"/>
      <c r="K14" s="7"/>
      <c r="L14" s="7"/>
      <c r="M14" s="302"/>
      <c r="N14" s="296"/>
    </row>
    <row r="15" spans="2:14" x14ac:dyDescent="0.25">
      <c r="B15" s="376" t="s">
        <v>174</v>
      </c>
      <c r="C15" s="372"/>
      <c r="D15" s="7"/>
      <c r="E15" s="296"/>
      <c r="G15" s="299"/>
      <c r="H15" s="296"/>
      <c r="J15" s="299"/>
      <c r="K15" s="7"/>
      <c r="L15" s="7"/>
      <c r="M15" s="302"/>
      <c r="N15" s="296"/>
    </row>
    <row r="16" spans="2:14" x14ac:dyDescent="0.25">
      <c r="B16" s="376"/>
      <c r="C16" s="372"/>
      <c r="D16" s="7"/>
      <c r="E16" s="296"/>
      <c r="G16" s="299"/>
      <c r="H16" s="296"/>
      <c r="J16" s="299"/>
      <c r="K16" s="7"/>
      <c r="L16" s="7"/>
      <c r="M16" s="302"/>
      <c r="N16" s="296"/>
    </row>
    <row r="17" spans="2:14" x14ac:dyDescent="0.25">
      <c r="B17" s="376" t="s">
        <v>120</v>
      </c>
      <c r="C17" s="372">
        <f>118838.37-'Gonzalo Pavia'!L43</f>
        <v>1.9444444478722289E-3</v>
      </c>
      <c r="D17" s="7"/>
      <c r="E17" s="296"/>
      <c r="G17" s="299">
        <f>350000-'Gonzalo Pavia'!M43</f>
        <v>252777.77777777781</v>
      </c>
      <c r="H17" s="296">
        <f>+'Gonzalo Pavia'!G43+'Gonzalo Pavia'!D43-'Gonzalo Pavia'!N43</f>
        <v>24086.562499999964</v>
      </c>
      <c r="J17" s="299"/>
      <c r="K17" s="7"/>
      <c r="L17" s="7"/>
      <c r="M17" s="302"/>
      <c r="N17" s="296"/>
    </row>
    <row r="18" spans="2:14" x14ac:dyDescent="0.25">
      <c r="B18" s="376" t="s">
        <v>121</v>
      </c>
      <c r="C18" s="372">
        <f>100933.4-'Joaquin Bello'!D31</f>
        <v>0</v>
      </c>
      <c r="D18" s="7"/>
      <c r="E18" s="296"/>
      <c r="G18" s="299">
        <f>+'Joaquin Bello'!C4</f>
        <v>700000</v>
      </c>
      <c r="H18" s="296">
        <f>+'Joaquin Bello'!C31-'Joaquin Bello'!D31</f>
        <v>85407.400000000052</v>
      </c>
      <c r="J18" s="299"/>
      <c r="K18" s="7"/>
      <c r="L18" s="7"/>
      <c r="M18" s="302"/>
      <c r="N18" s="296"/>
    </row>
    <row r="19" spans="2:14" x14ac:dyDescent="0.25">
      <c r="B19" s="376" t="s">
        <v>122</v>
      </c>
      <c r="C19" s="372">
        <f>3500-'Miriam Sebastian'!H23</f>
        <v>0</v>
      </c>
      <c r="D19" s="7"/>
      <c r="E19" s="296"/>
      <c r="G19" s="299">
        <f>+'Miriam Sebastian'!E6</f>
        <v>50000</v>
      </c>
      <c r="H19" s="296">
        <f>+'Miriam Sebastian'!F23-'Miriam Sebastian'!H23</f>
        <v>2500</v>
      </c>
      <c r="J19" s="299"/>
      <c r="K19" s="7"/>
      <c r="L19" s="7"/>
      <c r="M19" s="302"/>
      <c r="N19" s="296"/>
    </row>
    <row r="20" spans="2:14" x14ac:dyDescent="0.25">
      <c r="B20" s="376" t="s">
        <v>167</v>
      </c>
      <c r="C20" s="372">
        <f>19764+7134-'G Ansaldo - C Trillo'!F22-'G Ansaldo - C Trillo'!F42</f>
        <v>0</v>
      </c>
      <c r="D20" s="7"/>
      <c r="E20" s="296"/>
      <c r="G20" s="299">
        <f>+'G Ansaldo - C Trillo'!D2</f>
        <v>358651</v>
      </c>
      <c r="H20" s="296">
        <f>+'G Ansaldo - C Trillo'!D22+'G Ansaldo - C Trillo'!D42-'G Ansaldo - C Trillo'!F22-'G Ansaldo - C Trillo'!F42</f>
        <v>35864</v>
      </c>
      <c r="J20" s="299"/>
      <c r="K20" s="7"/>
      <c r="L20" s="7"/>
      <c r="M20" s="302"/>
      <c r="N20" s="296"/>
    </row>
    <row r="21" spans="2:14" x14ac:dyDescent="0.25">
      <c r="B21" s="376" t="s">
        <v>179</v>
      </c>
      <c r="C21" s="372"/>
      <c r="D21" s="7"/>
      <c r="E21" s="296"/>
      <c r="G21" s="299">
        <f>+'Santiago Trillo'!E6</f>
        <v>44100</v>
      </c>
      <c r="H21" s="296">
        <f>+'Santiago Trillo'!E7</f>
        <v>11484</v>
      </c>
      <c r="J21" s="299"/>
      <c r="K21" s="7"/>
      <c r="L21" s="7"/>
      <c r="M21" s="302"/>
      <c r="N21" s="296"/>
    </row>
    <row r="22" spans="2:14" x14ac:dyDescent="0.25">
      <c r="B22" s="376" t="s">
        <v>168</v>
      </c>
      <c r="C22" s="372">
        <f>8760-'Nacho Baglieto'!F31</f>
        <v>0</v>
      </c>
      <c r="D22" s="7"/>
      <c r="E22" s="296"/>
      <c r="G22" s="299">
        <f>+'Nacho Baglieto'!D2</f>
        <v>73000</v>
      </c>
      <c r="H22" s="296">
        <f>+'Nacho Baglieto'!D31-'Nacho Baglieto'!F31</f>
        <v>8760</v>
      </c>
      <c r="J22" s="299"/>
      <c r="K22" s="7"/>
      <c r="L22" s="7"/>
      <c r="M22" s="302"/>
      <c r="N22" s="296"/>
    </row>
    <row r="23" spans="2:14" x14ac:dyDescent="0.25">
      <c r="B23" s="376" t="s">
        <v>170</v>
      </c>
      <c r="C23" s="372"/>
      <c r="D23" s="7"/>
      <c r="E23" s="296"/>
      <c r="G23" s="299">
        <f>+Yiye!D2</f>
        <v>60000</v>
      </c>
      <c r="H23" s="296"/>
      <c r="J23" s="299"/>
      <c r="K23" s="7"/>
      <c r="L23" s="7"/>
      <c r="M23" s="302"/>
      <c r="N23" s="296"/>
    </row>
    <row r="24" spans="2:14" x14ac:dyDescent="0.25">
      <c r="B24" s="376" t="s">
        <v>171</v>
      </c>
      <c r="C24" s="372"/>
      <c r="D24" s="7"/>
      <c r="E24" s="296"/>
      <c r="G24" s="299">
        <f>+'Olga Camamarota'!D2</f>
        <v>53000</v>
      </c>
      <c r="H24" s="296"/>
      <c r="J24" s="299"/>
      <c r="K24" s="7"/>
      <c r="L24" s="7"/>
      <c r="M24" s="302"/>
      <c r="N24" s="296"/>
    </row>
    <row r="25" spans="2:14" x14ac:dyDescent="0.25">
      <c r="B25" s="376"/>
      <c r="C25" s="372"/>
      <c r="D25" s="7"/>
      <c r="E25" s="296"/>
      <c r="G25" s="299"/>
      <c r="H25" s="296"/>
      <c r="J25" s="299"/>
      <c r="K25" s="7"/>
      <c r="L25" s="7"/>
      <c r="M25" s="302"/>
      <c r="N25" s="296"/>
    </row>
    <row r="26" spans="2:14" x14ac:dyDescent="0.25">
      <c r="B26" s="376"/>
      <c r="C26" s="372"/>
      <c r="D26" s="7"/>
      <c r="E26" s="296"/>
      <c r="G26" s="299"/>
      <c r="H26" s="296"/>
      <c r="J26" s="299"/>
      <c r="K26" s="7"/>
      <c r="L26" s="7"/>
      <c r="M26" s="302"/>
      <c r="N26" s="296"/>
    </row>
    <row r="27" spans="2:14" x14ac:dyDescent="0.25">
      <c r="B27" s="376"/>
      <c r="C27" s="372"/>
      <c r="D27" s="7"/>
      <c r="E27" s="296"/>
      <c r="G27" s="299"/>
      <c r="H27" s="296"/>
      <c r="J27" s="299"/>
      <c r="K27" s="7"/>
      <c r="L27" s="7"/>
      <c r="M27" s="302"/>
      <c r="N27" s="296"/>
    </row>
    <row r="28" spans="2:14" ht="15.75" thickBot="1" x14ac:dyDescent="0.3">
      <c r="B28" s="377"/>
      <c r="C28" s="14"/>
      <c r="D28" s="11"/>
      <c r="E28" s="12"/>
      <c r="G28" s="300"/>
      <c r="H28" s="12"/>
      <c r="J28" s="300"/>
      <c r="K28" s="11"/>
      <c r="L28" s="11"/>
      <c r="M28" s="303"/>
      <c r="N28" s="12"/>
    </row>
    <row r="29" spans="2:14" x14ac:dyDescent="0.25">
      <c r="B29" s="218" t="s">
        <v>119</v>
      </c>
      <c r="C29" s="217">
        <f t="shared" ref="C29:E29" si="0">SUM(C5:C28)</f>
        <v>1.9444444478722289E-3</v>
      </c>
      <c r="D29" s="217">
        <f t="shared" si="0"/>
        <v>253501</v>
      </c>
      <c r="E29" s="217">
        <f t="shared" si="0"/>
        <v>5406386.6500000004</v>
      </c>
      <c r="G29" s="217">
        <f>SUM(G5:G28)</f>
        <v>1591528.7777777778</v>
      </c>
      <c r="H29" s="217">
        <f>SUM(H5:H28)</f>
        <v>168101.96250000002</v>
      </c>
      <c r="J29" s="217">
        <f>SUM(J5:J28)</f>
        <v>0</v>
      </c>
      <c r="K29" s="217">
        <f t="shared" ref="K29:N29" si="1">SUM(K5:K28)</f>
        <v>0</v>
      </c>
      <c r="L29" s="217">
        <f t="shared" si="1"/>
        <v>0</v>
      </c>
      <c r="M29" s="217">
        <f t="shared" si="1"/>
        <v>0</v>
      </c>
      <c r="N29" s="217">
        <f t="shared" si="1"/>
        <v>0</v>
      </c>
    </row>
  </sheetData>
  <mergeCells count="4">
    <mergeCell ref="G3:H3"/>
    <mergeCell ref="C3:E3"/>
    <mergeCell ref="B3:B4"/>
    <mergeCell ref="J3:N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I13"/>
  <sheetViews>
    <sheetView workbookViewId="0">
      <selection activeCell="G13" sqref="G13"/>
    </sheetView>
  </sheetViews>
  <sheetFormatPr baseColWidth="10" defaultRowHeight="15" x14ac:dyDescent="0.25"/>
  <cols>
    <col min="1" max="1" width="27" bestFit="1" customWidth="1"/>
    <col min="7" max="7" width="14.140625" bestFit="1" customWidth="1"/>
    <col min="9" max="9" width="14" bestFit="1" customWidth="1"/>
  </cols>
  <sheetData>
    <row r="2" spans="1:9" ht="18.75" x14ac:dyDescent="0.3">
      <c r="B2" s="212" t="s">
        <v>115</v>
      </c>
    </row>
    <row r="4" spans="1:9" x14ac:dyDescent="0.25">
      <c r="A4" s="211" t="s">
        <v>114</v>
      </c>
      <c r="B4" s="211" t="s">
        <v>113</v>
      </c>
      <c r="C4" s="211" t="s">
        <v>112</v>
      </c>
      <c r="D4" s="211" t="s">
        <v>111</v>
      </c>
      <c r="E4" s="211" t="s">
        <v>110</v>
      </c>
      <c r="F4" s="211" t="s">
        <v>109</v>
      </c>
      <c r="G4" s="211" t="s">
        <v>108</v>
      </c>
      <c r="H4" s="211" t="s">
        <v>107</v>
      </c>
      <c r="I4" s="211" t="s">
        <v>106</v>
      </c>
    </row>
    <row r="5" spans="1:9" x14ac:dyDescent="0.25">
      <c r="A5" s="6" t="s">
        <v>105</v>
      </c>
      <c r="B5" s="6" t="s">
        <v>104</v>
      </c>
      <c r="C5" s="6">
        <v>2</v>
      </c>
      <c r="D5" s="6">
        <v>49</v>
      </c>
      <c r="E5" s="6">
        <v>5</v>
      </c>
      <c r="F5" s="6">
        <v>54</v>
      </c>
      <c r="G5" s="210">
        <v>117000</v>
      </c>
      <c r="H5" s="6" t="s">
        <v>101</v>
      </c>
      <c r="I5" s="6"/>
    </row>
    <row r="6" spans="1:9" x14ac:dyDescent="0.25">
      <c r="A6" s="6"/>
      <c r="B6" s="6" t="s">
        <v>65</v>
      </c>
      <c r="C6" s="6"/>
      <c r="D6" s="6"/>
      <c r="E6" s="6"/>
      <c r="F6" s="6"/>
      <c r="G6" s="210">
        <v>18500</v>
      </c>
      <c r="H6" s="6"/>
      <c r="I6" s="6"/>
    </row>
    <row r="7" spans="1:9" x14ac:dyDescent="0.25">
      <c r="A7" s="6"/>
      <c r="B7" s="6" t="s">
        <v>65</v>
      </c>
      <c r="C7" s="6"/>
      <c r="D7" s="6"/>
      <c r="E7" s="6"/>
      <c r="F7" s="6"/>
      <c r="G7" s="210">
        <v>18500</v>
      </c>
      <c r="H7" s="6"/>
      <c r="I7" s="6"/>
    </row>
    <row r="8" spans="1:9" x14ac:dyDescent="0.25">
      <c r="A8" s="6"/>
      <c r="B8" s="6" t="s">
        <v>65</v>
      </c>
      <c r="C8" s="6"/>
      <c r="D8" s="6"/>
      <c r="E8" s="6"/>
      <c r="F8" s="6"/>
      <c r="G8" s="210">
        <v>18500</v>
      </c>
      <c r="H8" s="6"/>
      <c r="I8" s="6"/>
    </row>
    <row r="9" spans="1:9" x14ac:dyDescent="0.25">
      <c r="A9" s="6"/>
      <c r="B9" s="6" t="s">
        <v>65</v>
      </c>
      <c r="C9" s="6"/>
      <c r="D9" s="6"/>
      <c r="E9" s="6"/>
      <c r="F9" s="6"/>
      <c r="G9" s="210">
        <v>18500</v>
      </c>
      <c r="H9" s="6"/>
      <c r="I9" s="6"/>
    </row>
    <row r="10" spans="1:9" x14ac:dyDescent="0.25">
      <c r="A10" s="6"/>
      <c r="B10" s="6" t="s">
        <v>65</v>
      </c>
      <c r="C10" s="6"/>
      <c r="D10" s="6"/>
      <c r="E10" s="6"/>
      <c r="F10" s="6"/>
      <c r="G10" s="210"/>
      <c r="H10" s="6"/>
      <c r="I10" s="6"/>
    </row>
    <row r="11" spans="1:9" x14ac:dyDescent="0.25">
      <c r="A11" s="6"/>
      <c r="B11" s="6" t="s">
        <v>116</v>
      </c>
      <c r="C11" s="6"/>
      <c r="D11" s="6"/>
      <c r="E11" s="6"/>
      <c r="F11" s="6"/>
      <c r="G11" s="210">
        <v>15000</v>
      </c>
      <c r="H11" s="6"/>
      <c r="I11" s="6"/>
    </row>
    <row r="12" spans="1:9" x14ac:dyDescent="0.25">
      <c r="A12" s="6"/>
      <c r="B12" s="6"/>
      <c r="C12" s="6"/>
      <c r="D12" s="6"/>
      <c r="E12" s="6"/>
      <c r="F12" s="6"/>
      <c r="G12" s="210"/>
      <c r="H12" s="6"/>
      <c r="I12" s="6"/>
    </row>
    <row r="13" spans="1:9" x14ac:dyDescent="0.25">
      <c r="G13" s="213">
        <f>SUM(G5:G12)</f>
        <v>206000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U30"/>
  <sheetViews>
    <sheetView zoomScale="75" zoomScaleNormal="75" workbookViewId="0">
      <selection activeCell="S30" sqref="S30"/>
    </sheetView>
  </sheetViews>
  <sheetFormatPr baseColWidth="10" defaultColWidth="12.42578125" defaultRowHeight="16.5" x14ac:dyDescent="0.3"/>
  <cols>
    <col min="1" max="1" width="6.140625" style="167" customWidth="1"/>
    <col min="2" max="2" width="6.85546875" style="170" customWidth="1"/>
    <col min="3" max="3" width="14.42578125" style="167" customWidth="1"/>
    <col min="4" max="4" width="7.28515625" style="167" hidden="1" customWidth="1"/>
    <col min="5" max="5" width="11.28515625" style="167" customWidth="1"/>
    <col min="6" max="6" width="9.5703125" style="167" customWidth="1"/>
    <col min="7" max="7" width="13.28515625" style="167" customWidth="1"/>
    <col min="8" max="8" width="9.5703125" style="167" customWidth="1"/>
    <col min="9" max="11" width="9.28515625" style="167" customWidth="1"/>
    <col min="12" max="12" width="10.42578125" style="167" customWidth="1"/>
    <col min="13" max="13" width="13.7109375" style="167" hidden="1" customWidth="1"/>
    <col min="14" max="15" width="13.5703125" style="167" hidden="1" customWidth="1"/>
    <col min="16" max="16" width="13.5703125" style="169" hidden="1" customWidth="1"/>
    <col min="17" max="17" width="13.7109375" style="167" customWidth="1"/>
    <col min="18" max="18" width="14.42578125" style="168" hidden="1" customWidth="1"/>
    <col min="19" max="19" width="18.85546875" style="168" bestFit="1" customWidth="1"/>
    <col min="20" max="20" width="16.42578125" style="167" customWidth="1"/>
    <col min="21" max="16384" width="12.42578125" style="166"/>
  </cols>
  <sheetData>
    <row r="1" spans="1:21" ht="20.25" x14ac:dyDescent="0.3">
      <c r="A1" s="330" t="s">
        <v>96</v>
      </c>
      <c r="B1" s="330"/>
      <c r="C1" s="330"/>
      <c r="D1" s="330"/>
      <c r="E1" s="330"/>
      <c r="L1" s="205"/>
      <c r="R1" s="204"/>
      <c r="S1" s="204"/>
    </row>
    <row r="2" spans="1:21" x14ac:dyDescent="0.3">
      <c r="Q2" s="203"/>
    </row>
    <row r="3" spans="1:21" s="198" customFormat="1" ht="115.5" x14ac:dyDescent="0.25">
      <c r="A3" s="199" t="s">
        <v>42</v>
      </c>
      <c r="B3" s="199" t="s">
        <v>43</v>
      </c>
      <c r="C3" s="199" t="s">
        <v>45</v>
      </c>
      <c r="D3" s="199" t="s">
        <v>95</v>
      </c>
      <c r="E3" s="199" t="s">
        <v>46</v>
      </c>
      <c r="F3" s="199" t="s">
        <v>94</v>
      </c>
      <c r="G3" s="199" t="s">
        <v>93</v>
      </c>
      <c r="H3" s="199" t="s">
        <v>92</v>
      </c>
      <c r="I3" s="199" t="s">
        <v>91</v>
      </c>
      <c r="J3" s="199" t="s">
        <v>90</v>
      </c>
      <c r="K3" s="199" t="s">
        <v>89</v>
      </c>
      <c r="L3" s="199" t="s">
        <v>88</v>
      </c>
      <c r="M3" s="199" t="s">
        <v>87</v>
      </c>
      <c r="N3" s="199" t="s">
        <v>86</v>
      </c>
      <c r="O3" s="199" t="s">
        <v>85</v>
      </c>
      <c r="P3" s="202" t="s">
        <v>84</v>
      </c>
      <c r="Q3" s="199" t="s">
        <v>83</v>
      </c>
      <c r="R3" s="201" t="s">
        <v>82</v>
      </c>
      <c r="S3" s="200" t="s">
        <v>81</v>
      </c>
      <c r="T3" s="199" t="s">
        <v>80</v>
      </c>
    </row>
    <row r="4" spans="1:21" s="185" customFormat="1" x14ac:dyDescent="0.3">
      <c r="A4" s="186">
        <v>12</v>
      </c>
      <c r="B4" s="197">
        <v>1</v>
      </c>
      <c r="C4" s="191" t="s">
        <v>78</v>
      </c>
      <c r="D4" s="191">
        <v>12</v>
      </c>
      <c r="E4" s="191">
        <v>48</v>
      </c>
      <c r="F4" s="191">
        <v>7.35</v>
      </c>
      <c r="G4" s="191"/>
      <c r="H4" s="191">
        <v>4</v>
      </c>
      <c r="I4" s="191"/>
      <c r="J4" s="191"/>
      <c r="K4" s="191"/>
      <c r="L4" s="191"/>
      <c r="M4" s="191">
        <v>55.35</v>
      </c>
      <c r="N4" s="191">
        <v>54.13</v>
      </c>
      <c r="O4" s="191">
        <v>59.35</v>
      </c>
      <c r="P4" s="194">
        <v>1.9246634514355699E-2</v>
      </c>
      <c r="Q4" s="196">
        <v>59.35</v>
      </c>
      <c r="R4" s="192">
        <v>145000</v>
      </c>
      <c r="S4" s="192">
        <f>R4*1.03</f>
        <v>149350</v>
      </c>
      <c r="T4" s="191" t="s">
        <v>79</v>
      </c>
    </row>
    <row r="5" spans="1:21" s="185" customFormat="1" x14ac:dyDescent="0.3">
      <c r="A5" s="186">
        <v>27</v>
      </c>
      <c r="B5" s="331">
        <v>3</v>
      </c>
      <c r="C5" s="186" t="s">
        <v>64</v>
      </c>
      <c r="D5" s="186">
        <v>27</v>
      </c>
      <c r="E5" s="186">
        <v>48</v>
      </c>
      <c r="F5" s="186">
        <v>7.35</v>
      </c>
      <c r="G5" s="186"/>
      <c r="H5" s="186"/>
      <c r="I5" s="186">
        <v>65.02</v>
      </c>
      <c r="J5" s="186">
        <v>56.83</v>
      </c>
      <c r="K5" s="186">
        <f>65.02+19.8</f>
        <v>84.82</v>
      </c>
      <c r="L5" s="186"/>
      <c r="M5" s="186">
        <v>177.2</v>
      </c>
      <c r="N5" s="186">
        <v>54.13</v>
      </c>
      <c r="O5" s="186">
        <v>168.291</v>
      </c>
      <c r="P5" s="188">
        <v>5.45751536487857E-2</v>
      </c>
      <c r="Q5" s="195">
        <v>262.02</v>
      </c>
      <c r="R5" s="187">
        <v>371000</v>
      </c>
      <c r="S5" s="173">
        <f>R5*1.03</f>
        <v>382130</v>
      </c>
      <c r="T5" s="186"/>
      <c r="U5" s="185" t="s">
        <v>75</v>
      </c>
    </row>
    <row r="6" spans="1:21" s="185" customFormat="1" x14ac:dyDescent="0.3">
      <c r="A6" s="171">
        <v>29</v>
      </c>
      <c r="B6" s="331"/>
      <c r="C6" s="191" t="s">
        <v>59</v>
      </c>
      <c r="D6" s="191">
        <v>29</v>
      </c>
      <c r="E6" s="191">
        <v>48</v>
      </c>
      <c r="F6" s="191">
        <v>7.35</v>
      </c>
      <c r="G6" s="191"/>
      <c r="H6" s="191"/>
      <c r="I6" s="191">
        <v>41.3</v>
      </c>
      <c r="J6" s="191">
        <v>19.399999999999999</v>
      </c>
      <c r="K6" s="191">
        <v>41.22</v>
      </c>
      <c r="L6" s="191"/>
      <c r="M6" s="191">
        <v>116.05</v>
      </c>
      <c r="N6" s="191">
        <v>53.28</v>
      </c>
      <c r="O6" s="191">
        <v>118.71599999999999</v>
      </c>
      <c r="P6" s="194">
        <v>3.8498457674915797E-2</v>
      </c>
      <c r="Q6" s="193">
        <v>157.27000000000001</v>
      </c>
      <c r="R6" s="192">
        <v>248000</v>
      </c>
      <c r="S6" s="192">
        <f>R6*1.03</f>
        <v>255440</v>
      </c>
      <c r="T6" s="191" t="s">
        <v>76</v>
      </c>
    </row>
    <row r="7" spans="1:21" s="185" customFormat="1" x14ac:dyDescent="0.3">
      <c r="A7" s="171">
        <v>32</v>
      </c>
      <c r="B7" s="331"/>
      <c r="C7" s="186" t="s">
        <v>78</v>
      </c>
      <c r="D7" s="186">
        <v>32</v>
      </c>
      <c r="E7" s="186">
        <v>48</v>
      </c>
      <c r="F7" s="186">
        <v>7.35</v>
      </c>
      <c r="G7" s="186"/>
      <c r="H7" s="186"/>
      <c r="I7" s="186">
        <v>66.819999999999993</v>
      </c>
      <c r="J7" s="186">
        <v>56.83</v>
      </c>
      <c r="K7" s="186">
        <f>65.02+18</f>
        <v>83.02</v>
      </c>
      <c r="L7" s="186"/>
      <c r="M7" s="186">
        <v>177.2</v>
      </c>
      <c r="N7" s="186">
        <v>54.13</v>
      </c>
      <c r="O7" s="186">
        <v>168.291</v>
      </c>
      <c r="P7" s="188">
        <v>5.45751536487857E-2</v>
      </c>
      <c r="Q7" s="195">
        <v>262.02</v>
      </c>
      <c r="R7" s="187">
        <v>371000</v>
      </c>
      <c r="S7" s="173">
        <f>R7*1.03</f>
        <v>382130</v>
      </c>
      <c r="T7" s="186"/>
      <c r="U7" s="185" t="s">
        <v>75</v>
      </c>
    </row>
    <row r="8" spans="1:21" s="185" customFormat="1" x14ac:dyDescent="0.3">
      <c r="A8" s="171">
        <v>35</v>
      </c>
      <c r="B8" s="331"/>
      <c r="C8" s="191" t="s">
        <v>77</v>
      </c>
      <c r="D8" s="191">
        <v>35</v>
      </c>
      <c r="E8" s="191">
        <v>52.62</v>
      </c>
      <c r="F8" s="191">
        <v>7.35</v>
      </c>
      <c r="G8" s="191">
        <v>0</v>
      </c>
      <c r="H8" s="191"/>
      <c r="I8" s="191">
        <v>23.59</v>
      </c>
      <c r="J8" s="191">
        <v>37.33</v>
      </c>
      <c r="K8" s="191">
        <v>64.900000000000006</v>
      </c>
      <c r="L8" s="191"/>
      <c r="M8" s="191">
        <v>120.89</v>
      </c>
      <c r="N8" s="191">
        <v>58.55</v>
      </c>
      <c r="O8" s="191">
        <v>121.69499999999999</v>
      </c>
      <c r="P8" s="194">
        <v>3.9464518740092901E-2</v>
      </c>
      <c r="Q8" s="193">
        <v>185.79</v>
      </c>
      <c r="R8" s="192">
        <v>255000</v>
      </c>
      <c r="S8" s="192">
        <f>R8*1.03</f>
        <v>262650</v>
      </c>
      <c r="T8" s="191" t="s">
        <v>76</v>
      </c>
    </row>
    <row r="9" spans="1:21" s="176" customFormat="1" hidden="1" x14ac:dyDescent="0.3">
      <c r="A9" s="182">
        <v>38</v>
      </c>
      <c r="B9" s="331"/>
      <c r="C9" s="177" t="s">
        <v>74</v>
      </c>
      <c r="D9" s="177">
        <v>2</v>
      </c>
      <c r="E9" s="177"/>
      <c r="F9" s="177"/>
      <c r="G9" s="177"/>
      <c r="H9" s="184"/>
      <c r="I9" s="184"/>
      <c r="J9" s="184"/>
      <c r="K9" s="184"/>
      <c r="L9" s="177">
        <v>12</v>
      </c>
      <c r="M9" s="183">
        <v>12</v>
      </c>
      <c r="N9" s="183">
        <v>12</v>
      </c>
      <c r="O9" s="177">
        <v>12</v>
      </c>
      <c r="P9" s="180">
        <v>3.8914846532816902E-3</v>
      </c>
      <c r="Q9" s="190"/>
      <c r="R9" s="179"/>
      <c r="S9" s="178"/>
      <c r="T9" s="177" t="s">
        <v>73</v>
      </c>
    </row>
    <row r="10" spans="1:21" s="176" customFormat="1" hidden="1" x14ac:dyDescent="0.3">
      <c r="A10" s="181">
        <v>39</v>
      </c>
      <c r="B10" s="331"/>
      <c r="C10" s="177" t="s">
        <v>74</v>
      </c>
      <c r="D10" s="177">
        <v>3</v>
      </c>
      <c r="E10" s="177"/>
      <c r="F10" s="177"/>
      <c r="G10" s="177"/>
      <c r="H10" s="184"/>
      <c r="I10" s="184"/>
      <c r="J10" s="184"/>
      <c r="K10" s="184"/>
      <c r="L10" s="177">
        <v>12</v>
      </c>
      <c r="M10" s="183">
        <v>12</v>
      </c>
      <c r="N10" s="183">
        <v>12</v>
      </c>
      <c r="O10" s="177">
        <v>12</v>
      </c>
      <c r="P10" s="180">
        <v>3.8914846532816902E-3</v>
      </c>
      <c r="Q10" s="183"/>
      <c r="R10" s="179"/>
      <c r="S10" s="178"/>
      <c r="T10" s="177" t="s">
        <v>73</v>
      </c>
    </row>
    <row r="11" spans="1:21" s="176" customFormat="1" hidden="1" x14ac:dyDescent="0.3">
      <c r="A11" s="182">
        <v>40</v>
      </c>
      <c r="B11" s="331"/>
      <c r="C11" s="177" t="s">
        <v>74</v>
      </c>
      <c r="D11" s="177">
        <v>4</v>
      </c>
      <c r="E11" s="177"/>
      <c r="F11" s="177"/>
      <c r="G11" s="177"/>
      <c r="H11" s="184"/>
      <c r="I11" s="184"/>
      <c r="J11" s="184"/>
      <c r="K11" s="184"/>
      <c r="L11" s="177">
        <v>12</v>
      </c>
      <c r="M11" s="177">
        <v>12</v>
      </c>
      <c r="N11" s="177">
        <v>12</v>
      </c>
      <c r="O11" s="177">
        <v>12</v>
      </c>
      <c r="P11" s="180">
        <v>3.8914846532816902E-3</v>
      </c>
      <c r="Q11" s="177"/>
      <c r="R11" s="179"/>
      <c r="S11" s="178"/>
      <c r="T11" s="177" t="s">
        <v>73</v>
      </c>
    </row>
    <row r="12" spans="1:21" s="189" customFormat="1" hidden="1" x14ac:dyDescent="0.3">
      <c r="A12" s="182">
        <v>41</v>
      </c>
      <c r="B12" s="331"/>
      <c r="C12" s="177" t="s">
        <v>74</v>
      </c>
      <c r="D12" s="177">
        <v>5</v>
      </c>
      <c r="E12" s="177"/>
      <c r="F12" s="177"/>
      <c r="G12" s="177"/>
      <c r="H12" s="184"/>
      <c r="I12" s="184"/>
      <c r="J12" s="184"/>
      <c r="K12" s="184"/>
      <c r="L12" s="177">
        <v>12</v>
      </c>
      <c r="M12" s="177">
        <v>12</v>
      </c>
      <c r="N12" s="177">
        <v>12</v>
      </c>
      <c r="O12" s="177">
        <v>12</v>
      </c>
      <c r="P12" s="180">
        <v>3.8914846532816902E-3</v>
      </c>
      <c r="Q12" s="177"/>
      <c r="R12" s="179"/>
      <c r="S12" s="178"/>
      <c r="T12" s="177" t="s">
        <v>73</v>
      </c>
    </row>
    <row r="13" spans="1:21" s="176" customFormat="1" hidden="1" x14ac:dyDescent="0.3">
      <c r="A13" s="181">
        <v>42</v>
      </c>
      <c r="B13" s="331"/>
      <c r="C13" s="177" t="s">
        <v>74</v>
      </c>
      <c r="D13" s="177">
        <v>6</v>
      </c>
      <c r="E13" s="177"/>
      <c r="F13" s="177"/>
      <c r="G13" s="177"/>
      <c r="H13" s="177"/>
      <c r="I13" s="177"/>
      <c r="J13" s="177"/>
      <c r="K13" s="177"/>
      <c r="L13" s="177">
        <v>12</v>
      </c>
      <c r="M13" s="177">
        <v>12</v>
      </c>
      <c r="N13" s="177">
        <v>12</v>
      </c>
      <c r="O13" s="177">
        <v>12</v>
      </c>
      <c r="P13" s="180">
        <v>3.8914846532816902E-3</v>
      </c>
      <c r="Q13" s="177"/>
      <c r="R13" s="179"/>
      <c r="S13" s="178"/>
      <c r="T13" s="177" t="s">
        <v>73</v>
      </c>
    </row>
    <row r="14" spans="1:21" s="176" customFormat="1" hidden="1" x14ac:dyDescent="0.3">
      <c r="A14" s="182">
        <v>43</v>
      </c>
      <c r="B14" s="331"/>
      <c r="C14" s="177" t="s">
        <v>74</v>
      </c>
      <c r="D14" s="177">
        <v>7</v>
      </c>
      <c r="E14" s="177"/>
      <c r="F14" s="177"/>
      <c r="G14" s="177"/>
      <c r="H14" s="184"/>
      <c r="I14" s="184"/>
      <c r="J14" s="184"/>
      <c r="K14" s="184"/>
      <c r="L14" s="177">
        <v>12</v>
      </c>
      <c r="M14" s="183">
        <v>12</v>
      </c>
      <c r="N14" s="183">
        <v>12</v>
      </c>
      <c r="O14" s="177">
        <v>12</v>
      </c>
      <c r="P14" s="180">
        <v>3.8914846532816902E-3</v>
      </c>
      <c r="Q14" s="183"/>
      <c r="R14" s="179"/>
      <c r="S14" s="178"/>
      <c r="T14" s="177" t="s">
        <v>73</v>
      </c>
    </row>
    <row r="15" spans="1:21" s="176" customFormat="1" hidden="1" x14ac:dyDescent="0.3">
      <c r="A15" s="182">
        <v>44</v>
      </c>
      <c r="B15" s="331"/>
      <c r="C15" s="177" t="s">
        <v>74</v>
      </c>
      <c r="D15" s="177">
        <v>8</v>
      </c>
      <c r="E15" s="177"/>
      <c r="F15" s="177"/>
      <c r="G15" s="177"/>
      <c r="H15" s="184"/>
      <c r="I15" s="184"/>
      <c r="J15" s="184"/>
      <c r="K15" s="184"/>
      <c r="L15" s="177">
        <v>12</v>
      </c>
      <c r="M15" s="183">
        <v>12</v>
      </c>
      <c r="N15" s="183">
        <v>12</v>
      </c>
      <c r="O15" s="177">
        <v>12</v>
      </c>
      <c r="P15" s="180">
        <v>3.8914846532816902E-3</v>
      </c>
      <c r="Q15" s="183"/>
      <c r="R15" s="179"/>
      <c r="S15" s="178"/>
      <c r="T15" s="177" t="s">
        <v>73</v>
      </c>
    </row>
    <row r="16" spans="1:21" s="185" customFormat="1" x14ac:dyDescent="0.3">
      <c r="A16" s="171">
        <v>46</v>
      </c>
      <c r="B16" s="331"/>
      <c r="C16" s="186" t="s">
        <v>74</v>
      </c>
      <c r="D16" s="186">
        <v>10</v>
      </c>
      <c r="E16" s="186"/>
      <c r="F16" s="186"/>
      <c r="G16" s="186"/>
      <c r="H16" s="186"/>
      <c r="I16" s="186"/>
      <c r="J16" s="186"/>
      <c r="K16" s="186"/>
      <c r="L16" s="186"/>
      <c r="M16" s="186">
        <v>12</v>
      </c>
      <c r="N16" s="186">
        <v>12</v>
      </c>
      <c r="O16" s="186">
        <v>12</v>
      </c>
      <c r="P16" s="188">
        <v>3.8914846532816902E-3</v>
      </c>
      <c r="Q16" s="186"/>
      <c r="R16" s="187">
        <v>22050</v>
      </c>
      <c r="S16" s="173">
        <f t="shared" ref="S16:S22" si="0">R16*1.03</f>
        <v>22711.5</v>
      </c>
      <c r="T16" s="186"/>
      <c r="U16" s="185" t="s">
        <v>75</v>
      </c>
    </row>
    <row r="17" spans="1:21" s="185" customFormat="1" x14ac:dyDescent="0.3">
      <c r="A17" s="171">
        <v>49</v>
      </c>
      <c r="B17" s="331"/>
      <c r="C17" s="186" t="s">
        <v>74</v>
      </c>
      <c r="D17" s="186">
        <v>13</v>
      </c>
      <c r="E17" s="186"/>
      <c r="F17" s="186"/>
      <c r="G17" s="186"/>
      <c r="H17" s="186"/>
      <c r="I17" s="186"/>
      <c r="J17" s="186"/>
      <c r="K17" s="186"/>
      <c r="L17" s="186"/>
      <c r="M17" s="186">
        <v>12</v>
      </c>
      <c r="N17" s="186">
        <v>12</v>
      </c>
      <c r="O17" s="186">
        <v>12</v>
      </c>
      <c r="P17" s="188">
        <v>3.8914846532816902E-3</v>
      </c>
      <c r="Q17" s="186"/>
      <c r="R17" s="187">
        <v>22050</v>
      </c>
      <c r="S17" s="173">
        <f t="shared" si="0"/>
        <v>22711.5</v>
      </c>
      <c r="T17" s="186"/>
      <c r="U17" s="185" t="s">
        <v>75</v>
      </c>
    </row>
    <row r="18" spans="1:21" s="185" customFormat="1" x14ac:dyDescent="0.3">
      <c r="A18" s="171">
        <v>50</v>
      </c>
      <c r="B18" s="331"/>
      <c r="C18" s="186" t="s">
        <v>74</v>
      </c>
      <c r="D18" s="186">
        <v>14</v>
      </c>
      <c r="E18" s="186"/>
      <c r="F18" s="186"/>
      <c r="G18" s="186"/>
      <c r="H18" s="186"/>
      <c r="I18" s="186"/>
      <c r="J18" s="186"/>
      <c r="K18" s="186"/>
      <c r="L18" s="186"/>
      <c r="M18" s="186">
        <v>12</v>
      </c>
      <c r="N18" s="186">
        <v>12</v>
      </c>
      <c r="O18" s="186">
        <v>12</v>
      </c>
      <c r="P18" s="188">
        <v>3.8914846532816902E-3</v>
      </c>
      <c r="Q18" s="186"/>
      <c r="R18" s="187">
        <v>22050</v>
      </c>
      <c r="S18" s="173">
        <f t="shared" si="0"/>
        <v>22711.5</v>
      </c>
      <c r="T18" s="186"/>
      <c r="U18" s="185" t="s">
        <v>75</v>
      </c>
    </row>
    <row r="19" spans="1:21" s="185" customFormat="1" x14ac:dyDescent="0.3">
      <c r="A19" s="186">
        <v>51</v>
      </c>
      <c r="B19" s="331"/>
      <c r="C19" s="186" t="s">
        <v>74</v>
      </c>
      <c r="D19" s="186">
        <v>15</v>
      </c>
      <c r="E19" s="186"/>
      <c r="F19" s="186"/>
      <c r="G19" s="186"/>
      <c r="H19" s="186"/>
      <c r="I19" s="186"/>
      <c r="J19" s="186"/>
      <c r="K19" s="186"/>
      <c r="L19" s="186"/>
      <c r="M19" s="186">
        <v>12</v>
      </c>
      <c r="N19" s="186">
        <v>12</v>
      </c>
      <c r="O19" s="186">
        <v>12</v>
      </c>
      <c r="P19" s="188">
        <v>3.8914846532816902E-3</v>
      </c>
      <c r="Q19" s="186"/>
      <c r="R19" s="187">
        <v>22050</v>
      </c>
      <c r="S19" s="173">
        <f t="shared" si="0"/>
        <v>22711.5</v>
      </c>
      <c r="T19" s="186"/>
      <c r="U19" s="185" t="s">
        <v>75</v>
      </c>
    </row>
    <row r="20" spans="1:21" s="185" customFormat="1" x14ac:dyDescent="0.3">
      <c r="A20" s="171">
        <v>52</v>
      </c>
      <c r="B20" s="331"/>
      <c r="C20" s="186" t="s">
        <v>74</v>
      </c>
      <c r="D20" s="186">
        <v>16</v>
      </c>
      <c r="E20" s="186"/>
      <c r="F20" s="186"/>
      <c r="G20" s="186"/>
      <c r="H20" s="186"/>
      <c r="I20" s="186"/>
      <c r="J20" s="186"/>
      <c r="K20" s="186"/>
      <c r="L20" s="186"/>
      <c r="M20" s="186">
        <v>12</v>
      </c>
      <c r="N20" s="186">
        <v>12</v>
      </c>
      <c r="O20" s="186">
        <v>12</v>
      </c>
      <c r="P20" s="188">
        <v>3.8914846532816902E-3</v>
      </c>
      <c r="Q20" s="186"/>
      <c r="R20" s="187">
        <v>22050</v>
      </c>
      <c r="S20" s="173">
        <f t="shared" si="0"/>
        <v>22711.5</v>
      </c>
      <c r="T20" s="186"/>
      <c r="U20" s="185" t="s">
        <v>75</v>
      </c>
    </row>
    <row r="21" spans="1:21" s="185" customFormat="1" x14ac:dyDescent="0.3">
      <c r="A21" s="186">
        <v>54</v>
      </c>
      <c r="B21" s="331"/>
      <c r="C21" s="186" t="s">
        <v>74</v>
      </c>
      <c r="D21" s="186">
        <v>18</v>
      </c>
      <c r="E21" s="186"/>
      <c r="F21" s="186"/>
      <c r="G21" s="186"/>
      <c r="H21" s="186"/>
      <c r="I21" s="186"/>
      <c r="J21" s="186"/>
      <c r="K21" s="186"/>
      <c r="L21" s="186"/>
      <c r="M21" s="186">
        <v>12</v>
      </c>
      <c r="N21" s="186">
        <v>12</v>
      </c>
      <c r="O21" s="186">
        <v>12</v>
      </c>
      <c r="P21" s="188">
        <v>3.8914846532816902E-3</v>
      </c>
      <c r="Q21" s="186"/>
      <c r="R21" s="187">
        <v>22050</v>
      </c>
      <c r="S21" s="173">
        <f t="shared" si="0"/>
        <v>22711.5</v>
      </c>
      <c r="T21" s="186"/>
      <c r="U21" s="185" t="s">
        <v>75</v>
      </c>
    </row>
    <row r="22" spans="1:21" s="185" customFormat="1" x14ac:dyDescent="0.3">
      <c r="A22" s="186">
        <v>57</v>
      </c>
      <c r="B22" s="331"/>
      <c r="C22" s="186" t="s">
        <v>74</v>
      </c>
      <c r="D22" s="186">
        <v>21</v>
      </c>
      <c r="E22" s="186"/>
      <c r="F22" s="186"/>
      <c r="G22" s="186"/>
      <c r="H22" s="186"/>
      <c r="I22" s="186"/>
      <c r="J22" s="186"/>
      <c r="K22" s="186"/>
      <c r="L22" s="186"/>
      <c r="M22" s="186">
        <v>12</v>
      </c>
      <c r="N22" s="186">
        <v>12</v>
      </c>
      <c r="O22" s="186">
        <v>12</v>
      </c>
      <c r="P22" s="188">
        <v>3.8914846532816902E-3</v>
      </c>
      <c r="Q22" s="186"/>
      <c r="R22" s="187">
        <v>22050</v>
      </c>
      <c r="S22" s="173">
        <f t="shared" si="0"/>
        <v>22711.5</v>
      </c>
      <c r="T22" s="186"/>
      <c r="U22" s="185" t="s">
        <v>75</v>
      </c>
    </row>
    <row r="23" spans="1:21" s="176" customFormat="1" hidden="1" x14ac:dyDescent="0.3">
      <c r="A23" s="182">
        <v>58</v>
      </c>
      <c r="B23" s="331"/>
      <c r="C23" s="177" t="s">
        <v>74</v>
      </c>
      <c r="D23" s="177">
        <v>22</v>
      </c>
      <c r="E23" s="177"/>
      <c r="F23" s="177"/>
      <c r="G23" s="177"/>
      <c r="H23" s="177"/>
      <c r="I23" s="184"/>
      <c r="J23" s="184"/>
      <c r="K23" s="184"/>
      <c r="L23" s="177">
        <v>12</v>
      </c>
      <c r="M23" s="183">
        <v>12</v>
      </c>
      <c r="N23" s="183">
        <v>12</v>
      </c>
      <c r="O23" s="177">
        <v>12</v>
      </c>
      <c r="P23" s="180">
        <v>3.8914846532816902E-3</v>
      </c>
      <c r="Q23" s="183"/>
      <c r="R23" s="179"/>
      <c r="S23" s="178"/>
      <c r="T23" s="177" t="s">
        <v>73</v>
      </c>
    </row>
    <row r="24" spans="1:21" s="176" customFormat="1" hidden="1" x14ac:dyDescent="0.3">
      <c r="A24" s="182">
        <v>59</v>
      </c>
      <c r="B24" s="331"/>
      <c r="C24" s="177" t="s">
        <v>74</v>
      </c>
      <c r="D24" s="177">
        <v>23</v>
      </c>
      <c r="E24" s="177"/>
      <c r="F24" s="177"/>
      <c r="G24" s="177"/>
      <c r="H24" s="177"/>
      <c r="I24" s="177"/>
      <c r="J24" s="177"/>
      <c r="K24" s="177"/>
      <c r="L24" s="177">
        <v>12</v>
      </c>
      <c r="M24" s="177">
        <v>12</v>
      </c>
      <c r="N24" s="177">
        <v>12</v>
      </c>
      <c r="O24" s="177">
        <v>12</v>
      </c>
      <c r="P24" s="180">
        <v>3.8914846532816902E-3</v>
      </c>
      <c r="Q24" s="177"/>
      <c r="R24" s="179"/>
      <c r="S24" s="178"/>
      <c r="T24" s="177" t="s">
        <v>73</v>
      </c>
    </row>
    <row r="25" spans="1:21" s="176" customFormat="1" hidden="1" x14ac:dyDescent="0.3">
      <c r="A25" s="181">
        <v>60</v>
      </c>
      <c r="B25" s="331"/>
      <c r="C25" s="177" t="s">
        <v>74</v>
      </c>
      <c r="D25" s="177">
        <v>24</v>
      </c>
      <c r="E25" s="177"/>
      <c r="F25" s="177"/>
      <c r="G25" s="177"/>
      <c r="H25" s="177"/>
      <c r="I25" s="177"/>
      <c r="J25" s="177"/>
      <c r="K25" s="177"/>
      <c r="L25" s="177">
        <v>12</v>
      </c>
      <c r="M25" s="177">
        <v>12</v>
      </c>
      <c r="N25" s="177">
        <v>12</v>
      </c>
      <c r="O25" s="177">
        <v>12</v>
      </c>
      <c r="P25" s="180">
        <v>3.8914846532816902E-3</v>
      </c>
      <c r="Q25" s="177"/>
      <c r="R25" s="179"/>
      <c r="S25" s="178"/>
      <c r="T25" s="177" t="s">
        <v>73</v>
      </c>
    </row>
    <row r="26" spans="1:21" x14ac:dyDescent="0.3">
      <c r="A26" s="171"/>
      <c r="B26" s="175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4"/>
      <c r="Q26" s="171"/>
      <c r="R26" s="173"/>
      <c r="S26" s="172"/>
      <c r="T26" s="171"/>
    </row>
    <row r="27" spans="1:21" x14ac:dyDescent="0.3">
      <c r="A27" s="171"/>
      <c r="B27" s="175" t="s">
        <v>72</v>
      </c>
      <c r="C27" s="171" t="s">
        <v>54</v>
      </c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4"/>
      <c r="Q27" s="171"/>
      <c r="R27" s="173"/>
      <c r="S27" s="172">
        <v>10000</v>
      </c>
      <c r="T27" s="171"/>
    </row>
    <row r="28" spans="1:21" x14ac:dyDescent="0.3">
      <c r="A28" s="171"/>
      <c r="B28" s="175" t="s">
        <v>72</v>
      </c>
      <c r="C28" s="171" t="s">
        <v>56</v>
      </c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4"/>
      <c r="Q28" s="171"/>
      <c r="R28" s="173"/>
      <c r="S28" s="172">
        <v>8000</v>
      </c>
      <c r="T28" s="171"/>
    </row>
    <row r="29" spans="1:21" x14ac:dyDescent="0.3">
      <c r="A29" s="171"/>
      <c r="B29" s="175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4"/>
      <c r="Q29" s="171"/>
      <c r="R29" s="173"/>
      <c r="S29" s="172"/>
      <c r="T29" s="171"/>
    </row>
    <row r="30" spans="1:21" x14ac:dyDescent="0.3">
      <c r="S30" s="214">
        <f>SUM(S4:S29)</f>
        <v>1608680.5</v>
      </c>
    </row>
  </sheetData>
  <mergeCells count="3">
    <mergeCell ref="A1:E1"/>
    <mergeCell ref="B5:B8"/>
    <mergeCell ref="B9:B25"/>
  </mergeCells>
  <pageMargins left="0.7" right="0.7" top="0.75" bottom="0.75" header="0.3" footer="0.3"/>
  <pageSetup paperSize="9" scale="73" orientation="landscape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R45"/>
  <sheetViews>
    <sheetView topLeftCell="A2" zoomScale="82" zoomScaleNormal="82" workbookViewId="0">
      <selection activeCell="M32" sqref="M32"/>
    </sheetView>
  </sheetViews>
  <sheetFormatPr baseColWidth="10" defaultColWidth="12.42578125" defaultRowHeight="17.25" x14ac:dyDescent="0.3"/>
  <cols>
    <col min="1" max="1" width="5.7109375" style="123" customWidth="1"/>
    <col min="2" max="2" width="12.7109375" style="123" customWidth="1"/>
    <col min="3" max="3" width="18.140625" style="123" customWidth="1"/>
    <col min="4" max="4" width="9.5703125" style="123" customWidth="1"/>
    <col min="5" max="5" width="12.7109375" style="123" customWidth="1"/>
    <col min="6" max="6" width="15" style="123" customWidth="1"/>
    <col min="7" max="7" width="17.140625" style="123" customWidth="1"/>
    <col min="8" max="8" width="16.7109375" style="127" bestFit="1" customWidth="1"/>
    <col min="9" max="9" width="14.85546875" style="127" hidden="1" customWidth="1"/>
    <col min="10" max="10" width="25.7109375" style="127" hidden="1" customWidth="1"/>
    <col min="11" max="11" width="25.7109375" style="127" customWidth="1"/>
    <col min="12" max="12" width="2.140625" style="54" customWidth="1"/>
    <col min="13" max="13" width="20" style="127" customWidth="1"/>
    <col min="14" max="14" width="17.140625" style="54" hidden="1" customWidth="1"/>
    <col min="15" max="15" width="12.42578125" style="53"/>
    <col min="16" max="16" width="16" style="54" customWidth="1"/>
    <col min="17" max="16384" width="12.42578125" style="54"/>
  </cols>
  <sheetData>
    <row r="1" spans="1:70" ht="27.95" customHeight="1" x14ac:dyDescent="0.3">
      <c r="A1" s="346" t="s">
        <v>41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</row>
    <row r="2" spans="1:70" s="60" customFormat="1" ht="18" thickBot="1" x14ac:dyDescent="0.35">
      <c r="A2" s="55"/>
      <c r="B2" s="56"/>
      <c r="C2" s="57"/>
      <c r="D2" s="58"/>
      <c r="E2" s="58"/>
      <c r="F2" s="57"/>
      <c r="G2" s="57"/>
      <c r="H2" s="59"/>
      <c r="I2" s="59"/>
      <c r="J2" s="59"/>
      <c r="K2" s="59"/>
      <c r="M2" s="61"/>
      <c r="O2" s="62"/>
    </row>
    <row r="3" spans="1:70" s="63" customFormat="1" ht="15.95" customHeight="1" x14ac:dyDescent="0.25">
      <c r="A3" s="347" t="s">
        <v>42</v>
      </c>
      <c r="B3" s="349" t="s">
        <v>43</v>
      </c>
      <c r="C3" s="351" t="s">
        <v>44</v>
      </c>
      <c r="D3" s="353" t="s">
        <v>45</v>
      </c>
      <c r="E3" s="355" t="s">
        <v>46</v>
      </c>
      <c r="F3" s="357" t="s">
        <v>47</v>
      </c>
      <c r="G3" s="355" t="s">
        <v>48</v>
      </c>
      <c r="H3" s="359" t="s">
        <v>49</v>
      </c>
      <c r="I3" s="361" t="s">
        <v>49</v>
      </c>
      <c r="J3" s="335" t="s">
        <v>50</v>
      </c>
      <c r="K3" s="337" t="s">
        <v>50</v>
      </c>
      <c r="M3" s="339" t="s">
        <v>51</v>
      </c>
      <c r="N3" s="341" t="s">
        <v>51</v>
      </c>
      <c r="O3" s="64"/>
    </row>
    <row r="4" spans="1:70" s="65" customFormat="1" ht="18" thickBot="1" x14ac:dyDescent="0.3">
      <c r="A4" s="348"/>
      <c r="B4" s="350"/>
      <c r="C4" s="352"/>
      <c r="D4" s="354"/>
      <c r="E4" s="356"/>
      <c r="F4" s="358"/>
      <c r="G4" s="356"/>
      <c r="H4" s="360"/>
      <c r="I4" s="362"/>
      <c r="J4" s="336"/>
      <c r="K4" s="338"/>
      <c r="M4" s="340"/>
      <c r="N4" s="342"/>
      <c r="O4" s="66"/>
    </row>
    <row r="5" spans="1:70" x14ac:dyDescent="0.3">
      <c r="A5" s="67">
        <v>1</v>
      </c>
      <c r="B5" s="332">
        <v>1</v>
      </c>
      <c r="C5" s="68" t="s">
        <v>52</v>
      </c>
      <c r="D5" s="69" t="s">
        <v>53</v>
      </c>
      <c r="E5" s="70">
        <v>68</v>
      </c>
      <c r="F5" s="69">
        <v>17</v>
      </c>
      <c r="G5" s="70">
        <v>85</v>
      </c>
      <c r="H5" s="71">
        <f>K5/G5</f>
        <v>2229.6470588235293</v>
      </c>
      <c r="I5" s="72">
        <v>2105.7834898665401</v>
      </c>
      <c r="J5" s="73">
        <f>G5*I5</f>
        <v>178991.5966386559</v>
      </c>
      <c r="K5" s="74">
        <v>189520</v>
      </c>
      <c r="M5" s="75">
        <f t="shared" ref="M5:M15" si="0">N5*1.03</f>
        <v>164800</v>
      </c>
      <c r="N5" s="76">
        <v>160000</v>
      </c>
      <c r="P5" s="77"/>
      <c r="Q5" s="77"/>
      <c r="R5" s="77"/>
    </row>
    <row r="6" spans="1:70" s="60" customFormat="1" x14ac:dyDescent="0.3">
      <c r="A6" s="78">
        <v>3</v>
      </c>
      <c r="B6" s="333"/>
      <c r="C6" s="79" t="s">
        <v>52</v>
      </c>
      <c r="D6" s="80" t="s">
        <v>54</v>
      </c>
      <c r="E6" s="81">
        <v>70</v>
      </c>
      <c r="F6" s="80">
        <v>17</v>
      </c>
      <c r="G6" s="81">
        <v>87</v>
      </c>
      <c r="H6" s="82">
        <f>K6/G6</f>
        <v>2205.6206896551726</v>
      </c>
      <c r="I6" s="83">
        <v>2126.4367816091999</v>
      </c>
      <c r="J6" s="84">
        <f>G6*I6</f>
        <v>185000.00000000038</v>
      </c>
      <c r="K6" s="85">
        <v>191889</v>
      </c>
      <c r="M6" s="86">
        <f t="shared" si="0"/>
        <v>166860</v>
      </c>
      <c r="N6" s="87">
        <v>162000</v>
      </c>
      <c r="O6" s="53"/>
      <c r="P6" s="77"/>
      <c r="Q6" s="77"/>
      <c r="R6" s="77"/>
    </row>
    <row r="7" spans="1:70" ht="18" thickBot="1" x14ac:dyDescent="0.35">
      <c r="A7" s="78">
        <v>5</v>
      </c>
      <c r="B7" s="343"/>
      <c r="C7" s="88" t="s">
        <v>55</v>
      </c>
      <c r="D7" s="89" t="s">
        <v>56</v>
      </c>
      <c r="E7" s="90">
        <v>56</v>
      </c>
      <c r="F7" s="89">
        <v>17</v>
      </c>
      <c r="G7" s="90">
        <v>73</v>
      </c>
      <c r="H7" s="91">
        <f>K7/G7</f>
        <v>2222.9657534246576</v>
      </c>
      <c r="I7" s="92">
        <v>2164.1533325659002</v>
      </c>
      <c r="J7" s="93">
        <f>G7*I7</f>
        <v>157983.19327731073</v>
      </c>
      <c r="K7" s="94">
        <v>162276.5</v>
      </c>
      <c r="M7" s="95">
        <f t="shared" si="0"/>
        <v>141110</v>
      </c>
      <c r="N7" s="96">
        <v>137000</v>
      </c>
      <c r="P7" s="77"/>
      <c r="Q7" s="77"/>
      <c r="R7" s="77"/>
    </row>
    <row r="8" spans="1:70" s="103" customFormat="1" x14ac:dyDescent="0.3">
      <c r="A8" s="97">
        <v>8</v>
      </c>
      <c r="B8" s="344">
        <v>2</v>
      </c>
      <c r="C8" s="98" t="s">
        <v>57</v>
      </c>
      <c r="D8" s="99" t="s">
        <v>54</v>
      </c>
      <c r="E8" s="100">
        <v>36</v>
      </c>
      <c r="F8" s="99">
        <v>14</v>
      </c>
      <c r="G8" s="100">
        <v>50</v>
      </c>
      <c r="H8" s="101">
        <f t="shared" ref="H8:H15" si="1">K8/G8</f>
        <v>2558.52</v>
      </c>
      <c r="I8" s="101">
        <v>2180</v>
      </c>
      <c r="J8" s="102">
        <f t="shared" ref="J8:J15" si="2">G8*I8</f>
        <v>109000</v>
      </c>
      <c r="K8" s="102">
        <v>127926</v>
      </c>
      <c r="M8" s="102">
        <f t="shared" si="0"/>
        <v>111240</v>
      </c>
      <c r="N8" s="104">
        <v>108000</v>
      </c>
      <c r="O8" s="105" t="s">
        <v>58</v>
      </c>
      <c r="P8" s="106"/>
      <c r="Q8" s="106"/>
      <c r="R8" s="106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</row>
    <row r="9" spans="1:70" s="60" customFormat="1" x14ac:dyDescent="0.3">
      <c r="A9" s="107">
        <v>9</v>
      </c>
      <c r="B9" s="344"/>
      <c r="C9" s="98" t="s">
        <v>55</v>
      </c>
      <c r="D9" s="99" t="s">
        <v>59</v>
      </c>
      <c r="E9" s="100">
        <v>45</v>
      </c>
      <c r="F9" s="99">
        <v>17</v>
      </c>
      <c r="G9" s="100">
        <v>62</v>
      </c>
      <c r="H9" s="101">
        <f t="shared" si="1"/>
        <v>2292.5806451612902</v>
      </c>
      <c r="I9" s="101">
        <v>2141.50176199512</v>
      </c>
      <c r="J9" s="102">
        <f t="shared" si="2"/>
        <v>132773.10924369743</v>
      </c>
      <c r="K9" s="102">
        <v>142140</v>
      </c>
      <c r="L9" s="103"/>
      <c r="M9" s="102">
        <f t="shared" si="0"/>
        <v>123600</v>
      </c>
      <c r="N9" s="104">
        <v>120000</v>
      </c>
      <c r="O9" s="105" t="s">
        <v>58</v>
      </c>
      <c r="P9" s="77"/>
      <c r="Q9" s="77"/>
      <c r="R9" s="77"/>
    </row>
    <row r="10" spans="1:70" s="60" customFormat="1" x14ac:dyDescent="0.3">
      <c r="A10" s="107">
        <v>10</v>
      </c>
      <c r="B10" s="344"/>
      <c r="C10" s="79" t="s">
        <v>60</v>
      </c>
      <c r="D10" s="80" t="s">
        <v>56</v>
      </c>
      <c r="E10" s="81">
        <v>57</v>
      </c>
      <c r="F10" s="80">
        <v>17</v>
      </c>
      <c r="G10" s="81">
        <v>74</v>
      </c>
      <c r="H10" s="82">
        <f t="shared" si="1"/>
        <v>2272.9594594594596</v>
      </c>
      <c r="I10" s="83">
        <v>2191.6874858051301</v>
      </c>
      <c r="J10" s="84">
        <f t="shared" si="2"/>
        <v>162184.87394957963</v>
      </c>
      <c r="K10" s="85">
        <v>168199</v>
      </c>
      <c r="M10" s="86">
        <f t="shared" si="0"/>
        <v>146260</v>
      </c>
      <c r="N10" s="87">
        <v>142000</v>
      </c>
      <c r="O10" s="53"/>
      <c r="P10" s="77"/>
      <c r="Q10" s="77"/>
      <c r="R10" s="77"/>
    </row>
    <row r="11" spans="1:70" s="60" customFormat="1" ht="18" thickBot="1" x14ac:dyDescent="0.35">
      <c r="A11" s="107">
        <v>11</v>
      </c>
      <c r="B11" s="345"/>
      <c r="C11" s="108" t="s">
        <v>55</v>
      </c>
      <c r="D11" s="109" t="s">
        <v>61</v>
      </c>
      <c r="E11" s="110">
        <v>56</v>
      </c>
      <c r="F11" s="109">
        <v>17</v>
      </c>
      <c r="G11" s="110">
        <v>73</v>
      </c>
      <c r="H11" s="111">
        <f t="shared" si="1"/>
        <v>2271.6438356164385</v>
      </c>
      <c r="I11" s="111">
        <v>2187.1762403591601</v>
      </c>
      <c r="J11" s="112">
        <f t="shared" si="2"/>
        <v>159663.8655462187</v>
      </c>
      <c r="K11" s="112">
        <v>165830</v>
      </c>
      <c r="L11" s="103"/>
      <c r="M11" s="113">
        <f t="shared" si="0"/>
        <v>144200</v>
      </c>
      <c r="N11" s="114">
        <v>140000</v>
      </c>
      <c r="O11" s="105" t="s">
        <v>58</v>
      </c>
      <c r="P11" s="77" t="s">
        <v>62</v>
      </c>
      <c r="Q11" s="77"/>
      <c r="R11" s="77"/>
    </row>
    <row r="12" spans="1:70" s="60" customFormat="1" x14ac:dyDescent="0.3">
      <c r="A12" s="78">
        <v>12</v>
      </c>
      <c r="B12" s="332">
        <v>3</v>
      </c>
      <c r="C12" s="68" t="s">
        <v>63</v>
      </c>
      <c r="D12" s="69" t="s">
        <v>53</v>
      </c>
      <c r="E12" s="70">
        <v>125</v>
      </c>
      <c r="F12" s="69">
        <v>15</v>
      </c>
      <c r="G12" s="70">
        <v>140</v>
      </c>
      <c r="H12" s="71">
        <f t="shared" si="1"/>
        <v>1988.2678571428571</v>
      </c>
      <c r="I12" s="72">
        <v>1785.7142857142901</v>
      </c>
      <c r="J12" s="73">
        <f t="shared" si="2"/>
        <v>250000.00000000061</v>
      </c>
      <c r="K12" s="74">
        <v>278357.5</v>
      </c>
      <c r="M12" s="75">
        <f t="shared" si="0"/>
        <v>242050</v>
      </c>
      <c r="N12" s="76">
        <v>235000</v>
      </c>
      <c r="O12" s="53"/>
      <c r="P12" s="77"/>
      <c r="Q12" s="77"/>
      <c r="R12" s="77"/>
    </row>
    <row r="13" spans="1:70" s="60" customFormat="1" x14ac:dyDescent="0.3">
      <c r="A13" s="78">
        <v>13</v>
      </c>
      <c r="B13" s="333"/>
      <c r="C13" s="79" t="s">
        <v>55</v>
      </c>
      <c r="D13" s="80" t="s">
        <v>64</v>
      </c>
      <c r="E13" s="81">
        <v>76</v>
      </c>
      <c r="F13" s="80">
        <v>12</v>
      </c>
      <c r="G13" s="81">
        <v>88</v>
      </c>
      <c r="H13" s="82">
        <f t="shared" si="1"/>
        <v>2207.4772727272725</v>
      </c>
      <c r="I13" s="83">
        <v>2196.3330786860201</v>
      </c>
      <c r="J13" s="84">
        <f t="shared" si="2"/>
        <v>193277.31092436978</v>
      </c>
      <c r="K13" s="85">
        <v>194258</v>
      </c>
      <c r="M13" s="86">
        <f t="shared" si="0"/>
        <v>168920</v>
      </c>
      <c r="N13" s="87">
        <v>164000</v>
      </c>
      <c r="O13" s="53"/>
      <c r="P13" s="77"/>
      <c r="Q13" s="77"/>
      <c r="R13" s="77"/>
    </row>
    <row r="14" spans="1:70" s="60" customFormat="1" x14ac:dyDescent="0.3">
      <c r="A14" s="78">
        <v>14</v>
      </c>
      <c r="B14" s="333"/>
      <c r="C14" s="79" t="s">
        <v>63</v>
      </c>
      <c r="D14" s="80" t="s">
        <v>54</v>
      </c>
      <c r="E14" s="81">
        <v>127</v>
      </c>
      <c r="F14" s="80">
        <v>15</v>
      </c>
      <c r="G14" s="81">
        <v>142</v>
      </c>
      <c r="H14" s="82">
        <f t="shared" si="1"/>
        <v>1993.6302816901409</v>
      </c>
      <c r="I14" s="83">
        <v>1785.7142857142901</v>
      </c>
      <c r="J14" s="84">
        <f t="shared" si="2"/>
        <v>253571.42857142919</v>
      </c>
      <c r="K14" s="85">
        <v>283095.5</v>
      </c>
      <c r="M14" s="86">
        <f t="shared" si="0"/>
        <v>246170</v>
      </c>
      <c r="N14" s="87">
        <v>239000</v>
      </c>
      <c r="O14" s="53"/>
      <c r="P14" s="77"/>
      <c r="Q14" s="77"/>
      <c r="R14" s="77"/>
    </row>
    <row r="15" spans="1:70" ht="18" thickBot="1" x14ac:dyDescent="0.35">
      <c r="A15" s="115">
        <v>15</v>
      </c>
      <c r="B15" s="334"/>
      <c r="C15" s="116" t="s">
        <v>63</v>
      </c>
      <c r="D15" s="117" t="s">
        <v>59</v>
      </c>
      <c r="E15" s="118">
        <v>114</v>
      </c>
      <c r="F15" s="117">
        <v>14</v>
      </c>
      <c r="G15" s="118">
        <v>128</v>
      </c>
      <c r="H15" s="119">
        <f t="shared" si="1"/>
        <v>2026.60546875</v>
      </c>
      <c r="I15" s="120">
        <v>1785.7142857142901</v>
      </c>
      <c r="J15" s="121">
        <f t="shared" si="2"/>
        <v>228571.42857142913</v>
      </c>
      <c r="K15" s="122">
        <v>259405.5</v>
      </c>
      <c r="M15" s="95">
        <f t="shared" si="0"/>
        <v>225570</v>
      </c>
      <c r="N15" s="96">
        <v>219000</v>
      </c>
      <c r="P15" s="77"/>
      <c r="Q15" s="77"/>
      <c r="R15" s="77"/>
    </row>
    <row r="16" spans="1:70" hidden="1" x14ac:dyDescent="0.3">
      <c r="E16" s="124">
        <f>SUM(E5:E15)</f>
        <v>830</v>
      </c>
      <c r="F16" s="124">
        <f t="shared" ref="F16:K16" si="3">SUM(F5:F15)</f>
        <v>172</v>
      </c>
      <c r="G16" s="124">
        <f t="shared" si="3"/>
        <v>1002</v>
      </c>
      <c r="H16" s="124"/>
      <c r="I16" s="125">
        <f t="shared" si="3"/>
        <v>22650.215028029943</v>
      </c>
      <c r="J16" s="125">
        <f t="shared" si="3"/>
        <v>2011016.8067226915</v>
      </c>
      <c r="K16" s="124">
        <f t="shared" si="3"/>
        <v>2162897</v>
      </c>
      <c r="M16" s="126">
        <f>SUM(M5:M15)</f>
        <v>1880780</v>
      </c>
      <c r="P16" s="77"/>
    </row>
    <row r="17" spans="1:15" x14ac:dyDescent="0.3">
      <c r="M17" s="128"/>
    </row>
    <row r="18" spans="1:15" x14ac:dyDescent="0.3">
      <c r="A18" s="78">
        <v>5</v>
      </c>
      <c r="B18" s="129"/>
      <c r="C18" s="130" t="s">
        <v>65</v>
      </c>
      <c r="D18" s="130">
        <v>5</v>
      </c>
      <c r="E18" s="130"/>
      <c r="F18" s="130"/>
      <c r="G18" s="130"/>
      <c r="H18" s="131">
        <f t="shared" ref="H18:H28" si="4">J18*1.03</f>
        <v>21630</v>
      </c>
      <c r="I18" s="132"/>
      <c r="J18" s="133">
        <v>21000</v>
      </c>
      <c r="K18" s="134">
        <v>21000</v>
      </c>
      <c r="M18" s="85">
        <f t="shared" ref="M18:M28" si="5">N18*1.03</f>
        <v>17510</v>
      </c>
      <c r="N18" s="135">
        <v>17000</v>
      </c>
    </row>
    <row r="19" spans="1:15" x14ac:dyDescent="0.3">
      <c r="A19" s="78">
        <v>6</v>
      </c>
      <c r="B19" s="129"/>
      <c r="C19" s="130" t="s">
        <v>65</v>
      </c>
      <c r="D19" s="130">
        <v>6</v>
      </c>
      <c r="E19" s="130"/>
      <c r="F19" s="130"/>
      <c r="G19" s="130"/>
      <c r="H19" s="131">
        <f t="shared" si="4"/>
        <v>21630</v>
      </c>
      <c r="I19" s="132"/>
      <c r="J19" s="133">
        <v>21000</v>
      </c>
      <c r="K19" s="134">
        <v>21000</v>
      </c>
      <c r="M19" s="86">
        <f t="shared" si="5"/>
        <v>17510</v>
      </c>
      <c r="N19" s="135">
        <v>17000</v>
      </c>
    </row>
    <row r="20" spans="1:15" x14ac:dyDescent="0.3">
      <c r="A20" s="78">
        <v>7</v>
      </c>
      <c r="B20" s="129"/>
      <c r="C20" s="130" t="s">
        <v>65</v>
      </c>
      <c r="D20" s="130">
        <v>7</v>
      </c>
      <c r="E20" s="130"/>
      <c r="F20" s="130"/>
      <c r="G20" s="130"/>
      <c r="H20" s="131">
        <f t="shared" si="4"/>
        <v>21630</v>
      </c>
      <c r="I20" s="132"/>
      <c r="J20" s="133">
        <v>21000</v>
      </c>
      <c r="K20" s="134">
        <v>21000</v>
      </c>
      <c r="M20" s="86">
        <f t="shared" si="5"/>
        <v>17510</v>
      </c>
      <c r="N20" s="135">
        <v>17000</v>
      </c>
    </row>
    <row r="21" spans="1:15" x14ac:dyDescent="0.3">
      <c r="A21" s="78">
        <v>8</v>
      </c>
      <c r="B21" s="129"/>
      <c r="C21" s="130" t="s">
        <v>65</v>
      </c>
      <c r="D21" s="130">
        <v>8</v>
      </c>
      <c r="E21" s="130"/>
      <c r="F21" s="130"/>
      <c r="G21" s="130"/>
      <c r="H21" s="131">
        <f t="shared" si="4"/>
        <v>21630</v>
      </c>
      <c r="I21" s="132"/>
      <c r="J21" s="133">
        <v>21000</v>
      </c>
      <c r="K21" s="134">
        <v>21000</v>
      </c>
      <c r="M21" s="86">
        <f t="shared" si="5"/>
        <v>17510</v>
      </c>
      <c r="N21" s="135">
        <v>17000</v>
      </c>
    </row>
    <row r="22" spans="1:15" s="60" customFormat="1" x14ac:dyDescent="0.3">
      <c r="A22" s="78">
        <v>9</v>
      </c>
      <c r="B22" s="129"/>
      <c r="C22" s="129" t="s">
        <v>65</v>
      </c>
      <c r="D22" s="129">
        <v>9</v>
      </c>
      <c r="E22" s="129"/>
      <c r="F22" s="129"/>
      <c r="G22" s="129"/>
      <c r="H22" s="131">
        <f t="shared" si="4"/>
        <v>21630</v>
      </c>
      <c r="I22" s="132"/>
      <c r="J22" s="133">
        <v>21000</v>
      </c>
      <c r="K22" s="136">
        <v>21000</v>
      </c>
      <c r="M22" s="86">
        <f t="shared" si="5"/>
        <v>17510</v>
      </c>
      <c r="N22" s="135">
        <v>17000</v>
      </c>
      <c r="O22" s="53"/>
    </row>
    <row r="23" spans="1:15" s="60" customFormat="1" x14ac:dyDescent="0.3">
      <c r="A23" s="78">
        <v>10</v>
      </c>
      <c r="B23" s="129"/>
      <c r="C23" s="129" t="s">
        <v>65</v>
      </c>
      <c r="D23" s="129">
        <v>10</v>
      </c>
      <c r="E23" s="129"/>
      <c r="F23" s="129"/>
      <c r="G23" s="129"/>
      <c r="H23" s="131">
        <f t="shared" si="4"/>
        <v>21630</v>
      </c>
      <c r="I23" s="132"/>
      <c r="J23" s="133">
        <v>21000</v>
      </c>
      <c r="K23" s="136">
        <v>21000</v>
      </c>
      <c r="M23" s="86">
        <f t="shared" si="5"/>
        <v>17510</v>
      </c>
      <c r="N23" s="135">
        <v>17000</v>
      </c>
      <c r="O23" s="53"/>
    </row>
    <row r="24" spans="1:15" s="60" customFormat="1" x14ac:dyDescent="0.3">
      <c r="A24" s="78">
        <v>11</v>
      </c>
      <c r="B24" s="129"/>
      <c r="C24" s="129" t="s">
        <v>65</v>
      </c>
      <c r="D24" s="129">
        <v>11</v>
      </c>
      <c r="E24" s="129"/>
      <c r="F24" s="129"/>
      <c r="G24" s="129"/>
      <c r="H24" s="131">
        <f t="shared" si="4"/>
        <v>21630</v>
      </c>
      <c r="I24" s="132"/>
      <c r="J24" s="133">
        <v>21000</v>
      </c>
      <c r="K24" s="136">
        <v>21000</v>
      </c>
      <c r="M24" s="86">
        <f t="shared" si="5"/>
        <v>17510</v>
      </c>
      <c r="N24" s="135">
        <v>17000</v>
      </c>
      <c r="O24" s="53"/>
    </row>
    <row r="25" spans="1:15" s="60" customFormat="1" x14ac:dyDescent="0.3">
      <c r="A25" s="78">
        <v>12</v>
      </c>
      <c r="B25" s="129"/>
      <c r="C25" s="129" t="s">
        <v>65</v>
      </c>
      <c r="D25" s="129">
        <v>12</v>
      </c>
      <c r="E25" s="129"/>
      <c r="F25" s="129"/>
      <c r="G25" s="129"/>
      <c r="H25" s="131">
        <f t="shared" si="4"/>
        <v>21630</v>
      </c>
      <c r="I25" s="132"/>
      <c r="J25" s="133">
        <v>21000</v>
      </c>
      <c r="K25" s="136">
        <v>21000</v>
      </c>
      <c r="M25" s="86">
        <f t="shared" si="5"/>
        <v>17510</v>
      </c>
      <c r="N25" s="135">
        <v>17000</v>
      </c>
      <c r="O25" s="53"/>
    </row>
    <row r="26" spans="1:15" s="60" customFormat="1" x14ac:dyDescent="0.3">
      <c r="A26" s="78">
        <v>13</v>
      </c>
      <c r="B26" s="129"/>
      <c r="C26" s="129" t="s">
        <v>65</v>
      </c>
      <c r="D26" s="129">
        <v>13</v>
      </c>
      <c r="E26" s="129"/>
      <c r="F26" s="129"/>
      <c r="G26" s="129"/>
      <c r="H26" s="131">
        <f t="shared" si="4"/>
        <v>21630</v>
      </c>
      <c r="I26" s="132"/>
      <c r="J26" s="133">
        <v>21000</v>
      </c>
      <c r="K26" s="136">
        <v>21000</v>
      </c>
      <c r="M26" s="86">
        <f t="shared" si="5"/>
        <v>17510</v>
      </c>
      <c r="N26" s="135">
        <v>17000</v>
      </c>
      <c r="O26" s="53"/>
    </row>
    <row r="27" spans="1:15" s="60" customFormat="1" x14ac:dyDescent="0.3">
      <c r="A27" s="78">
        <v>14</v>
      </c>
      <c r="B27" s="129"/>
      <c r="C27" s="129" t="s">
        <v>65</v>
      </c>
      <c r="D27" s="129">
        <v>14</v>
      </c>
      <c r="E27" s="129"/>
      <c r="F27" s="129"/>
      <c r="G27" s="129"/>
      <c r="H27" s="131">
        <f t="shared" si="4"/>
        <v>21630</v>
      </c>
      <c r="I27" s="132"/>
      <c r="J27" s="133">
        <v>21000</v>
      </c>
      <c r="K27" s="136">
        <v>21000</v>
      </c>
      <c r="M27" s="86">
        <f t="shared" si="5"/>
        <v>17510</v>
      </c>
      <c r="N27" s="135">
        <v>17000</v>
      </c>
      <c r="O27" s="53"/>
    </row>
    <row r="28" spans="1:15" ht="18" thickBot="1" x14ac:dyDescent="0.35">
      <c r="A28" s="115">
        <v>15</v>
      </c>
      <c r="B28" s="137"/>
      <c r="C28" s="138" t="s">
        <v>65</v>
      </c>
      <c r="D28" s="138">
        <v>15</v>
      </c>
      <c r="E28" s="138"/>
      <c r="F28" s="138"/>
      <c r="G28" s="138"/>
      <c r="H28" s="131">
        <f t="shared" si="4"/>
        <v>21630</v>
      </c>
      <c r="I28" s="139"/>
      <c r="J28" s="140">
        <v>21000</v>
      </c>
      <c r="K28" s="141">
        <v>21000</v>
      </c>
      <c r="M28" s="95">
        <f t="shared" si="5"/>
        <v>17510</v>
      </c>
      <c r="N28" s="142">
        <v>17000</v>
      </c>
    </row>
    <row r="29" spans="1:15" hidden="1" x14ac:dyDescent="0.3">
      <c r="A29" s="143"/>
      <c r="B29" s="143"/>
      <c r="C29" s="144"/>
      <c r="D29" s="144"/>
      <c r="E29" s="144"/>
      <c r="F29" s="144"/>
      <c r="G29" s="144"/>
      <c r="H29" s="145"/>
      <c r="I29" s="145"/>
      <c r="J29" s="146">
        <f>SUM(J18:J28)</f>
        <v>231000</v>
      </c>
      <c r="K29" s="146">
        <f>SUM(K18:K28)</f>
        <v>231000</v>
      </c>
      <c r="M29" s="147">
        <f>SUM(M18:M28)</f>
        <v>192610</v>
      </c>
    </row>
    <row r="30" spans="1:15" hidden="1" x14ac:dyDescent="0.3">
      <c r="M30" s="148"/>
      <c r="N30" s="53"/>
    </row>
    <row r="31" spans="1:15" ht="18" hidden="1" thickTop="1" x14ac:dyDescent="0.3">
      <c r="J31" s="149">
        <f>J16+J29</f>
        <v>2242016.8067226913</v>
      </c>
      <c r="K31" s="149">
        <f>K16+K29</f>
        <v>2393897</v>
      </c>
      <c r="M31" s="150">
        <f>M16+M29</f>
        <v>2073390</v>
      </c>
      <c r="N31" s="53"/>
    </row>
    <row r="32" spans="1:15" x14ac:dyDescent="0.3">
      <c r="K32" s="128">
        <f>SUM(K31)</f>
        <v>2393897</v>
      </c>
      <c r="M32" s="215">
        <f>SUM(M31)</f>
        <v>2073390</v>
      </c>
      <c r="N32" s="53"/>
    </row>
    <row r="33" spans="2:14" x14ac:dyDescent="0.3">
      <c r="B33" s="57"/>
      <c r="C33" s="57"/>
      <c r="K33" s="148"/>
      <c r="M33" s="148"/>
      <c r="N33" s="53"/>
    </row>
    <row r="34" spans="2:14" x14ac:dyDescent="0.3">
      <c r="K34" s="148"/>
      <c r="M34" s="148"/>
      <c r="N34" s="53"/>
    </row>
    <row r="35" spans="2:14" x14ac:dyDescent="0.3">
      <c r="K35" s="148"/>
      <c r="M35" s="148"/>
      <c r="N35" s="53"/>
    </row>
    <row r="36" spans="2:14" x14ac:dyDescent="0.3">
      <c r="K36" s="148"/>
      <c r="M36" s="148"/>
      <c r="N36" s="53"/>
    </row>
    <row r="37" spans="2:14" x14ac:dyDescent="0.3">
      <c r="K37" s="148"/>
      <c r="M37" s="148"/>
      <c r="N37" s="53"/>
    </row>
    <row r="38" spans="2:14" x14ac:dyDescent="0.3">
      <c r="K38" s="148"/>
      <c r="M38" s="148"/>
      <c r="N38" s="53"/>
    </row>
    <row r="39" spans="2:14" x14ac:dyDescent="0.3">
      <c r="K39" s="148"/>
    </row>
    <row r="40" spans="2:14" x14ac:dyDescent="0.3">
      <c r="K40" s="148"/>
    </row>
    <row r="41" spans="2:14" x14ac:dyDescent="0.3">
      <c r="K41" s="148"/>
    </row>
    <row r="42" spans="2:14" x14ac:dyDescent="0.3">
      <c r="K42" s="148"/>
    </row>
    <row r="43" spans="2:14" x14ac:dyDescent="0.3">
      <c r="K43" s="148"/>
    </row>
    <row r="44" spans="2:14" x14ac:dyDescent="0.3">
      <c r="K44" s="148"/>
    </row>
    <row r="45" spans="2:14" x14ac:dyDescent="0.3">
      <c r="K45" s="148"/>
    </row>
  </sheetData>
  <mergeCells count="17">
    <mergeCell ref="A1:N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B12:B15"/>
    <mergeCell ref="J3:J4"/>
    <mergeCell ref="K3:K4"/>
    <mergeCell ref="M3:M4"/>
    <mergeCell ref="N3:N4"/>
    <mergeCell ref="B5:B7"/>
    <mergeCell ref="B8:B11"/>
  </mergeCells>
  <pageMargins left="0.7" right="0.7" top="0.75" bottom="0.75" header="0.3" footer="0.3"/>
  <pageSetup paperSize="9" scale="71" orientation="landscape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L22"/>
  <sheetViews>
    <sheetView workbookViewId="0">
      <selection activeCell="J18" sqref="J18"/>
    </sheetView>
  </sheetViews>
  <sheetFormatPr baseColWidth="10" defaultColWidth="12.42578125" defaultRowHeight="17.25" x14ac:dyDescent="0.3"/>
  <cols>
    <col min="1" max="1" width="5.7109375" style="164" customWidth="1"/>
    <col min="2" max="2" width="6.85546875" style="165" customWidth="1"/>
    <col min="3" max="3" width="12.42578125" style="165"/>
    <col min="4" max="4" width="12.5703125" style="54" customWidth="1"/>
    <col min="5" max="5" width="18.140625" style="54" customWidth="1"/>
    <col min="6" max="6" width="14.28515625" style="54" customWidth="1"/>
    <col min="7" max="7" width="12.7109375" style="77" customWidth="1"/>
    <col min="8" max="8" width="16" style="77" hidden="1" customWidth="1"/>
    <col min="9" max="9" width="19.28515625" style="128" bestFit="1" customWidth="1"/>
    <col min="10" max="10" width="17.140625" style="54" customWidth="1"/>
    <col min="11" max="11" width="17.140625" style="54" hidden="1" customWidth="1"/>
    <col min="12" max="12" width="14.28515625" style="54" customWidth="1"/>
    <col min="13" max="16384" width="12.42578125" style="54"/>
  </cols>
  <sheetData>
    <row r="2" spans="1:12" ht="24" x14ac:dyDescent="0.3">
      <c r="A2" s="151" t="s">
        <v>66</v>
      </c>
      <c r="B2" s="152"/>
      <c r="C2" s="152"/>
      <c r="D2" s="152"/>
      <c r="E2" s="152"/>
      <c r="F2" s="152"/>
      <c r="G2" s="152"/>
      <c r="H2" s="152"/>
      <c r="I2" s="153"/>
      <c r="J2" s="152"/>
      <c r="K2" s="152"/>
    </row>
    <row r="3" spans="1:12" x14ac:dyDescent="0.3">
      <c r="A3" s="368" t="s">
        <v>42</v>
      </c>
      <c r="B3" s="368" t="s">
        <v>43</v>
      </c>
      <c r="C3" s="368" t="s">
        <v>45</v>
      </c>
      <c r="D3" s="364" t="s">
        <v>46</v>
      </c>
      <c r="E3" s="364" t="s">
        <v>67</v>
      </c>
      <c r="F3" s="364" t="s">
        <v>68</v>
      </c>
      <c r="G3" s="364" t="s">
        <v>69</v>
      </c>
      <c r="H3" s="365" t="s">
        <v>70</v>
      </c>
      <c r="I3" s="366" t="s">
        <v>70</v>
      </c>
      <c r="J3" s="364" t="s">
        <v>51</v>
      </c>
      <c r="K3" s="367" t="s">
        <v>51</v>
      </c>
    </row>
    <row r="4" spans="1:12" x14ac:dyDescent="0.3">
      <c r="A4" s="368"/>
      <c r="B4" s="368"/>
      <c r="C4" s="368"/>
      <c r="D4" s="364"/>
      <c r="E4" s="364"/>
      <c r="F4" s="364"/>
      <c r="G4" s="364"/>
      <c r="H4" s="365"/>
      <c r="I4" s="366"/>
      <c r="J4" s="364"/>
      <c r="K4" s="367"/>
    </row>
    <row r="5" spans="1:12" x14ac:dyDescent="0.3">
      <c r="A5" s="368"/>
      <c r="B5" s="368"/>
      <c r="C5" s="368"/>
      <c r="D5" s="364"/>
      <c r="E5" s="364"/>
      <c r="F5" s="364"/>
      <c r="G5" s="364"/>
      <c r="H5" s="365"/>
      <c r="I5" s="366"/>
      <c r="J5" s="364" t="s">
        <v>71</v>
      </c>
      <c r="K5" s="367" t="s">
        <v>71</v>
      </c>
    </row>
    <row r="6" spans="1:12" x14ac:dyDescent="0.3">
      <c r="A6" s="154">
        <v>1</v>
      </c>
      <c r="B6" s="363" t="s">
        <v>72</v>
      </c>
      <c r="C6" s="155" t="s">
        <v>53</v>
      </c>
      <c r="D6" s="156">
        <v>90</v>
      </c>
      <c r="E6" s="156">
        <v>45</v>
      </c>
      <c r="F6" s="156">
        <v>135</v>
      </c>
      <c r="G6" s="157">
        <v>2036.4583333333301</v>
      </c>
      <c r="H6" s="158">
        <v>274921.875</v>
      </c>
      <c r="I6" s="159">
        <f>H6*1.03</f>
        <v>283169.53125</v>
      </c>
      <c r="J6" s="157">
        <f>K6*1.03</f>
        <v>246234.375</v>
      </c>
      <c r="K6" s="160">
        <v>239062.5</v>
      </c>
    </row>
    <row r="7" spans="1:12" x14ac:dyDescent="0.3">
      <c r="A7" s="154">
        <v>2</v>
      </c>
      <c r="B7" s="363"/>
      <c r="C7" s="155" t="s">
        <v>64</v>
      </c>
      <c r="D7" s="156">
        <v>90</v>
      </c>
      <c r="E7" s="156">
        <v>45</v>
      </c>
      <c r="F7" s="156">
        <v>135</v>
      </c>
      <c r="G7" s="157">
        <v>2036.4583333333301</v>
      </c>
      <c r="H7" s="158">
        <v>274921.875</v>
      </c>
      <c r="I7" s="159">
        <f t="shared" ref="I7:I14" si="0">H7*1.03</f>
        <v>283169.53125</v>
      </c>
      <c r="J7" s="157">
        <f t="shared" ref="J7:J14" si="1">K7*1.03</f>
        <v>246234.375</v>
      </c>
      <c r="K7" s="160">
        <v>239062.5</v>
      </c>
    </row>
    <row r="8" spans="1:12" x14ac:dyDescent="0.3">
      <c r="A8" s="154">
        <v>3</v>
      </c>
      <c r="B8" s="363">
        <v>1</v>
      </c>
      <c r="C8" s="155" t="s">
        <v>53</v>
      </c>
      <c r="D8" s="156">
        <v>58</v>
      </c>
      <c r="E8" s="156">
        <v>4</v>
      </c>
      <c r="F8" s="156">
        <v>62</v>
      </c>
      <c r="G8" s="157">
        <v>2541.5</v>
      </c>
      <c r="H8" s="158">
        <v>157573</v>
      </c>
      <c r="I8" s="159">
        <f t="shared" si="0"/>
        <v>162300.19</v>
      </c>
      <c r="J8" s="157">
        <f t="shared" si="1"/>
        <v>141130.6</v>
      </c>
      <c r="K8" s="160">
        <v>137020</v>
      </c>
      <c r="L8" s="77"/>
    </row>
    <row r="9" spans="1:12" x14ac:dyDescent="0.3">
      <c r="A9" s="154">
        <v>4</v>
      </c>
      <c r="B9" s="363"/>
      <c r="C9" s="155" t="s">
        <v>64</v>
      </c>
      <c r="D9" s="156">
        <v>58</v>
      </c>
      <c r="E9" s="156">
        <v>4</v>
      </c>
      <c r="F9" s="156">
        <v>62</v>
      </c>
      <c r="G9" s="157">
        <v>2541.5</v>
      </c>
      <c r="H9" s="158">
        <v>157573</v>
      </c>
      <c r="I9" s="159">
        <f t="shared" si="0"/>
        <v>162300.19</v>
      </c>
      <c r="J9" s="157">
        <f t="shared" si="1"/>
        <v>141130.6</v>
      </c>
      <c r="K9" s="160">
        <v>137020</v>
      </c>
    </row>
    <row r="10" spans="1:12" x14ac:dyDescent="0.3">
      <c r="A10" s="154">
        <v>5</v>
      </c>
      <c r="B10" s="363">
        <v>2</v>
      </c>
      <c r="C10" s="155" t="s">
        <v>53</v>
      </c>
      <c r="D10" s="156">
        <v>58</v>
      </c>
      <c r="E10" s="156">
        <v>4</v>
      </c>
      <c r="F10" s="156">
        <v>62</v>
      </c>
      <c r="G10" s="157">
        <v>2541.5</v>
      </c>
      <c r="H10" s="158">
        <v>157573</v>
      </c>
      <c r="I10" s="159">
        <f t="shared" si="0"/>
        <v>162300.19</v>
      </c>
      <c r="J10" s="157">
        <f t="shared" si="1"/>
        <v>141130.6</v>
      </c>
      <c r="K10" s="160">
        <v>137020</v>
      </c>
    </row>
    <row r="11" spans="1:12" x14ac:dyDescent="0.3">
      <c r="A11" s="154">
        <v>6</v>
      </c>
      <c r="B11" s="363"/>
      <c r="C11" s="155" t="s">
        <v>64</v>
      </c>
      <c r="D11" s="156">
        <v>58</v>
      </c>
      <c r="E11" s="156">
        <v>4</v>
      </c>
      <c r="F11" s="156">
        <v>62</v>
      </c>
      <c r="G11" s="157">
        <v>2541.5</v>
      </c>
      <c r="H11" s="158">
        <v>157573</v>
      </c>
      <c r="I11" s="159">
        <f t="shared" si="0"/>
        <v>162300.19</v>
      </c>
      <c r="J11" s="157">
        <f t="shared" si="1"/>
        <v>141130.6</v>
      </c>
      <c r="K11" s="160">
        <v>137020</v>
      </c>
    </row>
    <row r="12" spans="1:12" x14ac:dyDescent="0.3">
      <c r="A12" s="154">
        <v>1</v>
      </c>
      <c r="B12" s="363"/>
      <c r="C12" s="155" t="s">
        <v>65</v>
      </c>
      <c r="D12" s="161"/>
      <c r="E12" s="161"/>
      <c r="F12" s="161"/>
      <c r="G12" s="157"/>
      <c r="H12" s="158">
        <v>24500</v>
      </c>
      <c r="I12" s="159">
        <f t="shared" si="0"/>
        <v>25235</v>
      </c>
      <c r="J12" s="157">
        <f t="shared" si="1"/>
        <v>21887.5</v>
      </c>
      <c r="K12" s="160">
        <v>21250</v>
      </c>
    </row>
    <row r="13" spans="1:12" x14ac:dyDescent="0.3">
      <c r="A13" s="154">
        <v>2</v>
      </c>
      <c r="B13" s="363"/>
      <c r="C13" s="155" t="s">
        <v>65</v>
      </c>
      <c r="D13" s="161"/>
      <c r="E13" s="161"/>
      <c r="F13" s="161"/>
      <c r="G13" s="157"/>
      <c r="H13" s="158">
        <v>24500</v>
      </c>
      <c r="I13" s="159">
        <f t="shared" si="0"/>
        <v>25235</v>
      </c>
      <c r="J13" s="157">
        <f t="shared" si="1"/>
        <v>21887.5</v>
      </c>
      <c r="K13" s="160">
        <v>21250</v>
      </c>
    </row>
    <row r="14" spans="1:12" x14ac:dyDescent="0.3">
      <c r="A14" s="154">
        <v>3</v>
      </c>
      <c r="B14" s="363"/>
      <c r="C14" s="155" t="s">
        <v>65</v>
      </c>
      <c r="D14" s="161"/>
      <c r="E14" s="161"/>
      <c r="F14" s="161"/>
      <c r="G14" s="157"/>
      <c r="H14" s="158">
        <v>24500</v>
      </c>
      <c r="I14" s="159">
        <f t="shared" si="0"/>
        <v>25235</v>
      </c>
      <c r="J14" s="157">
        <f t="shared" si="1"/>
        <v>21887.5</v>
      </c>
      <c r="K14" s="160">
        <v>21250</v>
      </c>
    </row>
    <row r="15" spans="1:12" x14ac:dyDescent="0.3">
      <c r="A15" s="154">
        <v>4</v>
      </c>
      <c r="B15" s="363"/>
      <c r="C15" s="155" t="s">
        <v>65</v>
      </c>
      <c r="D15" s="161"/>
      <c r="E15" s="161"/>
      <c r="F15" s="161"/>
      <c r="G15" s="157"/>
      <c r="H15" s="158"/>
      <c r="I15" s="159">
        <v>25235</v>
      </c>
      <c r="J15" s="157">
        <v>21887.5</v>
      </c>
      <c r="K15" s="160"/>
    </row>
    <row r="16" spans="1:12" x14ac:dyDescent="0.3">
      <c r="A16" s="154">
        <v>5</v>
      </c>
      <c r="B16" s="363"/>
      <c r="C16" s="155" t="s">
        <v>65</v>
      </c>
      <c r="D16" s="161"/>
      <c r="E16" s="161"/>
      <c r="F16" s="161"/>
      <c r="G16" s="157"/>
      <c r="H16" s="158"/>
      <c r="I16" s="159">
        <v>25235</v>
      </c>
      <c r="J16" s="157">
        <v>21887.5</v>
      </c>
      <c r="K16" s="160"/>
    </row>
    <row r="17" spans="1:12" x14ac:dyDescent="0.3">
      <c r="A17" s="154">
        <v>6</v>
      </c>
      <c r="B17" s="363"/>
      <c r="C17" s="155" t="s">
        <v>65</v>
      </c>
      <c r="D17" s="161"/>
      <c r="E17" s="161"/>
      <c r="F17" s="161"/>
      <c r="G17" s="157"/>
      <c r="H17" s="158">
        <v>24500</v>
      </c>
      <c r="I17" s="159">
        <f>H17*1.03</f>
        <v>25235</v>
      </c>
      <c r="J17" s="157">
        <f>K17*1.03</f>
        <v>21887.5</v>
      </c>
      <c r="K17" s="160">
        <v>21250</v>
      </c>
    </row>
    <row r="18" spans="1:12" x14ac:dyDescent="0.3">
      <c r="A18" s="154"/>
      <c r="B18" s="155"/>
      <c r="C18" s="155"/>
      <c r="D18" s="161"/>
      <c r="E18" s="161"/>
      <c r="F18" s="161"/>
      <c r="G18" s="157"/>
      <c r="H18" s="162">
        <f t="shared" ref="H18:I18" si="2">SUM(H6:H17)</f>
        <v>1278135.75</v>
      </c>
      <c r="I18" s="159">
        <f t="shared" si="2"/>
        <v>1366949.8224999998</v>
      </c>
      <c r="J18" s="216">
        <f>SUM(J6:J17)</f>
        <v>1188316.1499999999</v>
      </c>
      <c r="K18" s="163">
        <f>SUM(K6:K17)</f>
        <v>1111205</v>
      </c>
    </row>
    <row r="20" spans="1:12" x14ac:dyDescent="0.3">
      <c r="J20" s="77"/>
      <c r="L20" s="77"/>
    </row>
    <row r="21" spans="1:12" x14ac:dyDescent="0.3">
      <c r="J21" s="53"/>
    </row>
    <row r="22" spans="1:12" x14ac:dyDescent="0.3">
      <c r="J22" s="53"/>
    </row>
  </sheetData>
  <mergeCells count="15">
    <mergeCell ref="I3:I5"/>
    <mergeCell ref="J3:J5"/>
    <mergeCell ref="K3:K5"/>
    <mergeCell ref="B6:B7"/>
    <mergeCell ref="A3:A5"/>
    <mergeCell ref="B3:B5"/>
    <mergeCell ref="C3:C5"/>
    <mergeCell ref="D3:D5"/>
    <mergeCell ref="E3:E5"/>
    <mergeCell ref="F3:F5"/>
    <mergeCell ref="B8:B9"/>
    <mergeCell ref="B10:B11"/>
    <mergeCell ref="B12:B17"/>
    <mergeCell ref="G3:G5"/>
    <mergeCell ref="H3:H5"/>
  </mergeCells>
  <pageMargins left="0.7" right="0.7" top="0.75" bottom="0.75" header="0.3" footer="0.3"/>
  <pageSetup paperSize="9" orientation="landscape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K12"/>
  <sheetViews>
    <sheetView workbookViewId="0">
      <selection activeCell="G9" sqref="G9"/>
    </sheetView>
  </sheetViews>
  <sheetFormatPr baseColWidth="10" defaultRowHeight="15" x14ac:dyDescent="0.25"/>
  <cols>
    <col min="1" max="1" width="27" bestFit="1" customWidth="1"/>
    <col min="7" max="7" width="14.140625" bestFit="1" customWidth="1"/>
    <col min="9" max="9" width="14" bestFit="1" customWidth="1"/>
  </cols>
  <sheetData>
    <row r="2" spans="1:11" ht="18.75" x14ac:dyDescent="0.3">
      <c r="B2" s="212" t="s">
        <v>115</v>
      </c>
    </row>
    <row r="4" spans="1:11" x14ac:dyDescent="0.25">
      <c r="A4" s="211" t="s">
        <v>114</v>
      </c>
      <c r="B4" s="211" t="s">
        <v>113</v>
      </c>
      <c r="C4" s="211" t="s">
        <v>112</v>
      </c>
      <c r="D4" s="211" t="s">
        <v>111</v>
      </c>
      <c r="E4" s="211" t="s">
        <v>110</v>
      </c>
      <c r="F4" s="211" t="s">
        <v>109</v>
      </c>
      <c r="G4" s="211" t="s">
        <v>108</v>
      </c>
      <c r="H4" s="211" t="s">
        <v>107</v>
      </c>
      <c r="I4" s="211" t="s">
        <v>106</v>
      </c>
    </row>
    <row r="5" spans="1:11" x14ac:dyDescent="0.25">
      <c r="A5" s="6"/>
      <c r="B5" s="6"/>
      <c r="C5" s="6"/>
      <c r="D5" s="6"/>
      <c r="E5" s="6"/>
      <c r="F5" s="6"/>
      <c r="G5" s="210"/>
      <c r="H5" s="6"/>
      <c r="I5" s="6"/>
    </row>
    <row r="6" spans="1:11" x14ac:dyDescent="0.25">
      <c r="A6" s="6" t="s">
        <v>103</v>
      </c>
      <c r="B6" s="6" t="s">
        <v>102</v>
      </c>
      <c r="C6" s="6">
        <v>3</v>
      </c>
      <c r="D6" s="6">
        <v>73</v>
      </c>
      <c r="E6" s="6">
        <v>5</v>
      </c>
      <c r="F6" s="6">
        <v>78</v>
      </c>
      <c r="G6" s="210">
        <v>200000</v>
      </c>
      <c r="H6" s="6" t="s">
        <v>101</v>
      </c>
      <c r="I6" s="6"/>
    </row>
    <row r="7" spans="1:11" x14ac:dyDescent="0.25">
      <c r="A7" s="6"/>
      <c r="B7" s="6"/>
      <c r="C7" s="6"/>
      <c r="D7" s="6"/>
      <c r="E7" s="6"/>
      <c r="F7" s="6"/>
      <c r="G7" s="210"/>
      <c r="H7" s="6"/>
      <c r="I7" s="6"/>
    </row>
    <row r="8" spans="1:11" x14ac:dyDescent="0.25">
      <c r="A8" s="6"/>
      <c r="B8" s="6"/>
      <c r="C8" s="6"/>
      <c r="D8" s="6"/>
      <c r="E8" s="6"/>
      <c r="F8" s="6"/>
      <c r="G8" s="210"/>
      <c r="H8" s="6"/>
      <c r="I8" s="6"/>
    </row>
    <row r="9" spans="1:11" x14ac:dyDescent="0.25">
      <c r="G9" s="213">
        <f>SUM(G5:G8)</f>
        <v>200000</v>
      </c>
    </row>
    <row r="12" spans="1:11" x14ac:dyDescent="0.25">
      <c r="A12" s="207" t="s">
        <v>100</v>
      </c>
      <c r="B12" s="209" t="s">
        <v>99</v>
      </c>
      <c r="C12" s="207">
        <v>4</v>
      </c>
      <c r="D12" s="207">
        <v>92</v>
      </c>
      <c r="E12" s="207">
        <v>12</v>
      </c>
      <c r="F12" s="207">
        <v>104</v>
      </c>
      <c r="G12" s="208">
        <v>210000</v>
      </c>
      <c r="H12" s="207" t="s">
        <v>98</v>
      </c>
      <c r="I12" s="207" t="s">
        <v>97</v>
      </c>
      <c r="J12" s="206"/>
      <c r="K12" s="206"/>
    </row>
  </sheetData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B4:K65"/>
  <sheetViews>
    <sheetView workbookViewId="0">
      <pane xSplit="4" ySplit="5" topLeftCell="E12" activePane="bottomRight" state="frozen"/>
      <selection pane="topRight" activeCell="F1" sqref="F1"/>
      <selection pane="bottomLeft" activeCell="A7" sqref="A7"/>
      <selection pane="bottomRight" activeCell="G34" sqref="G34:K34"/>
    </sheetView>
  </sheetViews>
  <sheetFormatPr baseColWidth="10" defaultColWidth="12.42578125" defaultRowHeight="15.75" x14ac:dyDescent="0.25"/>
  <cols>
    <col min="1" max="1" width="12.42578125" style="2"/>
    <col min="2" max="2" width="14.85546875" style="15" customWidth="1"/>
    <col min="3" max="3" width="30.42578125" style="2" bestFit="1" customWidth="1"/>
    <col min="4" max="4" width="19.28515625" style="16" customWidth="1"/>
    <col min="5" max="5" width="14.140625" style="3" bestFit="1" customWidth="1"/>
    <col min="6" max="6" width="14.7109375" style="2" customWidth="1"/>
    <col min="7" max="7" width="17.7109375" style="2" customWidth="1"/>
    <col min="8" max="10" width="12.42578125" style="2"/>
    <col min="11" max="11" width="21.140625" style="2" customWidth="1"/>
    <col min="12" max="16384" width="12.42578125" style="2"/>
  </cols>
  <sheetData>
    <row r="4" spans="2:11" ht="16.5" thickBot="1" x14ac:dyDescent="0.3"/>
    <row r="5" spans="2:11" s="18" customFormat="1" ht="30.75" customHeight="1" thickBot="1" x14ac:dyDescent="0.3">
      <c r="B5" s="44" t="s">
        <v>14</v>
      </c>
      <c r="C5" s="45" t="s">
        <v>1</v>
      </c>
      <c r="D5" s="46" t="s">
        <v>3</v>
      </c>
      <c r="E5" s="47" t="s">
        <v>15</v>
      </c>
      <c r="F5" s="45" t="s">
        <v>16</v>
      </c>
      <c r="G5" s="45" t="s">
        <v>32</v>
      </c>
      <c r="H5" s="48" t="s">
        <v>10</v>
      </c>
      <c r="I5" s="48" t="s">
        <v>12</v>
      </c>
      <c r="J5" s="48" t="s">
        <v>13</v>
      </c>
      <c r="K5" s="52" t="s">
        <v>38</v>
      </c>
    </row>
    <row r="6" spans="2:11" x14ac:dyDescent="0.25">
      <c r="B6" s="39" t="s">
        <v>8</v>
      </c>
      <c r="C6" s="40" t="s">
        <v>18</v>
      </c>
      <c r="D6" s="41">
        <v>43128</v>
      </c>
      <c r="E6" s="42">
        <v>1000</v>
      </c>
      <c r="F6" s="42">
        <v>0</v>
      </c>
      <c r="G6" s="42">
        <f t="shared" ref="G6:G15" si="0">+E6-F6</f>
        <v>1000</v>
      </c>
      <c r="H6" s="43"/>
      <c r="I6" s="43"/>
      <c r="J6" s="43"/>
      <c r="K6" s="43"/>
    </row>
    <row r="7" spans="2:11" x14ac:dyDescent="0.25">
      <c r="B7" s="20" t="s">
        <v>8</v>
      </c>
      <c r="C7" s="19" t="s">
        <v>18</v>
      </c>
      <c r="D7" s="21">
        <v>43158</v>
      </c>
      <c r="E7" s="22">
        <v>1000</v>
      </c>
      <c r="F7" s="22">
        <v>0</v>
      </c>
      <c r="G7" s="22">
        <f t="shared" si="0"/>
        <v>1000</v>
      </c>
      <c r="H7" s="38"/>
      <c r="I7" s="38"/>
      <c r="J7" s="38"/>
      <c r="K7" s="38"/>
    </row>
    <row r="8" spans="2:11" x14ac:dyDescent="0.25">
      <c r="B8" s="20" t="s">
        <v>8</v>
      </c>
      <c r="C8" s="19" t="s">
        <v>18</v>
      </c>
      <c r="D8" s="21">
        <v>43188</v>
      </c>
      <c r="E8" s="22">
        <v>1000</v>
      </c>
      <c r="F8" s="22">
        <v>0</v>
      </c>
      <c r="G8" s="22">
        <f t="shared" si="0"/>
        <v>1000</v>
      </c>
      <c r="H8" s="38"/>
      <c r="I8" s="38"/>
      <c r="J8" s="38"/>
      <c r="K8" s="38"/>
    </row>
    <row r="9" spans="2:11" x14ac:dyDescent="0.25">
      <c r="B9" s="30" t="s">
        <v>8</v>
      </c>
      <c r="C9" s="29" t="s">
        <v>18</v>
      </c>
      <c r="D9" s="31">
        <v>43218</v>
      </c>
      <c r="E9" s="32">
        <v>1000</v>
      </c>
      <c r="F9" s="32">
        <v>0</v>
      </c>
      <c r="G9" s="32">
        <f t="shared" si="0"/>
        <v>1000</v>
      </c>
      <c r="H9" s="33"/>
      <c r="I9" s="33"/>
      <c r="J9" s="38"/>
      <c r="K9" s="38"/>
    </row>
    <row r="10" spans="2:11" x14ac:dyDescent="0.25">
      <c r="B10" s="30" t="s">
        <v>8</v>
      </c>
      <c r="C10" s="29" t="s">
        <v>18</v>
      </c>
      <c r="D10" s="31">
        <v>43248</v>
      </c>
      <c r="E10" s="32">
        <v>1000</v>
      </c>
      <c r="F10" s="32">
        <v>0</v>
      </c>
      <c r="G10" s="32">
        <f t="shared" si="0"/>
        <v>1000</v>
      </c>
      <c r="H10" s="33"/>
      <c r="I10" s="33"/>
      <c r="J10" s="38"/>
      <c r="K10" s="38"/>
    </row>
    <row r="11" spans="2:11" x14ac:dyDescent="0.25">
      <c r="B11" s="30" t="s">
        <v>8</v>
      </c>
      <c r="C11" s="29" t="s">
        <v>18</v>
      </c>
      <c r="D11" s="31">
        <v>43278</v>
      </c>
      <c r="E11" s="32">
        <v>1000</v>
      </c>
      <c r="F11" s="32">
        <v>0</v>
      </c>
      <c r="G11" s="32">
        <f t="shared" si="0"/>
        <v>1000</v>
      </c>
      <c r="H11" s="33"/>
      <c r="I11" s="33"/>
      <c r="J11" s="38"/>
      <c r="K11" s="38"/>
    </row>
    <row r="12" spans="2:11" x14ac:dyDescent="0.25">
      <c r="B12" s="30" t="s">
        <v>8</v>
      </c>
      <c r="C12" s="29" t="s">
        <v>18</v>
      </c>
      <c r="D12" s="31">
        <v>43308</v>
      </c>
      <c r="E12" s="32">
        <v>1000</v>
      </c>
      <c r="F12" s="32">
        <v>0</v>
      </c>
      <c r="G12" s="32">
        <f t="shared" si="0"/>
        <v>1000</v>
      </c>
      <c r="H12" s="33"/>
      <c r="I12" s="33"/>
      <c r="J12" s="38"/>
      <c r="K12" s="38"/>
    </row>
    <row r="13" spans="2:11" x14ac:dyDescent="0.25">
      <c r="B13" s="30" t="s">
        <v>8</v>
      </c>
      <c r="C13" s="29" t="s">
        <v>18</v>
      </c>
      <c r="D13" s="31">
        <v>43338</v>
      </c>
      <c r="E13" s="32">
        <v>1000</v>
      </c>
      <c r="F13" s="32">
        <v>0</v>
      </c>
      <c r="G13" s="32">
        <f t="shared" si="0"/>
        <v>1000</v>
      </c>
      <c r="H13" s="33"/>
      <c r="I13" s="33"/>
      <c r="J13" s="38"/>
      <c r="K13" s="38"/>
    </row>
    <row r="14" spans="2:11" x14ac:dyDescent="0.25">
      <c r="B14" s="30" t="s">
        <v>8</v>
      </c>
      <c r="C14" s="29" t="s">
        <v>18</v>
      </c>
      <c r="D14" s="31">
        <v>43368</v>
      </c>
      <c r="E14" s="32">
        <v>1000</v>
      </c>
      <c r="F14" s="32">
        <v>0</v>
      </c>
      <c r="G14" s="32">
        <f t="shared" si="0"/>
        <v>1000</v>
      </c>
      <c r="H14" s="33"/>
      <c r="I14" s="33"/>
      <c r="J14" s="38"/>
      <c r="K14" s="38"/>
    </row>
    <row r="15" spans="2:11" x14ac:dyDescent="0.25">
      <c r="B15" s="30" t="s">
        <v>8</v>
      </c>
      <c r="C15" s="23" t="s">
        <v>33</v>
      </c>
      <c r="D15" s="24"/>
      <c r="E15" s="25">
        <v>7200</v>
      </c>
      <c r="F15" s="25"/>
      <c r="G15" s="25">
        <f t="shared" si="0"/>
        <v>7200</v>
      </c>
      <c r="H15" s="32"/>
      <c r="I15" s="33"/>
      <c r="J15" s="38"/>
      <c r="K15" s="38"/>
    </row>
    <row r="16" spans="2:11" ht="17.25" x14ac:dyDescent="0.3">
      <c r="B16" s="34" t="s">
        <v>10</v>
      </c>
      <c r="C16" s="35" t="s">
        <v>19</v>
      </c>
      <c r="D16" s="36">
        <v>43033</v>
      </c>
      <c r="E16" s="37">
        <v>2844</v>
      </c>
      <c r="F16" s="32">
        <v>0</v>
      </c>
      <c r="G16" s="32"/>
      <c r="H16" s="32">
        <f>+E16-F16</f>
        <v>2844</v>
      </c>
      <c r="I16" s="33"/>
      <c r="J16" s="38"/>
      <c r="K16" s="38"/>
    </row>
    <row r="17" spans="2:11" ht="17.25" x14ac:dyDescent="0.3">
      <c r="B17" s="34" t="s">
        <v>10</v>
      </c>
      <c r="C17" s="35" t="s">
        <v>17</v>
      </c>
      <c r="D17" s="36"/>
      <c r="E17" s="37">
        <v>160000</v>
      </c>
      <c r="F17" s="32">
        <v>140000</v>
      </c>
      <c r="G17" s="32"/>
      <c r="H17" s="32">
        <f>+E17-F17</f>
        <v>20000</v>
      </c>
      <c r="I17" s="33"/>
      <c r="J17" s="38"/>
      <c r="K17" s="38"/>
    </row>
    <row r="18" spans="2:11" ht="17.25" x14ac:dyDescent="0.3">
      <c r="B18" s="34" t="s">
        <v>10</v>
      </c>
      <c r="C18" s="35" t="s">
        <v>20</v>
      </c>
      <c r="D18" s="36"/>
      <c r="E18" s="37">
        <v>15000</v>
      </c>
      <c r="F18" s="32">
        <v>10000</v>
      </c>
      <c r="G18" s="32"/>
      <c r="H18" s="32">
        <f>+E18-F18</f>
        <v>5000</v>
      </c>
      <c r="I18" s="33"/>
      <c r="J18" s="38"/>
      <c r="K18" s="38"/>
    </row>
    <row r="19" spans="2:11" ht="17.25" x14ac:dyDescent="0.3">
      <c r="B19" s="34" t="s">
        <v>12</v>
      </c>
      <c r="C19" s="35" t="s">
        <v>21</v>
      </c>
      <c r="D19" s="36" t="s">
        <v>22</v>
      </c>
      <c r="E19" s="37">
        <v>4000</v>
      </c>
      <c r="F19" s="25">
        <v>0</v>
      </c>
      <c r="G19" s="25"/>
      <c r="H19" s="33"/>
      <c r="I19" s="32">
        <f t="shared" ref="I19:I30" si="1">+E19-F19</f>
        <v>4000</v>
      </c>
      <c r="J19" s="38"/>
      <c r="K19" s="38"/>
    </row>
    <row r="20" spans="2:11" ht="17.25" x14ac:dyDescent="0.3">
      <c r="B20" s="34" t="s">
        <v>12</v>
      </c>
      <c r="C20" s="35" t="s">
        <v>34</v>
      </c>
      <c r="D20" s="36">
        <v>43490</v>
      </c>
      <c r="E20" s="37">
        <v>3096.5</v>
      </c>
      <c r="F20" s="25"/>
      <c r="G20" s="25"/>
      <c r="H20" s="33"/>
      <c r="I20" s="32">
        <f t="shared" si="1"/>
        <v>3096.5</v>
      </c>
      <c r="J20" s="38"/>
      <c r="K20" s="38"/>
    </row>
    <row r="21" spans="2:11" ht="17.25" x14ac:dyDescent="0.3">
      <c r="B21" s="34" t="s">
        <v>12</v>
      </c>
      <c r="C21" s="35" t="s">
        <v>34</v>
      </c>
      <c r="D21" s="36">
        <v>43521</v>
      </c>
      <c r="E21" s="37">
        <v>3096.5</v>
      </c>
      <c r="F21" s="25"/>
      <c r="G21" s="25"/>
      <c r="H21" s="33"/>
      <c r="I21" s="32">
        <f t="shared" si="1"/>
        <v>3096.5</v>
      </c>
      <c r="J21" s="38"/>
      <c r="K21" s="38"/>
    </row>
    <row r="22" spans="2:11" ht="17.25" x14ac:dyDescent="0.3">
      <c r="B22" s="34" t="s">
        <v>12</v>
      </c>
      <c r="C22" s="35" t="s">
        <v>34</v>
      </c>
      <c r="D22" s="36">
        <v>43549</v>
      </c>
      <c r="E22" s="37">
        <v>3096.5</v>
      </c>
      <c r="F22" s="25"/>
      <c r="G22" s="25"/>
      <c r="H22" s="33"/>
      <c r="I22" s="32">
        <f t="shared" si="1"/>
        <v>3096.5</v>
      </c>
      <c r="J22" s="38"/>
      <c r="K22" s="38"/>
    </row>
    <row r="23" spans="2:11" ht="17.25" x14ac:dyDescent="0.3">
      <c r="B23" s="34" t="s">
        <v>12</v>
      </c>
      <c r="C23" s="35" t="s">
        <v>34</v>
      </c>
      <c r="D23" s="36">
        <v>43580</v>
      </c>
      <c r="E23" s="37">
        <v>3096.5</v>
      </c>
      <c r="F23" s="25"/>
      <c r="G23" s="25"/>
      <c r="H23" s="33"/>
      <c r="I23" s="32">
        <f t="shared" si="1"/>
        <v>3096.5</v>
      </c>
      <c r="J23" s="38"/>
      <c r="K23" s="38"/>
    </row>
    <row r="24" spans="2:11" ht="17.25" x14ac:dyDescent="0.3">
      <c r="B24" s="34" t="s">
        <v>12</v>
      </c>
      <c r="C24" s="35" t="s">
        <v>35</v>
      </c>
      <c r="D24" s="36" t="s">
        <v>23</v>
      </c>
      <c r="E24" s="37">
        <v>80000</v>
      </c>
      <c r="F24" s="25">
        <v>50000</v>
      </c>
      <c r="G24" s="25"/>
      <c r="H24" s="33"/>
      <c r="I24" s="32">
        <f t="shared" si="1"/>
        <v>30000</v>
      </c>
      <c r="J24" s="38"/>
      <c r="K24" s="38"/>
    </row>
    <row r="25" spans="2:11" ht="17.25" x14ac:dyDescent="0.3">
      <c r="B25" s="34" t="s">
        <v>12</v>
      </c>
      <c r="C25" s="35" t="s">
        <v>24</v>
      </c>
      <c r="D25" s="36" t="s">
        <v>23</v>
      </c>
      <c r="E25" s="37">
        <v>29000</v>
      </c>
      <c r="F25" s="25"/>
      <c r="G25" s="25"/>
      <c r="H25" s="33"/>
      <c r="I25" s="32">
        <f t="shared" si="1"/>
        <v>29000</v>
      </c>
      <c r="J25" s="38"/>
      <c r="K25" s="38"/>
    </row>
    <row r="26" spans="2:11" ht="17.25" x14ac:dyDescent="0.3">
      <c r="B26" s="34" t="s">
        <v>12</v>
      </c>
      <c r="C26" s="35" t="s">
        <v>36</v>
      </c>
      <c r="D26" s="36" t="s">
        <v>25</v>
      </c>
      <c r="E26" s="37">
        <v>47000</v>
      </c>
      <c r="F26" s="25"/>
      <c r="G26" s="25"/>
      <c r="H26" s="33"/>
      <c r="I26" s="32">
        <f t="shared" si="1"/>
        <v>47000</v>
      </c>
      <c r="J26" s="38"/>
      <c r="K26" s="38"/>
    </row>
    <row r="27" spans="2:11" ht="17.25" x14ac:dyDescent="0.3">
      <c r="B27" s="34" t="s">
        <v>12</v>
      </c>
      <c r="C27" s="35" t="s">
        <v>26</v>
      </c>
      <c r="D27" s="36" t="s">
        <v>27</v>
      </c>
      <c r="E27" s="37">
        <v>18700</v>
      </c>
      <c r="F27" s="25"/>
      <c r="G27" s="25"/>
      <c r="H27" s="33"/>
      <c r="I27" s="32">
        <f t="shared" si="1"/>
        <v>18700</v>
      </c>
      <c r="J27" s="38"/>
      <c r="K27" s="38"/>
    </row>
    <row r="28" spans="2:11" ht="17.25" x14ac:dyDescent="0.3">
      <c r="B28" s="34" t="s">
        <v>12</v>
      </c>
      <c r="C28" s="35" t="s">
        <v>28</v>
      </c>
      <c r="D28" s="36">
        <v>43819</v>
      </c>
      <c r="E28" s="37">
        <v>4000</v>
      </c>
      <c r="F28" s="25"/>
      <c r="G28" s="25"/>
      <c r="H28" s="33"/>
      <c r="I28" s="32">
        <f t="shared" si="1"/>
        <v>4000</v>
      </c>
      <c r="J28" s="38"/>
      <c r="K28" s="38"/>
    </row>
    <row r="29" spans="2:11" ht="17.25" x14ac:dyDescent="0.3">
      <c r="B29" s="34" t="s">
        <v>12</v>
      </c>
      <c r="C29" s="34" t="s">
        <v>29</v>
      </c>
      <c r="D29" s="36">
        <v>43089</v>
      </c>
      <c r="E29" s="37">
        <v>11766</v>
      </c>
      <c r="F29" s="25"/>
      <c r="G29" s="25"/>
      <c r="H29" s="33"/>
      <c r="I29" s="32">
        <f t="shared" si="1"/>
        <v>11766</v>
      </c>
      <c r="J29" s="38"/>
      <c r="K29" s="38"/>
    </row>
    <row r="30" spans="2:11" ht="17.25" x14ac:dyDescent="0.3">
      <c r="B30" s="34" t="s">
        <v>12</v>
      </c>
      <c r="C30" s="34" t="s">
        <v>39</v>
      </c>
      <c r="D30" s="36"/>
      <c r="E30" s="37">
        <v>41869</v>
      </c>
      <c r="F30" s="25"/>
      <c r="G30" s="25"/>
      <c r="H30" s="33"/>
      <c r="I30" s="32">
        <f t="shared" si="1"/>
        <v>41869</v>
      </c>
      <c r="J30" s="38"/>
      <c r="K30" s="38"/>
    </row>
    <row r="31" spans="2:11" ht="17.25" x14ac:dyDescent="0.3">
      <c r="B31" s="34" t="s">
        <v>13</v>
      </c>
      <c r="C31" s="35" t="s">
        <v>37</v>
      </c>
      <c r="D31" s="36"/>
      <c r="E31" s="37">
        <v>8000</v>
      </c>
      <c r="F31" s="25"/>
      <c r="G31" s="25"/>
      <c r="H31" s="33"/>
      <c r="I31" s="33"/>
      <c r="J31" s="32">
        <f>+E31-F31</f>
        <v>8000</v>
      </c>
      <c r="K31" s="38"/>
    </row>
    <row r="32" spans="2:11" ht="17.25" x14ac:dyDescent="0.3">
      <c r="B32" s="26" t="s">
        <v>30</v>
      </c>
      <c r="C32" s="19" t="s">
        <v>31</v>
      </c>
      <c r="D32" s="27">
        <v>43079</v>
      </c>
      <c r="E32" s="28">
        <v>2736</v>
      </c>
      <c r="F32" s="22"/>
      <c r="G32" s="22"/>
      <c r="H32" s="38"/>
      <c r="I32" s="38"/>
      <c r="J32" s="38"/>
      <c r="K32" s="22">
        <f>+E32-F32</f>
        <v>2736</v>
      </c>
    </row>
    <row r="33" spans="2:11" ht="17.25" x14ac:dyDescent="0.3">
      <c r="B33" s="49"/>
      <c r="C33" s="5"/>
      <c r="D33" s="50"/>
      <c r="E33" s="51"/>
      <c r="F33" s="5"/>
      <c r="G33" s="5"/>
      <c r="H33" s="5"/>
      <c r="I33" s="5"/>
      <c r="J33" s="5"/>
      <c r="K33" s="5"/>
    </row>
    <row r="34" spans="2:11" ht="17.25" x14ac:dyDescent="0.3">
      <c r="E34" s="17"/>
      <c r="G34" s="8">
        <f>SUM(G6:G33)</f>
        <v>16200</v>
      </c>
      <c r="H34" s="8">
        <f>SUM(H6:H33)</f>
        <v>27844</v>
      </c>
      <c r="I34" s="8">
        <f>SUM(I6:I33)</f>
        <v>198721</v>
      </c>
      <c r="J34" s="8">
        <f>SUM(J6:J33)</f>
        <v>8000</v>
      </c>
      <c r="K34" s="8">
        <f>SUM(K6:K33)</f>
        <v>2736</v>
      </c>
    </row>
    <row r="35" spans="2:11" ht="17.25" x14ac:dyDescent="0.3">
      <c r="E35" s="17"/>
    </row>
    <row r="36" spans="2:11" x14ac:dyDescent="0.25">
      <c r="K36" s="3"/>
    </row>
    <row r="37" spans="2:11" x14ac:dyDescent="0.25">
      <c r="I37" s="3"/>
      <c r="K37" s="3"/>
    </row>
    <row r="44" spans="2:11" x14ac:dyDescent="0.25">
      <c r="B44" s="2"/>
      <c r="D44" s="2"/>
      <c r="E44" s="2"/>
    </row>
    <row r="45" spans="2:11" x14ac:dyDescent="0.25">
      <c r="B45" s="2"/>
      <c r="D45" s="2"/>
      <c r="E45" s="2"/>
    </row>
    <row r="46" spans="2:11" x14ac:dyDescent="0.25">
      <c r="B46" s="2"/>
      <c r="D46" s="2"/>
      <c r="E46" s="2"/>
    </row>
    <row r="47" spans="2:11" x14ac:dyDescent="0.25">
      <c r="B47" s="2"/>
      <c r="D47" s="2"/>
      <c r="E47" s="2"/>
    </row>
    <row r="48" spans="2:11" x14ac:dyDescent="0.25">
      <c r="B48" s="2"/>
      <c r="D48" s="2"/>
      <c r="E48" s="2"/>
    </row>
    <row r="49" spans="2:5" x14ac:dyDescent="0.25">
      <c r="B49" s="2"/>
      <c r="D49" s="2"/>
      <c r="E49" s="2"/>
    </row>
    <row r="50" spans="2:5" x14ac:dyDescent="0.25">
      <c r="B50" s="2"/>
      <c r="D50" s="2"/>
      <c r="E50" s="2"/>
    </row>
    <row r="51" spans="2:5" x14ac:dyDescent="0.25">
      <c r="B51" s="2"/>
      <c r="D51" s="2"/>
      <c r="E51" s="2"/>
    </row>
    <row r="52" spans="2:5" x14ac:dyDescent="0.25">
      <c r="B52" s="2"/>
      <c r="D52" s="2"/>
      <c r="E52" s="2"/>
    </row>
    <row r="53" spans="2:5" x14ac:dyDescent="0.25">
      <c r="B53" s="2"/>
      <c r="D53" s="2"/>
      <c r="E53" s="2"/>
    </row>
    <row r="54" spans="2:5" x14ac:dyDescent="0.25">
      <c r="B54" s="2"/>
      <c r="D54" s="2"/>
      <c r="E54" s="2"/>
    </row>
    <row r="55" spans="2:5" x14ac:dyDescent="0.25">
      <c r="B55" s="2"/>
      <c r="D55" s="2"/>
      <c r="E55" s="2"/>
    </row>
    <row r="56" spans="2:5" x14ac:dyDescent="0.25">
      <c r="B56" s="2"/>
      <c r="D56" s="2"/>
      <c r="E56" s="2"/>
    </row>
    <row r="57" spans="2:5" x14ac:dyDescent="0.25">
      <c r="B57" s="2"/>
      <c r="D57" s="2"/>
      <c r="E57" s="2"/>
    </row>
    <row r="58" spans="2:5" x14ac:dyDescent="0.25">
      <c r="B58" s="2"/>
      <c r="D58" s="2"/>
      <c r="E58" s="2"/>
    </row>
    <row r="59" spans="2:5" x14ac:dyDescent="0.25">
      <c r="B59" s="2"/>
      <c r="D59" s="2"/>
      <c r="E59" s="2"/>
    </row>
    <row r="60" spans="2:5" x14ac:dyDescent="0.25">
      <c r="B60" s="2"/>
      <c r="D60" s="2"/>
      <c r="E60" s="2"/>
    </row>
    <row r="61" spans="2:5" x14ac:dyDescent="0.25">
      <c r="B61" s="2"/>
      <c r="D61" s="2"/>
      <c r="E61" s="2"/>
    </row>
    <row r="62" spans="2:5" x14ac:dyDescent="0.25">
      <c r="B62" s="2"/>
      <c r="D62" s="2"/>
      <c r="E62" s="2"/>
    </row>
    <row r="63" spans="2:5" x14ac:dyDescent="0.25">
      <c r="B63" s="2"/>
      <c r="D63" s="2"/>
      <c r="E63" s="2"/>
    </row>
    <row r="64" spans="2:5" x14ac:dyDescent="0.25">
      <c r="B64" s="2"/>
      <c r="D64" s="2"/>
      <c r="E64" s="2"/>
    </row>
    <row r="65" spans="2:5" x14ac:dyDescent="0.25">
      <c r="B65" s="2"/>
      <c r="D65" s="2"/>
      <c r="E65" s="2"/>
    </row>
  </sheetData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7" sqref="M37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51"/>
  <sheetViews>
    <sheetView topLeftCell="A10" workbookViewId="0">
      <selection activeCell="L27" sqref="L27"/>
    </sheetView>
  </sheetViews>
  <sheetFormatPr baseColWidth="10" defaultRowHeight="15.75" x14ac:dyDescent="0.25"/>
  <cols>
    <col min="1" max="2" width="11.42578125" style="2"/>
    <col min="3" max="3" width="18.7109375" style="2" customWidth="1"/>
    <col min="4" max="4" width="16.5703125" style="2" customWidth="1"/>
    <col min="5" max="5" width="19.5703125" style="2" customWidth="1"/>
    <col min="6" max="6" width="16" style="2" bestFit="1" customWidth="1"/>
    <col min="7" max="7" width="13" style="2" bestFit="1" customWidth="1"/>
    <col min="8" max="8" width="16" style="2" bestFit="1" customWidth="1"/>
    <col min="9" max="9" width="11.42578125" style="267"/>
    <col min="10" max="11" width="11.42578125" style="2"/>
    <col min="12" max="12" width="16.7109375" style="2" customWidth="1"/>
    <col min="13" max="13" width="17.85546875" style="2" customWidth="1"/>
    <col min="14" max="14" width="18.140625" style="2" customWidth="1"/>
    <col min="15" max="16384" width="11.42578125" style="2"/>
  </cols>
  <sheetData>
    <row r="1" spans="1:15" ht="31.5" x14ac:dyDescent="0.5">
      <c r="B1" s="266" t="s">
        <v>141</v>
      </c>
    </row>
    <row r="3" spans="1:15" x14ac:dyDescent="0.25">
      <c r="B3" s="268"/>
      <c r="C3" s="269">
        <v>350000</v>
      </c>
      <c r="D3" s="270">
        <f>+(7/12)/100</f>
        <v>5.8333333333333336E-3</v>
      </c>
      <c r="E3" s="270"/>
    </row>
    <row r="4" spans="1:15" x14ac:dyDescent="0.25">
      <c r="B4" s="268">
        <v>36</v>
      </c>
      <c r="C4" s="269" t="s">
        <v>142</v>
      </c>
      <c r="D4" s="269" t="s">
        <v>143</v>
      </c>
      <c r="E4" s="269" t="s">
        <v>144</v>
      </c>
    </row>
    <row r="5" spans="1:15" x14ac:dyDescent="0.25">
      <c r="F5" s="271" t="s">
        <v>145</v>
      </c>
      <c r="G5" s="272">
        <v>0.21</v>
      </c>
      <c r="H5" s="271" t="s">
        <v>123</v>
      </c>
      <c r="N5" s="271" t="s">
        <v>146</v>
      </c>
    </row>
    <row r="6" spans="1:15" x14ac:dyDescent="0.25">
      <c r="C6" s="271" t="s">
        <v>147</v>
      </c>
      <c r="D6" s="271" t="s">
        <v>148</v>
      </c>
      <c r="E6" s="271" t="s">
        <v>147</v>
      </c>
      <c r="F6" s="271" t="s">
        <v>149</v>
      </c>
      <c r="G6" s="271" t="s">
        <v>150</v>
      </c>
      <c r="H6" s="271" t="s">
        <v>151</v>
      </c>
      <c r="L6" s="271" t="s">
        <v>124</v>
      </c>
      <c r="M6" s="271" t="s">
        <v>147</v>
      </c>
      <c r="N6" s="271" t="s">
        <v>152</v>
      </c>
    </row>
    <row r="7" spans="1:15" x14ac:dyDescent="0.25">
      <c r="A7" s="2">
        <v>1</v>
      </c>
      <c r="B7" s="221">
        <v>43196</v>
      </c>
      <c r="C7" s="273">
        <v>350000</v>
      </c>
      <c r="D7" s="273">
        <f>C7*D3</f>
        <v>2041.6666666666667</v>
      </c>
      <c r="E7" s="273">
        <f>C3/36</f>
        <v>9722.2222222222226</v>
      </c>
      <c r="F7" s="273">
        <f>D7+E7</f>
        <v>11763.888888888889</v>
      </c>
      <c r="G7" s="273">
        <f>$G$5*D7</f>
        <v>428.75</v>
      </c>
      <c r="H7" s="273">
        <f>G7+F7</f>
        <v>12192.638888888889</v>
      </c>
      <c r="I7" s="267" t="s">
        <v>153</v>
      </c>
      <c r="L7" s="273">
        <f>H7</f>
        <v>12192.638888888889</v>
      </c>
      <c r="M7" s="273">
        <f>E7</f>
        <v>9722.2222222222226</v>
      </c>
      <c r="N7" s="273">
        <f>L7-M7</f>
        <v>2470.4166666666661</v>
      </c>
      <c r="O7" s="3">
        <f>IF($D7="tierra",$E7,0)</f>
        <v>0</v>
      </c>
    </row>
    <row r="8" spans="1:15" x14ac:dyDescent="0.25">
      <c r="A8" s="2">
        <v>2</v>
      </c>
      <c r="B8" s="221">
        <v>43226</v>
      </c>
      <c r="C8" s="273">
        <f>C7-E7</f>
        <v>340277.77777777775</v>
      </c>
      <c r="D8" s="273">
        <f>C8*$D$3</f>
        <v>1984.9537037037037</v>
      </c>
      <c r="E8" s="273">
        <f>E7</f>
        <v>9722.2222222222226</v>
      </c>
      <c r="F8" s="273">
        <f>D8+E8</f>
        <v>11707.175925925927</v>
      </c>
      <c r="G8" s="273">
        <f t="shared" ref="G8:G42" si="0">$G$5*D8</f>
        <v>416.84027777777777</v>
      </c>
      <c r="H8" s="273">
        <f t="shared" ref="H8:H42" si="1">G8+F8</f>
        <v>12124.016203703704</v>
      </c>
      <c r="I8" s="267" t="s">
        <v>154</v>
      </c>
      <c r="L8" s="273">
        <f>H8</f>
        <v>12124.016203703704</v>
      </c>
      <c r="M8" s="273">
        <f>E8</f>
        <v>9722.2222222222226</v>
      </c>
      <c r="N8" s="273">
        <f>L8-M8</f>
        <v>2401.7939814814818</v>
      </c>
    </row>
    <row r="9" spans="1:15" x14ac:dyDescent="0.25">
      <c r="A9" s="2">
        <v>3</v>
      </c>
      <c r="B9" s="221">
        <v>43257</v>
      </c>
      <c r="C9" s="273">
        <f t="shared" ref="C9:C42" si="2">C8-E8</f>
        <v>330555.5555555555</v>
      </c>
      <c r="D9" s="273">
        <f t="shared" ref="D9:D42" si="3">C9*$D$3</f>
        <v>1928.2407407407404</v>
      </c>
      <c r="E9" s="273">
        <f t="shared" ref="E9:E42" si="4">E8</f>
        <v>9722.2222222222226</v>
      </c>
      <c r="F9" s="273">
        <f t="shared" ref="F9:F42" si="5">D9+E9</f>
        <v>11650.462962962964</v>
      </c>
      <c r="G9" s="273">
        <f t="shared" si="0"/>
        <v>404.93055555555549</v>
      </c>
      <c r="H9" s="273">
        <f t="shared" si="1"/>
        <v>12055.393518518518</v>
      </c>
      <c r="I9" s="267" t="s">
        <v>155</v>
      </c>
      <c r="L9" s="273">
        <f>H9</f>
        <v>12055.393518518518</v>
      </c>
      <c r="M9" s="273">
        <f>M8</f>
        <v>9722.2222222222226</v>
      </c>
      <c r="N9" s="273">
        <f>L9-M9</f>
        <v>2333.1712962962956</v>
      </c>
    </row>
    <row r="10" spans="1:15" x14ac:dyDescent="0.25">
      <c r="A10" s="2">
        <v>4</v>
      </c>
      <c r="B10" s="221">
        <v>43287</v>
      </c>
      <c r="C10" s="273">
        <f t="shared" si="2"/>
        <v>320833.33333333326</v>
      </c>
      <c r="D10" s="273">
        <f t="shared" si="3"/>
        <v>1871.5277777777774</v>
      </c>
      <c r="E10" s="273">
        <f t="shared" si="4"/>
        <v>9722.2222222222226</v>
      </c>
      <c r="F10" s="273">
        <f t="shared" si="5"/>
        <v>11593.75</v>
      </c>
      <c r="G10" s="273">
        <f t="shared" si="0"/>
        <v>393.02083333333326</v>
      </c>
      <c r="H10" s="273">
        <f t="shared" si="1"/>
        <v>11986.770833333334</v>
      </c>
      <c r="I10" s="267" t="s">
        <v>156</v>
      </c>
      <c r="L10" s="273">
        <f>H10</f>
        <v>11986.770833333334</v>
      </c>
      <c r="M10" s="273">
        <f>M9</f>
        <v>9722.2222222222226</v>
      </c>
      <c r="N10" s="273">
        <f>L10-M10</f>
        <v>2264.5486111111113</v>
      </c>
    </row>
    <row r="11" spans="1:15" x14ac:dyDescent="0.25">
      <c r="A11" s="2">
        <v>5</v>
      </c>
      <c r="B11" s="221">
        <v>43318</v>
      </c>
      <c r="C11" s="273">
        <f t="shared" si="2"/>
        <v>311111.11111111101</v>
      </c>
      <c r="D11" s="273">
        <f t="shared" si="3"/>
        <v>1814.8148148148143</v>
      </c>
      <c r="E11" s="273">
        <f t="shared" si="4"/>
        <v>9722.2222222222226</v>
      </c>
      <c r="F11" s="273">
        <f t="shared" si="5"/>
        <v>11537.037037037036</v>
      </c>
      <c r="G11" s="273">
        <f t="shared" si="0"/>
        <v>381.11111111111097</v>
      </c>
      <c r="H11" s="273">
        <f t="shared" si="1"/>
        <v>11918.148148148148</v>
      </c>
      <c r="I11" s="267" t="s">
        <v>157</v>
      </c>
      <c r="L11" s="273">
        <f>H11</f>
        <v>11918.148148148148</v>
      </c>
      <c r="M11" s="273">
        <f>M10</f>
        <v>9722.2222222222226</v>
      </c>
      <c r="N11" s="273">
        <f>L11-M11</f>
        <v>2195.9259259259252</v>
      </c>
    </row>
    <row r="12" spans="1:15" x14ac:dyDescent="0.25">
      <c r="A12" s="2">
        <v>6</v>
      </c>
      <c r="B12" s="221">
        <v>43349</v>
      </c>
      <c r="C12" s="273">
        <f t="shared" si="2"/>
        <v>301388.88888888876</v>
      </c>
      <c r="D12" s="273">
        <f t="shared" si="3"/>
        <v>1758.1018518518513</v>
      </c>
      <c r="E12" s="273">
        <f t="shared" si="4"/>
        <v>9722.2222222222226</v>
      </c>
      <c r="F12" s="273">
        <f t="shared" si="5"/>
        <v>11480.324074074073</v>
      </c>
      <c r="G12" s="273">
        <f t="shared" si="0"/>
        <v>369.20138888888874</v>
      </c>
      <c r="H12" s="273">
        <f t="shared" si="1"/>
        <v>11849.525462962962</v>
      </c>
      <c r="I12" s="267" t="s">
        <v>158</v>
      </c>
      <c r="L12" s="273">
        <f>+H12</f>
        <v>11849.525462962962</v>
      </c>
      <c r="M12" s="273">
        <f>+E12</f>
        <v>9722.2222222222226</v>
      </c>
      <c r="N12" s="273">
        <f>+L12-M12</f>
        <v>2127.3032407407391</v>
      </c>
    </row>
    <row r="13" spans="1:15" x14ac:dyDescent="0.25">
      <c r="A13" s="2">
        <v>7</v>
      </c>
      <c r="B13" s="221">
        <v>43379</v>
      </c>
      <c r="C13" s="273">
        <f t="shared" si="2"/>
        <v>291666.66666666651</v>
      </c>
      <c r="D13" s="273">
        <f t="shared" si="3"/>
        <v>1701.388888888888</v>
      </c>
      <c r="E13" s="273">
        <f t="shared" si="4"/>
        <v>9722.2222222222226</v>
      </c>
      <c r="F13" s="273">
        <f t="shared" si="5"/>
        <v>11423.611111111111</v>
      </c>
      <c r="G13" s="273">
        <f t="shared" si="0"/>
        <v>357.29166666666646</v>
      </c>
      <c r="H13" s="273">
        <f t="shared" si="1"/>
        <v>11780.902777777777</v>
      </c>
      <c r="I13" s="267" t="s">
        <v>159</v>
      </c>
      <c r="L13" s="273">
        <f>+H13</f>
        <v>11780.902777777777</v>
      </c>
      <c r="M13" s="273">
        <f>+E13</f>
        <v>9722.2222222222226</v>
      </c>
      <c r="N13" s="273">
        <f>+L13-M13</f>
        <v>2058.6805555555547</v>
      </c>
    </row>
    <row r="14" spans="1:15" x14ac:dyDescent="0.25">
      <c r="A14" s="2">
        <v>8</v>
      </c>
      <c r="B14" s="221">
        <v>43410</v>
      </c>
      <c r="C14" s="273">
        <f t="shared" si="2"/>
        <v>281944.44444444426</v>
      </c>
      <c r="D14" s="273">
        <f t="shared" si="3"/>
        <v>1644.675925925925</v>
      </c>
      <c r="E14" s="273">
        <f t="shared" si="4"/>
        <v>9722.2222222222226</v>
      </c>
      <c r="F14" s="273">
        <f t="shared" si="5"/>
        <v>11366.898148148148</v>
      </c>
      <c r="G14" s="273">
        <f t="shared" si="0"/>
        <v>345.38194444444423</v>
      </c>
      <c r="H14" s="273">
        <f t="shared" si="1"/>
        <v>11712.280092592591</v>
      </c>
      <c r="I14" s="267" t="s">
        <v>160</v>
      </c>
      <c r="L14" s="273">
        <f>+H14</f>
        <v>11712.280092592591</v>
      </c>
      <c r="M14" s="273">
        <f>+E14</f>
        <v>9722.2222222222226</v>
      </c>
      <c r="N14" s="273">
        <f>+L14-M14</f>
        <v>1990.0578703703686</v>
      </c>
    </row>
    <row r="15" spans="1:15" x14ac:dyDescent="0.25">
      <c r="A15" s="2">
        <v>9</v>
      </c>
      <c r="B15" s="221">
        <v>43440</v>
      </c>
      <c r="C15" s="273">
        <f t="shared" si="2"/>
        <v>272222.22222222202</v>
      </c>
      <c r="D15" s="273">
        <f t="shared" si="3"/>
        <v>1587.9629629629619</v>
      </c>
      <c r="E15" s="273">
        <f t="shared" si="4"/>
        <v>9722.2222222222226</v>
      </c>
      <c r="F15" s="273">
        <f t="shared" si="5"/>
        <v>11310.185185185184</v>
      </c>
      <c r="G15" s="273">
        <f t="shared" si="0"/>
        <v>333.472222222222</v>
      </c>
      <c r="H15" s="273">
        <f t="shared" si="1"/>
        <v>11643.657407407407</v>
      </c>
      <c r="I15" s="267" t="s">
        <v>161</v>
      </c>
      <c r="L15" s="273">
        <f>+H15</f>
        <v>11643.657407407407</v>
      </c>
      <c r="M15" s="273">
        <f>+E15</f>
        <v>9722.2222222222226</v>
      </c>
      <c r="N15" s="273">
        <f>+L15-M15</f>
        <v>1921.4351851851843</v>
      </c>
    </row>
    <row r="16" spans="1:15" x14ac:dyDescent="0.25">
      <c r="A16" s="2">
        <v>10</v>
      </c>
      <c r="B16" s="221">
        <v>43471</v>
      </c>
      <c r="C16" s="273">
        <f t="shared" si="2"/>
        <v>262499.99999999977</v>
      </c>
      <c r="D16" s="273">
        <f t="shared" si="3"/>
        <v>1531.2499999999986</v>
      </c>
      <c r="E16" s="273">
        <f t="shared" si="4"/>
        <v>9722.2222222222226</v>
      </c>
      <c r="F16" s="273">
        <f t="shared" si="5"/>
        <v>11253.472222222221</v>
      </c>
      <c r="G16" s="273">
        <f t="shared" si="0"/>
        <v>321.56249999999972</v>
      </c>
      <c r="H16" s="273">
        <f t="shared" si="1"/>
        <v>11575.034722222221</v>
      </c>
      <c r="I16" s="267" t="s">
        <v>162</v>
      </c>
      <c r="L16" s="273">
        <f>+H16</f>
        <v>11575.034722222221</v>
      </c>
      <c r="M16" s="273">
        <f>+E16</f>
        <v>9722.2222222222226</v>
      </c>
      <c r="N16" s="273">
        <f>+L16-M16</f>
        <v>1852.8124999999982</v>
      </c>
    </row>
    <row r="17" spans="1:9" x14ac:dyDescent="0.25">
      <c r="A17" s="2">
        <v>11</v>
      </c>
      <c r="B17" s="221">
        <v>43502</v>
      </c>
      <c r="C17" s="273">
        <f t="shared" si="2"/>
        <v>252777.77777777755</v>
      </c>
      <c r="D17" s="273">
        <f t="shared" si="3"/>
        <v>1474.5370370370358</v>
      </c>
      <c r="E17" s="273">
        <f t="shared" si="4"/>
        <v>9722.2222222222226</v>
      </c>
      <c r="F17" s="273">
        <f t="shared" si="5"/>
        <v>11196.759259259259</v>
      </c>
      <c r="G17" s="273">
        <f t="shared" si="0"/>
        <v>309.65277777777749</v>
      </c>
      <c r="H17" s="273">
        <f t="shared" si="1"/>
        <v>11506.412037037036</v>
      </c>
      <c r="I17" s="2"/>
    </row>
    <row r="18" spans="1:9" x14ac:dyDescent="0.25">
      <c r="A18" s="2">
        <v>12</v>
      </c>
      <c r="B18" s="221">
        <v>43530</v>
      </c>
      <c r="C18" s="273">
        <f t="shared" si="2"/>
        <v>243055.55555555533</v>
      </c>
      <c r="D18" s="273">
        <f t="shared" si="3"/>
        <v>1417.8240740740728</v>
      </c>
      <c r="E18" s="273">
        <f t="shared" si="4"/>
        <v>9722.2222222222226</v>
      </c>
      <c r="F18" s="273">
        <f t="shared" si="5"/>
        <v>11140.046296296296</v>
      </c>
      <c r="G18" s="273">
        <f t="shared" si="0"/>
        <v>297.74305555555526</v>
      </c>
      <c r="H18" s="273">
        <f t="shared" si="1"/>
        <v>11437.78935185185</v>
      </c>
      <c r="I18" s="2"/>
    </row>
    <row r="19" spans="1:9" x14ac:dyDescent="0.25">
      <c r="A19" s="2">
        <v>13</v>
      </c>
      <c r="B19" s="221">
        <v>43561</v>
      </c>
      <c r="C19" s="273">
        <f t="shared" si="2"/>
        <v>233333.33333333311</v>
      </c>
      <c r="D19" s="273">
        <f t="shared" si="3"/>
        <v>1361.1111111111099</v>
      </c>
      <c r="E19" s="273">
        <f t="shared" si="4"/>
        <v>9722.2222222222226</v>
      </c>
      <c r="F19" s="273">
        <f t="shared" si="5"/>
        <v>11083.333333333332</v>
      </c>
      <c r="G19" s="273">
        <f t="shared" si="0"/>
        <v>285.83333333333309</v>
      </c>
      <c r="H19" s="273">
        <f t="shared" si="1"/>
        <v>11369.166666666666</v>
      </c>
      <c r="I19" s="2"/>
    </row>
    <row r="20" spans="1:9" x14ac:dyDescent="0.25">
      <c r="A20" s="2">
        <v>14</v>
      </c>
      <c r="B20" s="221">
        <v>43591</v>
      </c>
      <c r="C20" s="273">
        <f t="shared" si="2"/>
        <v>223611.11111111089</v>
      </c>
      <c r="D20" s="273">
        <f t="shared" si="3"/>
        <v>1304.3981481481469</v>
      </c>
      <c r="E20" s="273">
        <f t="shared" si="4"/>
        <v>9722.2222222222226</v>
      </c>
      <c r="F20" s="273">
        <f t="shared" si="5"/>
        <v>11026.620370370369</v>
      </c>
      <c r="G20" s="273">
        <f t="shared" si="0"/>
        <v>273.92361111111086</v>
      </c>
      <c r="H20" s="273">
        <f t="shared" si="1"/>
        <v>11300.54398148148</v>
      </c>
      <c r="I20" s="2"/>
    </row>
    <row r="21" spans="1:9" x14ac:dyDescent="0.25">
      <c r="A21" s="2">
        <v>15</v>
      </c>
      <c r="B21" s="221">
        <v>43622</v>
      </c>
      <c r="C21" s="273">
        <f t="shared" si="2"/>
        <v>213888.88888888867</v>
      </c>
      <c r="D21" s="273">
        <f t="shared" si="3"/>
        <v>1247.6851851851841</v>
      </c>
      <c r="E21" s="273">
        <f t="shared" si="4"/>
        <v>9722.2222222222226</v>
      </c>
      <c r="F21" s="273">
        <f t="shared" si="5"/>
        <v>10969.907407407407</v>
      </c>
      <c r="G21" s="273">
        <f t="shared" si="0"/>
        <v>262.01388888888863</v>
      </c>
      <c r="H21" s="273">
        <f t="shared" si="1"/>
        <v>11231.921296296296</v>
      </c>
      <c r="I21" s="2"/>
    </row>
    <row r="22" spans="1:9" x14ac:dyDescent="0.25">
      <c r="A22" s="2">
        <v>16</v>
      </c>
      <c r="B22" s="221">
        <v>43652</v>
      </c>
      <c r="C22" s="273">
        <f t="shared" si="2"/>
        <v>204166.66666666645</v>
      </c>
      <c r="D22" s="273">
        <f t="shared" si="3"/>
        <v>1190.972222222221</v>
      </c>
      <c r="E22" s="273">
        <f t="shared" si="4"/>
        <v>9722.2222222222226</v>
      </c>
      <c r="F22" s="273">
        <f t="shared" si="5"/>
        <v>10913.194444444443</v>
      </c>
      <c r="G22" s="273">
        <f t="shared" si="0"/>
        <v>250.1041666666664</v>
      </c>
      <c r="H22" s="273">
        <f t="shared" si="1"/>
        <v>11163.298611111109</v>
      </c>
      <c r="I22" s="2"/>
    </row>
    <row r="23" spans="1:9" x14ac:dyDescent="0.25">
      <c r="A23" s="2">
        <v>17</v>
      </c>
      <c r="B23" s="221">
        <v>43683</v>
      </c>
      <c r="C23" s="273">
        <f t="shared" si="2"/>
        <v>194444.44444444423</v>
      </c>
      <c r="D23" s="273">
        <f t="shared" si="3"/>
        <v>1134.259259259258</v>
      </c>
      <c r="E23" s="273">
        <f t="shared" si="4"/>
        <v>9722.2222222222226</v>
      </c>
      <c r="F23" s="273">
        <f t="shared" si="5"/>
        <v>10856.48148148148</v>
      </c>
      <c r="G23" s="273">
        <f t="shared" si="0"/>
        <v>238.19444444444417</v>
      </c>
      <c r="H23" s="273">
        <f t="shared" si="1"/>
        <v>11094.675925925923</v>
      </c>
      <c r="I23" s="2"/>
    </row>
    <row r="24" spans="1:9" x14ac:dyDescent="0.25">
      <c r="A24" s="274">
        <v>18</v>
      </c>
      <c r="B24" s="275">
        <v>43714</v>
      </c>
      <c r="C24" s="276">
        <f t="shared" si="2"/>
        <v>184722.22222222202</v>
      </c>
      <c r="D24" s="276">
        <f t="shared" si="3"/>
        <v>1077.5462962962952</v>
      </c>
      <c r="E24" s="276">
        <f t="shared" si="4"/>
        <v>9722.2222222222226</v>
      </c>
      <c r="F24" s="276">
        <f t="shared" si="5"/>
        <v>10799.768518518518</v>
      </c>
      <c r="G24" s="276">
        <f t="shared" si="0"/>
        <v>226.28472222222197</v>
      </c>
      <c r="H24" s="277">
        <f t="shared" si="1"/>
        <v>11026.053240740741</v>
      </c>
      <c r="I24" s="2"/>
    </row>
    <row r="25" spans="1:9" x14ac:dyDescent="0.25">
      <c r="A25" s="2">
        <v>19</v>
      </c>
      <c r="B25" s="221">
        <v>43744</v>
      </c>
      <c r="C25" s="273">
        <f t="shared" si="2"/>
        <v>174999.9999999998</v>
      </c>
      <c r="D25" s="273">
        <f t="shared" si="3"/>
        <v>1020.8333333333322</v>
      </c>
      <c r="E25" s="273">
        <f t="shared" si="4"/>
        <v>9722.2222222222226</v>
      </c>
      <c r="F25" s="273">
        <f t="shared" si="5"/>
        <v>10743.055555555555</v>
      </c>
      <c r="G25" s="273">
        <f t="shared" si="0"/>
        <v>214.37499999999977</v>
      </c>
      <c r="H25" s="273">
        <f t="shared" si="1"/>
        <v>10957.430555555555</v>
      </c>
      <c r="I25" s="2"/>
    </row>
    <row r="26" spans="1:9" x14ac:dyDescent="0.25">
      <c r="A26" s="2">
        <v>20</v>
      </c>
      <c r="B26" s="221">
        <v>43775</v>
      </c>
      <c r="C26" s="273">
        <f t="shared" si="2"/>
        <v>165277.77777777758</v>
      </c>
      <c r="D26" s="273">
        <f t="shared" si="3"/>
        <v>964.1203703703693</v>
      </c>
      <c r="E26" s="273">
        <f t="shared" si="4"/>
        <v>9722.2222222222226</v>
      </c>
      <c r="F26" s="273">
        <f t="shared" si="5"/>
        <v>10686.342592592591</v>
      </c>
      <c r="G26" s="273">
        <f t="shared" si="0"/>
        <v>202.46527777777754</v>
      </c>
      <c r="H26" s="273">
        <f t="shared" si="1"/>
        <v>10888.807870370369</v>
      </c>
      <c r="I26" s="2"/>
    </row>
    <row r="27" spans="1:9" x14ac:dyDescent="0.25">
      <c r="A27" s="2">
        <v>21</v>
      </c>
      <c r="B27" s="221">
        <v>43805</v>
      </c>
      <c r="C27" s="273">
        <f t="shared" si="2"/>
        <v>155555.55555555536</v>
      </c>
      <c r="D27" s="273">
        <f t="shared" si="3"/>
        <v>907.40740740740625</v>
      </c>
      <c r="E27" s="273">
        <f t="shared" si="4"/>
        <v>9722.2222222222226</v>
      </c>
      <c r="F27" s="273">
        <f t="shared" si="5"/>
        <v>10629.62962962963</v>
      </c>
      <c r="G27" s="273">
        <f t="shared" si="0"/>
        <v>190.55555555555532</v>
      </c>
      <c r="H27" s="273">
        <f t="shared" si="1"/>
        <v>10820.185185185184</v>
      </c>
      <c r="I27" s="2"/>
    </row>
    <row r="28" spans="1:9" x14ac:dyDescent="0.25">
      <c r="A28" s="2">
        <v>22</v>
      </c>
      <c r="B28" s="221">
        <v>43836</v>
      </c>
      <c r="C28" s="273">
        <f t="shared" si="2"/>
        <v>145833.33333333314</v>
      </c>
      <c r="D28" s="273">
        <f t="shared" si="3"/>
        <v>850.69444444444332</v>
      </c>
      <c r="E28" s="273">
        <f t="shared" si="4"/>
        <v>9722.2222222222226</v>
      </c>
      <c r="F28" s="273">
        <f t="shared" si="5"/>
        <v>10572.916666666666</v>
      </c>
      <c r="G28" s="273">
        <f t="shared" si="0"/>
        <v>178.64583333333309</v>
      </c>
      <c r="H28" s="273">
        <f t="shared" si="1"/>
        <v>10751.5625</v>
      </c>
      <c r="I28" s="2"/>
    </row>
    <row r="29" spans="1:9" x14ac:dyDescent="0.25">
      <c r="A29" s="2">
        <v>23</v>
      </c>
      <c r="B29" s="221">
        <v>43867</v>
      </c>
      <c r="C29" s="273">
        <f t="shared" si="2"/>
        <v>136111.11111111092</v>
      </c>
      <c r="D29" s="273">
        <f t="shared" si="3"/>
        <v>793.98148148148039</v>
      </c>
      <c r="E29" s="273">
        <f t="shared" si="4"/>
        <v>9722.2222222222226</v>
      </c>
      <c r="F29" s="273">
        <f t="shared" si="5"/>
        <v>10516.203703703703</v>
      </c>
      <c r="G29" s="273">
        <f t="shared" si="0"/>
        <v>166.73611111111089</v>
      </c>
      <c r="H29" s="273">
        <f t="shared" si="1"/>
        <v>10682.939814814814</v>
      </c>
      <c r="I29" s="2"/>
    </row>
    <row r="30" spans="1:9" x14ac:dyDescent="0.25">
      <c r="A30" s="2">
        <v>24</v>
      </c>
      <c r="B30" s="221">
        <v>43896</v>
      </c>
      <c r="C30" s="273">
        <f t="shared" si="2"/>
        <v>126388.8888888887</v>
      </c>
      <c r="D30" s="273">
        <f t="shared" si="3"/>
        <v>737.26851851851745</v>
      </c>
      <c r="E30" s="273">
        <f t="shared" si="4"/>
        <v>9722.2222222222226</v>
      </c>
      <c r="F30" s="273">
        <f t="shared" si="5"/>
        <v>10459.490740740741</v>
      </c>
      <c r="G30" s="273">
        <f t="shared" si="0"/>
        <v>154.82638888888866</v>
      </c>
      <c r="H30" s="273">
        <f t="shared" si="1"/>
        <v>10614.31712962963</v>
      </c>
      <c r="I30" s="2"/>
    </row>
    <row r="31" spans="1:9" x14ac:dyDescent="0.25">
      <c r="A31" s="2">
        <v>25</v>
      </c>
      <c r="B31" s="221">
        <v>43927</v>
      </c>
      <c r="C31" s="273">
        <f t="shared" si="2"/>
        <v>116666.66666666648</v>
      </c>
      <c r="D31" s="273">
        <f t="shared" si="3"/>
        <v>680.55555555555452</v>
      </c>
      <c r="E31" s="273">
        <f t="shared" si="4"/>
        <v>9722.2222222222226</v>
      </c>
      <c r="F31" s="273">
        <f t="shared" si="5"/>
        <v>10402.777777777777</v>
      </c>
      <c r="G31" s="273">
        <f t="shared" si="0"/>
        <v>142.91666666666643</v>
      </c>
      <c r="H31" s="273">
        <f t="shared" si="1"/>
        <v>10545.694444444443</v>
      </c>
      <c r="I31" s="2"/>
    </row>
    <row r="32" spans="1:9" x14ac:dyDescent="0.25">
      <c r="A32" s="2">
        <v>26</v>
      </c>
      <c r="B32" s="221">
        <v>43957</v>
      </c>
      <c r="C32" s="273">
        <f t="shared" si="2"/>
        <v>106944.44444444426</v>
      </c>
      <c r="D32" s="273">
        <f t="shared" si="3"/>
        <v>623.84259259259159</v>
      </c>
      <c r="E32" s="273">
        <f t="shared" si="4"/>
        <v>9722.2222222222226</v>
      </c>
      <c r="F32" s="273">
        <f t="shared" si="5"/>
        <v>10346.064814814814</v>
      </c>
      <c r="G32" s="273">
        <f t="shared" si="0"/>
        <v>131.00694444444423</v>
      </c>
      <c r="H32" s="273">
        <f t="shared" si="1"/>
        <v>10477.071759259257</v>
      </c>
      <c r="I32" s="2"/>
    </row>
    <row r="33" spans="1:14" x14ac:dyDescent="0.25">
      <c r="A33" s="2">
        <v>27</v>
      </c>
      <c r="B33" s="221">
        <v>43988</v>
      </c>
      <c r="C33" s="273">
        <f t="shared" si="2"/>
        <v>97222.222222222044</v>
      </c>
      <c r="D33" s="273">
        <f t="shared" si="3"/>
        <v>567.12962962962865</v>
      </c>
      <c r="E33" s="273">
        <f t="shared" si="4"/>
        <v>9722.2222222222226</v>
      </c>
      <c r="F33" s="273">
        <f t="shared" si="5"/>
        <v>10289.35185185185</v>
      </c>
      <c r="G33" s="273">
        <f t="shared" si="0"/>
        <v>119.09722222222202</v>
      </c>
      <c r="H33" s="273">
        <f t="shared" si="1"/>
        <v>10408.449074074073</v>
      </c>
      <c r="I33" s="2"/>
    </row>
    <row r="34" spans="1:14" x14ac:dyDescent="0.25">
      <c r="A34" s="2">
        <v>28</v>
      </c>
      <c r="B34" s="221">
        <v>44018</v>
      </c>
      <c r="C34" s="273">
        <f t="shared" si="2"/>
        <v>87499.999999999825</v>
      </c>
      <c r="D34" s="273">
        <f t="shared" si="3"/>
        <v>510.41666666666566</v>
      </c>
      <c r="E34" s="273">
        <f t="shared" si="4"/>
        <v>9722.2222222222226</v>
      </c>
      <c r="F34" s="273">
        <f t="shared" si="5"/>
        <v>10232.638888888889</v>
      </c>
      <c r="G34" s="273">
        <f t="shared" si="0"/>
        <v>107.18749999999979</v>
      </c>
      <c r="H34" s="273">
        <f t="shared" si="1"/>
        <v>10339.826388888889</v>
      </c>
      <c r="I34" s="2"/>
    </row>
    <row r="35" spans="1:14" x14ac:dyDescent="0.25">
      <c r="A35" s="2">
        <v>29</v>
      </c>
      <c r="B35" s="221">
        <v>44049</v>
      </c>
      <c r="C35" s="273">
        <f t="shared" si="2"/>
        <v>77777.777777777606</v>
      </c>
      <c r="D35" s="273">
        <f t="shared" si="3"/>
        <v>453.70370370370273</v>
      </c>
      <c r="E35" s="273">
        <f t="shared" si="4"/>
        <v>9722.2222222222226</v>
      </c>
      <c r="F35" s="273">
        <f t="shared" si="5"/>
        <v>10175.925925925925</v>
      </c>
      <c r="G35" s="273">
        <f t="shared" si="0"/>
        <v>95.277777777777573</v>
      </c>
      <c r="H35" s="273">
        <f t="shared" si="1"/>
        <v>10271.203703703703</v>
      </c>
      <c r="I35" s="2"/>
    </row>
    <row r="36" spans="1:14" x14ac:dyDescent="0.25">
      <c r="A36" s="2">
        <v>30</v>
      </c>
      <c r="B36" s="221">
        <v>44080</v>
      </c>
      <c r="C36" s="273">
        <f t="shared" si="2"/>
        <v>68055.555555555387</v>
      </c>
      <c r="D36" s="273">
        <f t="shared" si="3"/>
        <v>396.9907407407398</v>
      </c>
      <c r="E36" s="273">
        <f t="shared" si="4"/>
        <v>9722.2222222222226</v>
      </c>
      <c r="F36" s="273">
        <f t="shared" si="5"/>
        <v>10119.212962962962</v>
      </c>
      <c r="G36" s="273">
        <f t="shared" si="0"/>
        <v>83.368055555555358</v>
      </c>
      <c r="H36" s="273">
        <f t="shared" si="1"/>
        <v>10202.581018518516</v>
      </c>
      <c r="I36" s="2"/>
    </row>
    <row r="37" spans="1:14" x14ac:dyDescent="0.25">
      <c r="A37" s="2">
        <v>31</v>
      </c>
      <c r="B37" s="221">
        <v>44110</v>
      </c>
      <c r="C37" s="273">
        <f t="shared" si="2"/>
        <v>58333.333333333168</v>
      </c>
      <c r="D37" s="273">
        <f t="shared" si="3"/>
        <v>340.27777777777681</v>
      </c>
      <c r="E37" s="273">
        <f t="shared" si="4"/>
        <v>9722.2222222222226</v>
      </c>
      <c r="F37" s="273">
        <f t="shared" si="5"/>
        <v>10062.5</v>
      </c>
      <c r="G37" s="273">
        <f t="shared" si="0"/>
        <v>71.45833333333313</v>
      </c>
      <c r="H37" s="273">
        <f t="shared" si="1"/>
        <v>10133.958333333334</v>
      </c>
      <c r="I37" s="2"/>
    </row>
    <row r="38" spans="1:14" x14ac:dyDescent="0.25">
      <c r="A38" s="2">
        <v>32</v>
      </c>
      <c r="B38" s="221">
        <v>44141</v>
      </c>
      <c r="C38" s="273">
        <f t="shared" si="2"/>
        <v>48611.111111110949</v>
      </c>
      <c r="D38" s="273">
        <f t="shared" si="3"/>
        <v>283.56481481481387</v>
      </c>
      <c r="E38" s="273">
        <f t="shared" si="4"/>
        <v>9722.2222222222226</v>
      </c>
      <c r="F38" s="273">
        <f t="shared" si="5"/>
        <v>10005.787037037036</v>
      </c>
      <c r="G38" s="273">
        <f t="shared" si="0"/>
        <v>59.548611111110908</v>
      </c>
      <c r="H38" s="273">
        <f t="shared" si="1"/>
        <v>10065.335648148148</v>
      </c>
      <c r="I38" s="2"/>
    </row>
    <row r="39" spans="1:14" x14ac:dyDescent="0.25">
      <c r="A39" s="2">
        <v>33</v>
      </c>
      <c r="B39" s="221">
        <v>44171</v>
      </c>
      <c r="C39" s="273">
        <f t="shared" si="2"/>
        <v>38888.88888888873</v>
      </c>
      <c r="D39" s="273">
        <f t="shared" si="3"/>
        <v>226.85185185185094</v>
      </c>
      <c r="E39" s="273">
        <f t="shared" si="4"/>
        <v>9722.2222222222226</v>
      </c>
      <c r="F39" s="273">
        <f t="shared" si="5"/>
        <v>9949.074074074073</v>
      </c>
      <c r="G39" s="273">
        <f t="shared" si="0"/>
        <v>47.638888888888694</v>
      </c>
      <c r="H39" s="273">
        <f t="shared" si="1"/>
        <v>9996.7129629629617</v>
      </c>
      <c r="I39" s="2"/>
    </row>
    <row r="40" spans="1:14" x14ac:dyDescent="0.25">
      <c r="A40" s="2">
        <v>34</v>
      </c>
      <c r="B40" s="221">
        <v>44202</v>
      </c>
      <c r="C40" s="273">
        <f t="shared" si="2"/>
        <v>29166.666666666508</v>
      </c>
      <c r="D40" s="273">
        <f t="shared" si="3"/>
        <v>170.13888888888798</v>
      </c>
      <c r="E40" s="273">
        <f t="shared" si="4"/>
        <v>9722.2222222222226</v>
      </c>
      <c r="F40" s="273">
        <f t="shared" si="5"/>
        <v>9892.3611111111113</v>
      </c>
      <c r="G40" s="273">
        <f t="shared" si="0"/>
        <v>35.729166666666472</v>
      </c>
      <c r="H40" s="273">
        <f t="shared" si="1"/>
        <v>9928.0902777777774</v>
      </c>
      <c r="I40" s="2"/>
    </row>
    <row r="41" spans="1:14" x14ac:dyDescent="0.25">
      <c r="A41" s="2">
        <v>35</v>
      </c>
      <c r="B41" s="221">
        <v>44233</v>
      </c>
      <c r="C41" s="273">
        <f t="shared" si="2"/>
        <v>19444.444444444285</v>
      </c>
      <c r="D41" s="273">
        <f t="shared" si="3"/>
        <v>113.425925925925</v>
      </c>
      <c r="E41" s="273">
        <f t="shared" si="4"/>
        <v>9722.2222222222226</v>
      </c>
      <c r="F41" s="273">
        <f t="shared" si="5"/>
        <v>9835.6481481481478</v>
      </c>
      <c r="G41" s="273">
        <f t="shared" si="0"/>
        <v>23.819444444444247</v>
      </c>
      <c r="H41" s="273">
        <f t="shared" si="1"/>
        <v>9859.4675925925912</v>
      </c>
      <c r="I41" s="2"/>
    </row>
    <row r="42" spans="1:14" ht="16.5" thickBot="1" x14ac:dyDescent="0.3">
      <c r="A42" s="2">
        <v>36</v>
      </c>
      <c r="B42" s="221">
        <v>44261</v>
      </c>
      <c r="C42" s="273">
        <f t="shared" si="2"/>
        <v>9722.2222222220626</v>
      </c>
      <c r="D42" s="273">
        <f t="shared" si="3"/>
        <v>56.712962962962031</v>
      </c>
      <c r="E42" s="273">
        <f t="shared" si="4"/>
        <v>9722.2222222222226</v>
      </c>
      <c r="F42" s="273">
        <f t="shared" si="5"/>
        <v>9778.9351851851843</v>
      </c>
      <c r="G42" s="273">
        <f t="shared" si="0"/>
        <v>11.909722222222026</v>
      </c>
      <c r="H42" s="273">
        <f t="shared" si="1"/>
        <v>9790.8449074074069</v>
      </c>
      <c r="I42" s="2"/>
    </row>
    <row r="43" spans="1:14" ht="16.5" thickTop="1" x14ac:dyDescent="0.25">
      <c r="D43" s="278">
        <f>SUM(D7:D42)</f>
        <v>37770.833333333299</v>
      </c>
      <c r="E43" s="278">
        <f>SUM(E7:E42)</f>
        <v>350000.00000000017</v>
      </c>
      <c r="F43" s="278">
        <f>SUM(F7:F42)</f>
        <v>387770.83333333331</v>
      </c>
      <c r="G43" s="273">
        <f>SUM(G7:G42)</f>
        <v>7931.8749999999927</v>
      </c>
      <c r="H43" s="278">
        <f>SUM(H7:H42)</f>
        <v>395702.70833333331</v>
      </c>
      <c r="I43" s="2"/>
      <c r="L43" s="280">
        <f>SUM(L7:L42)</f>
        <v>118838.36805555555</v>
      </c>
      <c r="M43" s="279">
        <f>SUM(M7:M42)</f>
        <v>97222.222222222204</v>
      </c>
      <c r="N43" s="279">
        <f>SUM(N7:N42)</f>
        <v>21616.145833333328</v>
      </c>
    </row>
    <row r="44" spans="1:14" x14ac:dyDescent="0.25">
      <c r="D44" s="4"/>
      <c r="E44" s="4"/>
      <c r="F44" s="278">
        <f>D43+E43</f>
        <v>387770.83333333349</v>
      </c>
      <c r="I44" s="2"/>
      <c r="M44" s="273">
        <f>E43</f>
        <v>350000.00000000017</v>
      </c>
    </row>
    <row r="45" spans="1:14" x14ac:dyDescent="0.25">
      <c r="M45" s="273">
        <f>M44-M43</f>
        <v>252777.77777777798</v>
      </c>
      <c r="N45" s="2" t="s">
        <v>163</v>
      </c>
    </row>
    <row r="46" spans="1:14" x14ac:dyDescent="0.25">
      <c r="H46" s="273"/>
    </row>
    <row r="47" spans="1:14" x14ac:dyDescent="0.25">
      <c r="L47" s="273">
        <f>L43</f>
        <v>118838.36805555555</v>
      </c>
      <c r="M47" s="273">
        <v>29166.666666666668</v>
      </c>
    </row>
    <row r="48" spans="1:14" x14ac:dyDescent="0.25">
      <c r="L48" s="273">
        <v>48611.111111111109</v>
      </c>
      <c r="M48" s="273">
        <f>M43</f>
        <v>97222.222222222204</v>
      </c>
    </row>
    <row r="49" spans="8:13" x14ac:dyDescent="0.25">
      <c r="L49" s="273">
        <f>L47-L48</f>
        <v>70227.256944444438</v>
      </c>
      <c r="M49" s="276">
        <f>M47-M48</f>
        <v>-68055.555555555533</v>
      </c>
    </row>
    <row r="50" spans="8:13" x14ac:dyDescent="0.25">
      <c r="H50" s="273">
        <f>+G43+D43</f>
        <v>45702.708333333292</v>
      </c>
    </row>
    <row r="51" spans="8:13" x14ac:dyDescent="0.25">
      <c r="H51" s="273"/>
    </row>
  </sheetData>
  <pageMargins left="0.75" right="0.75" top="1" bottom="1" header="0.5" footer="0.5"/>
  <pageSetup paperSize="5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4:G36"/>
  <sheetViews>
    <sheetView workbookViewId="0">
      <selection activeCell="D7" sqref="D7:D19"/>
    </sheetView>
  </sheetViews>
  <sheetFormatPr baseColWidth="10" defaultRowHeight="15.75" x14ac:dyDescent="0.25"/>
  <cols>
    <col min="1" max="1" width="49.5703125" style="2" customWidth="1"/>
    <col min="2" max="2" width="11.42578125" style="2"/>
    <col min="3" max="3" width="13" style="3" bestFit="1" customWidth="1"/>
    <col min="4" max="4" width="12.5703125" style="219" bestFit="1" customWidth="1"/>
    <col min="5" max="5" width="13" style="220" bestFit="1" customWidth="1"/>
    <col min="6" max="6" width="11.42578125" style="2"/>
    <col min="7" max="7" width="13.140625" style="2" bestFit="1" customWidth="1"/>
    <col min="8" max="16384" width="11.42578125" style="2"/>
  </cols>
  <sheetData>
    <row r="4" spans="1:7" x14ac:dyDescent="0.25">
      <c r="A4" s="222">
        <v>43065</v>
      </c>
      <c r="B4" s="2" t="s">
        <v>129</v>
      </c>
      <c r="C4" s="3">
        <v>700000</v>
      </c>
    </row>
    <row r="6" spans="1:7" x14ac:dyDescent="0.25">
      <c r="B6" s="223"/>
      <c r="C6" s="224" t="s">
        <v>123</v>
      </c>
      <c r="D6" s="224" t="s">
        <v>123</v>
      </c>
      <c r="E6" s="3"/>
    </row>
    <row r="7" spans="1:7" x14ac:dyDescent="0.25">
      <c r="A7" s="2">
        <v>1</v>
      </c>
      <c r="B7" s="225">
        <v>43095</v>
      </c>
      <c r="C7" s="226">
        <f>3327.5+4436.7</f>
        <v>7764.2</v>
      </c>
      <c r="D7" s="314">
        <f>SUM(C7:C8)</f>
        <v>15528.4</v>
      </c>
      <c r="E7" s="314" t="s">
        <v>124</v>
      </c>
      <c r="F7" s="227"/>
    </row>
    <row r="8" spans="1:7" x14ac:dyDescent="0.25">
      <c r="A8" s="2">
        <v>2</v>
      </c>
      <c r="B8" s="225">
        <v>43126</v>
      </c>
      <c r="C8" s="226">
        <f t="shared" ref="C8:C30" si="0">3327.5+4436.7</f>
        <v>7764.2</v>
      </c>
      <c r="D8" s="314"/>
      <c r="E8" s="314"/>
      <c r="F8" s="227"/>
    </row>
    <row r="9" spans="1:7" x14ac:dyDescent="0.25">
      <c r="A9" s="2">
        <v>3</v>
      </c>
      <c r="B9" s="225">
        <v>43157</v>
      </c>
      <c r="C9" s="226">
        <f t="shared" si="0"/>
        <v>7764.2</v>
      </c>
      <c r="D9" s="314">
        <f>SUM(C9:C10)</f>
        <v>15528.4</v>
      </c>
      <c r="E9" s="313" t="s">
        <v>125</v>
      </c>
      <c r="F9" s="227"/>
    </row>
    <row r="10" spans="1:7" x14ac:dyDescent="0.25">
      <c r="A10" s="2">
        <v>4</v>
      </c>
      <c r="B10" s="225">
        <v>43185</v>
      </c>
      <c r="C10" s="226">
        <f t="shared" si="0"/>
        <v>7764.2</v>
      </c>
      <c r="D10" s="314"/>
      <c r="E10" s="313"/>
      <c r="F10" s="227"/>
    </row>
    <row r="11" spans="1:7" x14ac:dyDescent="0.25">
      <c r="A11" s="2">
        <v>5</v>
      </c>
      <c r="B11" s="225">
        <v>43216</v>
      </c>
      <c r="C11" s="226">
        <f t="shared" si="0"/>
        <v>7764.2</v>
      </c>
      <c r="D11" s="314">
        <v>15528</v>
      </c>
      <c r="E11" s="313" t="s">
        <v>126</v>
      </c>
      <c r="F11" s="227"/>
    </row>
    <row r="12" spans="1:7" x14ac:dyDescent="0.25">
      <c r="A12" s="2">
        <v>6</v>
      </c>
      <c r="B12" s="225">
        <v>43246</v>
      </c>
      <c r="C12" s="226">
        <f t="shared" si="0"/>
        <v>7764.2</v>
      </c>
      <c r="D12" s="314"/>
      <c r="E12" s="313"/>
      <c r="F12" s="227"/>
      <c r="G12" s="3"/>
    </row>
    <row r="13" spans="1:7" x14ac:dyDescent="0.25">
      <c r="A13" s="2">
        <v>7</v>
      </c>
      <c r="B13" s="225">
        <v>43277</v>
      </c>
      <c r="C13" s="226">
        <f t="shared" si="0"/>
        <v>7764.2</v>
      </c>
      <c r="D13" s="313">
        <f>+C15+C13+C14</f>
        <v>23292.6</v>
      </c>
      <c r="E13" s="313" t="s">
        <v>127</v>
      </c>
      <c r="F13" s="227"/>
    </row>
    <row r="14" spans="1:7" x14ac:dyDescent="0.25">
      <c r="A14" s="2">
        <v>8</v>
      </c>
      <c r="B14" s="225">
        <v>43307</v>
      </c>
      <c r="C14" s="226">
        <f t="shared" si="0"/>
        <v>7764.2</v>
      </c>
      <c r="D14" s="313"/>
      <c r="E14" s="313"/>
      <c r="F14" s="227"/>
    </row>
    <row r="15" spans="1:7" x14ac:dyDescent="0.25">
      <c r="A15" s="2">
        <v>9</v>
      </c>
      <c r="B15" s="225">
        <v>43338</v>
      </c>
      <c r="C15" s="226">
        <f t="shared" si="0"/>
        <v>7764.2</v>
      </c>
      <c r="D15" s="313"/>
      <c r="E15" s="313"/>
      <c r="F15" s="227"/>
    </row>
    <row r="16" spans="1:7" x14ac:dyDescent="0.25">
      <c r="A16" s="2">
        <v>10</v>
      </c>
      <c r="B16" s="225">
        <v>43369</v>
      </c>
      <c r="C16" s="226">
        <f t="shared" si="0"/>
        <v>7764.2</v>
      </c>
      <c r="D16" s="226">
        <v>7764</v>
      </c>
      <c r="E16" s="226" t="s">
        <v>124</v>
      </c>
      <c r="F16" s="227"/>
    </row>
    <row r="17" spans="1:6" x14ac:dyDescent="0.25">
      <c r="A17" s="2">
        <v>11</v>
      </c>
      <c r="B17" s="225">
        <v>43399</v>
      </c>
      <c r="C17" s="226">
        <f t="shared" si="0"/>
        <v>7764.2</v>
      </c>
      <c r="D17" s="226">
        <v>7764</v>
      </c>
      <c r="E17" s="226" t="s">
        <v>124</v>
      </c>
      <c r="F17" s="227"/>
    </row>
    <row r="18" spans="1:6" x14ac:dyDescent="0.25">
      <c r="A18" s="2">
        <v>12</v>
      </c>
      <c r="B18" s="225">
        <v>43430</v>
      </c>
      <c r="C18" s="226">
        <f t="shared" si="0"/>
        <v>7764.2</v>
      </c>
      <c r="D18" s="226">
        <v>7764</v>
      </c>
      <c r="E18" s="226" t="s">
        <v>124</v>
      </c>
      <c r="F18" s="227"/>
    </row>
    <row r="19" spans="1:6" x14ac:dyDescent="0.25">
      <c r="A19" s="2">
        <v>13</v>
      </c>
      <c r="B19" s="225">
        <v>43460</v>
      </c>
      <c r="C19" s="226">
        <f t="shared" si="0"/>
        <v>7764.2</v>
      </c>
      <c r="D19" s="226">
        <v>7764</v>
      </c>
      <c r="E19" s="226" t="s">
        <v>128</v>
      </c>
      <c r="F19" s="227"/>
    </row>
    <row r="20" spans="1:6" x14ac:dyDescent="0.25">
      <c r="A20" s="2">
        <v>14</v>
      </c>
      <c r="B20" s="223">
        <v>43491</v>
      </c>
      <c r="C20" s="3">
        <f t="shared" si="0"/>
        <v>7764.2</v>
      </c>
      <c r="D20" s="3"/>
      <c r="E20" s="3"/>
    </row>
    <row r="21" spans="1:6" x14ac:dyDescent="0.25">
      <c r="A21" s="2">
        <v>15</v>
      </c>
      <c r="B21" s="223">
        <v>43522</v>
      </c>
      <c r="C21" s="3">
        <f t="shared" si="0"/>
        <v>7764.2</v>
      </c>
      <c r="D21" s="3"/>
      <c r="E21" s="3"/>
    </row>
    <row r="22" spans="1:6" x14ac:dyDescent="0.25">
      <c r="A22" s="2">
        <v>16</v>
      </c>
      <c r="B22" s="223">
        <v>43550</v>
      </c>
      <c r="C22" s="3">
        <f t="shared" si="0"/>
        <v>7764.2</v>
      </c>
      <c r="D22" s="3"/>
      <c r="E22" s="3"/>
    </row>
    <row r="23" spans="1:6" x14ac:dyDescent="0.25">
      <c r="A23" s="2">
        <v>17</v>
      </c>
      <c r="B23" s="223">
        <v>43581</v>
      </c>
      <c r="C23" s="3">
        <f t="shared" si="0"/>
        <v>7764.2</v>
      </c>
      <c r="D23" s="3"/>
      <c r="E23" s="3"/>
    </row>
    <row r="24" spans="1:6" x14ac:dyDescent="0.25">
      <c r="A24" s="2">
        <v>18</v>
      </c>
      <c r="B24" s="223">
        <v>43611</v>
      </c>
      <c r="C24" s="3">
        <f t="shared" si="0"/>
        <v>7764.2</v>
      </c>
      <c r="D24" s="3"/>
      <c r="E24" s="3"/>
    </row>
    <row r="25" spans="1:6" x14ac:dyDescent="0.25">
      <c r="A25" s="2">
        <v>19</v>
      </c>
      <c r="B25" s="223">
        <v>43642</v>
      </c>
      <c r="C25" s="3">
        <f t="shared" si="0"/>
        <v>7764.2</v>
      </c>
      <c r="D25" s="3"/>
      <c r="E25" s="3"/>
    </row>
    <row r="26" spans="1:6" x14ac:dyDescent="0.25">
      <c r="A26" s="2">
        <v>20</v>
      </c>
      <c r="B26" s="223">
        <v>43672</v>
      </c>
      <c r="C26" s="3">
        <f t="shared" si="0"/>
        <v>7764.2</v>
      </c>
      <c r="D26" s="3"/>
      <c r="E26" s="3"/>
    </row>
    <row r="27" spans="1:6" x14ac:dyDescent="0.25">
      <c r="A27" s="2">
        <v>21</v>
      </c>
      <c r="B27" s="223">
        <v>43703</v>
      </c>
      <c r="C27" s="3">
        <f t="shared" si="0"/>
        <v>7764.2</v>
      </c>
      <c r="D27" s="3"/>
      <c r="E27" s="3"/>
    </row>
    <row r="28" spans="1:6" x14ac:dyDescent="0.25">
      <c r="A28" s="2">
        <v>22</v>
      </c>
      <c r="B28" s="223">
        <v>43734</v>
      </c>
      <c r="C28" s="3">
        <f t="shared" si="0"/>
        <v>7764.2</v>
      </c>
      <c r="D28" s="3"/>
      <c r="E28" s="3"/>
    </row>
    <row r="29" spans="1:6" x14ac:dyDescent="0.25">
      <c r="A29" s="2">
        <v>23</v>
      </c>
      <c r="B29" s="223">
        <v>43764</v>
      </c>
      <c r="C29" s="3">
        <f t="shared" si="0"/>
        <v>7764.2</v>
      </c>
      <c r="D29" s="3"/>
      <c r="E29" s="3"/>
    </row>
    <row r="30" spans="1:6" x14ac:dyDescent="0.25">
      <c r="A30" s="2">
        <v>24</v>
      </c>
      <c r="B30" s="223">
        <v>43795</v>
      </c>
      <c r="C30" s="3">
        <f t="shared" si="0"/>
        <v>7764.2</v>
      </c>
      <c r="D30" s="3"/>
      <c r="E30" s="3"/>
    </row>
    <row r="31" spans="1:6" x14ac:dyDescent="0.25">
      <c r="B31" s="223"/>
      <c r="C31" s="281">
        <f>SUM(C7:C30)</f>
        <v>186340.80000000005</v>
      </c>
      <c r="D31" s="281">
        <f>SUM(D7:D30)</f>
        <v>100933.4</v>
      </c>
      <c r="E31" s="3"/>
    </row>
    <row r="32" spans="1:6" x14ac:dyDescent="0.25">
      <c r="B32" s="223"/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  <row r="35" spans="4:5" x14ac:dyDescent="0.25">
      <c r="D35" s="3"/>
      <c r="E35" s="3"/>
    </row>
    <row r="36" spans="4:5" x14ac:dyDescent="0.25">
      <c r="D36" s="3"/>
      <c r="E36" s="3"/>
    </row>
  </sheetData>
  <mergeCells count="8">
    <mergeCell ref="D13:D15"/>
    <mergeCell ref="E13:E15"/>
    <mergeCell ref="D7:D8"/>
    <mergeCell ref="E7:E8"/>
    <mergeCell ref="D9:D10"/>
    <mergeCell ref="E9:E10"/>
    <mergeCell ref="D11:D12"/>
    <mergeCell ref="E11:E12"/>
  </mergeCells>
  <pageMargins left="0.75" right="0.75" top="1" bottom="1" header="0.5" footer="0.5"/>
  <pageSetup paperSize="5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D4:H29"/>
  <sheetViews>
    <sheetView topLeftCell="A4" workbookViewId="0">
      <selection activeCell="D7" sqref="D7"/>
    </sheetView>
  </sheetViews>
  <sheetFormatPr baseColWidth="10" defaultRowHeight="15.75" x14ac:dyDescent="0.25"/>
  <cols>
    <col min="1" max="4" width="11.42578125" style="227"/>
    <col min="5" max="5" width="23.85546875" style="227" customWidth="1"/>
    <col min="6" max="6" width="13" style="227" bestFit="1" customWidth="1"/>
    <col min="7" max="7" width="19.5703125" style="227" customWidth="1"/>
    <col min="8" max="8" width="13" style="227" bestFit="1" customWidth="1"/>
    <col min="9" max="16384" width="11.42578125" style="227"/>
  </cols>
  <sheetData>
    <row r="4" spans="4:8" x14ac:dyDescent="0.25">
      <c r="D4" s="240"/>
      <c r="E4" s="240"/>
      <c r="F4" s="240"/>
      <c r="G4" s="240"/>
      <c r="H4" s="240"/>
    </row>
    <row r="5" spans="4:8" ht="21" x14ac:dyDescent="0.35">
      <c r="D5" s="241" t="s">
        <v>132</v>
      </c>
      <c r="E5" s="240"/>
      <c r="F5" s="240"/>
      <c r="G5" s="240"/>
      <c r="H5" s="240"/>
    </row>
    <row r="6" spans="4:8" ht="18.75" x14ac:dyDescent="0.3">
      <c r="D6" s="240" t="s">
        <v>129</v>
      </c>
      <c r="E6" s="242">
        <v>50000</v>
      </c>
      <c r="F6" s="244" t="s">
        <v>165</v>
      </c>
      <c r="G6" s="240"/>
      <c r="H6" s="240"/>
    </row>
    <row r="7" spans="4:8" x14ac:dyDescent="0.25">
      <c r="D7" s="240"/>
      <c r="E7" s="245"/>
      <c r="F7" s="246"/>
      <c r="G7" s="240"/>
      <c r="H7" s="240"/>
    </row>
    <row r="8" spans="4:8" ht="18.75" x14ac:dyDescent="0.3">
      <c r="D8" s="240"/>
      <c r="E8" s="242"/>
      <c r="F8" s="240"/>
      <c r="G8" s="240"/>
      <c r="H8" s="240"/>
    </row>
    <row r="9" spans="4:8" x14ac:dyDescent="0.25">
      <c r="D9" s="240"/>
      <c r="E9" s="245"/>
      <c r="F9" s="240"/>
      <c r="G9" s="240"/>
      <c r="H9" s="240"/>
    </row>
    <row r="10" spans="4:8" x14ac:dyDescent="0.25">
      <c r="D10" s="33"/>
      <c r="E10" s="247" t="s">
        <v>3</v>
      </c>
      <c r="F10" s="247" t="s">
        <v>130</v>
      </c>
      <c r="G10" s="240" t="s">
        <v>139</v>
      </c>
      <c r="H10" s="240" t="s">
        <v>4</v>
      </c>
    </row>
    <row r="11" spans="4:8" x14ac:dyDescent="0.25">
      <c r="D11" s="33">
        <v>1</v>
      </c>
      <c r="E11" s="248">
        <v>43281</v>
      </c>
      <c r="F11" s="249">
        <v>500</v>
      </c>
      <c r="G11" s="315">
        <v>43291</v>
      </c>
      <c r="H11" s="317">
        <v>1000</v>
      </c>
    </row>
    <row r="12" spans="4:8" x14ac:dyDescent="0.25">
      <c r="D12" s="33">
        <v>2</v>
      </c>
      <c r="E12" s="248">
        <v>43311</v>
      </c>
      <c r="F12" s="249">
        <v>500</v>
      </c>
      <c r="G12" s="316"/>
      <c r="H12" s="318"/>
    </row>
    <row r="13" spans="4:8" x14ac:dyDescent="0.25">
      <c r="D13" s="33">
        <v>3</v>
      </c>
      <c r="E13" s="248">
        <v>43342</v>
      </c>
      <c r="F13" s="249">
        <v>500</v>
      </c>
      <c r="G13" s="315">
        <v>43378</v>
      </c>
      <c r="H13" s="319">
        <v>1000</v>
      </c>
    </row>
    <row r="14" spans="4:8" x14ac:dyDescent="0.25">
      <c r="D14" s="33">
        <v>4</v>
      </c>
      <c r="E14" s="248">
        <v>43373</v>
      </c>
      <c r="F14" s="249">
        <v>500</v>
      </c>
      <c r="G14" s="316"/>
      <c r="H14" s="320"/>
    </row>
    <row r="15" spans="4:8" x14ac:dyDescent="0.25">
      <c r="D15" s="33">
        <v>5</v>
      </c>
      <c r="E15" s="248">
        <v>43403</v>
      </c>
      <c r="F15" s="249">
        <v>500</v>
      </c>
      <c r="G15" s="315">
        <v>43473</v>
      </c>
      <c r="H15" s="317">
        <v>1500</v>
      </c>
    </row>
    <row r="16" spans="4:8" x14ac:dyDescent="0.25">
      <c r="D16" s="33">
        <v>6</v>
      </c>
      <c r="E16" s="248">
        <v>43434</v>
      </c>
      <c r="F16" s="249">
        <v>500</v>
      </c>
      <c r="G16" s="321"/>
      <c r="H16" s="322"/>
    </row>
    <row r="17" spans="4:8" x14ac:dyDescent="0.25">
      <c r="D17" s="33">
        <v>7</v>
      </c>
      <c r="E17" s="248">
        <v>43464</v>
      </c>
      <c r="F17" s="249">
        <v>500</v>
      </c>
      <c r="G17" s="316"/>
      <c r="H17" s="318"/>
    </row>
    <row r="18" spans="4:8" x14ac:dyDescent="0.25">
      <c r="D18" s="33">
        <v>8</v>
      </c>
      <c r="E18" s="248">
        <v>43495</v>
      </c>
      <c r="F18" s="249">
        <v>500</v>
      </c>
      <c r="G18" s="248"/>
      <c r="H18" s="249"/>
    </row>
    <row r="19" spans="4:8" x14ac:dyDescent="0.25">
      <c r="D19" s="33">
        <v>10</v>
      </c>
      <c r="E19" s="248" t="s">
        <v>166</v>
      </c>
      <c r="F19" s="249">
        <v>500</v>
      </c>
      <c r="G19" s="248"/>
      <c r="H19" s="249"/>
    </row>
    <row r="20" spans="4:8" x14ac:dyDescent="0.25">
      <c r="D20" s="33">
        <v>10</v>
      </c>
      <c r="E20" s="248">
        <v>43554</v>
      </c>
      <c r="F20" s="249">
        <v>500</v>
      </c>
      <c r="G20" s="248"/>
      <c r="H20" s="249"/>
    </row>
    <row r="21" spans="4:8" x14ac:dyDescent="0.25">
      <c r="D21" s="33">
        <v>11</v>
      </c>
      <c r="E21" s="248">
        <v>43585</v>
      </c>
      <c r="F21" s="249">
        <v>500</v>
      </c>
      <c r="G21" s="248"/>
      <c r="H21" s="249"/>
    </row>
    <row r="22" spans="4:8" x14ac:dyDescent="0.25">
      <c r="D22" s="33">
        <v>12</v>
      </c>
      <c r="E22" s="248">
        <v>43615</v>
      </c>
      <c r="F22" s="249">
        <v>500</v>
      </c>
      <c r="G22" s="248"/>
      <c r="H22" s="249"/>
    </row>
    <row r="23" spans="4:8" x14ac:dyDescent="0.25">
      <c r="D23" s="240"/>
      <c r="E23" s="240"/>
      <c r="F23" s="282">
        <f>SUM(F11:F22)</f>
        <v>6000</v>
      </c>
      <c r="G23" s="282"/>
      <c r="H23" s="282">
        <f t="shared" ref="H23" si="0">SUM(H11:H22)</f>
        <v>3500</v>
      </c>
    </row>
    <row r="24" spans="4:8" x14ac:dyDescent="0.25">
      <c r="D24" s="240"/>
      <c r="E24" s="240"/>
      <c r="F24" s="240"/>
      <c r="G24" s="240"/>
      <c r="H24" s="282"/>
    </row>
    <row r="25" spans="4:8" x14ac:dyDescent="0.25">
      <c r="D25" s="240"/>
      <c r="E25" s="240"/>
      <c r="F25" s="240"/>
      <c r="G25" s="240"/>
      <c r="H25" s="240"/>
    </row>
    <row r="26" spans="4:8" x14ac:dyDescent="0.25">
      <c r="D26" s="240"/>
      <c r="E26" s="240"/>
      <c r="F26" s="240"/>
      <c r="G26" s="240"/>
      <c r="H26" s="240"/>
    </row>
    <row r="27" spans="4:8" x14ac:dyDescent="0.25">
      <c r="D27" s="240"/>
      <c r="E27" s="240"/>
      <c r="F27" s="240"/>
      <c r="G27" s="240"/>
      <c r="H27" s="240"/>
    </row>
    <row r="28" spans="4:8" x14ac:dyDescent="0.25">
      <c r="D28" s="240"/>
      <c r="E28" s="250"/>
      <c r="F28" s="240"/>
      <c r="G28" s="240"/>
      <c r="H28" s="240"/>
    </row>
    <row r="29" spans="4:8" x14ac:dyDescent="0.25">
      <c r="D29" s="240"/>
      <c r="E29" s="240"/>
      <c r="F29" s="240"/>
      <c r="G29" s="240"/>
      <c r="H29" s="240"/>
    </row>
  </sheetData>
  <mergeCells count="6">
    <mergeCell ref="G11:G12"/>
    <mergeCell ref="H11:H12"/>
    <mergeCell ref="G13:G14"/>
    <mergeCell ref="H13:H14"/>
    <mergeCell ref="G15:G17"/>
    <mergeCell ref="H15:H17"/>
  </mergeCells>
  <pageMargins left="0.74803149606299213" right="0.74803149606299213" top="0.98425196850393704" bottom="0.98425196850393704" header="0.51181102362204722" footer="0.51181102362204722"/>
  <pageSetup paperSize="9" scale="87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J42"/>
  <sheetViews>
    <sheetView topLeftCell="A10" workbookViewId="0">
      <selection activeCell="C2" sqref="C2"/>
    </sheetView>
  </sheetViews>
  <sheetFormatPr baseColWidth="10" defaultColWidth="12.42578125" defaultRowHeight="15" x14ac:dyDescent="0.25"/>
  <cols>
    <col min="1" max="3" width="12.42578125" style="252"/>
    <col min="4" max="4" width="14.140625" style="264" bestFit="1" customWidth="1"/>
    <col min="5" max="5" width="12.42578125" style="265"/>
    <col min="6" max="6" width="13.140625" style="264" bestFit="1" customWidth="1"/>
    <col min="7" max="7" width="12.42578125" style="252"/>
    <col min="8" max="8" width="13.140625" style="252" bestFit="1" customWidth="1"/>
    <col min="9" max="16384" width="12.42578125" style="252"/>
  </cols>
  <sheetData>
    <row r="2" spans="2:6" x14ac:dyDescent="0.25">
      <c r="C2" s="290" t="s">
        <v>129</v>
      </c>
      <c r="D2" s="283">
        <v>358651</v>
      </c>
    </row>
    <row r="5" spans="2:6" x14ac:dyDescent="0.25">
      <c r="B5" s="323" t="s">
        <v>136</v>
      </c>
      <c r="C5" s="323"/>
      <c r="D5" s="323"/>
      <c r="E5" s="323"/>
      <c r="F5" s="288"/>
    </row>
    <row r="7" spans="2:6" x14ac:dyDescent="0.25">
      <c r="B7" s="253" t="s">
        <v>137</v>
      </c>
      <c r="C7" s="253" t="s">
        <v>138</v>
      </c>
      <c r="D7" s="254" t="s">
        <v>4</v>
      </c>
      <c r="E7" s="255" t="s">
        <v>139</v>
      </c>
      <c r="F7" s="254" t="s">
        <v>4</v>
      </c>
    </row>
    <row r="8" spans="2:6" x14ac:dyDescent="0.25">
      <c r="B8" s="256">
        <v>1</v>
      </c>
      <c r="C8" s="257">
        <v>43313</v>
      </c>
      <c r="D8" s="258">
        <v>3294</v>
      </c>
      <c r="E8" s="259">
        <v>43348</v>
      </c>
      <c r="F8" s="258">
        <v>3294</v>
      </c>
    </row>
    <row r="9" spans="2:6" x14ac:dyDescent="0.25">
      <c r="B9" s="256">
        <v>2</v>
      </c>
      <c r="C9" s="257">
        <v>43344</v>
      </c>
      <c r="D9" s="258">
        <v>3294</v>
      </c>
      <c r="E9" s="259">
        <v>43348</v>
      </c>
      <c r="F9" s="258">
        <v>3294</v>
      </c>
    </row>
    <row r="10" spans="2:6" x14ac:dyDescent="0.25">
      <c r="B10" s="256">
        <v>3</v>
      </c>
      <c r="C10" s="257">
        <v>43374</v>
      </c>
      <c r="D10" s="258">
        <v>3294</v>
      </c>
      <c r="E10" s="259">
        <v>43348</v>
      </c>
      <c r="F10" s="258">
        <v>3294</v>
      </c>
    </row>
    <row r="11" spans="2:6" x14ac:dyDescent="0.25">
      <c r="B11" s="284">
        <v>4</v>
      </c>
      <c r="C11" s="285">
        <v>43405</v>
      </c>
      <c r="D11" s="286">
        <f>+D10</f>
        <v>3294</v>
      </c>
      <c r="E11" s="287">
        <v>43470</v>
      </c>
      <c r="F11" s="286">
        <f>+F10</f>
        <v>3294</v>
      </c>
    </row>
    <row r="12" spans="2:6" x14ac:dyDescent="0.25">
      <c r="B12" s="284">
        <v>5</v>
      </c>
      <c r="C12" s="285">
        <v>43435</v>
      </c>
      <c r="D12" s="286">
        <f>+D11</f>
        <v>3294</v>
      </c>
      <c r="E12" s="287">
        <v>43470</v>
      </c>
      <c r="F12" s="286">
        <f>+F11</f>
        <v>3294</v>
      </c>
    </row>
    <row r="13" spans="2:6" x14ac:dyDescent="0.25">
      <c r="B13" s="284">
        <v>6</v>
      </c>
      <c r="C13" s="285">
        <v>43466</v>
      </c>
      <c r="D13" s="286">
        <v>3294</v>
      </c>
      <c r="E13" s="287">
        <v>43470</v>
      </c>
      <c r="F13" s="286">
        <v>3294</v>
      </c>
    </row>
    <row r="14" spans="2:6" x14ac:dyDescent="0.25">
      <c r="B14" s="260">
        <v>7</v>
      </c>
      <c r="C14" s="261">
        <v>43497</v>
      </c>
      <c r="D14" s="262">
        <f t="shared" ref="D14:D21" si="0">+D13</f>
        <v>3294</v>
      </c>
      <c r="E14" s="263"/>
      <c r="F14" s="262"/>
    </row>
    <row r="15" spans="2:6" x14ac:dyDescent="0.25">
      <c r="B15" s="260">
        <v>8</v>
      </c>
      <c r="C15" s="261">
        <v>43525</v>
      </c>
      <c r="D15" s="262">
        <f t="shared" si="0"/>
        <v>3294</v>
      </c>
      <c r="E15" s="263"/>
      <c r="F15" s="262"/>
    </row>
    <row r="16" spans="2:6" x14ac:dyDescent="0.25">
      <c r="B16" s="260">
        <v>9</v>
      </c>
      <c r="C16" s="261">
        <v>43556</v>
      </c>
      <c r="D16" s="262">
        <f t="shared" si="0"/>
        <v>3294</v>
      </c>
      <c r="E16" s="263"/>
      <c r="F16" s="262"/>
    </row>
    <row r="17" spans="2:10" x14ac:dyDescent="0.25">
      <c r="B17" s="260">
        <v>10</v>
      </c>
      <c r="C17" s="261">
        <v>43586</v>
      </c>
      <c r="D17" s="262">
        <f t="shared" si="0"/>
        <v>3294</v>
      </c>
      <c r="E17" s="263"/>
      <c r="F17" s="262"/>
    </row>
    <row r="18" spans="2:10" x14ac:dyDescent="0.25">
      <c r="B18" s="260">
        <v>11</v>
      </c>
      <c r="C18" s="261">
        <v>43617</v>
      </c>
      <c r="D18" s="262">
        <f t="shared" si="0"/>
        <v>3294</v>
      </c>
      <c r="E18" s="263"/>
      <c r="F18" s="262"/>
    </row>
    <row r="19" spans="2:10" x14ac:dyDescent="0.25">
      <c r="B19" s="260">
        <v>12</v>
      </c>
      <c r="C19" s="261">
        <v>43647</v>
      </c>
      <c r="D19" s="262">
        <f t="shared" si="0"/>
        <v>3294</v>
      </c>
      <c r="E19" s="263"/>
      <c r="F19" s="262"/>
    </row>
    <row r="20" spans="2:10" x14ac:dyDescent="0.25">
      <c r="B20" s="260">
        <v>13</v>
      </c>
      <c r="C20" s="261">
        <v>43678</v>
      </c>
      <c r="D20" s="262">
        <f t="shared" si="0"/>
        <v>3294</v>
      </c>
      <c r="E20" s="263"/>
      <c r="F20" s="262"/>
    </row>
    <row r="21" spans="2:10" x14ac:dyDescent="0.25">
      <c r="B21" s="260">
        <v>14</v>
      </c>
      <c r="C21" s="261">
        <v>43709</v>
      </c>
      <c r="D21" s="262">
        <f t="shared" si="0"/>
        <v>3294</v>
      </c>
      <c r="E21" s="263"/>
      <c r="F21" s="262"/>
    </row>
    <row r="22" spans="2:10" x14ac:dyDescent="0.25">
      <c r="D22" s="283">
        <f>SUM(D8:D21)</f>
        <v>46116</v>
      </c>
      <c r="F22" s="283">
        <f>SUM(F8:F21)</f>
        <v>19764</v>
      </c>
    </row>
    <row r="25" spans="2:10" x14ac:dyDescent="0.25">
      <c r="B25" s="324" t="s">
        <v>140</v>
      </c>
      <c r="C25" s="324"/>
      <c r="D25" s="324"/>
      <c r="E25" s="324"/>
      <c r="F25" s="289"/>
    </row>
    <row r="27" spans="2:10" x14ac:dyDescent="0.25">
      <c r="B27" s="253" t="s">
        <v>137</v>
      </c>
      <c r="C27" s="253" t="s">
        <v>138</v>
      </c>
      <c r="D27" s="254" t="s">
        <v>4</v>
      </c>
      <c r="E27" s="255" t="s">
        <v>139</v>
      </c>
      <c r="F27" s="254" t="s">
        <v>4</v>
      </c>
    </row>
    <row r="28" spans="2:10" x14ac:dyDescent="0.25">
      <c r="B28" s="256">
        <v>1</v>
      </c>
      <c r="C28" s="257">
        <v>43313</v>
      </c>
      <c r="D28" s="258">
        <v>1189</v>
      </c>
      <c r="E28" s="259">
        <v>43348</v>
      </c>
      <c r="F28" s="258">
        <v>1189</v>
      </c>
    </row>
    <row r="29" spans="2:10" x14ac:dyDescent="0.25">
      <c r="B29" s="256">
        <v>2</v>
      </c>
      <c r="C29" s="257">
        <v>43344</v>
      </c>
      <c r="D29" s="258">
        <v>1189</v>
      </c>
      <c r="E29" s="259">
        <v>43348</v>
      </c>
      <c r="F29" s="258">
        <v>1189</v>
      </c>
      <c r="H29" s="264"/>
    </row>
    <row r="30" spans="2:10" x14ac:dyDescent="0.25">
      <c r="B30" s="256">
        <v>3</v>
      </c>
      <c r="C30" s="257">
        <v>43374</v>
      </c>
      <c r="D30" s="258">
        <v>1189</v>
      </c>
      <c r="E30" s="259">
        <v>43348</v>
      </c>
      <c r="F30" s="258">
        <v>1189</v>
      </c>
    </row>
    <row r="31" spans="2:10" x14ac:dyDescent="0.25">
      <c r="B31" s="284">
        <v>4</v>
      </c>
      <c r="C31" s="285">
        <v>43405</v>
      </c>
      <c r="D31" s="286">
        <v>1189</v>
      </c>
      <c r="E31" s="287">
        <v>43470</v>
      </c>
      <c r="F31" s="286">
        <v>1189</v>
      </c>
    </row>
    <row r="32" spans="2:10" x14ac:dyDescent="0.25">
      <c r="B32" s="284">
        <v>5</v>
      </c>
      <c r="C32" s="285">
        <v>43435</v>
      </c>
      <c r="D32" s="286">
        <v>1189</v>
      </c>
      <c r="E32" s="287">
        <v>43470</v>
      </c>
      <c r="F32" s="286">
        <v>1189</v>
      </c>
      <c r="J32" s="264"/>
    </row>
    <row r="33" spans="2:10" x14ac:dyDescent="0.25">
      <c r="B33" s="284">
        <v>6</v>
      </c>
      <c r="C33" s="285">
        <v>43466</v>
      </c>
      <c r="D33" s="286">
        <v>1189</v>
      </c>
      <c r="E33" s="287">
        <v>43470</v>
      </c>
      <c r="F33" s="286">
        <v>1189</v>
      </c>
      <c r="H33" s="264"/>
      <c r="J33" s="264"/>
    </row>
    <row r="34" spans="2:10" x14ac:dyDescent="0.25">
      <c r="B34" s="260">
        <v>7</v>
      </c>
      <c r="C34" s="261">
        <v>43497</v>
      </c>
      <c r="D34" s="262">
        <v>1189</v>
      </c>
      <c r="E34" s="263"/>
      <c r="F34" s="262"/>
    </row>
    <row r="35" spans="2:10" x14ac:dyDescent="0.25">
      <c r="B35" s="260">
        <v>8</v>
      </c>
      <c r="C35" s="261">
        <v>43525</v>
      </c>
      <c r="D35" s="262">
        <v>1189</v>
      </c>
      <c r="E35" s="263"/>
      <c r="F35" s="262"/>
    </row>
    <row r="36" spans="2:10" x14ac:dyDescent="0.25">
      <c r="B36" s="260">
        <v>9</v>
      </c>
      <c r="C36" s="261">
        <v>43556</v>
      </c>
      <c r="D36" s="262">
        <v>1189</v>
      </c>
      <c r="E36" s="263"/>
      <c r="F36" s="262"/>
    </row>
    <row r="37" spans="2:10" x14ac:dyDescent="0.25">
      <c r="B37" s="260">
        <v>10</v>
      </c>
      <c r="C37" s="261">
        <v>43586</v>
      </c>
      <c r="D37" s="262">
        <v>1189</v>
      </c>
      <c r="E37" s="263"/>
      <c r="F37" s="262"/>
    </row>
    <row r="38" spans="2:10" x14ac:dyDescent="0.25">
      <c r="B38" s="260">
        <v>11</v>
      </c>
      <c r="C38" s="261">
        <v>43617</v>
      </c>
      <c r="D38" s="262">
        <v>1189</v>
      </c>
      <c r="E38" s="263"/>
      <c r="F38" s="262"/>
    </row>
    <row r="39" spans="2:10" x14ac:dyDescent="0.25">
      <c r="B39" s="260">
        <v>12</v>
      </c>
      <c r="C39" s="261">
        <v>43647</v>
      </c>
      <c r="D39" s="262">
        <v>1189</v>
      </c>
      <c r="E39" s="263"/>
      <c r="F39" s="262"/>
    </row>
    <row r="40" spans="2:10" x14ac:dyDescent="0.25">
      <c r="B40" s="260">
        <v>13</v>
      </c>
      <c r="C40" s="261">
        <v>43678</v>
      </c>
      <c r="D40" s="262">
        <v>1189</v>
      </c>
      <c r="E40" s="263"/>
      <c r="F40" s="262"/>
    </row>
    <row r="41" spans="2:10" x14ac:dyDescent="0.25">
      <c r="B41" s="260">
        <v>14</v>
      </c>
      <c r="C41" s="261">
        <v>43709</v>
      </c>
      <c r="D41" s="262">
        <v>1189</v>
      </c>
      <c r="E41" s="263"/>
      <c r="F41" s="262"/>
    </row>
    <row r="42" spans="2:10" x14ac:dyDescent="0.25">
      <c r="D42" s="283">
        <f>SUM(D28:D41)</f>
        <v>16646</v>
      </c>
      <c r="F42" s="283">
        <f>SUM(F28:F41)</f>
        <v>7134</v>
      </c>
    </row>
  </sheetData>
  <mergeCells count="2">
    <mergeCell ref="B5:E5"/>
    <mergeCell ref="B25:E25"/>
  </mergeCells>
  <pageMargins left="0.7" right="0.7" top="0.75" bottom="0.75" header="0.3" footer="0.3"/>
  <pageSetup paperSize="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D4:I42"/>
  <sheetViews>
    <sheetView topLeftCell="A7" workbookViewId="0">
      <selection activeCell="G40" sqref="G40"/>
    </sheetView>
  </sheetViews>
  <sheetFormatPr baseColWidth="10" defaultRowHeight="15.75" x14ac:dyDescent="0.25"/>
  <cols>
    <col min="1" max="4" width="11.42578125" style="227"/>
    <col min="5" max="5" width="23.85546875" style="227" customWidth="1"/>
    <col min="6" max="6" width="0" style="227" hidden="1" customWidth="1"/>
    <col min="7" max="16384" width="11.42578125" style="227"/>
  </cols>
  <sheetData>
    <row r="4" spans="4:9" x14ac:dyDescent="0.25">
      <c r="D4" s="240"/>
      <c r="E4" s="240"/>
      <c r="F4" s="240"/>
      <c r="G4" s="240"/>
      <c r="H4" s="240"/>
      <c r="I4" s="240"/>
    </row>
    <row r="5" spans="4:9" ht="21" x14ac:dyDescent="0.35">
      <c r="D5" s="241" t="s">
        <v>132</v>
      </c>
      <c r="E5" s="240"/>
      <c r="F5" s="240"/>
      <c r="G5" s="240"/>
      <c r="H5" s="240"/>
      <c r="I5" s="240"/>
    </row>
    <row r="6" spans="4:9" ht="18.75" x14ac:dyDescent="0.3">
      <c r="D6" s="240" t="s">
        <v>135</v>
      </c>
      <c r="E6" s="242">
        <v>44100</v>
      </c>
      <c r="F6" s="243" t="s">
        <v>133</v>
      </c>
      <c r="G6" s="244" t="s">
        <v>134</v>
      </c>
      <c r="H6" s="240"/>
      <c r="I6" s="240"/>
    </row>
    <row r="7" spans="4:9" x14ac:dyDescent="0.25">
      <c r="D7" s="240" t="s">
        <v>130</v>
      </c>
      <c r="E7" s="245">
        <f>+H35</f>
        <v>11484</v>
      </c>
      <c r="F7" s="240"/>
      <c r="G7" s="246"/>
      <c r="H7" s="240"/>
      <c r="I7" s="240"/>
    </row>
    <row r="8" spans="4:9" ht="18.75" x14ac:dyDescent="0.3">
      <c r="D8" s="240"/>
      <c r="E8" s="242">
        <f>+E6+E7</f>
        <v>55584</v>
      </c>
      <c r="F8" s="240"/>
      <c r="G8" s="240"/>
      <c r="H8" s="240"/>
      <c r="I8" s="240"/>
    </row>
    <row r="9" spans="4:9" x14ac:dyDescent="0.25">
      <c r="D9" s="240"/>
      <c r="E9" s="245"/>
      <c r="F9" s="240"/>
      <c r="G9" s="240"/>
      <c r="H9" s="240"/>
      <c r="I9" s="240"/>
    </row>
    <row r="10" spans="4:9" x14ac:dyDescent="0.25">
      <c r="D10" s="33"/>
      <c r="E10" s="247" t="s">
        <v>3</v>
      </c>
      <c r="F10" s="247" t="s">
        <v>129</v>
      </c>
      <c r="G10" s="247" t="s">
        <v>130</v>
      </c>
      <c r="H10" s="240"/>
      <c r="I10" s="240"/>
    </row>
    <row r="11" spans="4:9" x14ac:dyDescent="0.25">
      <c r="D11" s="33"/>
      <c r="E11" s="33"/>
      <c r="F11" s="32">
        <f>E6</f>
        <v>44100</v>
      </c>
      <c r="G11" s="33"/>
      <c r="H11" s="240"/>
      <c r="I11" s="240"/>
    </row>
    <row r="12" spans="4:9" x14ac:dyDescent="0.25">
      <c r="D12" s="33">
        <v>1</v>
      </c>
      <c r="E12" s="248">
        <v>43489</v>
      </c>
      <c r="F12" s="32">
        <f>F11</f>
        <v>44100</v>
      </c>
      <c r="G12" s="249">
        <v>478.5</v>
      </c>
      <c r="H12" s="240"/>
      <c r="I12" s="240"/>
    </row>
    <row r="13" spans="4:9" x14ac:dyDescent="0.25">
      <c r="D13" s="33">
        <v>2</v>
      </c>
      <c r="E13" s="248">
        <v>43520</v>
      </c>
      <c r="F13" s="32">
        <f t="shared" ref="F13:F35" si="0">F12</f>
        <v>44100</v>
      </c>
      <c r="G13" s="249">
        <v>478.5</v>
      </c>
      <c r="H13" s="245"/>
      <c r="I13" s="240"/>
    </row>
    <row r="14" spans="4:9" x14ac:dyDescent="0.25">
      <c r="D14" s="33">
        <v>3</v>
      </c>
      <c r="E14" s="248">
        <v>43548</v>
      </c>
      <c r="F14" s="32">
        <f t="shared" si="0"/>
        <v>44100</v>
      </c>
      <c r="G14" s="249">
        <v>478.5</v>
      </c>
      <c r="H14" s="245"/>
      <c r="I14" s="240"/>
    </row>
    <row r="15" spans="4:9" x14ac:dyDescent="0.25">
      <c r="D15" s="33">
        <v>4</v>
      </c>
      <c r="E15" s="248">
        <v>43579</v>
      </c>
      <c r="F15" s="32">
        <f t="shared" si="0"/>
        <v>44100</v>
      </c>
      <c r="G15" s="249">
        <v>478.5</v>
      </c>
      <c r="H15" s="245"/>
      <c r="I15" s="240"/>
    </row>
    <row r="16" spans="4:9" x14ac:dyDescent="0.25">
      <c r="D16" s="33">
        <v>5</v>
      </c>
      <c r="E16" s="248">
        <v>43609</v>
      </c>
      <c r="F16" s="32">
        <f t="shared" si="0"/>
        <v>44100</v>
      </c>
      <c r="G16" s="249">
        <v>478.5</v>
      </c>
      <c r="H16" s="245"/>
      <c r="I16" s="240"/>
    </row>
    <row r="17" spans="4:9" x14ac:dyDescent="0.25">
      <c r="D17" s="33">
        <v>6</v>
      </c>
      <c r="E17" s="248">
        <v>43640</v>
      </c>
      <c r="F17" s="32">
        <f t="shared" si="0"/>
        <v>44100</v>
      </c>
      <c r="G17" s="249">
        <v>478.5</v>
      </c>
      <c r="H17" s="245"/>
      <c r="I17" s="240"/>
    </row>
    <row r="18" spans="4:9" x14ac:dyDescent="0.25">
      <c r="D18" s="33">
        <v>7</v>
      </c>
      <c r="E18" s="248">
        <v>43670</v>
      </c>
      <c r="F18" s="32">
        <f t="shared" si="0"/>
        <v>44100</v>
      </c>
      <c r="G18" s="249">
        <v>478.5</v>
      </c>
      <c r="H18" s="245"/>
      <c r="I18" s="240"/>
    </row>
    <row r="19" spans="4:9" x14ac:dyDescent="0.25">
      <c r="D19" s="33">
        <v>8</v>
      </c>
      <c r="E19" s="248">
        <v>43701</v>
      </c>
      <c r="F19" s="32">
        <f t="shared" si="0"/>
        <v>44100</v>
      </c>
      <c r="G19" s="249">
        <v>478.5</v>
      </c>
      <c r="H19" s="245"/>
      <c r="I19" s="240"/>
    </row>
    <row r="20" spans="4:9" x14ac:dyDescent="0.25">
      <c r="D20" s="33">
        <v>9</v>
      </c>
      <c r="E20" s="248">
        <v>43732</v>
      </c>
      <c r="F20" s="32">
        <f t="shared" si="0"/>
        <v>44100</v>
      </c>
      <c r="G20" s="249">
        <v>478.5</v>
      </c>
      <c r="H20" s="245"/>
      <c r="I20" s="240"/>
    </row>
    <row r="21" spans="4:9" x14ac:dyDescent="0.25">
      <c r="D21" s="33">
        <v>10</v>
      </c>
      <c r="E21" s="248">
        <v>43762</v>
      </c>
      <c r="F21" s="32">
        <f t="shared" si="0"/>
        <v>44100</v>
      </c>
      <c r="G21" s="249">
        <v>478.5</v>
      </c>
      <c r="H21" s="245"/>
      <c r="I21" s="240"/>
    </row>
    <row r="22" spans="4:9" x14ac:dyDescent="0.25">
      <c r="D22" s="33">
        <v>11</v>
      </c>
      <c r="E22" s="248">
        <v>43793</v>
      </c>
      <c r="F22" s="32">
        <f t="shared" si="0"/>
        <v>44100</v>
      </c>
      <c r="G22" s="249">
        <v>478.5</v>
      </c>
      <c r="H22" s="245"/>
      <c r="I22" s="240"/>
    </row>
    <row r="23" spans="4:9" x14ac:dyDescent="0.25">
      <c r="D23" s="33">
        <v>12</v>
      </c>
      <c r="E23" s="248">
        <v>43823</v>
      </c>
      <c r="F23" s="32">
        <f t="shared" si="0"/>
        <v>44100</v>
      </c>
      <c r="G23" s="249">
        <v>478.5</v>
      </c>
      <c r="H23" s="245"/>
      <c r="I23" s="240"/>
    </row>
    <row r="24" spans="4:9" x14ac:dyDescent="0.25">
      <c r="D24" s="33">
        <v>13</v>
      </c>
      <c r="E24" s="248">
        <v>43854</v>
      </c>
      <c r="F24" s="32">
        <f t="shared" si="0"/>
        <v>44100</v>
      </c>
      <c r="G24" s="249">
        <v>478.5</v>
      </c>
      <c r="H24" s="245"/>
      <c r="I24" s="240"/>
    </row>
    <row r="25" spans="4:9" x14ac:dyDescent="0.25">
      <c r="D25" s="33">
        <v>14</v>
      </c>
      <c r="E25" s="248">
        <v>43885</v>
      </c>
      <c r="F25" s="32">
        <f t="shared" si="0"/>
        <v>44100</v>
      </c>
      <c r="G25" s="249">
        <v>478.5</v>
      </c>
      <c r="H25" s="240"/>
      <c r="I25" s="240"/>
    </row>
    <row r="26" spans="4:9" x14ac:dyDescent="0.25">
      <c r="D26" s="33">
        <v>15</v>
      </c>
      <c r="E26" s="248">
        <v>43914</v>
      </c>
      <c r="F26" s="32">
        <f t="shared" si="0"/>
        <v>44100</v>
      </c>
      <c r="G26" s="249">
        <v>478.5</v>
      </c>
      <c r="H26" s="240"/>
      <c r="I26" s="240"/>
    </row>
    <row r="27" spans="4:9" x14ac:dyDescent="0.25">
      <c r="D27" s="33">
        <v>16</v>
      </c>
      <c r="E27" s="248">
        <v>43945</v>
      </c>
      <c r="F27" s="32">
        <f t="shared" si="0"/>
        <v>44100</v>
      </c>
      <c r="G27" s="249">
        <v>478.5</v>
      </c>
      <c r="H27" s="240"/>
      <c r="I27" s="240"/>
    </row>
    <row r="28" spans="4:9" x14ac:dyDescent="0.25">
      <c r="D28" s="33">
        <v>17</v>
      </c>
      <c r="E28" s="248">
        <v>43975</v>
      </c>
      <c r="F28" s="32">
        <f t="shared" si="0"/>
        <v>44100</v>
      </c>
      <c r="G28" s="249">
        <v>478.5</v>
      </c>
      <c r="H28" s="240"/>
      <c r="I28" s="240"/>
    </row>
    <row r="29" spans="4:9" x14ac:dyDescent="0.25">
      <c r="D29" s="33">
        <v>18</v>
      </c>
      <c r="E29" s="248">
        <v>44006</v>
      </c>
      <c r="F29" s="32">
        <f t="shared" si="0"/>
        <v>44100</v>
      </c>
      <c r="G29" s="249">
        <v>478.5</v>
      </c>
      <c r="H29" s="240"/>
      <c r="I29" s="240"/>
    </row>
    <row r="30" spans="4:9" x14ac:dyDescent="0.25">
      <c r="D30" s="33">
        <v>19</v>
      </c>
      <c r="E30" s="248">
        <v>44036</v>
      </c>
      <c r="F30" s="32">
        <f t="shared" si="0"/>
        <v>44100</v>
      </c>
      <c r="G30" s="249">
        <v>478.5</v>
      </c>
      <c r="H30" s="240"/>
      <c r="I30" s="240"/>
    </row>
    <row r="31" spans="4:9" x14ac:dyDescent="0.25">
      <c r="D31" s="33">
        <v>20</v>
      </c>
      <c r="E31" s="248">
        <v>44067</v>
      </c>
      <c r="F31" s="32">
        <f t="shared" si="0"/>
        <v>44100</v>
      </c>
      <c r="G31" s="249">
        <v>478.5</v>
      </c>
      <c r="H31" s="240"/>
      <c r="I31" s="240"/>
    </row>
    <row r="32" spans="4:9" x14ac:dyDescent="0.25">
      <c r="D32" s="33">
        <v>21</v>
      </c>
      <c r="E32" s="248">
        <v>44098</v>
      </c>
      <c r="F32" s="32">
        <f t="shared" si="0"/>
        <v>44100</v>
      </c>
      <c r="G32" s="249">
        <v>478.5</v>
      </c>
      <c r="H32" s="240"/>
      <c r="I32" s="240"/>
    </row>
    <row r="33" spans="4:9" x14ac:dyDescent="0.25">
      <c r="D33" s="33">
        <v>22</v>
      </c>
      <c r="E33" s="248">
        <v>44128</v>
      </c>
      <c r="F33" s="32">
        <f t="shared" si="0"/>
        <v>44100</v>
      </c>
      <c r="G33" s="249">
        <v>478.5</v>
      </c>
      <c r="H33" s="240"/>
      <c r="I33" s="240"/>
    </row>
    <row r="34" spans="4:9" x14ac:dyDescent="0.25">
      <c r="D34" s="33">
        <v>23</v>
      </c>
      <c r="E34" s="248">
        <v>44159</v>
      </c>
      <c r="F34" s="32">
        <f t="shared" si="0"/>
        <v>44100</v>
      </c>
      <c r="G34" s="249">
        <v>478.5</v>
      </c>
      <c r="H34" s="240"/>
      <c r="I34" s="240"/>
    </row>
    <row r="35" spans="4:9" x14ac:dyDescent="0.25">
      <c r="D35" s="33">
        <v>24</v>
      </c>
      <c r="E35" s="248">
        <v>44189</v>
      </c>
      <c r="F35" s="32">
        <f t="shared" si="0"/>
        <v>44100</v>
      </c>
      <c r="G35" s="249">
        <v>478.5</v>
      </c>
      <c r="H35" s="245">
        <f>SUM(G12:G35)</f>
        <v>11484</v>
      </c>
      <c r="I35" s="240"/>
    </row>
    <row r="36" spans="4:9" x14ac:dyDescent="0.25">
      <c r="D36" s="240"/>
      <c r="E36" s="240"/>
      <c r="F36" s="240"/>
      <c r="G36" s="240"/>
      <c r="H36" s="245">
        <f>+F35+H35</f>
        <v>55584</v>
      </c>
      <c r="I36" s="240">
        <f>H36/F11</f>
        <v>1.2604081632653061</v>
      </c>
    </row>
    <row r="37" spans="4:9" x14ac:dyDescent="0.25">
      <c r="D37" s="240"/>
      <c r="E37" s="240"/>
      <c r="F37" s="240"/>
      <c r="G37" s="240"/>
      <c r="H37" s="240"/>
      <c r="I37" s="240"/>
    </row>
    <row r="38" spans="4:9" x14ac:dyDescent="0.25">
      <c r="D38" s="240"/>
      <c r="E38" s="240"/>
      <c r="F38" s="240"/>
      <c r="G38" s="240"/>
      <c r="H38" s="240"/>
      <c r="I38" s="240"/>
    </row>
    <row r="39" spans="4:9" x14ac:dyDescent="0.25">
      <c r="D39" s="240" t="s">
        <v>178</v>
      </c>
      <c r="E39" s="240"/>
      <c r="F39" s="245"/>
      <c r="G39" s="245">
        <f>+E8</f>
        <v>55584</v>
      </c>
      <c r="H39" s="240"/>
      <c r="I39" s="240"/>
    </row>
    <row r="40" spans="4:9" x14ac:dyDescent="0.25">
      <c r="D40" s="240" t="s">
        <v>131</v>
      </c>
      <c r="E40" s="240"/>
      <c r="F40" s="245"/>
      <c r="G40" s="369"/>
      <c r="H40" s="240"/>
      <c r="I40" s="240"/>
    </row>
    <row r="41" spans="4:9" x14ac:dyDescent="0.25">
      <c r="D41" s="240"/>
      <c r="E41" s="250"/>
      <c r="F41" s="251"/>
      <c r="G41" s="240"/>
      <c r="H41" s="240"/>
      <c r="I41" s="240"/>
    </row>
    <row r="42" spans="4:9" x14ac:dyDescent="0.25">
      <c r="D42" s="240"/>
      <c r="E42" s="240"/>
      <c r="F42" s="240"/>
      <c r="G42" s="240"/>
      <c r="H42" s="240"/>
      <c r="I42" s="240"/>
    </row>
  </sheetData>
  <pageMargins left="0.74803149606299213" right="0.74803149606299213" top="0.98425196850393704" bottom="0.98425196850393704" header="0.51181102362204722" footer="0.51181102362204722"/>
  <pageSetup paperSize="9" scale="87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I36"/>
  <sheetViews>
    <sheetView workbookViewId="0">
      <selection activeCell="C6" sqref="C6"/>
    </sheetView>
  </sheetViews>
  <sheetFormatPr baseColWidth="10" defaultRowHeight="15.75" x14ac:dyDescent="0.25"/>
  <cols>
    <col min="1" max="1" width="11.42578125" style="2"/>
    <col min="2" max="2" width="16.28515625" style="2" customWidth="1"/>
    <col min="3" max="3" width="11.42578125" style="2"/>
    <col min="4" max="4" width="13" style="3" bestFit="1" customWidth="1"/>
    <col min="5" max="5" width="15.140625" style="230" customWidth="1"/>
    <col min="6" max="6" width="12.5703125" style="219" bestFit="1" customWidth="1"/>
    <col min="7" max="7" width="13" style="220" bestFit="1" customWidth="1"/>
    <col min="8" max="8" width="11.42578125" style="2"/>
    <col min="9" max="9" width="13.140625" style="2" bestFit="1" customWidth="1"/>
    <col min="10" max="16384" width="11.42578125" style="2"/>
  </cols>
  <sheetData>
    <row r="2" spans="2:9" x14ac:dyDescent="0.25">
      <c r="C2" s="228" t="s">
        <v>129</v>
      </c>
      <c r="D2" s="229">
        <v>73000</v>
      </c>
    </row>
    <row r="4" spans="2:9" x14ac:dyDescent="0.25">
      <c r="C4" s="231"/>
    </row>
    <row r="5" spans="2:9" x14ac:dyDescent="0.25">
      <c r="C5" s="231" t="s">
        <v>130</v>
      </c>
    </row>
    <row r="6" spans="2:9" x14ac:dyDescent="0.25">
      <c r="C6" s="223"/>
      <c r="D6" s="232" t="s">
        <v>123</v>
      </c>
      <c r="E6" s="233" t="s">
        <v>131</v>
      </c>
      <c r="F6" s="232" t="s">
        <v>4</v>
      </c>
      <c r="G6" s="3"/>
    </row>
    <row r="7" spans="2:9" x14ac:dyDescent="0.25">
      <c r="B7" s="2">
        <v>1</v>
      </c>
      <c r="C7" s="234">
        <v>43223</v>
      </c>
      <c r="D7" s="235">
        <v>730</v>
      </c>
      <c r="E7" s="325"/>
      <c r="F7" s="326">
        <v>2920</v>
      </c>
      <c r="G7" s="226"/>
      <c r="H7" s="227"/>
    </row>
    <row r="8" spans="2:9" x14ac:dyDescent="0.25">
      <c r="B8" s="2">
        <v>2</v>
      </c>
      <c r="C8" s="234">
        <v>43254</v>
      </c>
      <c r="D8" s="235">
        <v>730</v>
      </c>
      <c r="E8" s="325"/>
      <c r="F8" s="326"/>
      <c r="G8" s="226"/>
      <c r="H8" s="227"/>
    </row>
    <row r="9" spans="2:9" x14ac:dyDescent="0.25">
      <c r="B9" s="2">
        <v>3</v>
      </c>
      <c r="C9" s="234">
        <v>43284</v>
      </c>
      <c r="D9" s="235">
        <v>730</v>
      </c>
      <c r="E9" s="325"/>
      <c r="F9" s="326"/>
      <c r="G9" s="226"/>
      <c r="H9" s="227"/>
    </row>
    <row r="10" spans="2:9" x14ac:dyDescent="0.25">
      <c r="B10" s="2">
        <v>4</v>
      </c>
      <c r="C10" s="234">
        <v>43315</v>
      </c>
      <c r="D10" s="235">
        <v>730</v>
      </c>
      <c r="E10" s="325"/>
      <c r="F10" s="326"/>
      <c r="G10" s="226"/>
      <c r="H10" s="227"/>
    </row>
    <row r="11" spans="2:9" x14ac:dyDescent="0.25">
      <c r="B11" s="2">
        <v>5</v>
      </c>
      <c r="C11" s="236">
        <v>43346</v>
      </c>
      <c r="D11" s="237">
        <v>730</v>
      </c>
      <c r="E11" s="327">
        <v>43711</v>
      </c>
      <c r="F11" s="328">
        <v>2920</v>
      </c>
      <c r="G11" s="226"/>
      <c r="H11" s="227"/>
    </row>
    <row r="12" spans="2:9" x14ac:dyDescent="0.25">
      <c r="B12" s="2">
        <v>6</v>
      </c>
      <c r="C12" s="236">
        <v>43376</v>
      </c>
      <c r="D12" s="237">
        <v>730</v>
      </c>
      <c r="E12" s="327"/>
      <c r="F12" s="328"/>
      <c r="G12" s="226"/>
      <c r="H12" s="227"/>
      <c r="I12" s="3"/>
    </row>
    <row r="13" spans="2:9" x14ac:dyDescent="0.25">
      <c r="B13" s="2">
        <v>7</v>
      </c>
      <c r="C13" s="236">
        <v>43407</v>
      </c>
      <c r="D13" s="237">
        <v>730</v>
      </c>
      <c r="E13" s="327"/>
      <c r="F13" s="328"/>
      <c r="G13" s="238"/>
      <c r="H13" s="227"/>
    </row>
    <row r="14" spans="2:9" x14ac:dyDescent="0.25">
      <c r="B14" s="2">
        <v>8</v>
      </c>
      <c r="C14" s="236">
        <v>43437</v>
      </c>
      <c r="D14" s="237">
        <v>730</v>
      </c>
      <c r="E14" s="327"/>
      <c r="F14" s="328"/>
      <c r="G14" s="238"/>
      <c r="H14" s="227"/>
    </row>
    <row r="15" spans="2:9" x14ac:dyDescent="0.25">
      <c r="B15" s="2">
        <v>9</v>
      </c>
      <c r="C15" s="234">
        <v>43468</v>
      </c>
      <c r="D15" s="235">
        <v>730</v>
      </c>
      <c r="E15" s="329">
        <v>43473</v>
      </c>
      <c r="F15" s="326">
        <f>+D15*4</f>
        <v>2920</v>
      </c>
      <c r="G15" s="238"/>
      <c r="H15" s="227"/>
    </row>
    <row r="16" spans="2:9" x14ac:dyDescent="0.25">
      <c r="B16" s="2">
        <v>10</v>
      </c>
      <c r="C16" s="234">
        <v>43499</v>
      </c>
      <c r="D16" s="235">
        <v>730</v>
      </c>
      <c r="E16" s="329"/>
      <c r="F16" s="326"/>
      <c r="G16" s="226"/>
      <c r="H16" s="227"/>
    </row>
    <row r="17" spans="2:8" x14ac:dyDescent="0.25">
      <c r="B17" s="2">
        <v>11</v>
      </c>
      <c r="C17" s="234">
        <v>43527</v>
      </c>
      <c r="D17" s="235">
        <v>730</v>
      </c>
      <c r="E17" s="329"/>
      <c r="F17" s="326"/>
      <c r="G17" s="226"/>
      <c r="H17" s="227"/>
    </row>
    <row r="18" spans="2:8" x14ac:dyDescent="0.25">
      <c r="B18" s="2">
        <v>12</v>
      </c>
      <c r="C18" s="234">
        <v>43558</v>
      </c>
      <c r="D18" s="235">
        <v>730</v>
      </c>
      <c r="E18" s="329"/>
      <c r="F18" s="326"/>
      <c r="G18" s="226"/>
      <c r="H18" s="227"/>
    </row>
    <row r="19" spans="2:8" x14ac:dyDescent="0.25">
      <c r="B19" s="2">
        <v>13</v>
      </c>
      <c r="C19" s="223">
        <v>43588</v>
      </c>
      <c r="D19" s="226">
        <v>730</v>
      </c>
      <c r="E19" s="239"/>
      <c r="F19" s="226"/>
      <c r="G19" s="226"/>
      <c r="H19" s="227"/>
    </row>
    <row r="20" spans="2:8" x14ac:dyDescent="0.25">
      <c r="B20" s="2">
        <v>14</v>
      </c>
      <c r="C20" s="223">
        <v>43619</v>
      </c>
      <c r="D20" s="226">
        <v>730</v>
      </c>
      <c r="E20" s="239"/>
      <c r="F20" s="226"/>
      <c r="G20" s="226"/>
      <c r="H20" s="227"/>
    </row>
    <row r="21" spans="2:8" x14ac:dyDescent="0.25">
      <c r="B21" s="2">
        <v>15</v>
      </c>
      <c r="C21" s="223">
        <v>43649</v>
      </c>
      <c r="D21" s="226">
        <v>730</v>
      </c>
      <c r="E21" s="239"/>
      <c r="F21" s="226"/>
      <c r="G21" s="226"/>
      <c r="H21" s="227"/>
    </row>
    <row r="22" spans="2:8" x14ac:dyDescent="0.25">
      <c r="B22" s="2">
        <v>16</v>
      </c>
      <c r="C22" s="223">
        <v>43680</v>
      </c>
      <c r="D22" s="226">
        <v>730</v>
      </c>
      <c r="E22" s="239"/>
      <c r="F22" s="226"/>
      <c r="G22" s="226"/>
      <c r="H22" s="227"/>
    </row>
    <row r="23" spans="2:8" x14ac:dyDescent="0.25">
      <c r="B23" s="2">
        <v>17</v>
      </c>
      <c r="C23" s="223">
        <v>43711</v>
      </c>
      <c r="D23" s="226">
        <v>730</v>
      </c>
      <c r="E23" s="239"/>
      <c r="F23" s="226"/>
      <c r="G23" s="226"/>
      <c r="H23" s="227"/>
    </row>
    <row r="24" spans="2:8" x14ac:dyDescent="0.25">
      <c r="B24" s="2">
        <v>18</v>
      </c>
      <c r="C24" s="223">
        <v>43741</v>
      </c>
      <c r="D24" s="226">
        <v>730</v>
      </c>
      <c r="E24" s="239"/>
      <c r="F24" s="226"/>
      <c r="G24" s="226"/>
      <c r="H24" s="227"/>
    </row>
    <row r="25" spans="2:8" x14ac:dyDescent="0.25">
      <c r="B25" s="2">
        <v>19</v>
      </c>
      <c r="C25" s="223">
        <v>43772</v>
      </c>
      <c r="D25" s="226">
        <v>730</v>
      </c>
      <c r="E25" s="239"/>
      <c r="F25" s="226"/>
      <c r="G25" s="226"/>
      <c r="H25" s="227"/>
    </row>
    <row r="26" spans="2:8" x14ac:dyDescent="0.25">
      <c r="B26" s="2">
        <v>20</v>
      </c>
      <c r="C26" s="223">
        <v>43802</v>
      </c>
      <c r="D26" s="226">
        <v>730</v>
      </c>
      <c r="E26" s="239"/>
      <c r="F26" s="226"/>
      <c r="G26" s="226"/>
      <c r="H26" s="227"/>
    </row>
    <row r="27" spans="2:8" x14ac:dyDescent="0.25">
      <c r="B27" s="2">
        <v>21</v>
      </c>
      <c r="C27" s="223">
        <v>43833</v>
      </c>
      <c r="D27" s="226">
        <v>730</v>
      </c>
      <c r="E27" s="239"/>
      <c r="F27" s="226"/>
      <c r="G27" s="226"/>
      <c r="H27" s="227"/>
    </row>
    <row r="28" spans="2:8" x14ac:dyDescent="0.25">
      <c r="B28" s="2">
        <v>22</v>
      </c>
      <c r="C28" s="223">
        <v>43864</v>
      </c>
      <c r="D28" s="226">
        <v>730</v>
      </c>
      <c r="E28" s="239"/>
      <c r="F28" s="226"/>
      <c r="G28" s="226"/>
      <c r="H28" s="227"/>
    </row>
    <row r="29" spans="2:8" x14ac:dyDescent="0.25">
      <c r="B29" s="2">
        <v>23</v>
      </c>
      <c r="C29" s="223">
        <v>43893</v>
      </c>
      <c r="D29" s="226">
        <v>730</v>
      </c>
      <c r="E29" s="239"/>
      <c r="F29" s="226"/>
      <c r="G29" s="226"/>
      <c r="H29" s="227"/>
    </row>
    <row r="30" spans="2:8" x14ac:dyDescent="0.25">
      <c r="B30" s="2">
        <v>24</v>
      </c>
      <c r="C30" s="223">
        <v>43924</v>
      </c>
      <c r="D30" s="226">
        <v>730</v>
      </c>
      <c r="E30" s="239"/>
      <c r="F30" s="226"/>
      <c r="G30" s="226"/>
      <c r="H30" s="227"/>
    </row>
    <row r="31" spans="2:8" x14ac:dyDescent="0.25">
      <c r="C31" s="223"/>
      <c r="D31" s="8">
        <f>SUM(D7:D30)</f>
        <v>17520</v>
      </c>
      <c r="F31" s="8">
        <f>SUM(F7:F30)</f>
        <v>8760</v>
      </c>
      <c r="G31" s="3"/>
    </row>
    <row r="32" spans="2:8" x14ac:dyDescent="0.25">
      <c r="C32" s="223"/>
      <c r="F32" s="3"/>
      <c r="G32" s="3"/>
    </row>
    <row r="33" spans="6:7" x14ac:dyDescent="0.25">
      <c r="F33" s="3"/>
      <c r="G33" s="3"/>
    </row>
    <row r="34" spans="6:7" x14ac:dyDescent="0.25">
      <c r="F34" s="3"/>
      <c r="G34" s="3"/>
    </row>
    <row r="35" spans="6:7" x14ac:dyDescent="0.25">
      <c r="F35" s="3"/>
      <c r="G35" s="3"/>
    </row>
    <row r="36" spans="6:7" x14ac:dyDescent="0.25">
      <c r="F36" s="3"/>
      <c r="G36" s="3"/>
    </row>
  </sheetData>
  <mergeCells count="6">
    <mergeCell ref="E7:E10"/>
    <mergeCell ref="F7:F10"/>
    <mergeCell ref="E11:E14"/>
    <mergeCell ref="F11:F14"/>
    <mergeCell ref="E15:E18"/>
    <mergeCell ref="F15:F18"/>
  </mergeCells>
  <pageMargins left="0.75" right="0.75" top="1" bottom="1" header="0.5" footer="0.5"/>
  <pageSetup paperSize="5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I36"/>
  <sheetViews>
    <sheetView workbookViewId="0">
      <selection activeCell="C5" sqref="C5"/>
    </sheetView>
  </sheetViews>
  <sheetFormatPr baseColWidth="10" defaultRowHeight="15.75" x14ac:dyDescent="0.25"/>
  <cols>
    <col min="1" max="1" width="11.42578125" style="2"/>
    <col min="2" max="2" width="16.28515625" style="2" customWidth="1"/>
    <col min="3" max="3" width="11.42578125" style="2"/>
    <col min="4" max="4" width="13" style="3" bestFit="1" customWidth="1"/>
    <col min="5" max="5" width="15.140625" style="230" customWidth="1"/>
    <col min="6" max="6" width="12.5703125" style="219" bestFit="1" customWidth="1"/>
    <col min="7" max="7" width="13" style="220" bestFit="1" customWidth="1"/>
    <col min="8" max="8" width="11.42578125" style="2"/>
    <col min="9" max="9" width="13.140625" style="2" bestFit="1" customWidth="1"/>
    <col min="10" max="16384" width="11.42578125" style="2"/>
  </cols>
  <sheetData>
    <row r="2" spans="2:9" x14ac:dyDescent="0.25">
      <c r="C2" s="228" t="s">
        <v>129</v>
      </c>
      <c r="D2" s="229">
        <v>60000</v>
      </c>
    </row>
    <row r="4" spans="2:9" x14ac:dyDescent="0.25">
      <c r="C4" s="231"/>
    </row>
    <row r="5" spans="2:9" x14ac:dyDescent="0.25">
      <c r="C5" s="231" t="s">
        <v>130</v>
      </c>
    </row>
    <row r="6" spans="2:9" x14ac:dyDescent="0.25">
      <c r="C6" s="223"/>
      <c r="D6" s="232" t="s">
        <v>123</v>
      </c>
      <c r="E6" s="233" t="s">
        <v>131</v>
      </c>
      <c r="F6" s="232" t="s">
        <v>4</v>
      </c>
      <c r="G6" s="3"/>
    </row>
    <row r="7" spans="2:9" x14ac:dyDescent="0.25">
      <c r="B7" s="2">
        <v>1</v>
      </c>
      <c r="C7" s="291"/>
      <c r="D7" s="291"/>
      <c r="E7" s="291"/>
      <c r="F7" s="291"/>
      <c r="G7" s="226"/>
      <c r="H7" s="227"/>
    </row>
    <row r="8" spans="2:9" x14ac:dyDescent="0.25">
      <c r="B8" s="2">
        <v>2</v>
      </c>
      <c r="C8" s="291"/>
      <c r="D8" s="291"/>
      <c r="E8" s="291"/>
      <c r="F8" s="291"/>
      <c r="G8" s="226"/>
      <c r="H8" s="227"/>
    </row>
    <row r="9" spans="2:9" x14ac:dyDescent="0.25">
      <c r="B9" s="2">
        <v>3</v>
      </c>
      <c r="C9" s="291"/>
      <c r="D9" s="291"/>
      <c r="E9" s="291"/>
      <c r="F9" s="291"/>
      <c r="G9" s="226"/>
      <c r="H9" s="227"/>
    </row>
    <row r="10" spans="2:9" x14ac:dyDescent="0.25">
      <c r="B10" s="2">
        <v>4</v>
      </c>
      <c r="C10" s="291"/>
      <c r="D10" s="291"/>
      <c r="E10" s="291"/>
      <c r="F10" s="291"/>
      <c r="G10" s="226"/>
      <c r="H10" s="227"/>
    </row>
    <row r="11" spans="2:9" x14ac:dyDescent="0.25">
      <c r="B11" s="2">
        <v>5</v>
      </c>
      <c r="C11" s="291"/>
      <c r="D11" s="291"/>
      <c r="E11" s="291"/>
      <c r="F11" s="291"/>
      <c r="G11" s="226"/>
      <c r="H11" s="227"/>
    </row>
    <row r="12" spans="2:9" x14ac:dyDescent="0.25">
      <c r="B12" s="2">
        <v>6</v>
      </c>
      <c r="C12" s="291"/>
      <c r="D12" s="291"/>
      <c r="E12" s="291"/>
      <c r="F12" s="291"/>
      <c r="G12" s="226"/>
      <c r="H12" s="227"/>
      <c r="I12" s="3"/>
    </row>
    <row r="13" spans="2:9" x14ac:dyDescent="0.25">
      <c r="B13" s="2">
        <v>7</v>
      </c>
      <c r="C13" s="291"/>
      <c r="D13" s="291"/>
      <c r="E13" s="291"/>
      <c r="F13" s="291"/>
      <c r="G13" s="238"/>
      <c r="H13" s="227"/>
    </row>
    <row r="14" spans="2:9" x14ac:dyDescent="0.25">
      <c r="B14" s="2">
        <v>8</v>
      </c>
      <c r="C14" s="291"/>
      <c r="D14" s="291"/>
      <c r="E14" s="291"/>
      <c r="F14" s="291"/>
      <c r="G14" s="238"/>
      <c r="H14" s="227"/>
    </row>
    <row r="15" spans="2:9" x14ac:dyDescent="0.25">
      <c r="B15" s="2">
        <v>9</v>
      </c>
      <c r="C15" s="291"/>
      <c r="D15" s="291"/>
      <c r="E15" s="291"/>
      <c r="F15" s="291"/>
      <c r="G15" s="238"/>
      <c r="H15" s="227"/>
    </row>
    <row r="16" spans="2:9" x14ac:dyDescent="0.25">
      <c r="B16" s="2">
        <v>10</v>
      </c>
      <c r="C16" s="291"/>
      <c r="D16" s="291"/>
      <c r="E16" s="291"/>
      <c r="F16" s="291"/>
      <c r="G16" s="226"/>
      <c r="H16" s="227"/>
    </row>
    <row r="17" spans="2:8" x14ac:dyDescent="0.25">
      <c r="B17" s="2">
        <v>11</v>
      </c>
      <c r="C17" s="291"/>
      <c r="D17" s="291"/>
      <c r="E17" s="291"/>
      <c r="F17" s="291"/>
      <c r="G17" s="226"/>
      <c r="H17" s="227"/>
    </row>
    <row r="18" spans="2:8" x14ac:dyDescent="0.25">
      <c r="B18" s="2">
        <v>12</v>
      </c>
      <c r="C18" s="291"/>
      <c r="D18" s="291"/>
      <c r="E18" s="291"/>
      <c r="F18" s="291"/>
      <c r="G18" s="226"/>
      <c r="H18" s="227"/>
    </row>
    <row r="19" spans="2:8" x14ac:dyDescent="0.25">
      <c r="B19" s="2">
        <v>13</v>
      </c>
      <c r="C19" s="291"/>
      <c r="D19" s="291"/>
      <c r="E19" s="291"/>
      <c r="F19" s="291"/>
      <c r="G19" s="226"/>
      <c r="H19" s="227"/>
    </row>
    <row r="20" spans="2:8" x14ac:dyDescent="0.25">
      <c r="B20" s="2">
        <v>14</v>
      </c>
      <c r="C20" s="291"/>
      <c r="D20" s="291"/>
      <c r="E20" s="291"/>
      <c r="F20" s="291"/>
      <c r="G20" s="226"/>
      <c r="H20" s="227"/>
    </row>
    <row r="21" spans="2:8" x14ac:dyDescent="0.25">
      <c r="B21" s="2">
        <v>15</v>
      </c>
      <c r="C21" s="291"/>
      <c r="D21" s="291"/>
      <c r="E21" s="291"/>
      <c r="F21" s="291"/>
      <c r="G21" s="226"/>
      <c r="H21" s="227"/>
    </row>
    <row r="22" spans="2:8" x14ac:dyDescent="0.25">
      <c r="B22" s="2">
        <v>16</v>
      </c>
      <c r="C22" s="291"/>
      <c r="D22" s="291"/>
      <c r="E22" s="291"/>
      <c r="F22" s="291"/>
      <c r="G22" s="226"/>
      <c r="H22" s="227"/>
    </row>
    <row r="23" spans="2:8" x14ac:dyDescent="0.25">
      <c r="B23" s="2">
        <v>17</v>
      </c>
      <c r="C23" s="291"/>
      <c r="D23" s="291"/>
      <c r="E23" s="291"/>
      <c r="F23" s="291"/>
      <c r="G23" s="226"/>
      <c r="H23" s="227"/>
    </row>
    <row r="24" spans="2:8" x14ac:dyDescent="0.25">
      <c r="B24" s="2">
        <v>18</v>
      </c>
      <c r="C24" s="291"/>
      <c r="D24" s="291"/>
      <c r="E24" s="291"/>
      <c r="F24" s="291"/>
      <c r="G24" s="226"/>
      <c r="H24" s="227"/>
    </row>
    <row r="25" spans="2:8" x14ac:dyDescent="0.25">
      <c r="B25" s="2">
        <v>19</v>
      </c>
      <c r="C25" s="291"/>
      <c r="D25" s="291"/>
      <c r="E25" s="291"/>
      <c r="F25" s="291"/>
      <c r="G25" s="226"/>
      <c r="H25" s="227"/>
    </row>
    <row r="26" spans="2:8" x14ac:dyDescent="0.25">
      <c r="B26" s="2">
        <v>20</v>
      </c>
      <c r="C26" s="291"/>
      <c r="D26" s="291"/>
      <c r="E26" s="291"/>
      <c r="F26" s="291"/>
      <c r="G26" s="226"/>
      <c r="H26" s="227"/>
    </row>
    <row r="27" spans="2:8" x14ac:dyDescent="0.25">
      <c r="B27" s="2">
        <v>21</v>
      </c>
      <c r="C27" s="291"/>
      <c r="D27" s="291"/>
      <c r="E27" s="291"/>
      <c r="F27" s="291"/>
      <c r="G27" s="226"/>
      <c r="H27" s="227"/>
    </row>
    <row r="28" spans="2:8" x14ac:dyDescent="0.25">
      <c r="B28" s="2">
        <v>22</v>
      </c>
      <c r="C28" s="291"/>
      <c r="D28" s="291"/>
      <c r="E28" s="291"/>
      <c r="F28" s="291"/>
      <c r="G28" s="226"/>
      <c r="H28" s="227"/>
    </row>
    <row r="29" spans="2:8" x14ac:dyDescent="0.25">
      <c r="B29" s="2">
        <v>23</v>
      </c>
      <c r="C29" s="291"/>
      <c r="D29" s="291"/>
      <c r="E29" s="291"/>
      <c r="F29" s="291"/>
      <c r="G29" s="226"/>
      <c r="H29" s="227"/>
    </row>
    <row r="30" spans="2:8" x14ac:dyDescent="0.25">
      <c r="B30" s="2">
        <v>24</v>
      </c>
      <c r="C30" s="291"/>
      <c r="D30" s="291"/>
      <c r="E30" s="291"/>
      <c r="F30" s="291"/>
      <c r="G30" s="226"/>
      <c r="H30" s="227"/>
    </row>
    <row r="31" spans="2:8" x14ac:dyDescent="0.25">
      <c r="C31" s="223"/>
      <c r="D31" s="8">
        <f>SUM(D7:D30)</f>
        <v>0</v>
      </c>
      <c r="F31" s="8">
        <f>SUM(F7:F30)</f>
        <v>0</v>
      </c>
      <c r="G31" s="3"/>
    </row>
    <row r="32" spans="2:8" x14ac:dyDescent="0.25">
      <c r="C32" s="223"/>
      <c r="F32" s="3"/>
      <c r="G32" s="3"/>
    </row>
    <row r="33" spans="6:7" x14ac:dyDescent="0.25">
      <c r="F33" s="3"/>
      <c r="G33" s="3"/>
    </row>
    <row r="34" spans="6:7" x14ac:dyDescent="0.25">
      <c r="F34" s="3"/>
      <c r="G34" s="3"/>
    </row>
    <row r="35" spans="6:7" x14ac:dyDescent="0.25">
      <c r="F35" s="3"/>
      <c r="G35" s="3"/>
    </row>
    <row r="36" spans="6:7" x14ac:dyDescent="0.25">
      <c r="F36" s="3"/>
      <c r="G36" s="3"/>
    </row>
  </sheetData>
  <pageMargins left="0.75" right="0.75" top="1" bottom="1" header="0.5" footer="0.5"/>
  <pageSetup paperSize="5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I36"/>
  <sheetViews>
    <sheetView workbookViewId="0">
      <selection activeCell="D3" sqref="D3"/>
    </sheetView>
  </sheetViews>
  <sheetFormatPr baseColWidth="10" defaultRowHeight="15.75" x14ac:dyDescent="0.25"/>
  <cols>
    <col min="1" max="1" width="11.42578125" style="2"/>
    <col min="2" max="2" width="16.28515625" style="2" customWidth="1"/>
    <col min="3" max="3" width="11.42578125" style="2"/>
    <col min="4" max="4" width="13" style="3" bestFit="1" customWidth="1"/>
    <col min="5" max="5" width="15.140625" style="230" customWidth="1"/>
    <col min="6" max="6" width="12.5703125" style="219" bestFit="1" customWidth="1"/>
    <col min="7" max="7" width="13" style="220" bestFit="1" customWidth="1"/>
    <col min="8" max="8" width="11.42578125" style="2"/>
    <col min="9" max="9" width="13.140625" style="2" bestFit="1" customWidth="1"/>
    <col min="10" max="16384" width="11.42578125" style="2"/>
  </cols>
  <sheetData>
    <row r="2" spans="2:9" x14ac:dyDescent="0.25">
      <c r="C2" s="228" t="s">
        <v>129</v>
      </c>
      <c r="D2" s="229">
        <v>53000</v>
      </c>
    </row>
    <row r="4" spans="2:9" x14ac:dyDescent="0.25">
      <c r="C4" s="231"/>
    </row>
    <row r="5" spans="2:9" x14ac:dyDescent="0.25">
      <c r="C5" s="231" t="s">
        <v>130</v>
      </c>
    </row>
    <row r="6" spans="2:9" x14ac:dyDescent="0.25">
      <c r="C6" s="223"/>
      <c r="D6" s="232" t="s">
        <v>123</v>
      </c>
      <c r="E6" s="233" t="s">
        <v>131</v>
      </c>
      <c r="F6" s="232" t="s">
        <v>4</v>
      </c>
      <c r="G6" s="3"/>
    </row>
    <row r="7" spans="2:9" x14ac:dyDescent="0.25">
      <c r="B7" s="2">
        <v>1</v>
      </c>
      <c r="C7" s="291"/>
      <c r="D7" s="291"/>
      <c r="E7" s="291"/>
      <c r="F7" s="291"/>
      <c r="G7" s="226"/>
      <c r="H7" s="227"/>
    </row>
    <row r="8" spans="2:9" x14ac:dyDescent="0.25">
      <c r="B8" s="2">
        <v>2</v>
      </c>
      <c r="C8" s="291"/>
      <c r="D8" s="291"/>
      <c r="E8" s="291"/>
      <c r="F8" s="291"/>
      <c r="G8" s="226"/>
      <c r="H8" s="227"/>
    </row>
    <row r="9" spans="2:9" x14ac:dyDescent="0.25">
      <c r="B9" s="2">
        <v>3</v>
      </c>
      <c r="C9" s="291"/>
      <c r="D9" s="291"/>
      <c r="E9" s="291"/>
      <c r="F9" s="291"/>
      <c r="G9" s="226"/>
      <c r="H9" s="227"/>
    </row>
    <row r="10" spans="2:9" x14ac:dyDescent="0.25">
      <c r="B10" s="2">
        <v>4</v>
      </c>
      <c r="C10" s="291"/>
      <c r="D10" s="291"/>
      <c r="E10" s="291"/>
      <c r="F10" s="291"/>
      <c r="G10" s="226"/>
      <c r="H10" s="227"/>
    </row>
    <row r="11" spans="2:9" x14ac:dyDescent="0.25">
      <c r="B11" s="2">
        <v>5</v>
      </c>
      <c r="C11" s="291"/>
      <c r="D11" s="291"/>
      <c r="E11" s="291"/>
      <c r="F11" s="291"/>
      <c r="G11" s="226"/>
      <c r="H11" s="227"/>
    </row>
    <row r="12" spans="2:9" x14ac:dyDescent="0.25">
      <c r="B12" s="2">
        <v>6</v>
      </c>
      <c r="C12" s="291"/>
      <c r="D12" s="291"/>
      <c r="E12" s="291"/>
      <c r="F12" s="291"/>
      <c r="G12" s="226"/>
      <c r="H12" s="227"/>
      <c r="I12" s="3"/>
    </row>
    <row r="13" spans="2:9" x14ac:dyDescent="0.25">
      <c r="B13" s="2">
        <v>7</v>
      </c>
      <c r="C13" s="291"/>
      <c r="D13" s="291"/>
      <c r="E13" s="291"/>
      <c r="F13" s="291"/>
      <c r="G13" s="238"/>
      <c r="H13" s="227"/>
    </row>
    <row r="14" spans="2:9" x14ac:dyDescent="0.25">
      <c r="B14" s="2">
        <v>8</v>
      </c>
      <c r="C14" s="291"/>
      <c r="D14" s="291"/>
      <c r="E14" s="291"/>
      <c r="F14" s="291"/>
      <c r="G14" s="238"/>
      <c r="H14" s="227"/>
    </row>
    <row r="15" spans="2:9" x14ac:dyDescent="0.25">
      <c r="B15" s="2">
        <v>9</v>
      </c>
      <c r="C15" s="291"/>
      <c r="D15" s="291"/>
      <c r="E15" s="291"/>
      <c r="F15" s="291"/>
      <c r="G15" s="238"/>
      <c r="H15" s="227"/>
    </row>
    <row r="16" spans="2:9" x14ac:dyDescent="0.25">
      <c r="B16" s="2">
        <v>10</v>
      </c>
      <c r="C16" s="291"/>
      <c r="D16" s="291"/>
      <c r="E16" s="291"/>
      <c r="F16" s="291"/>
      <c r="G16" s="226"/>
      <c r="H16" s="227"/>
    </row>
    <row r="17" spans="2:8" x14ac:dyDescent="0.25">
      <c r="B17" s="2">
        <v>11</v>
      </c>
      <c r="C17" s="291"/>
      <c r="D17" s="291"/>
      <c r="E17" s="291"/>
      <c r="F17" s="291"/>
      <c r="G17" s="226"/>
      <c r="H17" s="227"/>
    </row>
    <row r="18" spans="2:8" x14ac:dyDescent="0.25">
      <c r="B18" s="2">
        <v>12</v>
      </c>
      <c r="C18" s="291"/>
      <c r="D18" s="291"/>
      <c r="E18" s="291"/>
      <c r="F18" s="291"/>
      <c r="G18" s="226"/>
      <c r="H18" s="227"/>
    </row>
    <row r="19" spans="2:8" x14ac:dyDescent="0.25">
      <c r="B19" s="2">
        <v>13</v>
      </c>
      <c r="C19" s="291"/>
      <c r="D19" s="291"/>
      <c r="E19" s="291"/>
      <c r="F19" s="291"/>
      <c r="G19" s="226"/>
      <c r="H19" s="227"/>
    </row>
    <row r="20" spans="2:8" x14ac:dyDescent="0.25">
      <c r="B20" s="2">
        <v>14</v>
      </c>
      <c r="C20" s="291"/>
      <c r="D20" s="291"/>
      <c r="E20" s="291"/>
      <c r="F20" s="291"/>
      <c r="G20" s="226"/>
      <c r="H20" s="227"/>
    </row>
    <row r="21" spans="2:8" x14ac:dyDescent="0.25">
      <c r="B21" s="2">
        <v>15</v>
      </c>
      <c r="C21" s="291"/>
      <c r="D21" s="291"/>
      <c r="E21" s="291"/>
      <c r="F21" s="291"/>
      <c r="G21" s="226"/>
      <c r="H21" s="227"/>
    </row>
    <row r="22" spans="2:8" x14ac:dyDescent="0.25">
      <c r="B22" s="2">
        <v>16</v>
      </c>
      <c r="C22" s="291"/>
      <c r="D22" s="291"/>
      <c r="E22" s="291"/>
      <c r="F22" s="291"/>
      <c r="G22" s="226"/>
      <c r="H22" s="227"/>
    </row>
    <row r="23" spans="2:8" x14ac:dyDescent="0.25">
      <c r="B23" s="2">
        <v>17</v>
      </c>
      <c r="C23" s="291"/>
      <c r="D23" s="291"/>
      <c r="E23" s="291"/>
      <c r="F23" s="291"/>
      <c r="G23" s="226"/>
      <c r="H23" s="227"/>
    </row>
    <row r="24" spans="2:8" x14ac:dyDescent="0.25">
      <c r="B24" s="2">
        <v>18</v>
      </c>
      <c r="C24" s="291"/>
      <c r="D24" s="291"/>
      <c r="E24" s="291"/>
      <c r="F24" s="291"/>
      <c r="G24" s="226"/>
      <c r="H24" s="227"/>
    </row>
    <row r="25" spans="2:8" x14ac:dyDescent="0.25">
      <c r="B25" s="2">
        <v>19</v>
      </c>
      <c r="C25" s="291"/>
      <c r="D25" s="291"/>
      <c r="E25" s="291"/>
      <c r="F25" s="291"/>
      <c r="G25" s="226"/>
      <c r="H25" s="227"/>
    </row>
    <row r="26" spans="2:8" x14ac:dyDescent="0.25">
      <c r="B26" s="2">
        <v>20</v>
      </c>
      <c r="C26" s="291"/>
      <c r="D26" s="291"/>
      <c r="E26" s="291"/>
      <c r="F26" s="291"/>
      <c r="G26" s="226"/>
      <c r="H26" s="227"/>
    </row>
    <row r="27" spans="2:8" x14ac:dyDescent="0.25">
      <c r="B27" s="2">
        <v>21</v>
      </c>
      <c r="C27" s="291"/>
      <c r="D27" s="291"/>
      <c r="E27" s="291"/>
      <c r="F27" s="291"/>
      <c r="G27" s="226"/>
      <c r="H27" s="227"/>
    </row>
    <row r="28" spans="2:8" x14ac:dyDescent="0.25">
      <c r="B28" s="2">
        <v>22</v>
      </c>
      <c r="C28" s="291"/>
      <c r="D28" s="291"/>
      <c r="E28" s="291"/>
      <c r="F28" s="291"/>
      <c r="G28" s="226"/>
      <c r="H28" s="227"/>
    </row>
    <row r="29" spans="2:8" x14ac:dyDescent="0.25">
      <c r="B29" s="2">
        <v>23</v>
      </c>
      <c r="C29" s="291"/>
      <c r="D29" s="291"/>
      <c r="E29" s="291"/>
      <c r="F29" s="291"/>
      <c r="G29" s="226"/>
      <c r="H29" s="227"/>
    </row>
    <row r="30" spans="2:8" x14ac:dyDescent="0.25">
      <c r="B30" s="2">
        <v>24</v>
      </c>
      <c r="C30" s="291"/>
      <c r="D30" s="291"/>
      <c r="E30" s="291"/>
      <c r="F30" s="291"/>
      <c r="G30" s="226"/>
      <c r="H30" s="227"/>
    </row>
    <row r="31" spans="2:8" x14ac:dyDescent="0.25">
      <c r="C31" s="223"/>
      <c r="D31" s="8">
        <f>SUM(D7:D30)</f>
        <v>0</v>
      </c>
      <c r="F31" s="8">
        <f>SUM(F7:F30)</f>
        <v>0</v>
      </c>
      <c r="G31" s="3"/>
    </row>
    <row r="32" spans="2:8" x14ac:dyDescent="0.25">
      <c r="C32" s="223"/>
      <c r="F32" s="3"/>
      <c r="G32" s="3"/>
    </row>
    <row r="33" spans="6:7" x14ac:dyDescent="0.25">
      <c r="F33" s="3"/>
      <c r="G33" s="3"/>
    </row>
    <row r="34" spans="6:7" x14ac:dyDescent="0.25">
      <c r="F34" s="3"/>
      <c r="G34" s="3"/>
    </row>
    <row r="35" spans="6:7" x14ac:dyDescent="0.25">
      <c r="F35" s="3"/>
      <c r="G35" s="3"/>
    </row>
    <row r="36" spans="6:7" x14ac:dyDescent="0.25">
      <c r="F36" s="3"/>
      <c r="G36" s="3"/>
    </row>
  </sheetData>
  <pageMargins left="0.75" right="0.75" top="1" bottom="1" header="0.5" footer="0.5"/>
  <pageSetup paperSize="5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</vt:i4>
      </vt:variant>
    </vt:vector>
  </HeadingPairs>
  <TitlesOfParts>
    <vt:vector size="19" baseType="lpstr">
      <vt:lpstr>RESUMEN</vt:lpstr>
      <vt:lpstr>Gonzalo Pavia</vt:lpstr>
      <vt:lpstr>Joaquin Bello</vt:lpstr>
      <vt:lpstr>Miriam Sebastian</vt:lpstr>
      <vt:lpstr>G Ansaldo - C Trillo</vt:lpstr>
      <vt:lpstr>Santiago Trillo</vt:lpstr>
      <vt:lpstr>Nacho Baglieto</vt:lpstr>
      <vt:lpstr>Yiye</vt:lpstr>
      <vt:lpstr>Olga Camamarota</vt:lpstr>
      <vt:lpstr>Vene3558 - Venta pend</vt:lpstr>
      <vt:lpstr>Sanlo - Venta pend</vt:lpstr>
      <vt:lpstr>Fournier - Venta pend </vt:lpstr>
      <vt:lpstr>JB Justo - Venta pend</vt:lpstr>
      <vt:lpstr>Luis M Campos - Venta pend</vt:lpstr>
      <vt:lpstr>INgPEnPago</vt:lpstr>
      <vt:lpstr>Caja vene3558</vt:lpstr>
      <vt:lpstr>Caja Sano</vt:lpstr>
      <vt:lpstr>'Miriam Sebastian'!Área_de_impresión</vt:lpstr>
      <vt:lpstr>'Santiago Trillo'!Área_de_impresión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2018-11-27T17:01:48Z</dcterms:created>
  <dcterms:modified xsi:type="dcterms:W3CDTF">2019-01-10T13:04:30Z</dcterms:modified>
</cp:coreProperties>
</file>