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namedSheetViews/namedSheetView1.xml" ContentType="application/vnd.ms-excel.namedsheetviews+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namedSheetViews/namedSheetView2.xml" ContentType="application/vnd.ms-excel.namedsheetviews+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queryTables/queryTable2.xml" ContentType="application/vnd.openxmlformats-officedocument.spreadsheetml.queryTable+xml"/>
  <Override PartName="/xl/pivotTables/pivotTable2.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comments2.xml" ContentType="application/vnd.openxmlformats-officedocument.spreadsheetml.comments+xml"/>
  <Override PartName="/xl/namedSheetViews/namedSheetView3.xml" ContentType="application/vnd.ms-excel.namedsheetview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0" codeName="{00000000-0000-0000-0000-000000000000}"/>
  <workbookPr updateLinks="always" codeName="ThisWorkbook" hidePivotFieldList="1"/>
  <mc:AlternateContent xmlns:mc="http://schemas.openxmlformats.org/markup-compatibility/2006">
    <mc:Choice Requires="x15">
      <x15ac:absPath xmlns:x15ac="http://schemas.microsoft.com/office/spreadsheetml/2010/11/ac" url="C:\Users\pra_amori\Desktop\Andrea\MAYO 2026\19-05-26\19_Actualizacion Tactica\"/>
    </mc:Choice>
  </mc:AlternateContent>
  <xr:revisionPtr revIDLastSave="37" documentId="13_ncr:1_{0253D560-A8EE-446F-949A-76C7DC437A4B}" xr6:coauthVersionLast="47" xr6:coauthVersionMax="47" xr10:uidLastSave="{5E309419-738A-474D-9CD9-01372445A155}"/>
  <bookViews>
    <workbookView xWindow="-120" yWindow="-120" windowWidth="20730" windowHeight="11160" tabRatio="780" firstSheet="1" activeTab="1" xr2:uid="{00000000-000D-0000-FFFF-FFFF00000000}"/>
  </bookViews>
  <sheets>
    <sheet name="07  CRONOGRAMA 2026" sheetId="78" state="hidden" r:id="rId1"/>
    <sheet name="Demanda Tactica" sheetId="1" r:id="rId2"/>
    <sheet name="Demanda Estratégica" sheetId="72" r:id="rId3"/>
    <sheet name="Cronograma Ciclo Vida" sheetId="80" r:id="rId4"/>
    <sheet name="HORAS" sheetId="57" r:id="rId5"/>
    <sheet name="Timeline" sheetId="76" r:id="rId6"/>
    <sheet name="MANT_HORAS_ANALISTAS" sheetId="74" state="hidden" r:id="rId7"/>
    <sheet name="MANT_HORAS" sheetId="65" state="hidden" r:id="rId8"/>
    <sheet name="INCIDENCIAS" sheetId="67" r:id="rId9"/>
    <sheet name="ANALISTAS ACTIVOS" sheetId="64" state="hidden" r:id="rId10"/>
    <sheet name="Hardware" sheetId="47" state="hidden" r:id="rId11"/>
    <sheet name="HORAS DES" sheetId="73" state="hidden" r:id="rId12"/>
    <sheet name="Tablas_Informe" sheetId="77" r:id="rId13"/>
    <sheet name="DIRECT_COMP" sheetId="56" state="hidden" r:id="rId14"/>
    <sheet name="Definiciones" sheetId="2" r:id="rId15"/>
  </sheets>
  <definedNames>
    <definedName name="_xlnm._FilterDatabase" localSheetId="3" hidden="1">'Cronograma Ciclo Vida'!$A$3:$H$919</definedName>
    <definedName name="_xlnm._FilterDatabase" localSheetId="1" hidden="1">'Demanda Tactica'!$F$187:$F$187</definedName>
    <definedName name="_xlnm._FilterDatabase" localSheetId="10" hidden="1">Hardware!$A$1:$X$4</definedName>
    <definedName name="_xlnm._FilterDatabase" localSheetId="5" hidden="1">Timeline!$A$2:$I$501</definedName>
    <definedName name="_xlpm.bloque" hidden="1" xlm="1">#NAME?</definedName>
    <definedName name="_xlpm.comp" hidden="1" xlm="1">#NAME?</definedName>
    <definedName name="_xlpm.comp0" hidden="1" xlm="1">#NAME?</definedName>
    <definedName name="_xlpm.est" hidden="1" xlm="1">#NAME?</definedName>
    <definedName name="_xlpm.est0" hidden="1" xlm="1">#NAME?</definedName>
    <definedName name="_xlpm.fase" hidden="1" xlm="1">#NAME?</definedName>
    <definedName name="_xlpm.ger" hidden="1" xlm="1">#NAME?</definedName>
    <definedName name="_xlpm.ger0" hidden="1" xlm="1">#NAME?</definedName>
    <definedName name="_xlpm.id" hidden="1" xlm="1">#NAME?</definedName>
    <definedName name="_xlpm.id0" hidden="1" xlm="1">#NAME?</definedName>
    <definedName name="_xlpm.n" hidden="1" xlm="1">#NAME?</definedName>
    <definedName name="_xlpm.plan" hidden="1" xlm="1">#NAME?</definedName>
    <definedName name="_xlpm.plan0" hidden="1" xlm="1">#NAME?</definedName>
    <definedName name="_xlpm.pos" hidden="1" xlm="1">#NAME?</definedName>
    <definedName name="_xlpm.sec" hidden="1" xlm="1">#NAME?</definedName>
    <definedName name="_xlpm.texto" hidden="1" xlm="1">#NAME?</definedName>
    <definedName name="DatosExternos_1" localSheetId="0" hidden="1">'07  CRONOGRAMA 2026'!$A$5:$O$152</definedName>
    <definedName name="DatosExternos_1" localSheetId="9" hidden="1">'ANALISTAS ACTIVOS'!$A$1:$C$25</definedName>
    <definedName name="DatosExternos_2" localSheetId="7" hidden="1">MANT_HORAS!$A$1:$B$68</definedName>
    <definedName name="DatosExternos_3" localSheetId="6" hidden="1">MANT_HORAS_ANALISTAS!$A$1:$C$75</definedName>
  </definedNames>
  <calcPr calcId="191028"/>
  <pivotCaches>
    <pivotCache cacheId="1282" r:id="rId16"/>
    <pivotCache cacheId="1283" r:id="rId17"/>
    <pivotCache cacheId="1284" r:id="rId18"/>
    <pivotCache cacheId="1285" r:id="rId1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P6" i="1" l="1"/>
  <c r="AS6" i="1" s="1"/>
  <c r="AP7" i="1"/>
  <c r="AS7" i="1" s="1"/>
  <c r="AP8" i="1"/>
  <c r="AS8" i="1" s="1"/>
  <c r="AP9" i="1"/>
  <c r="AS9" i="1" s="1"/>
  <c r="AP10" i="1"/>
  <c r="AS10" i="1" s="1"/>
  <c r="AP11" i="1"/>
  <c r="AS11" i="1" s="1"/>
  <c r="AP12" i="1"/>
  <c r="AS12" i="1" s="1"/>
  <c r="AP13" i="1"/>
  <c r="AS13" i="1" s="1"/>
  <c r="AP14" i="1"/>
  <c r="AS14" i="1" s="1"/>
  <c r="AP15" i="1"/>
  <c r="AS15" i="1" s="1"/>
  <c r="AP16" i="1"/>
  <c r="AS16" i="1" s="1"/>
  <c r="AP17" i="1"/>
  <c r="AS17" i="1" s="1"/>
  <c r="AP18" i="1"/>
  <c r="AS18" i="1" s="1"/>
  <c r="AP19" i="1"/>
  <c r="AS19" i="1" s="1"/>
  <c r="AP20" i="1"/>
  <c r="AS20" i="1" s="1"/>
  <c r="AP21" i="1"/>
  <c r="AS21" i="1" s="1"/>
  <c r="AP22" i="1"/>
  <c r="AS22" i="1" s="1"/>
  <c r="AP23" i="1"/>
  <c r="AS23" i="1" s="1"/>
  <c r="AP24" i="1"/>
  <c r="AS24" i="1" s="1"/>
  <c r="AP25" i="1"/>
  <c r="AS25" i="1" s="1"/>
  <c r="AP26" i="1"/>
  <c r="AS26" i="1" s="1"/>
  <c r="AP27" i="1"/>
  <c r="AS27" i="1" s="1"/>
  <c r="AP28" i="1"/>
  <c r="AS28" i="1" s="1"/>
  <c r="AP29" i="1"/>
  <c r="AS29" i="1" s="1"/>
  <c r="AP30" i="1"/>
  <c r="AS30" i="1" s="1"/>
  <c r="AP31" i="1"/>
  <c r="AS31" i="1" s="1"/>
  <c r="AP32" i="1"/>
  <c r="AS32" i="1" s="1"/>
  <c r="AP33" i="1"/>
  <c r="AS33" i="1" s="1"/>
  <c r="AP34" i="1"/>
  <c r="AS34" i="1" s="1"/>
  <c r="AP35" i="1"/>
  <c r="AS35" i="1" s="1"/>
  <c r="AP36" i="1"/>
  <c r="AS36" i="1" s="1"/>
  <c r="AP37" i="1"/>
  <c r="AS37" i="1" s="1"/>
  <c r="AP38" i="1"/>
  <c r="AS38" i="1" s="1"/>
  <c r="AP39" i="1"/>
  <c r="AS39" i="1" s="1"/>
  <c r="AP40" i="1"/>
  <c r="AS40" i="1" s="1"/>
  <c r="AP41" i="1"/>
  <c r="AS41" i="1" s="1"/>
  <c r="AP42" i="1"/>
  <c r="AS42" i="1" s="1"/>
  <c r="AP43" i="1"/>
  <c r="AS43" i="1" s="1"/>
  <c r="AP44" i="1"/>
  <c r="AS44" i="1" s="1"/>
  <c r="AP45" i="1"/>
  <c r="AS45" i="1" s="1"/>
  <c r="AP46" i="1"/>
  <c r="AS46" i="1" s="1"/>
  <c r="AP47" i="1"/>
  <c r="AS47" i="1" s="1"/>
  <c r="AP48" i="1"/>
  <c r="AS48" i="1" s="1"/>
  <c r="AP49" i="1"/>
  <c r="AS49" i="1" s="1"/>
  <c r="AP50" i="1"/>
  <c r="AS50" i="1" s="1"/>
  <c r="AP51" i="1"/>
  <c r="AS51" i="1" s="1"/>
  <c r="AP52" i="1"/>
  <c r="AS52" i="1" s="1"/>
  <c r="AP53" i="1"/>
  <c r="AS53" i="1" s="1"/>
  <c r="AP54" i="1"/>
  <c r="AS54" i="1" s="1"/>
  <c r="AP55" i="1"/>
  <c r="AS55" i="1" s="1"/>
  <c r="AP56" i="1"/>
  <c r="AS56" i="1" s="1"/>
  <c r="AP57" i="1"/>
  <c r="AS57" i="1" s="1"/>
  <c r="AP58" i="1"/>
  <c r="AS58" i="1" s="1"/>
  <c r="AP59" i="1"/>
  <c r="AS59" i="1" s="1"/>
  <c r="AP60" i="1"/>
  <c r="AS60" i="1" s="1"/>
  <c r="AP61" i="1"/>
  <c r="AS61" i="1" s="1"/>
  <c r="AP62" i="1"/>
  <c r="AS62" i="1" s="1"/>
  <c r="AP63" i="1"/>
  <c r="AS63" i="1" s="1"/>
  <c r="AP64" i="1"/>
  <c r="AS64" i="1" s="1"/>
  <c r="AP65" i="1"/>
  <c r="AS65" i="1" s="1"/>
  <c r="AP66" i="1"/>
  <c r="AS66" i="1" s="1"/>
  <c r="AP67" i="1"/>
  <c r="AS67" i="1" s="1"/>
  <c r="AP68" i="1"/>
  <c r="AS68" i="1" s="1"/>
  <c r="AP69" i="1"/>
  <c r="AS69" i="1" s="1"/>
  <c r="AP70" i="1"/>
  <c r="AS70" i="1" s="1"/>
  <c r="AP71" i="1"/>
  <c r="AS71" i="1" s="1"/>
  <c r="AP72" i="1"/>
  <c r="AS72" i="1" s="1"/>
  <c r="AP73" i="1"/>
  <c r="AS73" i="1" s="1"/>
  <c r="AP74" i="1"/>
  <c r="AS74" i="1" s="1"/>
  <c r="AP75" i="1"/>
  <c r="AS75" i="1" s="1"/>
  <c r="AP76" i="1"/>
  <c r="AS76" i="1" s="1"/>
  <c r="AP77" i="1"/>
  <c r="AS77" i="1" s="1"/>
  <c r="AP78" i="1"/>
  <c r="AS78" i="1" s="1"/>
  <c r="AP79" i="1"/>
  <c r="AS79" i="1" s="1"/>
  <c r="AP80" i="1"/>
  <c r="AS80" i="1" s="1"/>
  <c r="AP81" i="1"/>
  <c r="AS81" i="1" s="1"/>
  <c r="AP82" i="1"/>
  <c r="AS82" i="1" s="1"/>
  <c r="AP83" i="1"/>
  <c r="AS83" i="1" s="1"/>
  <c r="AP84" i="1"/>
  <c r="AS84" i="1" s="1"/>
  <c r="AP85" i="1"/>
  <c r="AS85" i="1" s="1"/>
  <c r="AP86" i="1"/>
  <c r="AS86" i="1" s="1"/>
  <c r="AP87" i="1"/>
  <c r="AS87" i="1" s="1"/>
  <c r="AP88" i="1"/>
  <c r="AS88" i="1" s="1"/>
  <c r="AP89" i="1"/>
  <c r="AS89" i="1" s="1"/>
  <c r="AP90" i="1"/>
  <c r="AS90" i="1" s="1"/>
  <c r="AP91" i="1"/>
  <c r="AS91" i="1" s="1"/>
  <c r="AP92" i="1"/>
  <c r="AS92" i="1" s="1"/>
  <c r="AP93" i="1"/>
  <c r="AS93" i="1" s="1"/>
  <c r="AP94" i="1"/>
  <c r="AS94" i="1" s="1"/>
  <c r="AP95" i="1"/>
  <c r="AS95" i="1" s="1"/>
  <c r="AP96" i="1"/>
  <c r="AS96" i="1" s="1"/>
  <c r="AP97" i="1"/>
  <c r="AS97" i="1" s="1"/>
  <c r="AP98" i="1"/>
  <c r="AS98" i="1" s="1"/>
  <c r="AP99" i="1"/>
  <c r="AS99" i="1" s="1"/>
  <c r="AP100" i="1"/>
  <c r="AS100" i="1" s="1"/>
  <c r="AP101" i="1"/>
  <c r="AS101" i="1" s="1"/>
  <c r="AP102" i="1"/>
  <c r="AS102" i="1" s="1"/>
  <c r="AP103" i="1"/>
  <c r="AS103" i="1" s="1"/>
  <c r="AP104" i="1"/>
  <c r="AS104" i="1" s="1"/>
  <c r="AP105" i="1"/>
  <c r="AS105" i="1" s="1"/>
  <c r="AP106" i="1"/>
  <c r="AS106" i="1" s="1"/>
  <c r="AP107" i="1"/>
  <c r="AS107" i="1" s="1"/>
  <c r="AP108" i="1"/>
  <c r="AS108" i="1" s="1"/>
  <c r="AP109" i="1"/>
  <c r="AS109" i="1" s="1"/>
  <c r="AP110" i="1"/>
  <c r="AS110" i="1" s="1"/>
  <c r="AP111" i="1"/>
  <c r="AS111" i="1" s="1"/>
  <c r="AP112" i="1"/>
  <c r="AS112" i="1" s="1"/>
  <c r="AP113" i="1"/>
  <c r="AS113" i="1" s="1"/>
  <c r="AP114" i="1"/>
  <c r="AS114" i="1" s="1"/>
  <c r="AP115" i="1"/>
  <c r="AS115" i="1" s="1"/>
  <c r="AP116" i="1"/>
  <c r="AS116" i="1" s="1"/>
  <c r="AP117" i="1"/>
  <c r="AS117" i="1" s="1"/>
  <c r="AP118" i="1"/>
  <c r="AS118" i="1" s="1"/>
  <c r="AP119" i="1"/>
  <c r="AS119" i="1" s="1"/>
  <c r="AP120" i="1"/>
  <c r="AS120" i="1" s="1"/>
  <c r="AP121" i="1"/>
  <c r="AS121" i="1" s="1"/>
  <c r="AP122" i="1"/>
  <c r="AS122" i="1" s="1"/>
  <c r="AP123" i="1"/>
  <c r="AS123" i="1" s="1"/>
  <c r="AP124" i="1"/>
  <c r="AS124" i="1" s="1"/>
  <c r="AP125" i="1"/>
  <c r="AS125" i="1" s="1"/>
  <c r="AP126" i="1"/>
  <c r="AS126" i="1" s="1"/>
  <c r="AP127" i="1"/>
  <c r="AS127" i="1" s="1"/>
  <c r="AP128" i="1"/>
  <c r="AS128" i="1" s="1"/>
  <c r="AP129" i="1"/>
  <c r="AS129" i="1" s="1"/>
  <c r="AP130" i="1"/>
  <c r="AS130" i="1" s="1"/>
  <c r="AP131" i="1"/>
  <c r="AS131" i="1" s="1"/>
  <c r="AP132" i="1"/>
  <c r="AS132" i="1" s="1"/>
  <c r="AP133" i="1"/>
  <c r="AS133" i="1" s="1"/>
  <c r="AP134" i="1"/>
  <c r="AS134" i="1" s="1"/>
  <c r="AP135" i="1"/>
  <c r="AS135" i="1" s="1"/>
  <c r="AP136" i="1"/>
  <c r="AS136" i="1" s="1"/>
  <c r="AP137" i="1"/>
  <c r="AS137" i="1" s="1"/>
  <c r="AP138" i="1"/>
  <c r="AS138" i="1" s="1"/>
  <c r="AP139" i="1"/>
  <c r="AS139" i="1" s="1"/>
  <c r="AP140" i="1"/>
  <c r="AS140" i="1" s="1"/>
  <c r="AP141" i="1"/>
  <c r="AS141" i="1" s="1"/>
  <c r="AP142" i="1"/>
  <c r="AS142" i="1" s="1"/>
  <c r="AP143" i="1"/>
  <c r="AS143" i="1" s="1"/>
  <c r="AP144" i="1"/>
  <c r="AS144" i="1" s="1"/>
  <c r="AP145" i="1"/>
  <c r="AS145" i="1" s="1"/>
  <c r="AP146" i="1"/>
  <c r="AS146" i="1" s="1"/>
  <c r="AP147" i="1"/>
  <c r="AS147" i="1" s="1"/>
  <c r="AP148" i="1"/>
  <c r="AS148" i="1" s="1"/>
  <c r="AP149" i="1"/>
  <c r="AS149" i="1" s="1"/>
  <c r="AP150" i="1"/>
  <c r="AS150" i="1" s="1"/>
  <c r="AP151" i="1"/>
  <c r="AS151" i="1" s="1"/>
  <c r="AP152" i="1"/>
  <c r="AS152" i="1" s="1"/>
  <c r="AP153" i="1"/>
  <c r="AS153" i="1" s="1"/>
  <c r="AP154" i="1"/>
  <c r="AS154" i="1" s="1"/>
  <c r="AP155" i="1"/>
  <c r="AS155" i="1" s="1"/>
  <c r="AP156" i="1"/>
  <c r="AS156" i="1" s="1"/>
  <c r="AP157" i="1"/>
  <c r="AS157" i="1" s="1"/>
  <c r="AP158" i="1"/>
  <c r="AS158" i="1" s="1"/>
  <c r="AP159" i="1"/>
  <c r="AS159" i="1" s="1"/>
  <c r="AP160" i="1"/>
  <c r="AS160" i="1" s="1"/>
  <c r="AP161" i="1"/>
  <c r="AS161" i="1" s="1"/>
  <c r="AP162" i="1"/>
  <c r="AS162" i="1" s="1"/>
  <c r="AP163" i="1"/>
  <c r="AS163" i="1" s="1"/>
  <c r="AP164" i="1"/>
  <c r="AS164" i="1" s="1"/>
  <c r="AP165" i="1"/>
  <c r="AS165" i="1" s="1"/>
  <c r="AP166" i="1"/>
  <c r="AS166" i="1" s="1"/>
  <c r="AP167" i="1"/>
  <c r="AS167" i="1" s="1"/>
  <c r="AP168" i="1"/>
  <c r="AS168" i="1" s="1"/>
  <c r="AP169" i="1"/>
  <c r="AS169" i="1" s="1"/>
  <c r="AP170" i="1"/>
  <c r="AS170" i="1" s="1"/>
  <c r="AP171" i="1"/>
  <c r="AS171" i="1" s="1"/>
  <c r="AP172" i="1"/>
  <c r="AS172" i="1" s="1"/>
  <c r="AP173" i="1"/>
  <c r="AS173" i="1" s="1"/>
  <c r="AP174" i="1"/>
  <c r="AS174" i="1" s="1"/>
  <c r="AP175" i="1"/>
  <c r="AS175" i="1" s="1"/>
  <c r="AP176" i="1"/>
  <c r="AS176" i="1" s="1"/>
  <c r="AP177" i="1"/>
  <c r="AS177" i="1" s="1"/>
  <c r="AP178" i="1"/>
  <c r="AS178" i="1" s="1"/>
  <c r="AP179" i="1"/>
  <c r="AS179" i="1" s="1"/>
  <c r="AP180" i="1"/>
  <c r="AS180" i="1" s="1"/>
  <c r="AP181" i="1"/>
  <c r="AS181" i="1" s="1"/>
  <c r="AP182" i="1"/>
  <c r="AS182" i="1" s="1"/>
  <c r="AP183" i="1"/>
  <c r="AS183" i="1" s="1"/>
  <c r="AP184" i="1"/>
  <c r="AS184" i="1" s="1"/>
  <c r="AP185" i="1"/>
  <c r="AS185" i="1" s="1"/>
  <c r="BA185" i="1" s="1"/>
  <c r="AP186" i="1"/>
  <c r="AS186" i="1" s="1"/>
  <c r="AP187" i="1"/>
  <c r="AS187" i="1" s="1"/>
  <c r="BA187" i="1" s="1"/>
  <c r="AP188" i="1"/>
  <c r="AS188" i="1" s="1"/>
  <c r="BA188" i="1" s="1"/>
  <c r="AP189" i="1"/>
  <c r="AS189" i="1" s="1"/>
  <c r="BA189" i="1" s="1"/>
  <c r="AP190" i="1"/>
  <c r="AS190" i="1" s="1"/>
  <c r="BA190" i="1" s="1"/>
  <c r="AP191" i="1"/>
  <c r="AS191" i="1" s="1"/>
  <c r="AP192" i="1"/>
  <c r="AS192" i="1" s="1"/>
  <c r="AP193" i="1"/>
  <c r="AS193" i="1" s="1"/>
  <c r="BA193" i="1" s="1"/>
  <c r="AP194" i="1"/>
  <c r="AS194" i="1" s="1"/>
  <c r="BA194" i="1" s="1"/>
  <c r="AP195" i="1"/>
  <c r="AS195" i="1" s="1"/>
  <c r="BA195" i="1" s="1"/>
  <c r="AP196" i="1"/>
  <c r="AS196" i="1" s="1"/>
  <c r="BA196" i="1" s="1"/>
  <c r="AP197" i="1"/>
  <c r="AS197" i="1" s="1"/>
  <c r="AP198" i="1"/>
  <c r="AS198" i="1" s="1"/>
  <c r="BA198" i="1" s="1"/>
  <c r="AP199" i="1"/>
  <c r="AS199" i="1" s="1"/>
  <c r="BA199" i="1" s="1"/>
  <c r="AP200" i="1"/>
  <c r="AS200" i="1" s="1"/>
  <c r="BA200" i="1" s="1"/>
  <c r="AP201" i="1"/>
  <c r="AS201" i="1" s="1"/>
  <c r="AP202" i="1"/>
  <c r="AS202" i="1" s="1"/>
  <c r="AP203" i="1"/>
  <c r="AS203" i="1" s="1"/>
  <c r="AP204" i="1"/>
  <c r="AS204" i="1" s="1"/>
  <c r="AP205" i="1"/>
  <c r="AS205" i="1" s="1"/>
  <c r="AP206" i="1"/>
  <c r="AS206" i="1" s="1"/>
  <c r="BA206" i="1" s="1"/>
  <c r="AP207" i="1"/>
  <c r="AS207" i="1" s="1"/>
  <c r="AP208" i="1"/>
  <c r="AS208" i="1" s="1"/>
  <c r="BA208" i="1" s="1"/>
  <c r="AP209" i="1"/>
  <c r="AS209" i="1" s="1"/>
  <c r="AP210" i="1"/>
  <c r="AS210" i="1" s="1"/>
  <c r="AP211" i="1"/>
  <c r="AS211" i="1" s="1"/>
  <c r="AP212" i="1"/>
  <c r="AS212" i="1" s="1"/>
  <c r="BA212" i="1" s="1"/>
  <c r="AP213" i="1"/>
  <c r="AS213" i="1" s="1"/>
  <c r="BA213" i="1" s="1"/>
  <c r="AP214" i="1"/>
  <c r="AS214" i="1" s="1"/>
  <c r="BA214" i="1" s="1"/>
  <c r="AP215" i="1"/>
  <c r="AS215" i="1" s="1"/>
  <c r="BA215" i="1" s="1"/>
  <c r="AP216" i="1"/>
  <c r="AS216" i="1" s="1"/>
  <c r="AP217" i="1"/>
  <c r="AS217" i="1" s="1"/>
  <c r="AP218" i="1"/>
  <c r="AS218" i="1" s="1"/>
  <c r="AP219" i="1"/>
  <c r="AS219" i="1" s="1"/>
  <c r="AP220" i="1"/>
  <c r="AS220" i="1" s="1"/>
  <c r="BA220" i="1" s="1"/>
  <c r="AP221" i="1"/>
  <c r="AS221" i="1" s="1"/>
  <c r="AP222" i="1"/>
  <c r="AS222" i="1" s="1"/>
  <c r="BA222" i="1" s="1"/>
  <c r="AP223" i="1"/>
  <c r="AS223" i="1" s="1"/>
  <c r="AP224" i="1"/>
  <c r="AS224" i="1" s="1"/>
  <c r="AP225" i="1"/>
  <c r="AS225" i="1" s="1"/>
  <c r="BA225" i="1" s="1"/>
  <c r="AP226" i="1"/>
  <c r="AS226" i="1" s="1"/>
  <c r="BA226" i="1" s="1"/>
  <c r="AP227" i="1"/>
  <c r="AS227" i="1" s="1"/>
  <c r="BA227" i="1" s="1"/>
  <c r="AP228" i="1"/>
  <c r="AS228" i="1" s="1"/>
  <c r="AP229" i="1"/>
  <c r="AS229" i="1" s="1"/>
  <c r="BA229" i="1" s="1"/>
  <c r="AP230" i="1"/>
  <c r="AS230" i="1" s="1"/>
  <c r="BA230" i="1" s="1"/>
  <c r="AP231" i="1"/>
  <c r="AS231" i="1" s="1"/>
  <c r="AP232" i="1"/>
  <c r="AS232" i="1" s="1"/>
  <c r="AP233" i="1"/>
  <c r="AS233" i="1" s="1"/>
  <c r="BA233" i="1" s="1"/>
  <c r="AP234" i="1"/>
  <c r="AS234" i="1" s="1"/>
  <c r="AP235" i="1"/>
  <c r="AS235" i="1" s="1"/>
  <c r="AP236" i="1"/>
  <c r="AS236" i="1" s="1"/>
  <c r="AP237" i="1"/>
  <c r="AS237" i="1" s="1"/>
  <c r="BA237" i="1" s="1"/>
  <c r="AP238" i="1"/>
  <c r="AS238" i="1" s="1"/>
  <c r="BA238" i="1" s="1"/>
  <c r="AP239" i="1"/>
  <c r="AS239" i="1" s="1"/>
  <c r="AP240" i="1"/>
  <c r="AS240" i="1" s="1"/>
  <c r="BA240" i="1" s="1"/>
  <c r="AP241" i="1"/>
  <c r="AS241" i="1" s="1"/>
  <c r="AP242" i="1"/>
  <c r="AS242" i="1" s="1"/>
  <c r="AP243" i="1"/>
  <c r="AS243" i="1" s="1"/>
  <c r="BA243" i="1" s="1"/>
  <c r="AP244" i="1"/>
  <c r="AS244" i="1" s="1"/>
  <c r="BA244" i="1" s="1"/>
  <c r="AP245" i="1"/>
  <c r="AS245" i="1" s="1"/>
  <c r="AP246" i="1"/>
  <c r="AS246" i="1" s="1"/>
  <c r="AP247" i="1"/>
  <c r="AS247" i="1" s="1"/>
  <c r="AP248" i="1"/>
  <c r="AS248" i="1" s="1"/>
  <c r="AP249" i="1"/>
  <c r="AS249" i="1" s="1"/>
  <c r="AP250" i="1"/>
  <c r="AS250" i="1" s="1"/>
  <c r="BA250" i="1" s="1"/>
  <c r="AP251" i="1"/>
  <c r="AS251" i="1" s="1"/>
  <c r="BA251" i="1" s="1"/>
  <c r="AP252" i="1"/>
  <c r="AS252" i="1" s="1"/>
  <c r="AP253" i="1"/>
  <c r="AS253" i="1" s="1"/>
  <c r="AP254" i="1"/>
  <c r="AS254" i="1" s="1"/>
  <c r="BA254" i="1" s="1"/>
  <c r="AP255" i="1"/>
  <c r="AS255" i="1" s="1"/>
  <c r="BA255" i="1" s="1"/>
  <c r="AP256" i="1"/>
  <c r="AS256" i="1" s="1"/>
  <c r="BA256" i="1" s="1"/>
  <c r="AP257" i="1"/>
  <c r="AS257" i="1" s="1"/>
  <c r="AP258" i="1"/>
  <c r="AS258" i="1" s="1"/>
  <c r="AP259" i="1"/>
  <c r="AS259" i="1" s="1"/>
  <c r="BA259" i="1" s="1"/>
  <c r="AP260" i="1"/>
  <c r="AS260" i="1" s="1"/>
  <c r="AP261" i="1"/>
  <c r="AS261" i="1" s="1"/>
  <c r="AP262" i="1"/>
  <c r="AS262" i="1" s="1"/>
  <c r="AP263" i="1"/>
  <c r="AS263" i="1" s="1"/>
  <c r="BA263" i="1" s="1"/>
  <c r="AP264" i="1"/>
  <c r="AS264" i="1" s="1"/>
  <c r="BA264" i="1" s="1"/>
  <c r="AP265" i="1"/>
  <c r="AS265" i="1" s="1"/>
  <c r="AP266" i="1"/>
  <c r="AS266" i="1" s="1"/>
  <c r="AP267" i="1"/>
  <c r="AS267" i="1" s="1"/>
  <c r="BA267" i="1" s="1"/>
  <c r="AG6" i="1"/>
  <c r="AG7"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BX194" i="1" s="1"/>
  <c r="AG195" i="1"/>
  <c r="AG196" i="1"/>
  <c r="AG197" i="1"/>
  <c r="AG198" i="1"/>
  <c r="BQ198" i="1" s="1"/>
  <c r="BW198" i="1" s="1"/>
  <c r="BY198" i="1" s="1"/>
  <c r="AG199" i="1"/>
  <c r="AG200" i="1"/>
  <c r="AG201" i="1"/>
  <c r="AG202" i="1"/>
  <c r="AG203" i="1"/>
  <c r="AG204" i="1"/>
  <c r="AG205" i="1"/>
  <c r="AG206" i="1"/>
  <c r="BX206" i="1" s="1"/>
  <c r="AG207" i="1"/>
  <c r="AG208" i="1"/>
  <c r="AG209" i="1"/>
  <c r="AG210" i="1"/>
  <c r="AG211" i="1"/>
  <c r="AG212" i="1"/>
  <c r="AG213" i="1"/>
  <c r="AG214" i="1"/>
  <c r="BX214" i="1" s="1"/>
  <c r="AG215" i="1"/>
  <c r="AG216" i="1"/>
  <c r="AG217" i="1"/>
  <c r="AG218" i="1"/>
  <c r="AG219" i="1"/>
  <c r="AG220" i="1"/>
  <c r="AG221" i="1"/>
  <c r="AG222" i="1"/>
  <c r="BX222" i="1" s="1"/>
  <c r="AG223" i="1"/>
  <c r="AG224" i="1"/>
  <c r="AG225" i="1"/>
  <c r="AG226" i="1"/>
  <c r="BQ226" i="1" s="1"/>
  <c r="BW226" i="1" s="1"/>
  <c r="BY226" i="1" s="1"/>
  <c r="AG227" i="1"/>
  <c r="AG228" i="1"/>
  <c r="AG229" i="1"/>
  <c r="AG230" i="1"/>
  <c r="BQ230" i="1" s="1"/>
  <c r="BW230" i="1" s="1"/>
  <c r="BY230" i="1" s="1"/>
  <c r="AG231" i="1"/>
  <c r="AG232" i="1"/>
  <c r="AG233" i="1"/>
  <c r="AG234" i="1"/>
  <c r="AG235" i="1"/>
  <c r="AG236" i="1"/>
  <c r="AG237" i="1"/>
  <c r="AG238" i="1"/>
  <c r="BQ238" i="1" s="1"/>
  <c r="BW238" i="1" s="1"/>
  <c r="BY238" i="1" s="1"/>
  <c r="AG239" i="1"/>
  <c r="AG240" i="1"/>
  <c r="AG241" i="1"/>
  <c r="AG242" i="1"/>
  <c r="AG243" i="1"/>
  <c r="AG244" i="1"/>
  <c r="AG245" i="1"/>
  <c r="AG246" i="1"/>
  <c r="AG247" i="1"/>
  <c r="AG248" i="1"/>
  <c r="AG249" i="1"/>
  <c r="AG250" i="1"/>
  <c r="AG251" i="1"/>
  <c r="AG252" i="1"/>
  <c r="AG253" i="1"/>
  <c r="AG254" i="1"/>
  <c r="AG255" i="1"/>
  <c r="AG256" i="1"/>
  <c r="AG257" i="1"/>
  <c r="AG258" i="1"/>
  <c r="AG259" i="1"/>
  <c r="BQ259" i="1" s="1"/>
  <c r="BW259" i="1" s="1"/>
  <c r="BY259" i="1" s="1"/>
  <c r="AG260" i="1"/>
  <c r="AG261" i="1"/>
  <c r="AG262" i="1"/>
  <c r="AG263" i="1"/>
  <c r="BQ263" i="1" s="1"/>
  <c r="BW263" i="1" s="1"/>
  <c r="BY263" i="1" s="1"/>
  <c r="AG264" i="1"/>
  <c r="AG265" i="1"/>
  <c r="AG266" i="1"/>
  <c r="AG267" i="1"/>
  <c r="BQ267" i="1" s="1"/>
  <c r="BW267" i="1" s="1"/>
  <c r="BY267" i="1" s="1"/>
  <c r="AU251" i="1"/>
  <c r="AU252" i="1"/>
  <c r="AU253" i="1"/>
  <c r="AU254" i="1"/>
  <c r="AU255" i="1"/>
  <c r="AU256" i="1"/>
  <c r="AU257" i="1"/>
  <c r="AU258" i="1"/>
  <c r="AU259" i="1"/>
  <c r="AU260" i="1"/>
  <c r="AU261" i="1"/>
  <c r="AU262" i="1"/>
  <c r="AU263" i="1"/>
  <c r="AU264" i="1"/>
  <c r="AU265" i="1"/>
  <c r="AU266" i="1"/>
  <c r="AU267" i="1"/>
  <c r="AV251" i="1"/>
  <c r="AV252" i="1"/>
  <c r="AV253" i="1"/>
  <c r="AV254" i="1"/>
  <c r="AV255" i="1"/>
  <c r="AV256" i="1"/>
  <c r="AV257" i="1"/>
  <c r="AV258" i="1"/>
  <c r="AV259" i="1"/>
  <c r="AV260" i="1"/>
  <c r="AV261" i="1"/>
  <c r="AV262" i="1"/>
  <c r="AV263" i="1"/>
  <c r="AV264" i="1"/>
  <c r="AV265" i="1"/>
  <c r="AV266" i="1"/>
  <c r="AV267" i="1"/>
  <c r="AW251" i="1"/>
  <c r="AW252" i="1"/>
  <c r="AW253" i="1"/>
  <c r="AW254" i="1"/>
  <c r="AW255" i="1"/>
  <c r="AW256" i="1"/>
  <c r="AW257" i="1"/>
  <c r="AW258" i="1"/>
  <c r="AW259" i="1"/>
  <c r="AW260" i="1"/>
  <c r="AW261" i="1"/>
  <c r="AW262" i="1"/>
  <c r="AW263" i="1"/>
  <c r="AW264" i="1"/>
  <c r="AW265" i="1"/>
  <c r="AW266" i="1"/>
  <c r="AW267" i="1"/>
  <c r="AX251" i="1"/>
  <c r="AX252" i="1"/>
  <c r="AX253" i="1"/>
  <c r="AX254" i="1"/>
  <c r="AX255" i="1"/>
  <c r="AX256" i="1"/>
  <c r="AX257" i="1"/>
  <c r="AX258" i="1"/>
  <c r="AX259" i="1"/>
  <c r="AX260" i="1"/>
  <c r="AX261" i="1"/>
  <c r="AX262" i="1"/>
  <c r="AX263" i="1"/>
  <c r="AX264" i="1"/>
  <c r="AX265" i="1"/>
  <c r="AX266" i="1"/>
  <c r="AX267" i="1"/>
  <c r="AY251" i="1"/>
  <c r="AY252" i="1"/>
  <c r="AY253" i="1"/>
  <c r="AY254" i="1"/>
  <c r="AY255" i="1"/>
  <c r="AY256" i="1"/>
  <c r="AY257" i="1"/>
  <c r="AY258" i="1"/>
  <c r="AY259" i="1"/>
  <c r="AY260" i="1"/>
  <c r="AY261" i="1"/>
  <c r="AY262" i="1"/>
  <c r="AY263" i="1"/>
  <c r="AY264" i="1"/>
  <c r="AY265" i="1"/>
  <c r="AY266" i="1"/>
  <c r="AY267" i="1"/>
  <c r="AZ251" i="1"/>
  <c r="AZ252" i="1"/>
  <c r="AZ253" i="1"/>
  <c r="AZ254" i="1"/>
  <c r="AZ255" i="1"/>
  <c r="AZ256" i="1"/>
  <c r="AZ257" i="1"/>
  <c r="AZ258" i="1"/>
  <c r="AZ259" i="1"/>
  <c r="AZ260" i="1"/>
  <c r="AZ261" i="1"/>
  <c r="AZ262" i="1"/>
  <c r="AZ263" i="1"/>
  <c r="AZ264" i="1"/>
  <c r="AZ265" i="1"/>
  <c r="AZ266" i="1"/>
  <c r="AZ267" i="1"/>
  <c r="BH251" i="1"/>
  <c r="BI251" i="1" s="1"/>
  <c r="BH252" i="1"/>
  <c r="BI252" i="1" s="1"/>
  <c r="BH253" i="1"/>
  <c r="BI253" i="1" s="1"/>
  <c r="BH254" i="1"/>
  <c r="BI254" i="1" s="1"/>
  <c r="BH255" i="1"/>
  <c r="BI255" i="1" s="1"/>
  <c r="BH256" i="1"/>
  <c r="BI256" i="1" s="1"/>
  <c r="BH257" i="1"/>
  <c r="BI257" i="1" s="1"/>
  <c r="BH258" i="1"/>
  <c r="BI258" i="1" s="1"/>
  <c r="BH259" i="1"/>
  <c r="BH260" i="1"/>
  <c r="BI260" i="1" s="1"/>
  <c r="BH261" i="1"/>
  <c r="BI261" i="1" s="1"/>
  <c r="BH262" i="1"/>
  <c r="BI262" i="1" s="1"/>
  <c r="BH263" i="1"/>
  <c r="BI263" i="1" s="1"/>
  <c r="BH264" i="1"/>
  <c r="BI264" i="1" s="1"/>
  <c r="BH265" i="1"/>
  <c r="BH266" i="1"/>
  <c r="BI266" i="1" s="1"/>
  <c r="BH267" i="1"/>
  <c r="BI267" i="1" s="1"/>
  <c r="BI259" i="1"/>
  <c r="BI265" i="1"/>
  <c r="BQ254" i="1"/>
  <c r="BW254" i="1" s="1"/>
  <c r="BY254" i="1" s="1"/>
  <c r="BQ256" i="1"/>
  <c r="BW256" i="1" s="1"/>
  <c r="BY256" i="1" s="1"/>
  <c r="BQ264" i="1"/>
  <c r="BW264" i="1" s="1"/>
  <c r="BY264" i="1" s="1"/>
  <c r="BR251" i="1"/>
  <c r="BR252" i="1"/>
  <c r="BR253" i="1"/>
  <c r="BR254" i="1"/>
  <c r="BR255" i="1"/>
  <c r="BR256" i="1"/>
  <c r="BR257" i="1"/>
  <c r="BR258" i="1"/>
  <c r="BR259" i="1"/>
  <c r="BR260" i="1"/>
  <c r="BR261" i="1"/>
  <c r="BR262" i="1"/>
  <c r="BR263" i="1"/>
  <c r="BR264" i="1"/>
  <c r="BR265" i="1"/>
  <c r="BR266" i="1"/>
  <c r="BR267" i="1"/>
  <c r="BS251" i="1"/>
  <c r="BS252" i="1"/>
  <c r="BS253" i="1"/>
  <c r="BS254" i="1"/>
  <c r="BS255" i="1"/>
  <c r="BS256" i="1"/>
  <c r="BS257" i="1"/>
  <c r="BS258" i="1"/>
  <c r="BS259" i="1"/>
  <c r="BS260" i="1"/>
  <c r="BS261" i="1"/>
  <c r="BS262" i="1"/>
  <c r="BS263" i="1"/>
  <c r="BS264" i="1"/>
  <c r="BS265" i="1"/>
  <c r="BS266" i="1"/>
  <c r="BS267" i="1"/>
  <c r="BX254" i="1"/>
  <c r="BX264" i="1"/>
  <c r="BX267" i="1"/>
  <c r="CA251" i="1"/>
  <c r="CA252" i="1"/>
  <c r="CA253" i="1"/>
  <c r="CA254" i="1"/>
  <c r="CA255" i="1"/>
  <c r="CA256" i="1"/>
  <c r="CA257" i="1"/>
  <c r="CA258" i="1"/>
  <c r="CA259" i="1"/>
  <c r="CA260" i="1"/>
  <c r="CA261" i="1"/>
  <c r="CA262" i="1"/>
  <c r="CA263" i="1"/>
  <c r="CA264" i="1"/>
  <c r="CA265" i="1"/>
  <c r="CA266" i="1"/>
  <c r="CA267" i="1"/>
  <c r="CC251" i="1"/>
  <c r="CC252" i="1"/>
  <c r="CC253" i="1"/>
  <c r="CC254" i="1"/>
  <c r="CC255" i="1"/>
  <c r="CC256" i="1"/>
  <c r="CC257" i="1"/>
  <c r="CC258" i="1"/>
  <c r="CC259" i="1"/>
  <c r="CC260" i="1"/>
  <c r="CC261" i="1"/>
  <c r="CC262" i="1"/>
  <c r="CC263" i="1"/>
  <c r="CC264" i="1"/>
  <c r="CC265" i="1"/>
  <c r="CC266" i="1"/>
  <c r="CC267" i="1"/>
  <c r="CD251" i="1"/>
  <c r="CD252" i="1"/>
  <c r="CD253" i="1"/>
  <c r="CD254" i="1"/>
  <c r="CD255" i="1"/>
  <c r="CD256" i="1"/>
  <c r="CD257" i="1"/>
  <c r="CD258" i="1"/>
  <c r="CD259" i="1"/>
  <c r="CD260" i="1"/>
  <c r="CD261" i="1"/>
  <c r="CD262" i="1"/>
  <c r="CD263" i="1"/>
  <c r="CD264" i="1"/>
  <c r="CD265" i="1"/>
  <c r="CD266" i="1"/>
  <c r="CD267" i="1"/>
  <c r="CG251" i="1"/>
  <c r="CG252" i="1"/>
  <c r="CG253" i="1"/>
  <c r="CG254" i="1"/>
  <c r="CG255" i="1"/>
  <c r="CG256" i="1"/>
  <c r="CG257" i="1"/>
  <c r="CG258" i="1"/>
  <c r="CG259" i="1"/>
  <c r="CG260" i="1"/>
  <c r="CG261" i="1"/>
  <c r="CG262" i="1"/>
  <c r="CG263" i="1"/>
  <c r="CG264" i="1"/>
  <c r="CG265" i="1"/>
  <c r="CG266" i="1"/>
  <c r="CG267" i="1"/>
  <c r="CH251" i="1"/>
  <c r="C248" i="76" s="1" a="1"/>
  <c r="C248" i="76" s="1"/>
  <c r="CH252" i="1"/>
  <c r="C249" i="76" s="1" a="1"/>
  <c r="C249" i="76" s="1"/>
  <c r="CH253" i="1"/>
  <c r="CH254" i="1"/>
  <c r="C251" i="76" s="1" a="1"/>
  <c r="C251" i="76" s="1"/>
  <c r="CH255" i="1"/>
  <c r="C252" i="76" s="1" a="1"/>
  <c r="C252" i="76" s="1"/>
  <c r="CH256" i="1"/>
  <c r="C253" i="76" s="1" a="1"/>
  <c r="C253" i="76" s="1"/>
  <c r="CH257" i="1"/>
  <c r="CH258" i="1"/>
  <c r="C255" i="76" s="1" a="1"/>
  <c r="C255" i="76" s="1"/>
  <c r="CH259" i="1"/>
  <c r="C256" i="76" s="1" a="1"/>
  <c r="C256" i="76" s="1"/>
  <c r="CH260" i="1"/>
  <c r="C257" i="76" s="1" a="1"/>
  <c r="C257" i="76" s="1"/>
  <c r="CH261" i="1"/>
  <c r="CH262" i="1"/>
  <c r="C259" i="76" s="1" a="1"/>
  <c r="C259" i="76" s="1"/>
  <c r="CH263" i="1"/>
  <c r="C260" i="76" s="1" a="1"/>
  <c r="C260" i="76" s="1"/>
  <c r="CH264" i="1"/>
  <c r="C261" i="76" s="1" a="1"/>
  <c r="C261" i="76" s="1"/>
  <c r="CH265" i="1"/>
  <c r="CH266" i="1"/>
  <c r="C263" i="76" s="1" a="1"/>
  <c r="C263" i="76" s="1"/>
  <c r="CH267" i="1"/>
  <c r="C264" i="76" s="1" a="1"/>
  <c r="C264" i="76" s="1"/>
  <c r="CJ251" i="1"/>
  <c r="CI251" i="1" s="1"/>
  <c r="CL251" i="1" s="1"/>
  <c r="CJ252" i="1"/>
  <c r="CI252" i="1" s="1"/>
  <c r="CL252" i="1" s="1"/>
  <c r="CJ253" i="1"/>
  <c r="CI253" i="1" s="1"/>
  <c r="CJ254" i="1"/>
  <c r="CI254" i="1" s="1"/>
  <c r="CL254" i="1" s="1"/>
  <c r="CJ255" i="1"/>
  <c r="CI255" i="1" s="1"/>
  <c r="CL255" i="1" s="1"/>
  <c r="CJ256" i="1"/>
  <c r="CI256" i="1" s="1"/>
  <c r="CL256" i="1" s="1"/>
  <c r="CJ257" i="1"/>
  <c r="CI257" i="1" s="1"/>
  <c r="CL257" i="1" s="1"/>
  <c r="CJ258" i="1"/>
  <c r="CI258" i="1" s="1"/>
  <c r="CL258" i="1" s="1"/>
  <c r="CJ259" i="1"/>
  <c r="CI259" i="1" s="1"/>
  <c r="CL259" i="1" s="1"/>
  <c r="CJ260" i="1"/>
  <c r="CI260" i="1" s="1"/>
  <c r="CL260" i="1" s="1"/>
  <c r="CJ261" i="1"/>
  <c r="CI261" i="1" s="1"/>
  <c r="CL261" i="1" s="1"/>
  <c r="CJ262" i="1"/>
  <c r="CI262" i="1" s="1"/>
  <c r="CL262" i="1" s="1"/>
  <c r="CJ263" i="1"/>
  <c r="CI263" i="1" s="1"/>
  <c r="CL263" i="1" s="1"/>
  <c r="CJ264" i="1"/>
  <c r="CI264" i="1" s="1"/>
  <c r="CL264" i="1" s="1"/>
  <c r="CJ265" i="1"/>
  <c r="CI265" i="1" s="1"/>
  <c r="CL265" i="1" s="1"/>
  <c r="CJ266" i="1"/>
  <c r="CI266" i="1" s="1"/>
  <c r="CL266" i="1" s="1"/>
  <c r="CJ267" i="1"/>
  <c r="CI267" i="1" s="1"/>
  <c r="CL267" i="1" s="1"/>
  <c r="CK251" i="1"/>
  <c r="CK252" i="1"/>
  <c r="CK253" i="1"/>
  <c r="CK254" i="1"/>
  <c r="CK255" i="1"/>
  <c r="CK256" i="1"/>
  <c r="CK257" i="1"/>
  <c r="CK258" i="1"/>
  <c r="CK259" i="1"/>
  <c r="CK260" i="1"/>
  <c r="CK261" i="1"/>
  <c r="CK262" i="1"/>
  <c r="CK263" i="1"/>
  <c r="CK264" i="1"/>
  <c r="CK265" i="1"/>
  <c r="CK266" i="1"/>
  <c r="CK267" i="1"/>
  <c r="CL253" i="1"/>
  <c r="CT251" i="1"/>
  <c r="CT252" i="1"/>
  <c r="CT253" i="1"/>
  <c r="CT254" i="1"/>
  <c r="CT255" i="1"/>
  <c r="CT256" i="1"/>
  <c r="CT257" i="1"/>
  <c r="CT258" i="1"/>
  <c r="CT259" i="1"/>
  <c r="CT260" i="1"/>
  <c r="CT261" i="1"/>
  <c r="CT262" i="1"/>
  <c r="CT263" i="1"/>
  <c r="CT264" i="1"/>
  <c r="CT265" i="1"/>
  <c r="CT266" i="1"/>
  <c r="CT267" i="1"/>
  <c r="CU251" i="1"/>
  <c r="CY251" i="1" s="1"/>
  <c r="CU252" i="1"/>
  <c r="CY252" i="1" s="1"/>
  <c r="CU253" i="1"/>
  <c r="CY253" i="1" s="1"/>
  <c r="CU254" i="1"/>
  <c r="CY254" i="1" s="1"/>
  <c r="CU255" i="1"/>
  <c r="CY255" i="1" s="1"/>
  <c r="CU256" i="1"/>
  <c r="CY256" i="1" s="1"/>
  <c r="CU257" i="1"/>
  <c r="CY257" i="1" s="1"/>
  <c r="CU258" i="1"/>
  <c r="CY258" i="1" s="1"/>
  <c r="CU259" i="1"/>
  <c r="CY259" i="1" s="1"/>
  <c r="CU260" i="1"/>
  <c r="CY260" i="1" s="1"/>
  <c r="CU261" i="1"/>
  <c r="CY261" i="1" s="1"/>
  <c r="CU262" i="1"/>
  <c r="CY262" i="1" s="1"/>
  <c r="CU263" i="1"/>
  <c r="CY263" i="1" s="1"/>
  <c r="CU264" i="1"/>
  <c r="CY264" i="1" s="1"/>
  <c r="CU265" i="1"/>
  <c r="CY265" i="1" s="1"/>
  <c r="CU266" i="1"/>
  <c r="CY266" i="1" s="1"/>
  <c r="CU267" i="1"/>
  <c r="CY267" i="1" s="1"/>
  <c r="CV251" i="1"/>
  <c r="CV252" i="1"/>
  <c r="CV253" i="1"/>
  <c r="CV254" i="1"/>
  <c r="CV255" i="1"/>
  <c r="CV256" i="1"/>
  <c r="CV257" i="1"/>
  <c r="CV258" i="1"/>
  <c r="CV259" i="1"/>
  <c r="CV260" i="1"/>
  <c r="CV261" i="1"/>
  <c r="CV262" i="1"/>
  <c r="CV263" i="1"/>
  <c r="CV264" i="1"/>
  <c r="CV265" i="1"/>
  <c r="CV266" i="1"/>
  <c r="CV267" i="1"/>
  <c r="CX251" i="1"/>
  <c r="CX252" i="1"/>
  <c r="CX253" i="1"/>
  <c r="CX254" i="1"/>
  <c r="CX255" i="1"/>
  <c r="CX256" i="1"/>
  <c r="CX257" i="1"/>
  <c r="CX258" i="1"/>
  <c r="CX259" i="1"/>
  <c r="CX260" i="1"/>
  <c r="CX261" i="1"/>
  <c r="CX262" i="1"/>
  <c r="CX263" i="1"/>
  <c r="CX264" i="1"/>
  <c r="CX265" i="1"/>
  <c r="CX266" i="1"/>
  <c r="CX267" i="1"/>
  <c r="CZ251" i="1"/>
  <c r="DA251" i="1" s="1"/>
  <c r="DC251" i="1" s="1"/>
  <c r="CZ252" i="1"/>
  <c r="DA252" i="1" s="1"/>
  <c r="DC252" i="1" s="1"/>
  <c r="CZ253" i="1"/>
  <c r="DA253" i="1" s="1"/>
  <c r="DC253" i="1" s="1"/>
  <c r="CZ254" i="1"/>
  <c r="DB254" i="1" s="1"/>
  <c r="CZ255" i="1"/>
  <c r="DA255" i="1" s="1"/>
  <c r="DC255" i="1" s="1"/>
  <c r="CZ256" i="1"/>
  <c r="DA256" i="1" s="1"/>
  <c r="DC256" i="1" s="1"/>
  <c r="CZ257" i="1"/>
  <c r="DB257" i="1" s="1"/>
  <c r="CZ258" i="1"/>
  <c r="DB258" i="1" s="1"/>
  <c r="CZ259" i="1"/>
  <c r="DA259" i="1" s="1"/>
  <c r="DC259" i="1" s="1"/>
  <c r="CZ260" i="1"/>
  <c r="DA260" i="1" s="1"/>
  <c r="DC260" i="1" s="1"/>
  <c r="CZ261" i="1"/>
  <c r="DA261" i="1" s="1"/>
  <c r="DC261" i="1" s="1"/>
  <c r="CZ262" i="1"/>
  <c r="DB262" i="1" s="1"/>
  <c r="CZ263" i="1"/>
  <c r="DA263" i="1" s="1"/>
  <c r="DC263" i="1" s="1"/>
  <c r="CZ264" i="1"/>
  <c r="DA264" i="1" s="1"/>
  <c r="DC264" i="1" s="1"/>
  <c r="CZ265" i="1"/>
  <c r="DB265" i="1" s="1"/>
  <c r="CZ266" i="1"/>
  <c r="DB266" i="1" s="1"/>
  <c r="CZ267" i="1"/>
  <c r="DA267" i="1" s="1"/>
  <c r="DC267" i="1" s="1"/>
  <c r="DD251" i="1"/>
  <c r="DD252" i="1"/>
  <c r="DD253" i="1"/>
  <c r="DD254" i="1"/>
  <c r="DD255" i="1"/>
  <c r="DD256" i="1"/>
  <c r="DD257" i="1"/>
  <c r="DD258" i="1"/>
  <c r="DD259" i="1"/>
  <c r="DD260" i="1"/>
  <c r="DD261" i="1"/>
  <c r="DD262" i="1"/>
  <c r="DD263" i="1"/>
  <c r="DD264" i="1"/>
  <c r="DD265" i="1"/>
  <c r="DD266" i="1"/>
  <c r="DD267" i="1"/>
  <c r="BQ187" i="1"/>
  <c r="BW187" i="1" s="1"/>
  <c r="BY187" i="1" s="1"/>
  <c r="BX199" i="1"/>
  <c r="BQ215" i="1"/>
  <c r="BW215" i="1" s="1"/>
  <c r="BY215" i="1" s="1"/>
  <c r="BX188" i="1"/>
  <c r="BQ196" i="1"/>
  <c r="BW196" i="1" s="1"/>
  <c r="BY196" i="1" s="1"/>
  <c r="BX213" i="1"/>
  <c r="BQ220" i="1"/>
  <c r="BW220" i="1" s="1"/>
  <c r="BY220" i="1" s="1"/>
  <c r="BX225" i="1"/>
  <c r="BQ233" i="1"/>
  <c r="BW233" i="1" s="1"/>
  <c r="BY233" i="1" s="1"/>
  <c r="E619" i="2"/>
  <c r="E620" i="2"/>
  <c r="E621" i="2"/>
  <c r="E622" i="2"/>
  <c r="E623" i="2"/>
  <c r="E624" i="2"/>
  <c r="E625" i="2"/>
  <c r="E626" i="2"/>
  <c r="E627" i="2"/>
  <c r="E628" i="2"/>
  <c r="E629" i="2"/>
  <c r="E630" i="2"/>
  <c r="E631" i="2"/>
  <c r="E632" i="2"/>
  <c r="E633" i="2"/>
  <c r="E634" i="2"/>
  <c r="E635" i="2"/>
  <c r="E636" i="2"/>
  <c r="E637" i="2"/>
  <c r="BQ237" i="1"/>
  <c r="BW237" i="1" s="1"/>
  <c r="BY237" i="1" s="1"/>
  <c r="G106" i="67"/>
  <c r="G105" i="67"/>
  <c r="G104" i="67"/>
  <c r="G103" i="67"/>
  <c r="G102" i="67"/>
  <c r="G101" i="67"/>
  <c r="G100" i="67"/>
  <c r="G99" i="67"/>
  <c r="G98" i="67"/>
  <c r="CC6" i="1"/>
  <c r="CC7" i="1"/>
  <c r="CC8" i="1"/>
  <c r="CC9" i="1"/>
  <c r="CC10" i="1"/>
  <c r="CC11" i="1"/>
  <c r="CJ11" i="1" s="1"/>
  <c r="CC12" i="1"/>
  <c r="CC13" i="1"/>
  <c r="CC14" i="1"/>
  <c r="CC15" i="1"/>
  <c r="CC16" i="1"/>
  <c r="CJ16" i="1" s="1"/>
  <c r="CC17" i="1"/>
  <c r="CC18" i="1"/>
  <c r="CC19" i="1"/>
  <c r="CC20" i="1"/>
  <c r="CC21" i="1"/>
  <c r="CC22" i="1"/>
  <c r="CJ22" i="1" s="1"/>
  <c r="CH22" i="1" s="1"/>
  <c r="CC23" i="1"/>
  <c r="CJ23" i="1" s="1"/>
  <c r="CH23" i="1" s="1"/>
  <c r="CC24" i="1"/>
  <c r="CJ24" i="1" s="1"/>
  <c r="CC25" i="1"/>
  <c r="CC26" i="1"/>
  <c r="CJ26" i="1" s="1"/>
  <c r="CL26" i="1" s="1"/>
  <c r="CH26" i="1" s="1"/>
  <c r="CC27" i="1"/>
  <c r="CC28" i="1"/>
  <c r="CC29" i="1"/>
  <c r="CC30" i="1"/>
  <c r="CJ30" i="1" s="1"/>
  <c r="CC31" i="1"/>
  <c r="CJ31" i="1" s="1"/>
  <c r="CC32" i="1"/>
  <c r="CC33" i="1"/>
  <c r="CC34" i="1"/>
  <c r="CJ34" i="1" s="1"/>
  <c r="CC35" i="1"/>
  <c r="CC36" i="1"/>
  <c r="CJ36" i="1" s="1"/>
  <c r="CC37" i="1"/>
  <c r="CC38" i="1"/>
  <c r="CC39" i="1"/>
  <c r="CC40" i="1"/>
  <c r="CJ40" i="1" s="1"/>
  <c r="CC41" i="1"/>
  <c r="CC42" i="1"/>
  <c r="CC43" i="1"/>
  <c r="CC44" i="1"/>
  <c r="CJ44" i="1" s="1"/>
  <c r="CC45" i="1"/>
  <c r="CC47" i="1"/>
  <c r="CC48" i="1"/>
  <c r="CC49" i="1"/>
  <c r="CC50" i="1"/>
  <c r="CC51" i="1"/>
  <c r="CC52" i="1"/>
  <c r="CC53" i="1"/>
  <c r="CC54" i="1"/>
  <c r="CJ54" i="1" s="1"/>
  <c r="CC55" i="1"/>
  <c r="CC56" i="1"/>
  <c r="CC57" i="1"/>
  <c r="CC59" i="1"/>
  <c r="CC60" i="1"/>
  <c r="CC61" i="1"/>
  <c r="CC62" i="1"/>
  <c r="CJ62" i="1" s="1"/>
  <c r="CC63" i="1"/>
  <c r="CC64" i="1"/>
  <c r="CC65" i="1"/>
  <c r="CC66" i="1"/>
  <c r="CC67" i="1"/>
  <c r="CJ67" i="1" s="1"/>
  <c r="CC68" i="1"/>
  <c r="CC69" i="1"/>
  <c r="CC70" i="1"/>
  <c r="CC71" i="1"/>
  <c r="CC72" i="1"/>
  <c r="CC73" i="1"/>
  <c r="CC74" i="1"/>
  <c r="CC75" i="1"/>
  <c r="CC76" i="1"/>
  <c r="CC77" i="1"/>
  <c r="CC78" i="1"/>
  <c r="CC79" i="1"/>
  <c r="CJ79" i="1" s="1"/>
  <c r="CC80" i="1"/>
  <c r="CC81" i="1"/>
  <c r="CC82" i="1"/>
  <c r="CC83" i="1"/>
  <c r="CJ83" i="1" s="1"/>
  <c r="CC84" i="1"/>
  <c r="CJ84" i="1" s="1"/>
  <c r="CC85" i="1"/>
  <c r="CJ85" i="1" s="1"/>
  <c r="CC86" i="1"/>
  <c r="CC87" i="1"/>
  <c r="CJ87" i="1" s="1"/>
  <c r="CC88" i="1"/>
  <c r="CC89" i="1"/>
  <c r="CJ89" i="1" s="1"/>
  <c r="CC90" i="1"/>
  <c r="CC91" i="1"/>
  <c r="CC92" i="1"/>
  <c r="CC93" i="1"/>
  <c r="CC94" i="1"/>
  <c r="CC95" i="1"/>
  <c r="CJ95" i="1" s="1"/>
  <c r="CH95" i="1" s="1"/>
  <c r="CC96" i="1"/>
  <c r="CC97" i="1"/>
  <c r="CC98" i="1"/>
  <c r="CC99" i="1"/>
  <c r="CC100" i="1"/>
  <c r="CC101" i="1"/>
  <c r="CC102" i="1"/>
  <c r="CJ102" i="1" s="1"/>
  <c r="CC103" i="1"/>
  <c r="CC104" i="1"/>
  <c r="CJ104" i="1" s="1"/>
  <c r="CC105" i="1"/>
  <c r="CC106" i="1"/>
  <c r="CJ106" i="1" s="1"/>
  <c r="CC107" i="1"/>
  <c r="CC108" i="1"/>
  <c r="CC109" i="1"/>
  <c r="CC110" i="1"/>
  <c r="CC111" i="1"/>
  <c r="CC112" i="1"/>
  <c r="CC113" i="1"/>
  <c r="CC114" i="1"/>
  <c r="CC115" i="1"/>
  <c r="CJ115" i="1" s="1"/>
  <c r="CC116" i="1"/>
  <c r="CC117" i="1"/>
  <c r="CJ117" i="1" s="1"/>
  <c r="CC118" i="1"/>
  <c r="CJ118" i="1" s="1"/>
  <c r="CC119" i="1"/>
  <c r="CC120" i="1"/>
  <c r="CC121" i="1"/>
  <c r="CC122" i="1"/>
  <c r="CC123" i="1"/>
  <c r="CC124" i="1"/>
  <c r="CC125" i="1"/>
  <c r="CC126" i="1"/>
  <c r="CJ126" i="1" s="1"/>
  <c r="CH126" i="1" s="1"/>
  <c r="CC127" i="1"/>
  <c r="CC128" i="1"/>
  <c r="CJ128" i="1" s="1"/>
  <c r="CH128" i="1" s="1"/>
  <c r="CC129" i="1"/>
  <c r="CC130" i="1"/>
  <c r="CJ130" i="1" s="1"/>
  <c r="CC131" i="1"/>
  <c r="CC132" i="1"/>
  <c r="CJ132" i="1" s="1"/>
  <c r="CH132" i="1" s="1"/>
  <c r="CC133" i="1"/>
  <c r="CC134" i="1"/>
  <c r="CC135" i="1"/>
  <c r="CJ135" i="1" s="1"/>
  <c r="CC136" i="1"/>
  <c r="CC137" i="1"/>
  <c r="CC138" i="1"/>
  <c r="CC139" i="1"/>
  <c r="CJ139" i="1" s="1"/>
  <c r="CH139" i="1" s="1"/>
  <c r="CC140" i="1"/>
  <c r="CC141" i="1"/>
  <c r="CJ141" i="1" s="1"/>
  <c r="CC142" i="1"/>
  <c r="CJ142" i="1" s="1"/>
  <c r="CH142" i="1" s="1"/>
  <c r="CC143" i="1"/>
  <c r="CJ143" i="1" s="1"/>
  <c r="CH143" i="1" s="1"/>
  <c r="CC144" i="1"/>
  <c r="CJ144" i="1" s="1"/>
  <c r="CH144" i="1" s="1"/>
  <c r="CC145" i="1"/>
  <c r="CC146" i="1"/>
  <c r="CC147" i="1"/>
  <c r="CJ147" i="1" s="1"/>
  <c r="CC148" i="1"/>
  <c r="CC149" i="1"/>
  <c r="CC150" i="1"/>
  <c r="CC151" i="1"/>
  <c r="CC152" i="1"/>
  <c r="CJ152" i="1" s="1"/>
  <c r="CH152" i="1" s="1"/>
  <c r="CC153" i="1"/>
  <c r="CC154" i="1"/>
  <c r="CC155" i="1"/>
  <c r="CC156" i="1"/>
  <c r="CC158" i="1"/>
  <c r="CC159" i="1"/>
  <c r="CJ159" i="1" s="1"/>
  <c r="CC160" i="1"/>
  <c r="CC161" i="1"/>
  <c r="CC162" i="1"/>
  <c r="CC163" i="1"/>
  <c r="CJ163" i="1" s="1"/>
  <c r="CH163" i="1" s="1"/>
  <c r="CC164" i="1"/>
  <c r="CC165" i="1"/>
  <c r="CC166" i="1"/>
  <c r="CC167" i="1"/>
  <c r="CJ167" i="1" s="1"/>
  <c r="CH167" i="1" s="1"/>
  <c r="CC168" i="1"/>
  <c r="CJ168" i="1" s="1"/>
  <c r="CH168" i="1" s="1"/>
  <c r="CC169" i="1"/>
  <c r="CC170" i="1"/>
  <c r="CC171" i="1"/>
  <c r="CJ171" i="1" s="1"/>
  <c r="CH171" i="1" s="1"/>
  <c r="CC172" i="1"/>
  <c r="CC173" i="1"/>
  <c r="CJ173" i="1" s="1"/>
  <c r="CH173" i="1" s="1"/>
  <c r="CC174" i="1"/>
  <c r="CJ174" i="1" s="1"/>
  <c r="CC175" i="1"/>
  <c r="CC176" i="1"/>
  <c r="CC177" i="1"/>
  <c r="CC178" i="1"/>
  <c r="CC179" i="1"/>
  <c r="CC180" i="1"/>
  <c r="CC181" i="1"/>
  <c r="CJ181" i="1" s="1"/>
  <c r="CC182" i="1"/>
  <c r="CC183" i="1"/>
  <c r="CC184" i="1"/>
  <c r="CC185" i="1"/>
  <c r="CJ185" i="1" s="1"/>
  <c r="CI185" i="1" s="1"/>
  <c r="CL185" i="1" s="1"/>
  <c r="CC186" i="1"/>
  <c r="CJ186" i="1" s="1"/>
  <c r="CC187" i="1"/>
  <c r="CC188" i="1"/>
  <c r="CC189" i="1"/>
  <c r="CJ189" i="1" s="1"/>
  <c r="CI189" i="1" s="1"/>
  <c r="CL189" i="1" s="1"/>
  <c r="CC190" i="1"/>
  <c r="CC191" i="1"/>
  <c r="CJ191" i="1" s="1"/>
  <c r="CI191" i="1" s="1"/>
  <c r="CL191" i="1" s="1"/>
  <c r="CC192" i="1"/>
  <c r="CC193" i="1"/>
  <c r="CJ193" i="1" s="1"/>
  <c r="CI193" i="1" s="1"/>
  <c r="CL193" i="1" s="1"/>
  <c r="CC194" i="1"/>
  <c r="CJ194" i="1" s="1"/>
  <c r="CI194" i="1" s="1"/>
  <c r="CL194" i="1" s="1"/>
  <c r="CC195" i="1"/>
  <c r="CJ195" i="1" s="1"/>
  <c r="CI195" i="1" s="1"/>
  <c r="CL195" i="1" s="1"/>
  <c r="CC196" i="1"/>
  <c r="CC197" i="1"/>
  <c r="CJ197" i="1" s="1"/>
  <c r="CI197" i="1" s="1"/>
  <c r="CL197" i="1" s="1"/>
  <c r="CC198" i="1"/>
  <c r="CJ198" i="1" s="1"/>
  <c r="CI198" i="1" s="1"/>
  <c r="CL198" i="1" s="1"/>
  <c r="CC199" i="1"/>
  <c r="CJ199" i="1" s="1"/>
  <c r="CI199" i="1" s="1"/>
  <c r="CL199" i="1" s="1"/>
  <c r="CC200" i="1"/>
  <c r="CC201" i="1"/>
  <c r="CJ201" i="1" s="1"/>
  <c r="CI201" i="1" s="1"/>
  <c r="CL201" i="1" s="1"/>
  <c r="CC202" i="1"/>
  <c r="CJ202" i="1" s="1"/>
  <c r="CI202" i="1" s="1"/>
  <c r="CL202" i="1" s="1"/>
  <c r="CC203" i="1"/>
  <c r="CJ203" i="1" s="1"/>
  <c r="CI203" i="1" s="1"/>
  <c r="CL203" i="1" s="1"/>
  <c r="CC204" i="1"/>
  <c r="CC205" i="1"/>
  <c r="CJ205" i="1" s="1"/>
  <c r="CI205" i="1" s="1"/>
  <c r="CL205" i="1" s="1"/>
  <c r="CC206" i="1"/>
  <c r="CC207" i="1"/>
  <c r="CC208" i="1"/>
  <c r="CC209" i="1"/>
  <c r="CJ209" i="1" s="1"/>
  <c r="CI209" i="1" s="1"/>
  <c r="CL209" i="1" s="1"/>
  <c r="CC210" i="1"/>
  <c r="CJ210" i="1" s="1"/>
  <c r="CC211" i="1"/>
  <c r="CJ211" i="1" s="1"/>
  <c r="CI211" i="1" s="1"/>
  <c r="CL211" i="1" s="1"/>
  <c r="CC212" i="1"/>
  <c r="CC213" i="1"/>
  <c r="CJ213" i="1" s="1"/>
  <c r="CI213" i="1" s="1"/>
  <c r="CL213" i="1" s="1"/>
  <c r="CC214" i="1"/>
  <c r="CJ214" i="1" s="1"/>
  <c r="CI214" i="1" s="1"/>
  <c r="CL214" i="1" s="1"/>
  <c r="CC215" i="1"/>
  <c r="CC216" i="1"/>
  <c r="CC217" i="1"/>
  <c r="CJ217" i="1" s="1"/>
  <c r="CC218" i="1"/>
  <c r="CJ218" i="1" s="1"/>
  <c r="CC220" i="1"/>
  <c r="CJ220" i="1" s="1"/>
  <c r="CI220" i="1" s="1"/>
  <c r="CL220" i="1" s="1"/>
  <c r="CC221" i="1"/>
  <c r="CC222" i="1"/>
  <c r="CJ222" i="1" s="1"/>
  <c r="CI222" i="1" s="1"/>
  <c r="CL222" i="1" s="1"/>
  <c r="CC223" i="1"/>
  <c r="CC224" i="1"/>
  <c r="CJ224" i="1" s="1"/>
  <c r="CI224" i="1" s="1"/>
  <c r="CL224" i="1" s="1"/>
  <c r="CC225" i="1"/>
  <c r="CC226" i="1"/>
  <c r="CJ226" i="1" s="1"/>
  <c r="CI226" i="1" s="1"/>
  <c r="CL226" i="1" s="1"/>
  <c r="CC227" i="1"/>
  <c r="CJ227" i="1" s="1"/>
  <c r="CI227" i="1" s="1"/>
  <c r="CL227" i="1" s="1"/>
  <c r="CC228" i="1"/>
  <c r="CC229" i="1"/>
  <c r="CC230" i="1"/>
  <c r="CJ230" i="1" s="1"/>
  <c r="CI230" i="1" s="1"/>
  <c r="CL230" i="1" s="1"/>
  <c r="CC231" i="1"/>
  <c r="CJ231" i="1" s="1"/>
  <c r="CI231" i="1" s="1"/>
  <c r="CL231" i="1" s="1"/>
  <c r="CC232" i="1"/>
  <c r="CJ232" i="1" s="1"/>
  <c r="CI232" i="1" s="1"/>
  <c r="CL232" i="1" s="1"/>
  <c r="CC233" i="1"/>
  <c r="CC234" i="1"/>
  <c r="CJ234" i="1" s="1"/>
  <c r="CI234" i="1" s="1"/>
  <c r="CL234" i="1" s="1"/>
  <c r="CC235" i="1"/>
  <c r="CJ235" i="1" s="1"/>
  <c r="CI235" i="1" s="1"/>
  <c r="CL235" i="1" s="1"/>
  <c r="CC236" i="1"/>
  <c r="CC237" i="1"/>
  <c r="CC238" i="1"/>
  <c r="CJ238" i="1" s="1"/>
  <c r="CI238" i="1" s="1"/>
  <c r="CL238" i="1" s="1"/>
  <c r="CC239" i="1"/>
  <c r="CC240" i="1"/>
  <c r="CJ240" i="1" s="1"/>
  <c r="CI240" i="1" s="1"/>
  <c r="CL240" i="1" s="1"/>
  <c r="CC241" i="1"/>
  <c r="CC242" i="1"/>
  <c r="CJ242" i="1" s="1"/>
  <c r="CI242" i="1" s="1"/>
  <c r="CL242" i="1" s="1"/>
  <c r="CC243" i="1"/>
  <c r="CJ243" i="1" s="1"/>
  <c r="CI243" i="1" s="1"/>
  <c r="CL243" i="1" s="1"/>
  <c r="CC244" i="1"/>
  <c r="CJ244" i="1" s="1"/>
  <c r="CI244" i="1" s="1"/>
  <c r="CL244" i="1" s="1"/>
  <c r="CC245" i="1"/>
  <c r="CC246" i="1"/>
  <c r="CJ246" i="1" s="1"/>
  <c r="CC247" i="1"/>
  <c r="CJ247" i="1" s="1"/>
  <c r="CC248" i="1"/>
  <c r="CJ248" i="1" s="1"/>
  <c r="CC249" i="1"/>
  <c r="CL249" i="1" s="1"/>
  <c r="CC250" i="1"/>
  <c r="CJ250" i="1" s="1"/>
  <c r="CI250" i="1" s="1"/>
  <c r="CL250" i="1" s="1"/>
  <c r="CH6" i="1"/>
  <c r="CH7" i="1"/>
  <c r="CH8" i="1"/>
  <c r="CH11" i="1"/>
  <c r="C8" i="76" s="1" a="1"/>
  <c r="C8" i="76" s="1"/>
  <c r="CH12" i="1"/>
  <c r="CH15" i="1"/>
  <c r="CH18" i="1"/>
  <c r="CH19" i="1"/>
  <c r="C16" i="76" s="1" a="1"/>
  <c r="C16" i="76" s="1"/>
  <c r="CH24" i="1"/>
  <c r="CH25" i="1"/>
  <c r="CH31" i="1"/>
  <c r="C28" i="76" s="1" a="1"/>
  <c r="C28" i="76" s="1"/>
  <c r="CH34" i="1"/>
  <c r="CH35" i="1"/>
  <c r="CH37" i="1"/>
  <c r="C34" i="76" s="1" a="1"/>
  <c r="C34" i="76" s="1"/>
  <c r="CH38" i="1"/>
  <c r="CH39" i="1"/>
  <c r="CH40" i="1"/>
  <c r="C37" i="76" s="1" a="1"/>
  <c r="C37" i="76" s="1"/>
  <c r="CH41" i="1"/>
  <c r="CH42" i="1"/>
  <c r="CH43" i="1"/>
  <c r="CH45" i="1"/>
  <c r="CH47" i="1"/>
  <c r="CH48" i="1"/>
  <c r="CH50" i="1"/>
  <c r="CH53" i="1"/>
  <c r="CH54" i="1"/>
  <c r="CH55" i="1"/>
  <c r="CH56" i="1"/>
  <c r="CH59" i="1"/>
  <c r="CH61" i="1"/>
  <c r="CH63" i="1"/>
  <c r="CH64" i="1"/>
  <c r="CH65" i="1"/>
  <c r="CH66" i="1"/>
  <c r="CH67" i="1"/>
  <c r="CH69" i="1"/>
  <c r="CH71" i="1"/>
  <c r="CH72" i="1"/>
  <c r="CH74" i="1"/>
  <c r="CH75" i="1"/>
  <c r="CH76" i="1"/>
  <c r="CH77" i="1"/>
  <c r="CH78" i="1"/>
  <c r="CH80" i="1"/>
  <c r="CH82" i="1"/>
  <c r="CH83" i="1"/>
  <c r="CH84" i="1"/>
  <c r="CH85" i="1"/>
  <c r="CH86" i="1"/>
  <c r="CH87" i="1"/>
  <c r="CH90" i="1"/>
  <c r="CH91" i="1"/>
  <c r="CH93" i="1"/>
  <c r="CH99" i="1"/>
  <c r="CH100" i="1"/>
  <c r="C97" i="76" s="1" a="1"/>
  <c r="C97" i="76" s="1"/>
  <c r="CH103" i="1"/>
  <c r="CH108" i="1"/>
  <c r="CH109" i="1"/>
  <c r="CH113" i="1"/>
  <c r="CH114" i="1"/>
  <c r="CH115" i="1"/>
  <c r="C112" i="76" s="1" a="1"/>
  <c r="C112" i="76" s="1"/>
  <c r="CH119" i="1"/>
  <c r="CH120" i="1"/>
  <c r="CH121" i="1"/>
  <c r="CH124" i="1"/>
  <c r="CH125" i="1"/>
  <c r="CH127" i="1"/>
  <c r="CH129" i="1"/>
  <c r="CH130" i="1"/>
  <c r="CH134" i="1"/>
  <c r="CH136" i="1"/>
  <c r="CH137" i="1"/>
  <c r="CH138" i="1"/>
  <c r="CH141" i="1"/>
  <c r="CH147" i="1"/>
  <c r="CH148" i="1"/>
  <c r="CH149" i="1"/>
  <c r="CH151" i="1"/>
  <c r="CH153" i="1"/>
  <c r="CH154" i="1"/>
  <c r="CH156" i="1"/>
  <c r="CH160" i="1"/>
  <c r="CH161" i="1"/>
  <c r="CH162" i="1"/>
  <c r="CH165" i="1"/>
  <c r="CH169" i="1"/>
  <c r="CH170" i="1"/>
  <c r="CH172" i="1"/>
  <c r="CH175" i="1"/>
  <c r="CH178" i="1"/>
  <c r="CH179" i="1"/>
  <c r="CH180" i="1"/>
  <c r="CH182" i="1"/>
  <c r="CH183" i="1"/>
  <c r="CH185" i="1"/>
  <c r="CH187" i="1"/>
  <c r="CH188" i="1"/>
  <c r="CH189" i="1"/>
  <c r="CH190" i="1"/>
  <c r="CH193" i="1"/>
  <c r="CH194" i="1"/>
  <c r="CH195" i="1"/>
  <c r="CH196" i="1"/>
  <c r="CH197" i="1"/>
  <c r="CH198" i="1"/>
  <c r="CH199" i="1"/>
  <c r="CH200" i="1"/>
  <c r="CH201" i="1"/>
  <c r="CH202" i="1"/>
  <c r="CH203" i="1"/>
  <c r="CH205" i="1"/>
  <c r="CH206" i="1"/>
  <c r="CH208" i="1"/>
  <c r="CH209" i="1"/>
  <c r="CH211" i="1"/>
  <c r="CH212" i="1"/>
  <c r="CH213" i="1"/>
  <c r="CH214" i="1"/>
  <c r="CH215" i="1"/>
  <c r="CH216" i="1"/>
  <c r="CH220" i="1"/>
  <c r="CH221" i="1"/>
  <c r="CH222" i="1"/>
  <c r="CH223" i="1"/>
  <c r="CH224" i="1"/>
  <c r="CH225" i="1"/>
  <c r="CH226" i="1"/>
  <c r="CH227" i="1"/>
  <c r="CH228" i="1"/>
  <c r="CH229" i="1"/>
  <c r="CH230" i="1"/>
  <c r="CH231" i="1"/>
  <c r="CH232" i="1"/>
  <c r="CH233" i="1"/>
  <c r="CH234" i="1"/>
  <c r="CH235" i="1"/>
  <c r="CH236" i="1"/>
  <c r="CH237" i="1"/>
  <c r="CH238" i="1"/>
  <c r="CH239" i="1"/>
  <c r="CH240" i="1"/>
  <c r="CH242" i="1"/>
  <c r="CH243" i="1"/>
  <c r="CH244" i="1"/>
  <c r="CH250" i="1"/>
  <c r="CK6" i="1"/>
  <c r="CK7" i="1"/>
  <c r="CK11" i="1"/>
  <c r="CK31" i="1"/>
  <c r="CK37" i="1"/>
  <c r="CK40" i="1"/>
  <c r="CK50" i="1"/>
  <c r="CK56" i="1"/>
  <c r="CK71" i="1"/>
  <c r="CK72" i="1"/>
  <c r="CK78" i="1"/>
  <c r="CK86" i="1"/>
  <c r="CK87" i="1"/>
  <c r="CK99" i="1"/>
  <c r="CK100" i="1"/>
  <c r="CK115" i="1"/>
  <c r="CK124" i="1"/>
  <c r="CK130" i="1"/>
  <c r="CK147" i="1"/>
  <c r="CK151" i="1"/>
  <c r="CK153" i="1"/>
  <c r="CK161" i="1"/>
  <c r="CK165" i="1"/>
  <c r="CK185" i="1"/>
  <c r="CK187" i="1"/>
  <c r="CK188" i="1"/>
  <c r="CK189" i="1"/>
  <c r="CK190" i="1"/>
  <c r="CK191" i="1"/>
  <c r="CH191" i="1" s="1"/>
  <c r="CK193" i="1"/>
  <c r="CK194" i="1"/>
  <c r="CK195" i="1"/>
  <c r="CK196" i="1"/>
  <c r="CK197" i="1"/>
  <c r="CK198" i="1"/>
  <c r="CK199" i="1"/>
  <c r="CK200" i="1"/>
  <c r="CK201" i="1"/>
  <c r="CK202" i="1"/>
  <c r="CK203" i="1"/>
  <c r="CK205" i="1"/>
  <c r="CK208" i="1"/>
  <c r="CK209" i="1"/>
  <c r="CK211" i="1"/>
  <c r="CK212" i="1"/>
  <c r="CK213" i="1"/>
  <c r="CK214" i="1"/>
  <c r="CK215" i="1"/>
  <c r="CK216" i="1"/>
  <c r="CK220" i="1"/>
  <c r="CK221" i="1"/>
  <c r="CK222" i="1"/>
  <c r="CK223" i="1"/>
  <c r="CK224" i="1"/>
  <c r="CK225" i="1"/>
  <c r="CK226" i="1"/>
  <c r="CK227" i="1"/>
  <c r="CK228" i="1"/>
  <c r="CK229" i="1"/>
  <c r="CK230" i="1"/>
  <c r="CK231" i="1"/>
  <c r="CK232" i="1"/>
  <c r="CK233" i="1"/>
  <c r="CK234" i="1"/>
  <c r="CK235" i="1"/>
  <c r="CK236" i="1"/>
  <c r="CK237" i="1"/>
  <c r="CK238" i="1"/>
  <c r="CK239" i="1"/>
  <c r="CK240" i="1"/>
  <c r="CK242" i="1"/>
  <c r="CK243" i="1"/>
  <c r="CK244" i="1"/>
  <c r="CK250" i="1"/>
  <c r="BQ199" i="1"/>
  <c r="BW199" i="1" s="1"/>
  <c r="BY199" i="1" s="1"/>
  <c r="BX185" i="1"/>
  <c r="BQ200" i="1"/>
  <c r="BW200" i="1" s="1"/>
  <c r="BY200" i="1" s="1"/>
  <c r="BQ212" i="1"/>
  <c r="BW212" i="1" s="1"/>
  <c r="BY212" i="1" s="1"/>
  <c r="BQ188" i="1"/>
  <c r="BW188" i="1" s="1"/>
  <c r="BY188" i="1" s="1"/>
  <c r="DD250" i="1"/>
  <c r="CZ250" i="1"/>
  <c r="DB250" i="1" s="1"/>
  <c r="CX250" i="1"/>
  <c r="CU250" i="1"/>
  <c r="CY250" i="1" s="1"/>
  <c r="CT250" i="1"/>
  <c r="CG250" i="1"/>
  <c r="CD250" i="1"/>
  <c r="CA250" i="1"/>
  <c r="BR250" i="1"/>
  <c r="BH250" i="1"/>
  <c r="BI250" i="1" s="1"/>
  <c r="AZ250" i="1"/>
  <c r="AY250" i="1"/>
  <c r="AX250" i="1"/>
  <c r="AW250" i="1"/>
  <c r="AV250" i="1"/>
  <c r="AU250" i="1"/>
  <c r="G170" i="76" a="1"/>
  <c r="G170" i="76" s="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6" i="1"/>
  <c r="AX217"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Y185" i="1"/>
  <c r="AY186" i="1"/>
  <c r="AY187" i="1"/>
  <c r="AY188" i="1"/>
  <c r="AY189" i="1"/>
  <c r="AY190" i="1"/>
  <c r="AY191" i="1"/>
  <c r="AY192" i="1"/>
  <c r="AY193" i="1"/>
  <c r="AY194" i="1"/>
  <c r="AY195" i="1"/>
  <c r="AY196" i="1"/>
  <c r="AY197" i="1"/>
  <c r="AY198" i="1"/>
  <c r="AY199" i="1"/>
  <c r="AY200" i="1"/>
  <c r="AY201" i="1"/>
  <c r="AY202" i="1"/>
  <c r="AY203" i="1"/>
  <c r="AY204" i="1"/>
  <c r="AY205" i="1"/>
  <c r="AY206" i="1"/>
  <c r="AY207" i="1"/>
  <c r="AY208" i="1"/>
  <c r="AY209" i="1"/>
  <c r="AY210" i="1"/>
  <c r="AY211" i="1"/>
  <c r="AY212" i="1"/>
  <c r="AY213" i="1"/>
  <c r="AY214" i="1"/>
  <c r="AY215" i="1"/>
  <c r="AY216" i="1"/>
  <c r="AY217" i="1"/>
  <c r="AY218" i="1"/>
  <c r="AY219" i="1"/>
  <c r="AY220" i="1"/>
  <c r="AY221" i="1"/>
  <c r="AY222" i="1"/>
  <c r="AY223" i="1"/>
  <c r="AY224" i="1"/>
  <c r="AY225" i="1"/>
  <c r="AY226" i="1"/>
  <c r="AY227" i="1"/>
  <c r="AY228" i="1"/>
  <c r="AY229" i="1"/>
  <c r="AY230" i="1"/>
  <c r="AY231" i="1"/>
  <c r="AY232" i="1"/>
  <c r="AY233" i="1"/>
  <c r="AY234" i="1"/>
  <c r="AY235" i="1"/>
  <c r="AY236" i="1"/>
  <c r="AY237" i="1"/>
  <c r="AY238" i="1"/>
  <c r="AY239" i="1"/>
  <c r="AY240" i="1"/>
  <c r="AY241" i="1"/>
  <c r="AY242" i="1"/>
  <c r="AY243" i="1"/>
  <c r="AY244" i="1"/>
  <c r="AY245" i="1"/>
  <c r="AY246" i="1"/>
  <c r="AY247" i="1"/>
  <c r="AY248" i="1"/>
  <c r="AY249"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BH185" i="1"/>
  <c r="BI185" i="1" s="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I186" i="1"/>
  <c r="BI187" i="1"/>
  <c r="BI188" i="1"/>
  <c r="BI189" i="1"/>
  <c r="BI190" i="1"/>
  <c r="BI191" i="1"/>
  <c r="BI192" i="1"/>
  <c r="BI193" i="1"/>
  <c r="BI194" i="1"/>
  <c r="BI195" i="1"/>
  <c r="BI196" i="1"/>
  <c r="BI197" i="1"/>
  <c r="BI198" i="1"/>
  <c r="BI199" i="1"/>
  <c r="BI200" i="1"/>
  <c r="BI201" i="1"/>
  <c r="BI202" i="1"/>
  <c r="BI203" i="1"/>
  <c r="BI204" i="1"/>
  <c r="BI205" i="1"/>
  <c r="BI206" i="1"/>
  <c r="BI207" i="1"/>
  <c r="BI208" i="1"/>
  <c r="BI209" i="1"/>
  <c r="BI210" i="1"/>
  <c r="BI211" i="1"/>
  <c r="BI212" i="1"/>
  <c r="BI213" i="1"/>
  <c r="BI214" i="1"/>
  <c r="BI215" i="1"/>
  <c r="BI216" i="1"/>
  <c r="BI217" i="1"/>
  <c r="BI218" i="1"/>
  <c r="BI219" i="1"/>
  <c r="BI220" i="1"/>
  <c r="BI221" i="1"/>
  <c r="BI222" i="1"/>
  <c r="BI223" i="1"/>
  <c r="BI224" i="1"/>
  <c r="BI225" i="1"/>
  <c r="BI226" i="1"/>
  <c r="BI227" i="1"/>
  <c r="BI228" i="1"/>
  <c r="BI229" i="1"/>
  <c r="BI230" i="1"/>
  <c r="BI231" i="1"/>
  <c r="BI232" i="1"/>
  <c r="BI233" i="1"/>
  <c r="BI234" i="1"/>
  <c r="BI235" i="1"/>
  <c r="BI236" i="1"/>
  <c r="BI237" i="1"/>
  <c r="BI238" i="1"/>
  <c r="BI239" i="1"/>
  <c r="BI240" i="1"/>
  <c r="BI241" i="1"/>
  <c r="BI242" i="1"/>
  <c r="BI243" i="1"/>
  <c r="BI244" i="1"/>
  <c r="BI245" i="1"/>
  <c r="BI246" i="1"/>
  <c r="BI247" i="1"/>
  <c r="BI248" i="1"/>
  <c r="BI249" i="1"/>
  <c r="BQ189" i="1"/>
  <c r="BW189" i="1" s="1"/>
  <c r="BY189" i="1" s="1"/>
  <c r="BQ190" i="1"/>
  <c r="BW190" i="1" s="1"/>
  <c r="BY190" i="1" s="1"/>
  <c r="BQ193" i="1"/>
  <c r="BW193" i="1" s="1"/>
  <c r="BY193" i="1" s="1"/>
  <c r="BQ195" i="1"/>
  <c r="BW195" i="1" s="1"/>
  <c r="BY195" i="1" s="1"/>
  <c r="BQ208" i="1"/>
  <c r="BW208" i="1" s="1"/>
  <c r="BY208" i="1" s="1"/>
  <c r="BQ227" i="1"/>
  <c r="BW227" i="1" s="1"/>
  <c r="BY227" i="1" s="1"/>
  <c r="BQ229" i="1"/>
  <c r="BW229" i="1" s="1"/>
  <c r="BY229" i="1" s="1"/>
  <c r="BQ240" i="1"/>
  <c r="BW240" i="1" s="1"/>
  <c r="BY240" i="1" s="1"/>
  <c r="BQ243" i="1"/>
  <c r="BW243" i="1" s="1"/>
  <c r="BY243" i="1" s="1"/>
  <c r="BQ244" i="1"/>
  <c r="BW244" i="1" s="1"/>
  <c r="BY244" i="1" s="1"/>
  <c r="BR185" i="1"/>
  <c r="BR186" i="1"/>
  <c r="BR187" i="1"/>
  <c r="BR188" i="1"/>
  <c r="BR189" i="1"/>
  <c r="BR190" i="1"/>
  <c r="BR191" i="1"/>
  <c r="BR192" i="1"/>
  <c r="BR193" i="1"/>
  <c r="BR194" i="1"/>
  <c r="BR195" i="1"/>
  <c r="BR196" i="1"/>
  <c r="BR197" i="1"/>
  <c r="BR198" i="1"/>
  <c r="BR199" i="1"/>
  <c r="BR200" i="1"/>
  <c r="BR201" i="1"/>
  <c r="BR202" i="1"/>
  <c r="BR203" i="1"/>
  <c r="BR204" i="1"/>
  <c r="BR205"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5" i="1"/>
  <c r="BR236" i="1"/>
  <c r="BR237" i="1"/>
  <c r="BR238" i="1"/>
  <c r="BR239" i="1"/>
  <c r="BR240" i="1"/>
  <c r="BR241" i="1"/>
  <c r="BR242" i="1"/>
  <c r="BR243" i="1"/>
  <c r="BR244" i="1"/>
  <c r="BR245" i="1"/>
  <c r="BR246" i="1"/>
  <c r="BR247" i="1"/>
  <c r="BR248" i="1"/>
  <c r="BR249" i="1"/>
  <c r="BS186" i="1"/>
  <c r="BS187" i="1"/>
  <c r="BS189" i="1"/>
  <c r="BS190" i="1"/>
  <c r="BS193" i="1"/>
  <c r="BS195" i="1"/>
  <c r="BS208" i="1"/>
  <c r="BS210" i="1"/>
  <c r="BS212" i="1"/>
  <c r="BS227" i="1"/>
  <c r="BS228" i="1"/>
  <c r="BS229" i="1"/>
  <c r="BS240" i="1"/>
  <c r="BS243" i="1"/>
  <c r="BS244" i="1"/>
  <c r="BX189" i="1"/>
  <c r="BX190" i="1"/>
  <c r="BX193" i="1"/>
  <c r="BX195" i="1"/>
  <c r="BX208" i="1"/>
  <c r="BX227" i="1"/>
  <c r="BX229" i="1"/>
  <c r="BX240" i="1"/>
  <c r="BX243" i="1"/>
  <c r="BX244" i="1"/>
  <c r="CA185" i="1"/>
  <c r="CA186" i="1"/>
  <c r="CA187" i="1"/>
  <c r="CA188" i="1"/>
  <c r="CA189" i="1"/>
  <c r="CA190" i="1"/>
  <c r="CA191" i="1"/>
  <c r="CA192" i="1"/>
  <c r="CA193" i="1"/>
  <c r="CA194" i="1"/>
  <c r="CA195" i="1"/>
  <c r="CA196" i="1"/>
  <c r="CA197" i="1"/>
  <c r="CA198" i="1"/>
  <c r="CA199" i="1"/>
  <c r="CA200" i="1"/>
  <c r="CA201" i="1"/>
  <c r="CA202" i="1"/>
  <c r="CA203" i="1"/>
  <c r="CA204" i="1"/>
  <c r="CA205" i="1"/>
  <c r="CA206" i="1"/>
  <c r="CA207" i="1"/>
  <c r="CA208" i="1"/>
  <c r="CA209" i="1"/>
  <c r="CA210" i="1"/>
  <c r="CA211" i="1"/>
  <c r="CA212" i="1"/>
  <c r="CA213" i="1"/>
  <c r="CA214" i="1"/>
  <c r="CA215" i="1"/>
  <c r="CA216" i="1"/>
  <c r="CA217" i="1"/>
  <c r="CA218" i="1"/>
  <c r="CA219" i="1"/>
  <c r="CA220" i="1"/>
  <c r="CA221" i="1"/>
  <c r="CA222" i="1"/>
  <c r="CA223" i="1"/>
  <c r="CA224" i="1"/>
  <c r="CA225" i="1"/>
  <c r="CA226" i="1"/>
  <c r="CA227" i="1"/>
  <c r="CA228" i="1"/>
  <c r="CA229" i="1"/>
  <c r="CA230" i="1"/>
  <c r="CA231" i="1"/>
  <c r="CA232" i="1"/>
  <c r="CA233" i="1"/>
  <c r="CA234" i="1"/>
  <c r="CA235" i="1"/>
  <c r="CA236" i="1"/>
  <c r="CA237" i="1"/>
  <c r="CA238" i="1"/>
  <c r="CA239" i="1"/>
  <c r="CA240" i="1"/>
  <c r="CA241" i="1"/>
  <c r="CA242" i="1"/>
  <c r="CA243" i="1"/>
  <c r="CA244" i="1"/>
  <c r="CA245" i="1"/>
  <c r="CA246" i="1"/>
  <c r="CA247" i="1"/>
  <c r="CA248" i="1"/>
  <c r="CA249" i="1"/>
  <c r="CJ187" i="1"/>
  <c r="CI187" i="1" s="1"/>
  <c r="CL187" i="1" s="1"/>
  <c r="CJ188" i="1"/>
  <c r="CI188" i="1" s="1"/>
  <c r="CL188" i="1" s="1"/>
  <c r="CJ190" i="1"/>
  <c r="CI190" i="1" s="1"/>
  <c r="CL190" i="1" s="1"/>
  <c r="CJ192" i="1"/>
  <c r="CJ196" i="1"/>
  <c r="CI196" i="1" s="1"/>
  <c r="CL196" i="1" s="1"/>
  <c r="CJ200" i="1"/>
  <c r="CI200" i="1" s="1"/>
  <c r="CL200" i="1" s="1"/>
  <c r="CJ204" i="1"/>
  <c r="CJ206" i="1"/>
  <c r="CI206" i="1" s="1"/>
  <c r="CL206" i="1" s="1"/>
  <c r="CJ207" i="1"/>
  <c r="CJ208" i="1"/>
  <c r="CI208" i="1" s="1"/>
  <c r="CL208" i="1" s="1"/>
  <c r="CJ212" i="1"/>
  <c r="CI212" i="1" s="1"/>
  <c r="CL212" i="1" s="1"/>
  <c r="CJ215" i="1"/>
  <c r="CI215" i="1" s="1"/>
  <c r="CL215" i="1" s="1"/>
  <c r="CJ216" i="1"/>
  <c r="CI216" i="1" s="1"/>
  <c r="CL216" i="1" s="1"/>
  <c r="CJ219" i="1"/>
  <c r="CJ221" i="1"/>
  <c r="CI221" i="1" s="1"/>
  <c r="CL221" i="1" s="1"/>
  <c r="CJ223" i="1"/>
  <c r="CI223" i="1" s="1"/>
  <c r="CL223" i="1" s="1"/>
  <c r="CJ225" i="1"/>
  <c r="CI225" i="1" s="1"/>
  <c r="CL225" i="1" s="1"/>
  <c r="CJ228" i="1"/>
  <c r="CI228" i="1" s="1"/>
  <c r="CL228" i="1" s="1"/>
  <c r="CJ229" i="1"/>
  <c r="CI229" i="1" s="1"/>
  <c r="CL229" i="1" s="1"/>
  <c r="CJ233" i="1"/>
  <c r="CI233" i="1" s="1"/>
  <c r="CL233" i="1" s="1"/>
  <c r="CJ236" i="1"/>
  <c r="CI236" i="1" s="1"/>
  <c r="CL236" i="1" s="1"/>
  <c r="CJ237" i="1"/>
  <c r="CI237" i="1" s="1"/>
  <c r="CL237" i="1" s="1"/>
  <c r="CJ239" i="1"/>
  <c r="CI239" i="1" s="1"/>
  <c r="CL239" i="1" s="1"/>
  <c r="CJ241" i="1"/>
  <c r="CJ245" i="1"/>
  <c r="CD185" i="1"/>
  <c r="CD186" i="1"/>
  <c r="CD187" i="1"/>
  <c r="CD188" i="1"/>
  <c r="CD189" i="1"/>
  <c r="CD190" i="1"/>
  <c r="CD191" i="1"/>
  <c r="CD192" i="1"/>
  <c r="CD193" i="1"/>
  <c r="CD194" i="1"/>
  <c r="CD195" i="1"/>
  <c r="CD196" i="1"/>
  <c r="CD197" i="1"/>
  <c r="CD198" i="1"/>
  <c r="CD199" i="1"/>
  <c r="CD200" i="1"/>
  <c r="CD201" i="1"/>
  <c r="CD202" i="1"/>
  <c r="CD203" i="1"/>
  <c r="CD204" i="1"/>
  <c r="CD205" i="1"/>
  <c r="CD206" i="1"/>
  <c r="CD207" i="1"/>
  <c r="CD208" i="1"/>
  <c r="CD209" i="1"/>
  <c r="CD210" i="1"/>
  <c r="CD211" i="1"/>
  <c r="CD212" i="1"/>
  <c r="CD213" i="1"/>
  <c r="CD214" i="1"/>
  <c r="CD215" i="1"/>
  <c r="CD216" i="1"/>
  <c r="CD217" i="1"/>
  <c r="CD218" i="1"/>
  <c r="CD219" i="1"/>
  <c r="CD220" i="1"/>
  <c r="CD221" i="1"/>
  <c r="CD222" i="1"/>
  <c r="CD223" i="1"/>
  <c r="CD224" i="1"/>
  <c r="CD225" i="1"/>
  <c r="CD226" i="1"/>
  <c r="CD227" i="1"/>
  <c r="CD228" i="1"/>
  <c r="CD229" i="1"/>
  <c r="CD230" i="1"/>
  <c r="CD231" i="1"/>
  <c r="CD232" i="1"/>
  <c r="CD233" i="1"/>
  <c r="CD234" i="1"/>
  <c r="CD235" i="1"/>
  <c r="CD236" i="1"/>
  <c r="CD237" i="1"/>
  <c r="CD238" i="1"/>
  <c r="CD239" i="1"/>
  <c r="CD240" i="1"/>
  <c r="CD241" i="1"/>
  <c r="CD242" i="1"/>
  <c r="CD243" i="1"/>
  <c r="CD244" i="1"/>
  <c r="CD245" i="1"/>
  <c r="CD246" i="1"/>
  <c r="CD247" i="1"/>
  <c r="CD248" i="1"/>
  <c r="CD249" i="1"/>
  <c r="CG185" i="1"/>
  <c r="CG186" i="1"/>
  <c r="CG187" i="1"/>
  <c r="CG188" i="1"/>
  <c r="CG189" i="1"/>
  <c r="CG190" i="1"/>
  <c r="CG191" i="1"/>
  <c r="CG192" i="1"/>
  <c r="CG193" i="1"/>
  <c r="CG194" i="1"/>
  <c r="CG195" i="1"/>
  <c r="CG196" i="1"/>
  <c r="CG197" i="1"/>
  <c r="CG198" i="1"/>
  <c r="CG199" i="1"/>
  <c r="CG200" i="1"/>
  <c r="CG201" i="1"/>
  <c r="CG202" i="1"/>
  <c r="CG203" i="1"/>
  <c r="CG204" i="1"/>
  <c r="CG205" i="1"/>
  <c r="CG206" i="1"/>
  <c r="CG207" i="1"/>
  <c r="CG208" i="1"/>
  <c r="CG209" i="1"/>
  <c r="CG210" i="1"/>
  <c r="CG211" i="1"/>
  <c r="CG212" i="1"/>
  <c r="CG213" i="1"/>
  <c r="CG214" i="1"/>
  <c r="CG215" i="1"/>
  <c r="CG216" i="1"/>
  <c r="CG217" i="1"/>
  <c r="CG218" i="1"/>
  <c r="CG219" i="1"/>
  <c r="CG220" i="1"/>
  <c r="CG221" i="1"/>
  <c r="CG222" i="1"/>
  <c r="CG223" i="1"/>
  <c r="CG224" i="1"/>
  <c r="CG225" i="1"/>
  <c r="CG226" i="1"/>
  <c r="CG227" i="1"/>
  <c r="CG228" i="1"/>
  <c r="CG229" i="1"/>
  <c r="CG230" i="1"/>
  <c r="CG231" i="1"/>
  <c r="CG232" i="1"/>
  <c r="CG233" i="1"/>
  <c r="CG234" i="1"/>
  <c r="CG235" i="1"/>
  <c r="CG236" i="1"/>
  <c r="CG237" i="1"/>
  <c r="CG238" i="1"/>
  <c r="CG239" i="1"/>
  <c r="CG240" i="1"/>
  <c r="CG241" i="1"/>
  <c r="CG242" i="1"/>
  <c r="CG243" i="1"/>
  <c r="CG244" i="1"/>
  <c r="CG245" i="1"/>
  <c r="CG246" i="1"/>
  <c r="CG247" i="1"/>
  <c r="CG248" i="1"/>
  <c r="CG249" i="1"/>
  <c r="CT185" i="1"/>
  <c r="CT186" i="1"/>
  <c r="CV186" i="1" s="1"/>
  <c r="CT187" i="1"/>
  <c r="CT188" i="1"/>
  <c r="CT189" i="1"/>
  <c r="CT190" i="1"/>
  <c r="CT191" i="1"/>
  <c r="CT192" i="1"/>
  <c r="CT193" i="1"/>
  <c r="CT194" i="1"/>
  <c r="CT195" i="1"/>
  <c r="CT196" i="1"/>
  <c r="CT197" i="1"/>
  <c r="CT198" i="1"/>
  <c r="CT199" i="1"/>
  <c r="CT200" i="1"/>
  <c r="CT201" i="1"/>
  <c r="CT202" i="1"/>
  <c r="CT203" i="1"/>
  <c r="CT204" i="1"/>
  <c r="CV204" i="1" s="1"/>
  <c r="CT205" i="1"/>
  <c r="CT206" i="1"/>
  <c r="CV206" i="1" s="1"/>
  <c r="CT207" i="1"/>
  <c r="CV207" i="1" s="1"/>
  <c r="CT208" i="1"/>
  <c r="CT209" i="1"/>
  <c r="CT210" i="1"/>
  <c r="CV210" i="1" s="1"/>
  <c r="CT211" i="1"/>
  <c r="CT212" i="1"/>
  <c r="CT213" i="1"/>
  <c r="CT214" i="1"/>
  <c r="CT215" i="1"/>
  <c r="CT216" i="1"/>
  <c r="CT217" i="1"/>
  <c r="CV217" i="1" s="1"/>
  <c r="CT218" i="1"/>
  <c r="CV218" i="1" s="1"/>
  <c r="CT219" i="1"/>
  <c r="CV219" i="1" s="1"/>
  <c r="CT220" i="1"/>
  <c r="CT221" i="1"/>
  <c r="CT222" i="1"/>
  <c r="CT223" i="1"/>
  <c r="CT224" i="1"/>
  <c r="CT225" i="1"/>
  <c r="CT226" i="1"/>
  <c r="CT227" i="1"/>
  <c r="CT228" i="1"/>
  <c r="CT229" i="1"/>
  <c r="CT230" i="1"/>
  <c r="CT231" i="1"/>
  <c r="CT232" i="1"/>
  <c r="CT233" i="1"/>
  <c r="CT234" i="1"/>
  <c r="CT235" i="1"/>
  <c r="CT236" i="1"/>
  <c r="CT237" i="1"/>
  <c r="CT238" i="1"/>
  <c r="CT239" i="1"/>
  <c r="CT240" i="1"/>
  <c r="CT241" i="1"/>
  <c r="CV241" i="1" s="1"/>
  <c r="CT242" i="1"/>
  <c r="CT243" i="1"/>
  <c r="CT244" i="1"/>
  <c r="CT245" i="1"/>
  <c r="CV245" i="1" s="1"/>
  <c r="CT246" i="1"/>
  <c r="CV246" i="1" s="1"/>
  <c r="CT247" i="1"/>
  <c r="CV247" i="1" s="1"/>
  <c r="CT248" i="1"/>
  <c r="CV248" i="1" s="1"/>
  <c r="CT249" i="1"/>
  <c r="CV249" i="1" s="1"/>
  <c r="CU185" i="1"/>
  <c r="CY185" i="1" s="1"/>
  <c r="CU186" i="1"/>
  <c r="CY186" i="1" s="1"/>
  <c r="CU187" i="1"/>
  <c r="CY187" i="1" s="1"/>
  <c r="CU188" i="1"/>
  <c r="CY188" i="1" s="1"/>
  <c r="CU189" i="1"/>
  <c r="CY189" i="1" s="1"/>
  <c r="CU190" i="1"/>
  <c r="CY190" i="1" s="1"/>
  <c r="CU191" i="1"/>
  <c r="CY191" i="1" s="1"/>
  <c r="CU192" i="1"/>
  <c r="CY192" i="1" s="1"/>
  <c r="CU193" i="1"/>
  <c r="CY193" i="1" s="1"/>
  <c r="CU194" i="1"/>
  <c r="CY194" i="1" s="1"/>
  <c r="CU195" i="1"/>
  <c r="CY195" i="1" s="1"/>
  <c r="CU196" i="1"/>
  <c r="CY196" i="1" s="1"/>
  <c r="CU197" i="1"/>
  <c r="CY197" i="1" s="1"/>
  <c r="CU198" i="1"/>
  <c r="CY198" i="1" s="1"/>
  <c r="CU199" i="1"/>
  <c r="CY199" i="1" s="1"/>
  <c r="CU200" i="1"/>
  <c r="CY200" i="1" s="1"/>
  <c r="CU201" i="1"/>
  <c r="CY201" i="1" s="1"/>
  <c r="CU202" i="1"/>
  <c r="CY202" i="1" s="1"/>
  <c r="CU203" i="1"/>
  <c r="CY203" i="1" s="1"/>
  <c r="CU204" i="1"/>
  <c r="CY204" i="1" s="1"/>
  <c r="CU205" i="1"/>
  <c r="CY205" i="1" s="1"/>
  <c r="CU206" i="1"/>
  <c r="CY206" i="1" s="1"/>
  <c r="CU207" i="1"/>
  <c r="CY207" i="1" s="1"/>
  <c r="CU208" i="1"/>
  <c r="CY208" i="1" s="1"/>
  <c r="CU209" i="1"/>
  <c r="CY209" i="1" s="1"/>
  <c r="CU210" i="1"/>
  <c r="CY210" i="1" s="1"/>
  <c r="CU211" i="1"/>
  <c r="CY211" i="1" s="1"/>
  <c r="CU212" i="1"/>
  <c r="CY212" i="1" s="1"/>
  <c r="CU213" i="1"/>
  <c r="CY213" i="1" s="1"/>
  <c r="CU214" i="1"/>
  <c r="CY214" i="1" s="1"/>
  <c r="CU215" i="1"/>
  <c r="CY215" i="1" s="1"/>
  <c r="CU216" i="1"/>
  <c r="CY216" i="1" s="1"/>
  <c r="CU217" i="1"/>
  <c r="CY217" i="1" s="1"/>
  <c r="CU218" i="1"/>
  <c r="CY218" i="1" s="1"/>
  <c r="CU219" i="1"/>
  <c r="CY219" i="1" s="1"/>
  <c r="CU220" i="1"/>
  <c r="CY220" i="1" s="1"/>
  <c r="CU221" i="1"/>
  <c r="CY221" i="1" s="1"/>
  <c r="CU222" i="1"/>
  <c r="CY222" i="1" s="1"/>
  <c r="CU223" i="1"/>
  <c r="CY223" i="1" s="1"/>
  <c r="CU224" i="1"/>
  <c r="CY224" i="1" s="1"/>
  <c r="CU225" i="1"/>
  <c r="CY225" i="1" s="1"/>
  <c r="CU226" i="1"/>
  <c r="CY226" i="1" s="1"/>
  <c r="CU227" i="1"/>
  <c r="CY227" i="1" s="1"/>
  <c r="CU228" i="1"/>
  <c r="CY228" i="1" s="1"/>
  <c r="CU229" i="1"/>
  <c r="CY229" i="1" s="1"/>
  <c r="CU230" i="1"/>
  <c r="CY230" i="1" s="1"/>
  <c r="CU231" i="1"/>
  <c r="CY231" i="1" s="1"/>
  <c r="CU232" i="1"/>
  <c r="CY232" i="1" s="1"/>
  <c r="CU233" i="1"/>
  <c r="CY233" i="1" s="1"/>
  <c r="CU234" i="1"/>
  <c r="CY234" i="1" s="1"/>
  <c r="CU235" i="1"/>
  <c r="CY235" i="1" s="1"/>
  <c r="CU236" i="1"/>
  <c r="CY236" i="1" s="1"/>
  <c r="CU237" i="1"/>
  <c r="CY237" i="1" s="1"/>
  <c r="CU238" i="1"/>
  <c r="CY238" i="1" s="1"/>
  <c r="CU239" i="1"/>
  <c r="CY239" i="1" s="1"/>
  <c r="CU240" i="1"/>
  <c r="CY240" i="1" s="1"/>
  <c r="CU241" i="1"/>
  <c r="CY241" i="1" s="1"/>
  <c r="CU242" i="1"/>
  <c r="CY242" i="1" s="1"/>
  <c r="CU243" i="1"/>
  <c r="CY243" i="1" s="1"/>
  <c r="CU244" i="1"/>
  <c r="CY244" i="1" s="1"/>
  <c r="CU245" i="1"/>
  <c r="CY245" i="1" s="1"/>
  <c r="CU246" i="1"/>
  <c r="CY246" i="1" s="1"/>
  <c r="CU247" i="1"/>
  <c r="CY247" i="1" s="1"/>
  <c r="CU248" i="1"/>
  <c r="CY248" i="1" s="1"/>
  <c r="CU249" i="1"/>
  <c r="CY249" i="1" s="1"/>
  <c r="CV185" i="1"/>
  <c r="CV187" i="1"/>
  <c r="CV188" i="1"/>
  <c r="CV189" i="1"/>
  <c r="CV190" i="1"/>
  <c r="CV191" i="1"/>
  <c r="CV192" i="1"/>
  <c r="CV193" i="1"/>
  <c r="CV194" i="1"/>
  <c r="CV195" i="1"/>
  <c r="CV196" i="1"/>
  <c r="CV197" i="1"/>
  <c r="CV198" i="1"/>
  <c r="CV199" i="1"/>
  <c r="CV200" i="1"/>
  <c r="CV201" i="1"/>
  <c r="CV202" i="1"/>
  <c r="CV203" i="1"/>
  <c r="CV205" i="1"/>
  <c r="CV208" i="1"/>
  <c r="CV209" i="1"/>
  <c r="CV211" i="1"/>
  <c r="CV212" i="1"/>
  <c r="CV213" i="1"/>
  <c r="CV214" i="1"/>
  <c r="CV215" i="1"/>
  <c r="CV216" i="1"/>
  <c r="CV220" i="1"/>
  <c r="CV221" i="1"/>
  <c r="CV222" i="1"/>
  <c r="CV223" i="1"/>
  <c r="CV224" i="1"/>
  <c r="CV225" i="1"/>
  <c r="CV226" i="1"/>
  <c r="CV227" i="1"/>
  <c r="CV228" i="1"/>
  <c r="CV229" i="1"/>
  <c r="CV230" i="1"/>
  <c r="CV231" i="1"/>
  <c r="CV232" i="1"/>
  <c r="CV233" i="1"/>
  <c r="CV234" i="1"/>
  <c r="CV235" i="1"/>
  <c r="CV236" i="1"/>
  <c r="CV237" i="1"/>
  <c r="CV238" i="1"/>
  <c r="CV239" i="1"/>
  <c r="CV240" i="1"/>
  <c r="CV242" i="1"/>
  <c r="CV243" i="1"/>
  <c r="CV244" i="1"/>
  <c r="CX185" i="1"/>
  <c r="CX186" i="1"/>
  <c r="CX187" i="1"/>
  <c r="CX188" i="1"/>
  <c r="CX189" i="1"/>
  <c r="CX190" i="1"/>
  <c r="CX191" i="1"/>
  <c r="CX192" i="1"/>
  <c r="CX193" i="1"/>
  <c r="CX194" i="1"/>
  <c r="CX195" i="1"/>
  <c r="CX196" i="1"/>
  <c r="CX197" i="1"/>
  <c r="CX198" i="1"/>
  <c r="CX199" i="1"/>
  <c r="CX200" i="1"/>
  <c r="CX201" i="1"/>
  <c r="CX202" i="1"/>
  <c r="CX203" i="1"/>
  <c r="CX204" i="1"/>
  <c r="CX205" i="1"/>
  <c r="CX206" i="1"/>
  <c r="CX207" i="1"/>
  <c r="CX208" i="1"/>
  <c r="CX209" i="1"/>
  <c r="CX210" i="1"/>
  <c r="CX211" i="1"/>
  <c r="CX212" i="1"/>
  <c r="CX213" i="1"/>
  <c r="CX214" i="1"/>
  <c r="CX215" i="1"/>
  <c r="CX216" i="1"/>
  <c r="CX217" i="1"/>
  <c r="CX218" i="1"/>
  <c r="CX219" i="1"/>
  <c r="CX220" i="1"/>
  <c r="CX221" i="1"/>
  <c r="CX222" i="1"/>
  <c r="CX223" i="1"/>
  <c r="CX224" i="1"/>
  <c r="CX225" i="1"/>
  <c r="CX226" i="1"/>
  <c r="CX227" i="1"/>
  <c r="CX228" i="1"/>
  <c r="CX229" i="1"/>
  <c r="CX230" i="1"/>
  <c r="CX231" i="1"/>
  <c r="CX232" i="1"/>
  <c r="CX233" i="1"/>
  <c r="CX234" i="1"/>
  <c r="CX235" i="1"/>
  <c r="CX236" i="1"/>
  <c r="CX237" i="1"/>
  <c r="CX238" i="1"/>
  <c r="CX239" i="1"/>
  <c r="CX240" i="1"/>
  <c r="CX241" i="1"/>
  <c r="CX242" i="1"/>
  <c r="CX243" i="1"/>
  <c r="CX244" i="1"/>
  <c r="CX245" i="1"/>
  <c r="CX246" i="1"/>
  <c r="CX247" i="1"/>
  <c r="CX248" i="1"/>
  <c r="CX249" i="1"/>
  <c r="CZ185" i="1"/>
  <c r="CZ186" i="1"/>
  <c r="DB186" i="1" s="1"/>
  <c r="CZ187" i="1"/>
  <c r="CZ188" i="1"/>
  <c r="DB188" i="1" s="1"/>
  <c r="CZ189" i="1"/>
  <c r="CZ190" i="1"/>
  <c r="DB190" i="1" s="1"/>
  <c r="CZ191" i="1"/>
  <c r="CZ192" i="1"/>
  <c r="CZ193" i="1"/>
  <c r="DB193" i="1" s="1"/>
  <c r="CZ194" i="1"/>
  <c r="DB194" i="1" s="1"/>
  <c r="CZ195" i="1"/>
  <c r="CZ196" i="1"/>
  <c r="DB196" i="1" s="1"/>
  <c r="CZ197" i="1"/>
  <c r="CZ198" i="1"/>
  <c r="DB198" i="1" s="1"/>
  <c r="CZ199" i="1"/>
  <c r="CZ200" i="1"/>
  <c r="CZ201" i="1"/>
  <c r="CZ202" i="1"/>
  <c r="DB202" i="1" s="1"/>
  <c r="CZ203" i="1"/>
  <c r="CZ204" i="1"/>
  <c r="DB204" i="1" s="1"/>
  <c r="CZ205" i="1"/>
  <c r="DB205" i="1" s="1"/>
  <c r="CZ206" i="1"/>
  <c r="DB206" i="1" s="1"/>
  <c r="CZ207" i="1"/>
  <c r="CZ208" i="1"/>
  <c r="DB208" i="1" s="1"/>
  <c r="CZ209" i="1"/>
  <c r="CZ210" i="1"/>
  <c r="DB210" i="1" s="1"/>
  <c r="CZ211" i="1"/>
  <c r="CZ212" i="1"/>
  <c r="DB212" i="1" s="1"/>
  <c r="CZ213" i="1"/>
  <c r="CZ214" i="1"/>
  <c r="DB214" i="1" s="1"/>
  <c r="CZ215" i="1"/>
  <c r="CZ216" i="1"/>
  <c r="DB216" i="1" s="1"/>
  <c r="CZ217" i="1"/>
  <c r="DB217" i="1" s="1"/>
  <c r="CZ218" i="1"/>
  <c r="DB218" i="1" s="1"/>
  <c r="CZ219" i="1"/>
  <c r="CZ220" i="1"/>
  <c r="CZ221" i="1"/>
  <c r="CZ222" i="1"/>
  <c r="DB222" i="1" s="1"/>
  <c r="CZ223" i="1"/>
  <c r="CZ224" i="1"/>
  <c r="DB224" i="1" s="1"/>
  <c r="CZ225" i="1"/>
  <c r="CZ226" i="1"/>
  <c r="DB226" i="1" s="1"/>
  <c r="CZ227" i="1"/>
  <c r="CZ228" i="1"/>
  <c r="CZ229" i="1"/>
  <c r="DB229" i="1" s="1"/>
  <c r="CZ230" i="1"/>
  <c r="DB230" i="1" s="1"/>
  <c r="CZ231" i="1"/>
  <c r="CZ232" i="1"/>
  <c r="DB232" i="1" s="1"/>
  <c r="CZ233" i="1"/>
  <c r="CZ234" i="1"/>
  <c r="DB234" i="1" s="1"/>
  <c r="CZ235" i="1"/>
  <c r="CZ236" i="1"/>
  <c r="CZ237" i="1"/>
  <c r="CZ238" i="1"/>
  <c r="DB238" i="1" s="1"/>
  <c r="CZ239" i="1"/>
  <c r="CZ240" i="1"/>
  <c r="DB240" i="1" s="1"/>
  <c r="CZ241" i="1"/>
  <c r="CZ242" i="1"/>
  <c r="DB242" i="1" s="1"/>
  <c r="CZ243" i="1"/>
  <c r="CZ244" i="1"/>
  <c r="CZ245" i="1"/>
  <c r="CZ246" i="1"/>
  <c r="DB246" i="1" s="1"/>
  <c r="CZ247" i="1"/>
  <c r="CZ248" i="1"/>
  <c r="DB248" i="1" s="1"/>
  <c r="CZ249" i="1"/>
  <c r="DD185" i="1"/>
  <c r="DD186" i="1"/>
  <c r="DD187" i="1"/>
  <c r="DD188" i="1"/>
  <c r="DD189" i="1"/>
  <c r="DD190" i="1"/>
  <c r="DD191" i="1"/>
  <c r="DD192" i="1"/>
  <c r="DD193" i="1"/>
  <c r="DD194" i="1"/>
  <c r="DD195" i="1"/>
  <c r="DD196" i="1"/>
  <c r="DD197" i="1"/>
  <c r="DD198" i="1"/>
  <c r="DD199" i="1"/>
  <c r="DD200" i="1"/>
  <c r="DD201" i="1"/>
  <c r="DD202" i="1"/>
  <c r="DD203" i="1"/>
  <c r="DD204" i="1"/>
  <c r="DD205" i="1"/>
  <c r="DD206" i="1"/>
  <c r="DD207" i="1"/>
  <c r="DD208" i="1"/>
  <c r="DD209" i="1"/>
  <c r="DD210" i="1"/>
  <c r="DD211" i="1"/>
  <c r="DD212" i="1"/>
  <c r="DD213" i="1"/>
  <c r="DD214" i="1"/>
  <c r="DD215" i="1"/>
  <c r="DD216" i="1"/>
  <c r="DD217" i="1"/>
  <c r="DD218" i="1"/>
  <c r="DD219" i="1"/>
  <c r="DD220" i="1"/>
  <c r="DD221" i="1"/>
  <c r="DD222" i="1"/>
  <c r="DD223" i="1"/>
  <c r="DD224" i="1"/>
  <c r="DD225" i="1"/>
  <c r="DD226" i="1"/>
  <c r="DD227" i="1"/>
  <c r="DD228" i="1"/>
  <c r="DD229" i="1"/>
  <c r="DD230" i="1"/>
  <c r="DD231" i="1"/>
  <c r="DD232" i="1"/>
  <c r="DD233" i="1"/>
  <c r="DD234" i="1"/>
  <c r="DD235" i="1"/>
  <c r="DD236" i="1"/>
  <c r="DD237" i="1"/>
  <c r="DD238" i="1"/>
  <c r="DD239" i="1"/>
  <c r="DD240" i="1"/>
  <c r="DD241" i="1"/>
  <c r="DD242" i="1"/>
  <c r="DD243" i="1"/>
  <c r="DD244" i="1"/>
  <c r="DD245" i="1"/>
  <c r="DD246" i="1"/>
  <c r="DD247" i="1"/>
  <c r="DD248" i="1"/>
  <c r="DD249" i="1"/>
  <c r="F19" i="2"/>
  <c r="F20" i="2"/>
  <c r="F21" i="2"/>
  <c r="F22" i="2"/>
  <c r="F23" i="2"/>
  <c r="F24" i="2"/>
  <c r="F25" i="2"/>
  <c r="F26" i="2"/>
  <c r="F27" i="2"/>
  <c r="F28" i="2"/>
  <c r="F29" i="2"/>
  <c r="F30" i="2"/>
  <c r="F31" i="2"/>
  <c r="F32" i="2"/>
  <c r="F33" i="2"/>
  <c r="F34" i="2"/>
  <c r="F35" i="2"/>
  <c r="F36" i="2"/>
  <c r="I87" i="72"/>
  <c r="H87" i="72"/>
  <c r="I83" i="72"/>
  <c r="H83" i="72"/>
  <c r="I79" i="72"/>
  <c r="H79" i="72"/>
  <c r="I96" i="72"/>
  <c r="H96" i="72"/>
  <c r="I75" i="72"/>
  <c r="H75" i="72"/>
  <c r="C501" i="76" a="1"/>
  <c r="C501" i="76" s="1"/>
  <c r="C500" i="76" a="1"/>
  <c r="C500" i="76" s="1"/>
  <c r="C499" i="76" a="1"/>
  <c r="C499" i="76" s="1"/>
  <c r="C498" i="76" a="1"/>
  <c r="C498" i="76" s="1"/>
  <c r="C497" i="76" a="1"/>
  <c r="C497" i="76" s="1"/>
  <c r="C496" i="76" a="1"/>
  <c r="C496" i="76" s="1"/>
  <c r="C495" i="76" a="1"/>
  <c r="C495" i="76" s="1"/>
  <c r="C494" i="76" a="1"/>
  <c r="C494" i="76" s="1"/>
  <c r="C493" i="76" a="1"/>
  <c r="C493" i="76" s="1"/>
  <c r="C492" i="76" a="1"/>
  <c r="C492" i="76" s="1"/>
  <c r="C491" i="76" a="1"/>
  <c r="C491" i="76" s="1"/>
  <c r="C490" i="76" a="1"/>
  <c r="C490" i="76" s="1"/>
  <c r="C489" i="76" a="1"/>
  <c r="C489" i="76" s="1"/>
  <c r="C488" i="76" a="1"/>
  <c r="C488" i="76" s="1"/>
  <c r="C487" i="76" a="1"/>
  <c r="C487" i="76" s="1"/>
  <c r="C486" i="76" a="1"/>
  <c r="C486" i="76" s="1"/>
  <c r="C485" i="76" a="1"/>
  <c r="C485" i="76" s="1"/>
  <c r="C484" i="76" a="1"/>
  <c r="C484" i="76" s="1"/>
  <c r="C483" i="76" a="1"/>
  <c r="C483" i="76" s="1"/>
  <c r="C482" i="76" a="1"/>
  <c r="C482" i="76" s="1"/>
  <c r="C481" i="76" a="1"/>
  <c r="C481" i="76" s="1"/>
  <c r="C480" i="76" a="1"/>
  <c r="C480" i="76" s="1"/>
  <c r="C479" i="76" a="1"/>
  <c r="C479" i="76" s="1"/>
  <c r="C478" i="76" a="1"/>
  <c r="C478" i="76" s="1"/>
  <c r="C477" i="76" a="1"/>
  <c r="C477" i="76" s="1"/>
  <c r="C476" i="76" a="1"/>
  <c r="C476" i="76" s="1"/>
  <c r="C475" i="76" a="1"/>
  <c r="C475" i="76" s="1"/>
  <c r="C474" i="76" a="1"/>
  <c r="C474" i="76" s="1"/>
  <c r="C473" i="76" a="1"/>
  <c r="C473" i="76" s="1"/>
  <c r="C472" i="76" a="1"/>
  <c r="C472" i="76" s="1"/>
  <c r="C471" i="76" a="1"/>
  <c r="C471" i="76" s="1"/>
  <c r="C470" i="76" a="1"/>
  <c r="C470" i="76" s="1"/>
  <c r="C469" i="76" a="1"/>
  <c r="C469" i="76" s="1"/>
  <c r="C468" i="76" a="1"/>
  <c r="C468" i="76" s="1"/>
  <c r="C467" i="76" a="1"/>
  <c r="C467" i="76" s="1"/>
  <c r="C466" i="76" a="1"/>
  <c r="C466" i="76" s="1"/>
  <c r="C465" i="76" a="1"/>
  <c r="C465" i="76" s="1"/>
  <c r="C464" i="76" a="1"/>
  <c r="C464" i="76" s="1"/>
  <c r="C463" i="76" a="1"/>
  <c r="C463" i="76" s="1"/>
  <c r="C462" i="76" a="1"/>
  <c r="C462" i="76" s="1"/>
  <c r="C461" i="76" a="1"/>
  <c r="C461" i="76" s="1"/>
  <c r="C460" i="76" a="1"/>
  <c r="C460" i="76" s="1"/>
  <c r="C459" i="76" a="1"/>
  <c r="C459" i="76" s="1"/>
  <c r="C458" i="76" a="1"/>
  <c r="C458" i="76" s="1"/>
  <c r="C457" i="76" a="1"/>
  <c r="C457" i="76" s="1"/>
  <c r="C456" i="76" a="1"/>
  <c r="C456" i="76" s="1"/>
  <c r="C455" i="76" a="1"/>
  <c r="C455" i="76" s="1"/>
  <c r="C454" i="76" a="1"/>
  <c r="C454" i="76" s="1"/>
  <c r="C453" i="76" a="1"/>
  <c r="C453" i="76" s="1"/>
  <c r="C452" i="76" a="1"/>
  <c r="C452" i="76" s="1"/>
  <c r="C451" i="76" a="1"/>
  <c r="C451" i="76" s="1"/>
  <c r="C450" i="76" a="1"/>
  <c r="C450" i="76" s="1"/>
  <c r="C449" i="76" a="1"/>
  <c r="C449" i="76" s="1"/>
  <c r="C448" i="76" a="1"/>
  <c r="C448" i="76" s="1"/>
  <c r="C447" i="76" a="1"/>
  <c r="C447" i="76" s="1"/>
  <c r="C446" i="76" a="1"/>
  <c r="C446" i="76" s="1"/>
  <c r="C445" i="76" a="1"/>
  <c r="C445" i="76" s="1"/>
  <c r="C444" i="76" a="1"/>
  <c r="C444" i="76" s="1"/>
  <c r="C443" i="76" a="1"/>
  <c r="C443" i="76" s="1"/>
  <c r="C442" i="76" a="1"/>
  <c r="C442" i="76" s="1"/>
  <c r="C441" i="76" a="1"/>
  <c r="C441" i="76" s="1"/>
  <c r="C440" i="76" a="1"/>
  <c r="C440" i="76" s="1"/>
  <c r="C439" i="76" a="1"/>
  <c r="C439" i="76" s="1"/>
  <c r="C438" i="76" a="1"/>
  <c r="C438" i="76" s="1"/>
  <c r="C437" i="76" a="1"/>
  <c r="C437" i="76" s="1"/>
  <c r="C436" i="76" a="1"/>
  <c r="C436" i="76" s="1"/>
  <c r="C435" i="76" a="1"/>
  <c r="C435" i="76" s="1"/>
  <c r="C434" i="76" a="1"/>
  <c r="C434" i="76" s="1"/>
  <c r="C433" i="76" a="1"/>
  <c r="C433" i="76" s="1"/>
  <c r="C432" i="76" a="1"/>
  <c r="C432" i="76" s="1"/>
  <c r="C431" i="76" a="1"/>
  <c r="C431" i="76" s="1"/>
  <c r="C430" i="76" a="1"/>
  <c r="C430" i="76" s="1"/>
  <c r="C429" i="76" a="1"/>
  <c r="C429" i="76" s="1"/>
  <c r="C428" i="76" a="1"/>
  <c r="C428" i="76" s="1"/>
  <c r="C427" i="76" a="1"/>
  <c r="C427" i="76" s="1"/>
  <c r="C426" i="76" a="1"/>
  <c r="C426" i="76" s="1"/>
  <c r="C425" i="76" a="1"/>
  <c r="C425" i="76" s="1"/>
  <c r="C424" i="76" a="1"/>
  <c r="C424" i="76" s="1"/>
  <c r="C423" i="76" a="1"/>
  <c r="C423" i="76" s="1"/>
  <c r="C422" i="76" a="1"/>
  <c r="C422" i="76" s="1"/>
  <c r="C421" i="76" a="1"/>
  <c r="C421" i="76" s="1"/>
  <c r="C420" i="76" a="1"/>
  <c r="C420" i="76" s="1"/>
  <c r="C419" i="76" a="1"/>
  <c r="C419" i="76" s="1"/>
  <c r="C418" i="76" a="1"/>
  <c r="C418" i="76" s="1"/>
  <c r="C417" i="76" a="1"/>
  <c r="C417" i="76" s="1"/>
  <c r="C416" i="76" a="1"/>
  <c r="C416" i="76" s="1"/>
  <c r="C415" i="76" a="1"/>
  <c r="C415" i="76" s="1"/>
  <c r="C414" i="76" a="1"/>
  <c r="C414" i="76" s="1"/>
  <c r="C413" i="76" a="1"/>
  <c r="C413" i="76" s="1"/>
  <c r="C412" i="76" a="1"/>
  <c r="C412" i="76" s="1"/>
  <c r="C411" i="76" a="1"/>
  <c r="C411" i="76" s="1"/>
  <c r="C410" i="76" a="1"/>
  <c r="C410" i="76" s="1"/>
  <c r="C409" i="76" a="1"/>
  <c r="C409" i="76" s="1"/>
  <c r="C408" i="76" a="1"/>
  <c r="C408" i="76" s="1"/>
  <c r="C407" i="76" a="1"/>
  <c r="C407" i="76" s="1"/>
  <c r="C406" i="76" a="1"/>
  <c r="C406" i="76" s="1"/>
  <c r="C405" i="76" a="1"/>
  <c r="C405" i="76" s="1"/>
  <c r="C404" i="76" a="1"/>
  <c r="C404" i="76" s="1"/>
  <c r="C403" i="76" a="1"/>
  <c r="C403" i="76" s="1"/>
  <c r="C402" i="76" a="1"/>
  <c r="C402" i="76" s="1"/>
  <c r="C401" i="76" a="1"/>
  <c r="C401" i="76" s="1"/>
  <c r="C400" i="76" a="1"/>
  <c r="C400" i="76" s="1"/>
  <c r="C399" i="76" a="1"/>
  <c r="C399" i="76" s="1"/>
  <c r="C398" i="76" a="1"/>
  <c r="C398" i="76" s="1"/>
  <c r="C397" i="76" a="1"/>
  <c r="C397" i="76" s="1"/>
  <c r="C396" i="76" a="1"/>
  <c r="C396" i="76" s="1"/>
  <c r="C395" i="76" a="1"/>
  <c r="C395" i="76" s="1"/>
  <c r="C394" i="76" a="1"/>
  <c r="C394" i="76" s="1"/>
  <c r="C393" i="76" a="1"/>
  <c r="C393" i="76" s="1"/>
  <c r="C392" i="76" a="1"/>
  <c r="C392" i="76" s="1"/>
  <c r="C391" i="76" a="1"/>
  <c r="C391" i="76" s="1"/>
  <c r="C390" i="76" a="1"/>
  <c r="C390" i="76" s="1"/>
  <c r="C389" i="76" a="1"/>
  <c r="C389" i="76" s="1"/>
  <c r="C388" i="76" a="1"/>
  <c r="C388" i="76" s="1"/>
  <c r="C387" i="76" a="1"/>
  <c r="C387" i="76" s="1"/>
  <c r="C386" i="76" a="1"/>
  <c r="C386" i="76" s="1"/>
  <c r="C385" i="76" a="1"/>
  <c r="C385" i="76" s="1"/>
  <c r="C384" i="76" a="1"/>
  <c r="C384" i="76" s="1"/>
  <c r="C383" i="76" a="1"/>
  <c r="C383" i="76" s="1"/>
  <c r="C382" i="76" a="1"/>
  <c r="C382" i="76" s="1"/>
  <c r="C381" i="76" a="1"/>
  <c r="C381" i="76" s="1"/>
  <c r="C380" i="76" a="1"/>
  <c r="C380" i="76" s="1"/>
  <c r="C379" i="76" a="1"/>
  <c r="C379" i="76" s="1"/>
  <c r="C378" i="76" a="1"/>
  <c r="C378" i="76" s="1"/>
  <c r="C377" i="76" a="1"/>
  <c r="C377" i="76" s="1"/>
  <c r="C376" i="76" a="1"/>
  <c r="C376" i="76" s="1"/>
  <c r="C375" i="76" a="1"/>
  <c r="C375" i="76" s="1"/>
  <c r="C374" i="76" a="1"/>
  <c r="C374" i="76" s="1"/>
  <c r="C373" i="76" a="1"/>
  <c r="C373" i="76" s="1"/>
  <c r="C372" i="76" a="1"/>
  <c r="C372" i="76" s="1"/>
  <c r="C371" i="76" a="1"/>
  <c r="C371" i="76" s="1"/>
  <c r="C370" i="76" a="1"/>
  <c r="C370" i="76" s="1"/>
  <c r="C369" i="76" a="1"/>
  <c r="C369" i="76" s="1"/>
  <c r="C368" i="76" a="1"/>
  <c r="C368" i="76" s="1"/>
  <c r="C367" i="76" a="1"/>
  <c r="C367" i="76" s="1"/>
  <c r="C366" i="76" a="1"/>
  <c r="C366" i="76" s="1"/>
  <c r="C365" i="76" a="1"/>
  <c r="C365" i="76" s="1"/>
  <c r="C364" i="76" a="1"/>
  <c r="C364" i="76" s="1"/>
  <c r="C363" i="76" a="1"/>
  <c r="C363" i="76" s="1"/>
  <c r="C362" i="76" a="1"/>
  <c r="C362" i="76" s="1"/>
  <c r="C361" i="76" a="1"/>
  <c r="C361" i="76" s="1"/>
  <c r="C360" i="76" a="1"/>
  <c r="C360" i="76" s="1"/>
  <c r="C359" i="76" a="1"/>
  <c r="C359" i="76" s="1"/>
  <c r="C358" i="76" a="1"/>
  <c r="C358" i="76" s="1"/>
  <c r="C357" i="76" a="1"/>
  <c r="C357" i="76" s="1"/>
  <c r="C356" i="76" a="1"/>
  <c r="C356" i="76" s="1"/>
  <c r="C355" i="76" a="1"/>
  <c r="C355" i="76" s="1"/>
  <c r="C354" i="76" a="1"/>
  <c r="C354" i="76" s="1"/>
  <c r="C353" i="76" a="1"/>
  <c r="C353" i="76" s="1"/>
  <c r="C352" i="76" a="1"/>
  <c r="C352" i="76" s="1"/>
  <c r="C351" i="76" a="1"/>
  <c r="C351" i="76" s="1"/>
  <c r="C350" i="76" a="1"/>
  <c r="C350" i="76" s="1"/>
  <c r="C349" i="76" a="1"/>
  <c r="C349" i="76" s="1"/>
  <c r="C348" i="76" a="1"/>
  <c r="C348" i="76" s="1"/>
  <c r="C347" i="76" a="1"/>
  <c r="C347" i="76" s="1"/>
  <c r="C346" i="76" a="1"/>
  <c r="C346" i="76" s="1"/>
  <c r="C345" i="76" a="1"/>
  <c r="C345" i="76" s="1"/>
  <c r="C344" i="76" a="1"/>
  <c r="C344" i="76" s="1"/>
  <c r="C343" i="76" a="1"/>
  <c r="C343" i="76" s="1"/>
  <c r="C342" i="76" a="1"/>
  <c r="C342" i="76" s="1"/>
  <c r="C341" i="76" a="1"/>
  <c r="C341" i="76" s="1"/>
  <c r="C340" i="76" a="1"/>
  <c r="C340" i="76" s="1"/>
  <c r="C339" i="76" a="1"/>
  <c r="C339" i="76" s="1"/>
  <c r="C338" i="76" a="1"/>
  <c r="C338" i="76" s="1"/>
  <c r="C337" i="76" a="1"/>
  <c r="C337" i="76" s="1"/>
  <c r="C336" i="76" a="1"/>
  <c r="C336" i="76" s="1"/>
  <c r="C335" i="76" a="1"/>
  <c r="C335" i="76" s="1"/>
  <c r="C334" i="76" a="1"/>
  <c r="C334" i="76" s="1"/>
  <c r="C333" i="76" a="1"/>
  <c r="C333" i="76" s="1"/>
  <c r="C332" i="76" a="1"/>
  <c r="C332" i="76" s="1"/>
  <c r="C331" i="76" a="1"/>
  <c r="C331" i="76" s="1"/>
  <c r="C330" i="76" a="1"/>
  <c r="C330" i="76" s="1"/>
  <c r="C329" i="76" a="1"/>
  <c r="C329" i="76" s="1"/>
  <c r="C328" i="76" a="1"/>
  <c r="C328" i="76" s="1"/>
  <c r="C327" i="76" a="1"/>
  <c r="C327" i="76" s="1"/>
  <c r="C326" i="76" a="1"/>
  <c r="C326" i="76" s="1"/>
  <c r="C325" i="76" a="1"/>
  <c r="C325" i="76" s="1"/>
  <c r="C324" i="76" a="1"/>
  <c r="C324" i="76" s="1"/>
  <c r="C323" i="76" a="1"/>
  <c r="C323" i="76" s="1"/>
  <c r="C322" i="76" a="1"/>
  <c r="C322" i="76" s="1"/>
  <c r="C321" i="76" a="1"/>
  <c r="C321" i="76" s="1"/>
  <c r="C320" i="76" a="1"/>
  <c r="C320" i="76" s="1"/>
  <c r="C319" i="76" a="1"/>
  <c r="C319" i="76" s="1"/>
  <c r="C318" i="76" a="1"/>
  <c r="C318" i="76" s="1"/>
  <c r="C317" i="76" a="1"/>
  <c r="C317" i="76" s="1"/>
  <c r="C316" i="76" a="1"/>
  <c r="C316" i="76" s="1"/>
  <c r="C315" i="76" a="1"/>
  <c r="C315" i="76" s="1"/>
  <c r="C314" i="76" a="1"/>
  <c r="C314" i="76" s="1"/>
  <c r="C313" i="76" a="1"/>
  <c r="C313" i="76" s="1"/>
  <c r="C312" i="76" a="1"/>
  <c r="C312" i="76" s="1"/>
  <c r="C311" i="76" a="1"/>
  <c r="C311" i="76" s="1"/>
  <c r="C310" i="76" a="1"/>
  <c r="C310" i="76" s="1"/>
  <c r="C309" i="76" a="1"/>
  <c r="C309" i="76" s="1"/>
  <c r="C308" i="76" a="1"/>
  <c r="C308" i="76" s="1"/>
  <c r="C307" i="76" a="1"/>
  <c r="C307" i="76" s="1"/>
  <c r="C306" i="76" a="1"/>
  <c r="C306" i="76" s="1"/>
  <c r="C305" i="76" a="1"/>
  <c r="C305" i="76" s="1"/>
  <c r="C304" i="76" a="1"/>
  <c r="C304" i="76" s="1"/>
  <c r="C303" i="76" a="1"/>
  <c r="C303" i="76" s="1"/>
  <c r="C302" i="76" a="1"/>
  <c r="C302" i="76" s="1"/>
  <c r="C301" i="76" a="1"/>
  <c r="C301" i="76" s="1"/>
  <c r="C300" i="76" a="1"/>
  <c r="C300" i="76" s="1"/>
  <c r="C299" i="76" a="1"/>
  <c r="C299" i="76" s="1"/>
  <c r="C298" i="76" a="1"/>
  <c r="C298" i="76" s="1"/>
  <c r="C297" i="76" a="1"/>
  <c r="C297" i="76" s="1"/>
  <c r="C296" i="76" a="1"/>
  <c r="C296" i="76" s="1"/>
  <c r="C295" i="76" a="1"/>
  <c r="C295" i="76" s="1"/>
  <c r="C294" i="76" a="1"/>
  <c r="C294" i="76" s="1"/>
  <c r="C293" i="76" a="1"/>
  <c r="C293" i="76" s="1"/>
  <c r="C292" i="76" a="1"/>
  <c r="C292" i="76" s="1"/>
  <c r="C291" i="76" a="1"/>
  <c r="C291" i="76" s="1"/>
  <c r="C290" i="76" a="1"/>
  <c r="C290" i="76" s="1"/>
  <c r="C289" i="76" a="1"/>
  <c r="C289" i="76" s="1"/>
  <c r="C288" i="76" a="1"/>
  <c r="C288" i="76" s="1"/>
  <c r="C287" i="76" a="1"/>
  <c r="C287" i="76" s="1"/>
  <c r="C286" i="76" a="1"/>
  <c r="C286" i="76" s="1"/>
  <c r="C285" i="76" a="1"/>
  <c r="C285" i="76" s="1"/>
  <c r="C284" i="76" a="1"/>
  <c r="C284" i="76" s="1"/>
  <c r="C283" i="76" a="1"/>
  <c r="C283" i="76" s="1"/>
  <c r="C282" i="76" a="1"/>
  <c r="C282" i="76" s="1"/>
  <c r="C281" i="76" a="1"/>
  <c r="C281" i="76" s="1"/>
  <c r="C280" i="76" a="1"/>
  <c r="C280" i="76" s="1"/>
  <c r="C279" i="76" a="1"/>
  <c r="C279" i="76" s="1"/>
  <c r="C278" i="76" a="1"/>
  <c r="C278" i="76" s="1"/>
  <c r="C277" i="76" a="1"/>
  <c r="C277" i="76" s="1"/>
  <c r="C276" i="76" a="1"/>
  <c r="C276" i="76" s="1"/>
  <c r="C275" i="76" a="1"/>
  <c r="C275" i="76" s="1"/>
  <c r="C274" i="76" a="1"/>
  <c r="C274" i="76" s="1"/>
  <c r="C273" i="76" a="1"/>
  <c r="C273" i="76" s="1"/>
  <c r="C272" i="76" a="1"/>
  <c r="C272" i="76" s="1"/>
  <c r="C271" i="76" a="1"/>
  <c r="C271" i="76" s="1"/>
  <c r="C270" i="76" a="1"/>
  <c r="C270" i="76" s="1"/>
  <c r="C269" i="76" a="1"/>
  <c r="C269" i="76" s="1"/>
  <c r="C268" i="76" a="1"/>
  <c r="C268" i="76" s="1"/>
  <c r="C267" i="76" a="1"/>
  <c r="C267" i="76" s="1"/>
  <c r="C266" i="76" a="1"/>
  <c r="C266" i="76" s="1"/>
  <c r="C265" i="76" a="1"/>
  <c r="C265" i="76" s="1"/>
  <c r="C262" i="76" a="1"/>
  <c r="C262" i="76" s="1"/>
  <c r="C258" i="76" a="1"/>
  <c r="C258" i="76" s="1"/>
  <c r="C254" i="76" a="1"/>
  <c r="C254" i="76" s="1"/>
  <c r="C250" i="76" a="1"/>
  <c r="C250" i="76" s="1"/>
  <c r="D3" i="76" a="1"/>
  <c r="D3" i="76" s="1"/>
  <c r="D4" i="76" a="1"/>
  <c r="D4" i="76" s="1"/>
  <c r="Q6" i="78"/>
  <c r="Q7" i="78"/>
  <c r="Q8" i="78"/>
  <c r="Q9" i="78"/>
  <c r="Q10" i="78"/>
  <c r="Q11" i="78"/>
  <c r="Q12" i="78"/>
  <c r="Q13" i="78"/>
  <c r="Q14" i="78"/>
  <c r="Q15" i="78"/>
  <c r="Q16" i="78"/>
  <c r="Q17" i="78"/>
  <c r="Q18" i="78"/>
  <c r="Q19" i="78"/>
  <c r="Q20" i="78"/>
  <c r="Q21" i="78"/>
  <c r="Q22" i="78"/>
  <c r="Q23" i="78"/>
  <c r="Q24" i="78"/>
  <c r="Q25" i="78"/>
  <c r="Q26" i="78"/>
  <c r="Q27" i="78"/>
  <c r="Q28" i="78"/>
  <c r="Q29" i="78"/>
  <c r="Q30" i="78"/>
  <c r="Q31" i="78"/>
  <c r="Q32" i="78"/>
  <c r="Q33" i="78"/>
  <c r="Q34" i="78"/>
  <c r="Q35" i="78"/>
  <c r="Q36" i="78"/>
  <c r="Q37" i="78"/>
  <c r="Q38" i="78"/>
  <c r="Q39" i="78"/>
  <c r="Q40" i="78"/>
  <c r="Q41" i="78"/>
  <c r="Q42" i="78"/>
  <c r="Q43" i="78"/>
  <c r="Q44" i="78"/>
  <c r="Q45" i="78"/>
  <c r="Q46" i="78"/>
  <c r="Q47" i="78"/>
  <c r="Q48" i="78"/>
  <c r="Q49" i="78"/>
  <c r="Q50" i="78"/>
  <c r="Q51" i="78"/>
  <c r="Q52" i="78"/>
  <c r="Q53" i="78"/>
  <c r="Q54" i="78"/>
  <c r="Q55" i="78"/>
  <c r="Q56" i="78"/>
  <c r="Q57" i="78"/>
  <c r="Q58" i="78"/>
  <c r="Q59" i="78"/>
  <c r="Q60" i="78"/>
  <c r="Q61" i="78"/>
  <c r="Q62" i="78"/>
  <c r="Q63" i="78"/>
  <c r="Q64" i="78"/>
  <c r="Q65" i="78"/>
  <c r="Q66" i="78"/>
  <c r="Q67" i="78"/>
  <c r="Q68" i="78"/>
  <c r="Q69" i="78"/>
  <c r="Q70" i="78"/>
  <c r="Q71" i="78"/>
  <c r="Q72" i="78"/>
  <c r="Q73" i="78"/>
  <c r="Q74" i="78"/>
  <c r="Q75" i="78"/>
  <c r="Q76" i="78"/>
  <c r="Q77" i="78"/>
  <c r="Q78" i="78"/>
  <c r="Q79" i="78"/>
  <c r="Q80" i="78"/>
  <c r="Q81" i="78"/>
  <c r="Q82" i="78"/>
  <c r="Q83" i="78"/>
  <c r="Q84" i="78"/>
  <c r="Q85" i="78"/>
  <c r="Q86" i="78"/>
  <c r="Q87" i="78"/>
  <c r="Q88" i="78"/>
  <c r="Q89" i="78"/>
  <c r="Q90" i="78"/>
  <c r="Q91" i="78"/>
  <c r="Q92" i="78"/>
  <c r="Q93" i="78"/>
  <c r="Q94" i="78"/>
  <c r="Q95" i="78"/>
  <c r="Q96" i="78"/>
  <c r="Q97" i="78"/>
  <c r="Q98" i="78"/>
  <c r="Q99" i="78"/>
  <c r="Q100" i="78"/>
  <c r="Q101" i="78"/>
  <c r="Q102" i="78"/>
  <c r="Q103" i="78"/>
  <c r="Q104" i="78"/>
  <c r="Q105" i="78"/>
  <c r="Q106" i="78"/>
  <c r="Q107" i="78"/>
  <c r="Q108" i="78"/>
  <c r="Q109" i="78"/>
  <c r="Q110" i="78"/>
  <c r="Q111" i="78"/>
  <c r="Q112" i="78"/>
  <c r="Q113" i="78"/>
  <c r="Q114" i="78"/>
  <c r="Q115" i="78"/>
  <c r="Q116" i="78"/>
  <c r="Q117" i="78"/>
  <c r="Q118" i="78"/>
  <c r="Q119" i="78"/>
  <c r="Q120" i="78"/>
  <c r="Q121" i="78"/>
  <c r="Q122" i="78"/>
  <c r="Q123" i="78"/>
  <c r="Q124" i="78"/>
  <c r="Q125" i="78"/>
  <c r="Q126" i="78"/>
  <c r="Q127" i="78"/>
  <c r="Q128" i="78"/>
  <c r="Q129" i="78"/>
  <c r="Q130" i="78"/>
  <c r="Q131" i="78"/>
  <c r="Q132" i="78"/>
  <c r="Q133" i="78"/>
  <c r="Q134" i="78"/>
  <c r="Q135" i="78"/>
  <c r="Q136" i="78"/>
  <c r="Q137" i="78"/>
  <c r="Q138" i="78"/>
  <c r="Q139" i="78"/>
  <c r="Q140" i="78"/>
  <c r="Q141" i="78"/>
  <c r="Q142" i="78"/>
  <c r="Q143" i="78"/>
  <c r="Q144" i="78"/>
  <c r="Q145" i="78"/>
  <c r="Q146" i="78"/>
  <c r="Q147" i="78"/>
  <c r="Q148" i="78"/>
  <c r="Q149" i="78"/>
  <c r="Q150" i="78"/>
  <c r="Q151" i="78"/>
  <c r="Q152" i="78"/>
  <c r="T6" i="78"/>
  <c r="T7" i="78"/>
  <c r="T8" i="78"/>
  <c r="T9" i="78"/>
  <c r="T10" i="78"/>
  <c r="T11" i="78"/>
  <c r="T12" i="78"/>
  <c r="T13" i="78"/>
  <c r="T14" i="78"/>
  <c r="T15" i="78"/>
  <c r="T16" i="78"/>
  <c r="T17" i="78"/>
  <c r="T18" i="78"/>
  <c r="T19" i="78"/>
  <c r="T20" i="78"/>
  <c r="T21" i="78"/>
  <c r="T22" i="78"/>
  <c r="T23" i="78"/>
  <c r="T24" i="78"/>
  <c r="T25" i="78"/>
  <c r="T26" i="78"/>
  <c r="T27" i="78"/>
  <c r="T28" i="78"/>
  <c r="T29" i="78"/>
  <c r="T30" i="78"/>
  <c r="T31" i="78"/>
  <c r="T32" i="78"/>
  <c r="T33" i="78"/>
  <c r="T34" i="78"/>
  <c r="T35" i="78"/>
  <c r="T36" i="78"/>
  <c r="T37" i="78"/>
  <c r="T38" i="78"/>
  <c r="T39" i="78"/>
  <c r="T40" i="78"/>
  <c r="T41" i="78"/>
  <c r="T42" i="78"/>
  <c r="T43" i="78"/>
  <c r="T44" i="78"/>
  <c r="T45" i="78"/>
  <c r="T46" i="78"/>
  <c r="T47" i="78"/>
  <c r="T48" i="78"/>
  <c r="T49" i="78"/>
  <c r="T50" i="78"/>
  <c r="T51" i="78"/>
  <c r="T52" i="78"/>
  <c r="T53" i="78"/>
  <c r="T54" i="78"/>
  <c r="T55" i="78"/>
  <c r="T56" i="78"/>
  <c r="T57" i="78"/>
  <c r="T58" i="78"/>
  <c r="T59" i="78"/>
  <c r="T60" i="78"/>
  <c r="T61" i="78"/>
  <c r="T62" i="78"/>
  <c r="T63" i="78"/>
  <c r="T64" i="78"/>
  <c r="T65" i="78"/>
  <c r="T66" i="78"/>
  <c r="T67" i="78"/>
  <c r="T68" i="78"/>
  <c r="T69" i="78"/>
  <c r="T70" i="78"/>
  <c r="T71" i="78"/>
  <c r="T72" i="78"/>
  <c r="T73" i="78"/>
  <c r="T74" i="78"/>
  <c r="T75" i="78"/>
  <c r="T76" i="78"/>
  <c r="T77" i="78"/>
  <c r="T78" i="78"/>
  <c r="T79" i="78"/>
  <c r="T80" i="78"/>
  <c r="T81" i="78"/>
  <c r="T82" i="78"/>
  <c r="T83" i="78"/>
  <c r="T84" i="78"/>
  <c r="T85" i="78"/>
  <c r="T86" i="78"/>
  <c r="T87" i="78"/>
  <c r="T88" i="78"/>
  <c r="T89" i="78"/>
  <c r="T90" i="78"/>
  <c r="T91" i="78"/>
  <c r="T92" i="78"/>
  <c r="T93" i="78"/>
  <c r="T94" i="78"/>
  <c r="T95" i="78"/>
  <c r="T96" i="78"/>
  <c r="T97" i="78"/>
  <c r="T98" i="78"/>
  <c r="T99" i="78"/>
  <c r="T100" i="78"/>
  <c r="T101" i="78"/>
  <c r="T102" i="78"/>
  <c r="T103" i="78"/>
  <c r="T104" i="78"/>
  <c r="T105" i="78"/>
  <c r="T106" i="78"/>
  <c r="T107" i="78"/>
  <c r="T108" i="78"/>
  <c r="T109" i="78"/>
  <c r="T110" i="78"/>
  <c r="T111" i="78"/>
  <c r="T112" i="78"/>
  <c r="T113" i="78"/>
  <c r="T114" i="78"/>
  <c r="T115" i="78"/>
  <c r="T116" i="78"/>
  <c r="T117" i="78"/>
  <c r="T118" i="78"/>
  <c r="T119" i="78"/>
  <c r="T120" i="78"/>
  <c r="T121" i="78"/>
  <c r="T122" i="78"/>
  <c r="T123" i="78"/>
  <c r="T124" i="78"/>
  <c r="T125" i="78"/>
  <c r="T126" i="78"/>
  <c r="T127" i="78"/>
  <c r="T128" i="78"/>
  <c r="T129" i="78"/>
  <c r="T130" i="78"/>
  <c r="T131" i="78"/>
  <c r="T132" i="78"/>
  <c r="T133" i="78"/>
  <c r="T134" i="78"/>
  <c r="T135" i="78"/>
  <c r="T136" i="78"/>
  <c r="T137" i="78"/>
  <c r="T138" i="78"/>
  <c r="T139" i="78"/>
  <c r="T140" i="78"/>
  <c r="T141" i="78"/>
  <c r="T142" i="78"/>
  <c r="T143" i="78"/>
  <c r="T144" i="78"/>
  <c r="T145" i="78"/>
  <c r="T146" i="78"/>
  <c r="T147" i="78"/>
  <c r="T148" i="78"/>
  <c r="T149" i="78"/>
  <c r="T150" i="78"/>
  <c r="T151" i="78"/>
  <c r="T152" i="78"/>
  <c r="U6" i="78"/>
  <c r="U7" i="78"/>
  <c r="U8" i="78"/>
  <c r="U9" i="78"/>
  <c r="U10" i="78"/>
  <c r="U11" i="78"/>
  <c r="U12" i="78"/>
  <c r="U13" i="78"/>
  <c r="U14" i="78"/>
  <c r="U15" i="78"/>
  <c r="U16" i="78"/>
  <c r="U17" i="78"/>
  <c r="U18" i="78"/>
  <c r="U19" i="78"/>
  <c r="U20" i="78"/>
  <c r="U21" i="78"/>
  <c r="U22" i="78"/>
  <c r="U23" i="78"/>
  <c r="U24" i="78"/>
  <c r="U25" i="78"/>
  <c r="U26" i="78"/>
  <c r="U27" i="78"/>
  <c r="U28" i="78"/>
  <c r="U29" i="78"/>
  <c r="U30" i="78"/>
  <c r="U31" i="78"/>
  <c r="U32" i="78"/>
  <c r="U33" i="78"/>
  <c r="U34" i="78"/>
  <c r="U35" i="78"/>
  <c r="U36" i="78"/>
  <c r="U37" i="78"/>
  <c r="U38" i="78"/>
  <c r="U39" i="78"/>
  <c r="U40" i="78"/>
  <c r="U41" i="78"/>
  <c r="U42" i="78"/>
  <c r="U43" i="78"/>
  <c r="U44" i="78"/>
  <c r="U45" i="78"/>
  <c r="U46" i="78"/>
  <c r="U47" i="78"/>
  <c r="U48" i="78"/>
  <c r="U49" i="78"/>
  <c r="U50" i="78"/>
  <c r="U51" i="78"/>
  <c r="U52" i="78"/>
  <c r="U53" i="78"/>
  <c r="U54" i="78"/>
  <c r="U55" i="78"/>
  <c r="U56" i="78"/>
  <c r="U57" i="78"/>
  <c r="U58" i="78"/>
  <c r="U59" i="78"/>
  <c r="U60" i="78"/>
  <c r="U61" i="78"/>
  <c r="U62" i="78"/>
  <c r="U63" i="78"/>
  <c r="U64" i="78"/>
  <c r="U65" i="78"/>
  <c r="U66" i="78"/>
  <c r="U67" i="78"/>
  <c r="U68" i="78"/>
  <c r="U69" i="78"/>
  <c r="U70" i="78"/>
  <c r="U71" i="78"/>
  <c r="U72" i="78"/>
  <c r="U73" i="78"/>
  <c r="U74" i="78"/>
  <c r="U75" i="78"/>
  <c r="U76" i="78"/>
  <c r="U77" i="78"/>
  <c r="U78" i="78"/>
  <c r="U79" i="78"/>
  <c r="U80" i="78"/>
  <c r="U81" i="78"/>
  <c r="U82" i="78"/>
  <c r="U83" i="78"/>
  <c r="U84" i="78"/>
  <c r="U85" i="78"/>
  <c r="U86" i="78"/>
  <c r="U87" i="78"/>
  <c r="U88" i="78"/>
  <c r="U89" i="78"/>
  <c r="U90" i="78"/>
  <c r="U91" i="78"/>
  <c r="U92" i="78"/>
  <c r="U93" i="78"/>
  <c r="U94" i="78"/>
  <c r="U95" i="78"/>
  <c r="U96" i="78"/>
  <c r="U97" i="78"/>
  <c r="U98" i="78"/>
  <c r="U99" i="78"/>
  <c r="U100" i="78"/>
  <c r="U101" i="78"/>
  <c r="U102" i="78"/>
  <c r="U103" i="78"/>
  <c r="U104" i="78"/>
  <c r="U105" i="78"/>
  <c r="U106" i="78"/>
  <c r="U107" i="78"/>
  <c r="U108" i="78"/>
  <c r="U109" i="78"/>
  <c r="U110" i="78"/>
  <c r="U111" i="78"/>
  <c r="U112" i="78"/>
  <c r="U113" i="78"/>
  <c r="U114" i="78"/>
  <c r="U115" i="78"/>
  <c r="U116" i="78"/>
  <c r="U117" i="78"/>
  <c r="U118" i="78"/>
  <c r="U119" i="78"/>
  <c r="U120" i="78"/>
  <c r="U121" i="78"/>
  <c r="U122" i="78"/>
  <c r="U123" i="78"/>
  <c r="U124" i="78"/>
  <c r="U125" i="78"/>
  <c r="U126" i="78"/>
  <c r="U127" i="78"/>
  <c r="U128" i="78"/>
  <c r="U129" i="78"/>
  <c r="U130" i="78"/>
  <c r="U131" i="78"/>
  <c r="U132" i="78"/>
  <c r="U133" i="78"/>
  <c r="U134" i="78"/>
  <c r="U135" i="78"/>
  <c r="U136" i="78"/>
  <c r="U137" i="78"/>
  <c r="U138" i="78"/>
  <c r="U139" i="78"/>
  <c r="U140" i="78"/>
  <c r="U141" i="78"/>
  <c r="U142" i="78"/>
  <c r="U143" i="78"/>
  <c r="U144" i="78"/>
  <c r="U145" i="78"/>
  <c r="U146" i="78"/>
  <c r="U147" i="78"/>
  <c r="U148" i="78"/>
  <c r="U149" i="78"/>
  <c r="U150" i="78"/>
  <c r="U151" i="78"/>
  <c r="U152" i="78"/>
  <c r="V6" i="78"/>
  <c r="V7" i="78"/>
  <c r="V8" i="78"/>
  <c r="V9" i="78"/>
  <c r="V10" i="78"/>
  <c r="V11" i="78"/>
  <c r="V12" i="78"/>
  <c r="V13" i="78"/>
  <c r="V14" i="78"/>
  <c r="V15" i="78"/>
  <c r="V16" i="78"/>
  <c r="V17" i="78"/>
  <c r="V18" i="78"/>
  <c r="V19" i="78"/>
  <c r="V20" i="78"/>
  <c r="V21" i="78"/>
  <c r="V22" i="78"/>
  <c r="V23" i="78"/>
  <c r="V24" i="78"/>
  <c r="V25" i="78"/>
  <c r="V26" i="78"/>
  <c r="V27" i="78"/>
  <c r="V28" i="78"/>
  <c r="V29" i="78"/>
  <c r="V30" i="78"/>
  <c r="V31" i="78"/>
  <c r="V32" i="78"/>
  <c r="V33" i="78"/>
  <c r="V34" i="78"/>
  <c r="V35" i="78"/>
  <c r="V36" i="78"/>
  <c r="V37" i="78"/>
  <c r="V38" i="78"/>
  <c r="V39" i="78"/>
  <c r="V40" i="78"/>
  <c r="V41" i="78"/>
  <c r="V42" i="78"/>
  <c r="V43" i="78"/>
  <c r="V44" i="78"/>
  <c r="V45" i="78"/>
  <c r="V46" i="78"/>
  <c r="V47" i="78"/>
  <c r="V48" i="78"/>
  <c r="V49" i="78"/>
  <c r="V50" i="78"/>
  <c r="V51" i="78"/>
  <c r="V52" i="78"/>
  <c r="V53" i="78"/>
  <c r="V54" i="78"/>
  <c r="V55" i="78"/>
  <c r="V56" i="78"/>
  <c r="V57" i="78"/>
  <c r="V58" i="78"/>
  <c r="V59" i="78"/>
  <c r="V60" i="78"/>
  <c r="V61" i="78"/>
  <c r="V62" i="78"/>
  <c r="V63" i="78"/>
  <c r="V64" i="78"/>
  <c r="V65" i="78"/>
  <c r="V66" i="78"/>
  <c r="V67" i="78"/>
  <c r="V68" i="78"/>
  <c r="V69" i="78"/>
  <c r="V70" i="78"/>
  <c r="V71" i="78"/>
  <c r="V72" i="78"/>
  <c r="V73" i="78"/>
  <c r="V74" i="78"/>
  <c r="V75" i="78"/>
  <c r="V76" i="78"/>
  <c r="V77" i="78"/>
  <c r="V78" i="78"/>
  <c r="V79" i="78"/>
  <c r="V80" i="78"/>
  <c r="V81" i="78"/>
  <c r="V82" i="78"/>
  <c r="V83" i="78"/>
  <c r="V84" i="78"/>
  <c r="V85" i="78"/>
  <c r="V86" i="78"/>
  <c r="V87" i="78"/>
  <c r="V88" i="78"/>
  <c r="V89" i="78"/>
  <c r="V90" i="78"/>
  <c r="V91" i="78"/>
  <c r="V92" i="78"/>
  <c r="V93" i="78"/>
  <c r="V94" i="78"/>
  <c r="V95" i="78"/>
  <c r="V96" i="78"/>
  <c r="V97" i="78"/>
  <c r="V98" i="78"/>
  <c r="V99" i="78"/>
  <c r="V100" i="78"/>
  <c r="V101" i="78"/>
  <c r="V102" i="78"/>
  <c r="V103" i="78"/>
  <c r="V104" i="78"/>
  <c r="V105" i="78"/>
  <c r="V106" i="78"/>
  <c r="V107" i="78"/>
  <c r="V108" i="78"/>
  <c r="V109" i="78"/>
  <c r="V110" i="78"/>
  <c r="V111" i="78"/>
  <c r="V112" i="78"/>
  <c r="V113" i="78"/>
  <c r="V114" i="78"/>
  <c r="V115" i="78"/>
  <c r="V116" i="78"/>
  <c r="V117" i="78"/>
  <c r="V118" i="78"/>
  <c r="V119" i="78"/>
  <c r="V120" i="78"/>
  <c r="V121" i="78"/>
  <c r="V122" i="78"/>
  <c r="V123" i="78"/>
  <c r="V124" i="78"/>
  <c r="V125" i="78"/>
  <c r="V126" i="78"/>
  <c r="V127" i="78"/>
  <c r="V128" i="78"/>
  <c r="V129" i="78"/>
  <c r="V130" i="78"/>
  <c r="V131" i="78"/>
  <c r="V132" i="78"/>
  <c r="V133" i="78"/>
  <c r="V134" i="78"/>
  <c r="V135" i="78"/>
  <c r="V136" i="78"/>
  <c r="V137" i="78"/>
  <c r="V138" i="78"/>
  <c r="V139" i="78"/>
  <c r="V140" i="78"/>
  <c r="V141" i="78"/>
  <c r="V142" i="78"/>
  <c r="V143" i="78"/>
  <c r="V144" i="78"/>
  <c r="V145" i="78"/>
  <c r="V146" i="78"/>
  <c r="V147" i="78"/>
  <c r="V148" i="78"/>
  <c r="V149" i="78"/>
  <c r="V150" i="78"/>
  <c r="V151" i="78"/>
  <c r="V152" i="78"/>
  <c r="E45" i="57"/>
  <c r="K26" i="57"/>
  <c r="J28" i="57"/>
  <c r="J29" i="57"/>
  <c r="J30" i="57"/>
  <c r="J31" i="57"/>
  <c r="J32" i="57"/>
  <c r="J33" i="57"/>
  <c r="J34" i="57"/>
  <c r="J35" i="57"/>
  <c r="J36" i="57"/>
  <c r="J37" i="57"/>
  <c r="J38" i="57"/>
  <c r="J27" i="57"/>
  <c r="J26" i="57"/>
  <c r="F36" i="57"/>
  <c r="F37" i="57"/>
  <c r="F38" i="57"/>
  <c r="G2" i="67"/>
  <c r="G3" i="67"/>
  <c r="G4" i="67"/>
  <c r="G5" i="67"/>
  <c r="G6" i="67"/>
  <c r="G7" i="67"/>
  <c r="G8" i="67"/>
  <c r="G9" i="67"/>
  <c r="G10" i="67"/>
  <c r="G11" i="67"/>
  <c r="G12" i="67"/>
  <c r="G13" i="67"/>
  <c r="G14" i="67"/>
  <c r="G15" i="67"/>
  <c r="G16" i="67"/>
  <c r="G17" i="67"/>
  <c r="G18" i="67"/>
  <c r="G19" i="67"/>
  <c r="G20" i="67"/>
  <c r="G21" i="67"/>
  <c r="G22" i="67"/>
  <c r="G23" i="67"/>
  <c r="G24" i="67"/>
  <c r="G25" i="67"/>
  <c r="G26" i="67"/>
  <c r="G27" i="67"/>
  <c r="G28" i="67"/>
  <c r="G29" i="67"/>
  <c r="G30" i="67"/>
  <c r="G31" i="67"/>
  <c r="G32" i="67"/>
  <c r="G33" i="67"/>
  <c r="G34" i="67"/>
  <c r="G35" i="67"/>
  <c r="G36" i="67"/>
  <c r="G37" i="67"/>
  <c r="G38" i="67"/>
  <c r="G39" i="67"/>
  <c r="G40" i="67"/>
  <c r="G41" i="67"/>
  <c r="G42" i="67"/>
  <c r="G43" i="67"/>
  <c r="G44" i="67"/>
  <c r="G45" i="67"/>
  <c r="G46" i="67"/>
  <c r="G47" i="67"/>
  <c r="G48" i="67"/>
  <c r="G49" i="67"/>
  <c r="G50" i="67"/>
  <c r="G51" i="67"/>
  <c r="G52" i="67"/>
  <c r="G53" i="67"/>
  <c r="G54" i="67"/>
  <c r="G55" i="67"/>
  <c r="G56" i="67"/>
  <c r="G57" i="67"/>
  <c r="G58" i="67"/>
  <c r="G59" i="67"/>
  <c r="G60" i="67"/>
  <c r="G61" i="67"/>
  <c r="G62" i="67"/>
  <c r="G63" i="67"/>
  <c r="G64" i="67"/>
  <c r="G65" i="67"/>
  <c r="G66" i="67"/>
  <c r="G67" i="67"/>
  <c r="G68" i="67"/>
  <c r="G69" i="67"/>
  <c r="G70" i="67"/>
  <c r="G71" i="67"/>
  <c r="G72" i="67"/>
  <c r="G73" i="67"/>
  <c r="G74" i="67"/>
  <c r="G75" i="67"/>
  <c r="G76" i="67"/>
  <c r="G77" i="67"/>
  <c r="G78" i="67"/>
  <c r="G79" i="67"/>
  <c r="G80" i="67"/>
  <c r="G81" i="67"/>
  <c r="G82" i="67"/>
  <c r="G83" i="67"/>
  <c r="G84" i="67"/>
  <c r="G85" i="67"/>
  <c r="G86" i="67"/>
  <c r="G87" i="67"/>
  <c r="G88" i="67"/>
  <c r="G89" i="67"/>
  <c r="G90" i="67"/>
  <c r="G91" i="67"/>
  <c r="G92" i="67"/>
  <c r="G93" i="67"/>
  <c r="G94" i="67"/>
  <c r="G95" i="67"/>
  <c r="G96" i="67"/>
  <c r="G97" i="67"/>
  <c r="DD6" i="1"/>
  <c r="DD7" i="1"/>
  <c r="DD8" i="1"/>
  <c r="DD9" i="1"/>
  <c r="DD10" i="1"/>
  <c r="DD11" i="1"/>
  <c r="DD12" i="1"/>
  <c r="DD13" i="1"/>
  <c r="DD14" i="1"/>
  <c r="DD15" i="1"/>
  <c r="DD16" i="1"/>
  <c r="DD17" i="1"/>
  <c r="DD18" i="1"/>
  <c r="DD19" i="1"/>
  <c r="DD20" i="1"/>
  <c r="DD21" i="1"/>
  <c r="DD22" i="1"/>
  <c r="DD23" i="1"/>
  <c r="DD24" i="1"/>
  <c r="DD25" i="1"/>
  <c r="DD26" i="1"/>
  <c r="DD27" i="1"/>
  <c r="DD28" i="1"/>
  <c r="DD29" i="1"/>
  <c r="DD30" i="1"/>
  <c r="DD31" i="1"/>
  <c r="DD32" i="1"/>
  <c r="DD33" i="1"/>
  <c r="DD34" i="1"/>
  <c r="DD35" i="1"/>
  <c r="DD36" i="1"/>
  <c r="DD37" i="1"/>
  <c r="DD38" i="1"/>
  <c r="DD39" i="1"/>
  <c r="DD40" i="1"/>
  <c r="DD41" i="1"/>
  <c r="DD42" i="1"/>
  <c r="DD43" i="1"/>
  <c r="DD44" i="1"/>
  <c r="DD45" i="1"/>
  <c r="DD46" i="1"/>
  <c r="DD47" i="1"/>
  <c r="DD48" i="1"/>
  <c r="DD49" i="1"/>
  <c r="DD50" i="1"/>
  <c r="DD51" i="1"/>
  <c r="DD52" i="1"/>
  <c r="DD53" i="1"/>
  <c r="DD54" i="1"/>
  <c r="DD55" i="1"/>
  <c r="DD56" i="1"/>
  <c r="DD57" i="1"/>
  <c r="DD58" i="1"/>
  <c r="DD59" i="1"/>
  <c r="DD60" i="1"/>
  <c r="DD61" i="1"/>
  <c r="DD62" i="1"/>
  <c r="DD63" i="1"/>
  <c r="DD64" i="1"/>
  <c r="DD65" i="1"/>
  <c r="DD66" i="1"/>
  <c r="DD67" i="1"/>
  <c r="DD68" i="1"/>
  <c r="DD69" i="1"/>
  <c r="DD70" i="1"/>
  <c r="DD71" i="1"/>
  <c r="DD72" i="1"/>
  <c r="DD73" i="1"/>
  <c r="DD74" i="1"/>
  <c r="DD75" i="1"/>
  <c r="DD76" i="1"/>
  <c r="DD77" i="1"/>
  <c r="DD78" i="1"/>
  <c r="DD79" i="1"/>
  <c r="DD80" i="1"/>
  <c r="DD81" i="1"/>
  <c r="DD82" i="1"/>
  <c r="DD83" i="1"/>
  <c r="DD84" i="1"/>
  <c r="DD85" i="1"/>
  <c r="DD86" i="1"/>
  <c r="DD87" i="1"/>
  <c r="DD88" i="1"/>
  <c r="DD89" i="1"/>
  <c r="DD90" i="1"/>
  <c r="DD91" i="1"/>
  <c r="DD92" i="1"/>
  <c r="DD93" i="1"/>
  <c r="DD94" i="1"/>
  <c r="DD95" i="1"/>
  <c r="DD96" i="1"/>
  <c r="DD97" i="1"/>
  <c r="DD98" i="1"/>
  <c r="DD99" i="1"/>
  <c r="DD100" i="1"/>
  <c r="DD101" i="1"/>
  <c r="DD102" i="1"/>
  <c r="DD103" i="1"/>
  <c r="DD104" i="1"/>
  <c r="DD105" i="1"/>
  <c r="DD106" i="1"/>
  <c r="DD107" i="1"/>
  <c r="DD108" i="1"/>
  <c r="DD109" i="1"/>
  <c r="DD110" i="1"/>
  <c r="DD111" i="1"/>
  <c r="DD112" i="1"/>
  <c r="DD113" i="1"/>
  <c r="DD114" i="1"/>
  <c r="DD115" i="1"/>
  <c r="DD116" i="1"/>
  <c r="DD117" i="1"/>
  <c r="DD118" i="1"/>
  <c r="DD119" i="1"/>
  <c r="DD120" i="1"/>
  <c r="DD121" i="1"/>
  <c r="DD122" i="1"/>
  <c r="DD123" i="1"/>
  <c r="DD124" i="1"/>
  <c r="DD125" i="1"/>
  <c r="DD126" i="1"/>
  <c r="DD127" i="1"/>
  <c r="DD128" i="1"/>
  <c r="DD129" i="1"/>
  <c r="DD130" i="1"/>
  <c r="DD131" i="1"/>
  <c r="DD132" i="1"/>
  <c r="DD133" i="1"/>
  <c r="DD134" i="1"/>
  <c r="DD135" i="1"/>
  <c r="DD136" i="1"/>
  <c r="DD137" i="1"/>
  <c r="DD138" i="1"/>
  <c r="DD139" i="1"/>
  <c r="DD140" i="1"/>
  <c r="DD141" i="1"/>
  <c r="DD142" i="1"/>
  <c r="DD143" i="1"/>
  <c r="DD144" i="1"/>
  <c r="DD145" i="1"/>
  <c r="DD146" i="1"/>
  <c r="DD147" i="1"/>
  <c r="DD148" i="1"/>
  <c r="DD149" i="1"/>
  <c r="DD150" i="1"/>
  <c r="DD151" i="1"/>
  <c r="DD152" i="1"/>
  <c r="DD153" i="1"/>
  <c r="DD154" i="1"/>
  <c r="DD155" i="1"/>
  <c r="DD156" i="1"/>
  <c r="DD157" i="1"/>
  <c r="DD158" i="1"/>
  <c r="DD159" i="1"/>
  <c r="DD160" i="1"/>
  <c r="DD161" i="1"/>
  <c r="DD162" i="1"/>
  <c r="DD163" i="1"/>
  <c r="DD164" i="1"/>
  <c r="DD165" i="1"/>
  <c r="DD166" i="1"/>
  <c r="DD167" i="1"/>
  <c r="DD168" i="1"/>
  <c r="DD169" i="1"/>
  <c r="DD170" i="1"/>
  <c r="DD171" i="1"/>
  <c r="DD172" i="1"/>
  <c r="DD173" i="1"/>
  <c r="DD174" i="1"/>
  <c r="DD175" i="1"/>
  <c r="DD176" i="1"/>
  <c r="DD177" i="1"/>
  <c r="DD178" i="1"/>
  <c r="DD179" i="1"/>
  <c r="DD180" i="1"/>
  <c r="DD181" i="1"/>
  <c r="DD182" i="1"/>
  <c r="DD183" i="1"/>
  <c r="DD184" i="1"/>
  <c r="E7" i="76" a="1"/>
  <c r="E7" i="76" s="1"/>
  <c r="E8" i="76" a="1"/>
  <c r="E8" i="76" s="1"/>
  <c r="E9" i="76" a="1"/>
  <c r="E9" i="76" s="1"/>
  <c r="A183" i="76" a="1"/>
  <c r="A183" i="76" s="1"/>
  <c r="A184" i="76" a="1"/>
  <c r="A184" i="76" s="1"/>
  <c r="A185" i="76" a="1"/>
  <c r="A185" i="76" s="1"/>
  <c r="A186" i="76" a="1"/>
  <c r="A186" i="76" s="1"/>
  <c r="A187" i="76" a="1"/>
  <c r="A187" i="76" s="1"/>
  <c r="A188" i="76" a="1"/>
  <c r="A188" i="76" s="1"/>
  <c r="A189" i="76" a="1"/>
  <c r="A189" i="76" s="1"/>
  <c r="A190" i="76" a="1"/>
  <c r="A190" i="76" s="1"/>
  <c r="A191" i="76" a="1"/>
  <c r="A191" i="76" s="1"/>
  <c r="A192" i="76" a="1"/>
  <c r="A192" i="76" s="1"/>
  <c r="A193" i="76" a="1"/>
  <c r="A193" i="76" s="1"/>
  <c r="A194" i="76" a="1"/>
  <c r="A194" i="76" s="1"/>
  <c r="A195" i="76" a="1"/>
  <c r="A195" i="76" s="1"/>
  <c r="A196" i="76" a="1"/>
  <c r="A196" i="76" s="1"/>
  <c r="E183" i="76" a="1"/>
  <c r="E183" i="76" s="1"/>
  <c r="F183" i="76" a="1"/>
  <c r="F183" i="76" s="1"/>
  <c r="E184" i="76" a="1"/>
  <c r="E184" i="76" s="1"/>
  <c r="F184" i="76" a="1"/>
  <c r="F184" i="76" s="1"/>
  <c r="E185" i="76" a="1"/>
  <c r="E185" i="76" s="1"/>
  <c r="F185" i="76" a="1"/>
  <c r="F185" i="76" s="1"/>
  <c r="E186" i="76" a="1"/>
  <c r="E186" i="76" s="1"/>
  <c r="F186" i="76" a="1"/>
  <c r="F186" i="76" s="1"/>
  <c r="E187" i="76" a="1"/>
  <c r="E187" i="76" s="1"/>
  <c r="F187" i="76" a="1"/>
  <c r="F187" i="76" s="1"/>
  <c r="E188" i="76" a="1"/>
  <c r="E188" i="76" s="1"/>
  <c r="F188" i="76" a="1"/>
  <c r="F188" i="76" s="1"/>
  <c r="E189" i="76" a="1"/>
  <c r="E189" i="76" s="1"/>
  <c r="F189" i="76" a="1"/>
  <c r="F189" i="76" s="1"/>
  <c r="E190" i="76" a="1"/>
  <c r="E190" i="76" s="1"/>
  <c r="F190" i="76" a="1"/>
  <c r="F190" i="76" s="1"/>
  <c r="E191" i="76" a="1"/>
  <c r="E191" i="76" s="1"/>
  <c r="F191" i="76" a="1"/>
  <c r="F191" i="76" s="1"/>
  <c r="E192" i="76" a="1"/>
  <c r="E192" i="76" s="1"/>
  <c r="F192" i="76" a="1"/>
  <c r="F192" i="76" s="1"/>
  <c r="E193" i="76" a="1"/>
  <c r="E193" i="76" s="1"/>
  <c r="F193" i="76" a="1"/>
  <c r="F193" i="76" s="1"/>
  <c r="E194" i="76" a="1"/>
  <c r="E194" i="76" s="1"/>
  <c r="F194" i="76" a="1"/>
  <c r="F194" i="76" s="1"/>
  <c r="E195" i="76" a="1"/>
  <c r="E195" i="76" s="1"/>
  <c r="F195" i="76" a="1"/>
  <c r="F195" i="76" s="1"/>
  <c r="E196" i="76" a="1"/>
  <c r="E196" i="76" s="1"/>
  <c r="F196" i="76" a="1"/>
  <c r="F196" i="76" s="1"/>
  <c r="E197" i="76" a="1"/>
  <c r="E197" i="76" s="1"/>
  <c r="F197" i="76" a="1"/>
  <c r="F197" i="76" s="1"/>
  <c r="E198" i="76" a="1"/>
  <c r="E198" i="76" s="1"/>
  <c r="F198" i="76" a="1"/>
  <c r="F198" i="76" s="1"/>
  <c r="E199" i="76" a="1"/>
  <c r="E199" i="76" s="1"/>
  <c r="F199" i="76" a="1"/>
  <c r="F199" i="76" s="1"/>
  <c r="E200" i="76" a="1"/>
  <c r="E200" i="76" s="1"/>
  <c r="F200" i="76" a="1"/>
  <c r="F200" i="76" s="1"/>
  <c r="E201" i="76" a="1"/>
  <c r="E201" i="76" s="1"/>
  <c r="F201" i="76" a="1"/>
  <c r="F201" i="76" s="1"/>
  <c r="E202" i="76" a="1"/>
  <c r="E202" i="76" s="1"/>
  <c r="F202" i="76" a="1"/>
  <c r="F202" i="76" s="1"/>
  <c r="E203" i="76" a="1"/>
  <c r="E203" i="76" s="1"/>
  <c r="F203" i="76" a="1"/>
  <c r="F203" i="76" s="1"/>
  <c r="E204" i="76" a="1"/>
  <c r="E204" i="76" s="1"/>
  <c r="F204" i="76" a="1"/>
  <c r="F204" i="76" s="1"/>
  <c r="E205" i="76" a="1"/>
  <c r="E205" i="76" s="1"/>
  <c r="F205" i="76" a="1"/>
  <c r="F205" i="76" s="1"/>
  <c r="E206" i="76" a="1"/>
  <c r="E206" i="76" s="1"/>
  <c r="F206" i="76" a="1"/>
  <c r="F206" i="76" s="1"/>
  <c r="E207" i="76" a="1"/>
  <c r="E207" i="76" s="1"/>
  <c r="F207" i="76" a="1"/>
  <c r="F207" i="76" s="1"/>
  <c r="E208" i="76" a="1"/>
  <c r="E208" i="76" s="1"/>
  <c r="F208" i="76" a="1"/>
  <c r="F208" i="76" s="1"/>
  <c r="E209" i="76" a="1"/>
  <c r="E209" i="76" s="1"/>
  <c r="F209" i="76" a="1"/>
  <c r="F209" i="76" s="1"/>
  <c r="E210" i="76" a="1"/>
  <c r="E210" i="76" s="1"/>
  <c r="F210" i="76" a="1"/>
  <c r="F210" i="76" s="1"/>
  <c r="E211" i="76" a="1"/>
  <c r="E211" i="76" s="1"/>
  <c r="F211" i="76" a="1"/>
  <c r="F211" i="76" s="1"/>
  <c r="E212" i="76" a="1"/>
  <c r="E212" i="76" s="1"/>
  <c r="F212" i="76" a="1"/>
  <c r="F212" i="76" s="1"/>
  <c r="E213" i="76" a="1"/>
  <c r="E213" i="76" s="1"/>
  <c r="F213" i="76" a="1"/>
  <c r="F213" i="76" s="1"/>
  <c r="E214" i="76" a="1"/>
  <c r="E214" i="76" s="1"/>
  <c r="F214" i="76" a="1"/>
  <c r="F214" i="76" s="1"/>
  <c r="E215" i="76" a="1"/>
  <c r="E215" i="76" s="1"/>
  <c r="F215" i="76" a="1"/>
  <c r="F215" i="76" s="1"/>
  <c r="E216" i="76" a="1"/>
  <c r="E216" i="76" s="1"/>
  <c r="F216" i="76" a="1"/>
  <c r="F216" i="76" s="1"/>
  <c r="E217" i="76" a="1"/>
  <c r="E217" i="76" s="1"/>
  <c r="F217" i="76" a="1"/>
  <c r="F217" i="76" s="1"/>
  <c r="E218" i="76" a="1"/>
  <c r="E218" i="76" s="1"/>
  <c r="F218" i="76" a="1"/>
  <c r="F218" i="76" s="1"/>
  <c r="E219" i="76" a="1"/>
  <c r="E219" i="76" s="1"/>
  <c r="F219" i="76" a="1"/>
  <c r="F219" i="76" s="1"/>
  <c r="E220" i="76" a="1"/>
  <c r="E220" i="76" s="1"/>
  <c r="F220" i="76" a="1"/>
  <c r="F220" i="76" s="1"/>
  <c r="E221" i="76" a="1"/>
  <c r="E221" i="76" s="1"/>
  <c r="F221" i="76" a="1"/>
  <c r="F221" i="76" s="1"/>
  <c r="E222" i="76" a="1"/>
  <c r="E222" i="76" s="1"/>
  <c r="F222" i="76" a="1"/>
  <c r="F222" i="76" s="1"/>
  <c r="E223" i="76" a="1"/>
  <c r="E223" i="76" s="1"/>
  <c r="F223" i="76" a="1"/>
  <c r="F223" i="76" s="1"/>
  <c r="E224" i="76" a="1"/>
  <c r="E224" i="76" s="1"/>
  <c r="F224" i="76" a="1"/>
  <c r="F224" i="76" s="1"/>
  <c r="E225" i="76" a="1"/>
  <c r="E225" i="76" s="1"/>
  <c r="F225" i="76" a="1"/>
  <c r="F225" i="76" s="1"/>
  <c r="E226" i="76" a="1"/>
  <c r="E226" i="76" s="1"/>
  <c r="F226" i="76" a="1"/>
  <c r="F226" i="76" s="1"/>
  <c r="E227" i="76" a="1"/>
  <c r="E227" i="76" s="1"/>
  <c r="F227" i="76" a="1"/>
  <c r="F227" i="76" s="1"/>
  <c r="E228" i="76" a="1"/>
  <c r="E228" i="76" s="1"/>
  <c r="F228" i="76" a="1"/>
  <c r="F228" i="76" s="1"/>
  <c r="E229" i="76" a="1"/>
  <c r="E229" i="76" s="1"/>
  <c r="F229" i="76" a="1"/>
  <c r="F229" i="76" s="1"/>
  <c r="E230" i="76" a="1"/>
  <c r="E230" i="76" s="1"/>
  <c r="F230" i="76" a="1"/>
  <c r="F230" i="76" s="1"/>
  <c r="E231" i="76" a="1"/>
  <c r="E231" i="76" s="1"/>
  <c r="F231" i="76" a="1"/>
  <c r="F231" i="76" s="1"/>
  <c r="E232" i="76" a="1"/>
  <c r="E232" i="76" s="1"/>
  <c r="F232" i="76" a="1"/>
  <c r="F232" i="76" s="1"/>
  <c r="E233" i="76" a="1"/>
  <c r="E233" i="76" s="1"/>
  <c r="F233" i="76" a="1"/>
  <c r="F233" i="76" s="1"/>
  <c r="E234" i="76" a="1"/>
  <c r="E234" i="76" s="1"/>
  <c r="F234" i="76" a="1"/>
  <c r="F234" i="76" s="1"/>
  <c r="E235" i="76" a="1"/>
  <c r="E235" i="76" s="1"/>
  <c r="F235" i="76" a="1"/>
  <c r="F235" i="76" s="1"/>
  <c r="E236" i="76" a="1"/>
  <c r="E236" i="76" s="1"/>
  <c r="F236" i="76" a="1"/>
  <c r="F236" i="76" s="1"/>
  <c r="E237" i="76" a="1"/>
  <c r="E237" i="76" s="1"/>
  <c r="F237" i="76" a="1"/>
  <c r="F237" i="76" s="1"/>
  <c r="E238" i="76" a="1"/>
  <c r="E238" i="76" s="1"/>
  <c r="F238" i="76" a="1"/>
  <c r="F238" i="76" s="1"/>
  <c r="E239" i="76" a="1"/>
  <c r="E239" i="76" s="1"/>
  <c r="F239" i="76" a="1"/>
  <c r="F239" i="76" s="1"/>
  <c r="E240" i="76" a="1"/>
  <c r="E240" i="76" s="1"/>
  <c r="F240" i="76" a="1"/>
  <c r="F240" i="76" s="1"/>
  <c r="E241" i="76" a="1"/>
  <c r="E241" i="76" s="1"/>
  <c r="F241" i="76" a="1"/>
  <c r="F241" i="76" s="1"/>
  <c r="E242" i="76" a="1"/>
  <c r="E242" i="76" s="1"/>
  <c r="F242" i="76" a="1"/>
  <c r="F242" i="76" s="1"/>
  <c r="E243" i="76" a="1"/>
  <c r="E243" i="76" s="1"/>
  <c r="F243" i="76" a="1"/>
  <c r="F243" i="76" s="1"/>
  <c r="E244" i="76" a="1"/>
  <c r="E244" i="76" s="1"/>
  <c r="F244" i="76" a="1"/>
  <c r="F244" i="76" s="1"/>
  <c r="E245" i="76" a="1"/>
  <c r="E245" i="76" s="1"/>
  <c r="F245" i="76" a="1"/>
  <c r="F245" i="76" s="1"/>
  <c r="E246" i="76" a="1"/>
  <c r="E246" i="76" s="1"/>
  <c r="F246" i="76" a="1"/>
  <c r="F246" i="76" s="1"/>
  <c r="E247" i="76" a="1"/>
  <c r="E247" i="76" s="1"/>
  <c r="F247" i="76" a="1"/>
  <c r="F247" i="76" s="1"/>
  <c r="E248" i="76" a="1"/>
  <c r="E248" i="76" s="1"/>
  <c r="F248" i="76" a="1"/>
  <c r="F248" i="76" s="1"/>
  <c r="E249" i="76" a="1"/>
  <c r="E249" i="76" s="1"/>
  <c r="F249" i="76" a="1"/>
  <c r="F249" i="76" s="1"/>
  <c r="E250" i="76" a="1"/>
  <c r="E250" i="76" s="1"/>
  <c r="F250" i="76" a="1"/>
  <c r="F250" i="76" s="1"/>
  <c r="E251" i="76" a="1"/>
  <c r="E251" i="76" s="1"/>
  <c r="F251" i="76" a="1"/>
  <c r="F251" i="76" s="1"/>
  <c r="E252" i="76" a="1"/>
  <c r="E252" i="76" s="1"/>
  <c r="F252" i="76" a="1"/>
  <c r="F252" i="76" s="1"/>
  <c r="E253" i="76" a="1"/>
  <c r="E253" i="76" s="1"/>
  <c r="F253" i="76" a="1"/>
  <c r="F253" i="76" s="1"/>
  <c r="E254" i="76" a="1"/>
  <c r="E254" i="76" s="1"/>
  <c r="F254" i="76" a="1"/>
  <c r="F254" i="76" s="1"/>
  <c r="E255" i="76" a="1"/>
  <c r="E255" i="76" s="1"/>
  <c r="F255" i="76" a="1"/>
  <c r="F255" i="76" s="1"/>
  <c r="E256" i="76" a="1"/>
  <c r="E256" i="76" s="1"/>
  <c r="F256" i="76" a="1"/>
  <c r="F256" i="76" s="1"/>
  <c r="E257" i="76" a="1"/>
  <c r="E257" i="76" s="1"/>
  <c r="F257" i="76" a="1"/>
  <c r="F257" i="76" s="1"/>
  <c r="E258" i="76" a="1"/>
  <c r="E258" i="76" s="1"/>
  <c r="F258" i="76" a="1"/>
  <c r="F258" i="76" s="1"/>
  <c r="E259" i="76" a="1"/>
  <c r="E259" i="76" s="1"/>
  <c r="F259" i="76" a="1"/>
  <c r="F259" i="76" s="1"/>
  <c r="E260" i="76" a="1"/>
  <c r="E260" i="76" s="1"/>
  <c r="F260" i="76" a="1"/>
  <c r="F260" i="76" s="1"/>
  <c r="E261" i="76" a="1"/>
  <c r="E261" i="76" s="1"/>
  <c r="F261" i="76" a="1"/>
  <c r="F261" i="76" s="1"/>
  <c r="E262" i="76" a="1"/>
  <c r="E262" i="76" s="1"/>
  <c r="F262" i="76" a="1"/>
  <c r="F262" i="76" s="1"/>
  <c r="E263" i="76" a="1"/>
  <c r="E263" i="76" s="1"/>
  <c r="F263" i="76" a="1"/>
  <c r="F263" i="76" s="1"/>
  <c r="E264" i="76" a="1"/>
  <c r="E264" i="76" s="1"/>
  <c r="F264" i="76" a="1"/>
  <c r="F264" i="76" s="1"/>
  <c r="E265" i="76" a="1"/>
  <c r="E265" i="76" s="1"/>
  <c r="F265" i="76" a="1"/>
  <c r="F265" i="76" s="1"/>
  <c r="E266" i="76" a="1"/>
  <c r="E266" i="76" s="1"/>
  <c r="F266" i="76" a="1"/>
  <c r="F266" i="76" s="1"/>
  <c r="E267" i="76" a="1"/>
  <c r="E267" i="76" s="1"/>
  <c r="F267" i="76" a="1"/>
  <c r="F267" i="76" s="1"/>
  <c r="E268" i="76" a="1"/>
  <c r="E268" i="76" s="1"/>
  <c r="F268" i="76" a="1"/>
  <c r="F268" i="76" s="1"/>
  <c r="E269" i="76" a="1"/>
  <c r="E269" i="76" s="1"/>
  <c r="F269" i="76" a="1"/>
  <c r="F269" i="76" s="1"/>
  <c r="E270" i="76" a="1"/>
  <c r="E270" i="76" s="1"/>
  <c r="F270" i="76" a="1"/>
  <c r="F270" i="76" s="1"/>
  <c r="E271" i="76" a="1"/>
  <c r="E271" i="76" s="1"/>
  <c r="F271" i="76" a="1"/>
  <c r="F271" i="76" s="1"/>
  <c r="E272" i="76" a="1"/>
  <c r="E272" i="76" s="1"/>
  <c r="F272" i="76" a="1"/>
  <c r="F272" i="76" s="1"/>
  <c r="E273" i="76" a="1"/>
  <c r="E273" i="76" s="1"/>
  <c r="F273" i="76" a="1"/>
  <c r="F273" i="76" s="1"/>
  <c r="E274" i="76" a="1"/>
  <c r="E274" i="76" s="1"/>
  <c r="F274" i="76" a="1"/>
  <c r="F274" i="76" s="1"/>
  <c r="E275" i="76" a="1"/>
  <c r="E275" i="76" s="1"/>
  <c r="F275" i="76" a="1"/>
  <c r="F275" i="76" s="1"/>
  <c r="E276" i="76" a="1"/>
  <c r="E276" i="76" s="1"/>
  <c r="F276" i="76" a="1"/>
  <c r="F276" i="76" s="1"/>
  <c r="E277" i="76" a="1"/>
  <c r="E277" i="76" s="1"/>
  <c r="F277" i="76" a="1"/>
  <c r="F277" i="76" s="1"/>
  <c r="E278" i="76" a="1"/>
  <c r="E278" i="76" s="1"/>
  <c r="F278" i="76" a="1"/>
  <c r="F278" i="76" s="1"/>
  <c r="E279" i="76" a="1"/>
  <c r="E279" i="76" s="1"/>
  <c r="F279" i="76" a="1"/>
  <c r="F279" i="76" s="1"/>
  <c r="E280" i="76" a="1"/>
  <c r="E280" i="76" s="1"/>
  <c r="F280" i="76" a="1"/>
  <c r="F280" i="76" s="1"/>
  <c r="E281" i="76" a="1"/>
  <c r="E281" i="76" s="1"/>
  <c r="F281" i="76" a="1"/>
  <c r="F281" i="76" s="1"/>
  <c r="E282" i="76" a="1"/>
  <c r="E282" i="76" s="1"/>
  <c r="F282" i="76" a="1"/>
  <c r="F282" i="76" s="1"/>
  <c r="E283" i="76" a="1"/>
  <c r="E283" i="76" s="1"/>
  <c r="F283" i="76" a="1"/>
  <c r="F283" i="76" s="1"/>
  <c r="E284" i="76" a="1"/>
  <c r="E284" i="76" s="1"/>
  <c r="F284" i="76" a="1"/>
  <c r="F284" i="76" s="1"/>
  <c r="E285" i="76" a="1"/>
  <c r="E285" i="76" s="1"/>
  <c r="F285" i="76" a="1"/>
  <c r="F285" i="76" s="1"/>
  <c r="E286" i="76" a="1"/>
  <c r="E286" i="76" s="1"/>
  <c r="F286" i="76" a="1"/>
  <c r="F286" i="76" s="1"/>
  <c r="E287" i="76" a="1"/>
  <c r="E287" i="76" s="1"/>
  <c r="F287" i="76" a="1"/>
  <c r="F287" i="76" s="1"/>
  <c r="E288" i="76" a="1"/>
  <c r="E288" i="76" s="1"/>
  <c r="F288" i="76" a="1"/>
  <c r="F288" i="76" s="1"/>
  <c r="E289" i="76" a="1"/>
  <c r="E289" i="76" s="1"/>
  <c r="F289" i="76" a="1"/>
  <c r="F289" i="76" s="1"/>
  <c r="E290" i="76" a="1"/>
  <c r="E290" i="76" s="1"/>
  <c r="F290" i="76" a="1"/>
  <c r="F290" i="76" s="1"/>
  <c r="E291" i="76" a="1"/>
  <c r="E291" i="76" s="1"/>
  <c r="F291" i="76" a="1"/>
  <c r="F291" i="76" s="1"/>
  <c r="E292" i="76" a="1"/>
  <c r="E292" i="76" s="1"/>
  <c r="F292" i="76" a="1"/>
  <c r="F292" i="76" s="1"/>
  <c r="E293" i="76" a="1"/>
  <c r="E293" i="76" s="1"/>
  <c r="F293" i="76" a="1"/>
  <c r="F293" i="76" s="1"/>
  <c r="E294" i="76" a="1"/>
  <c r="E294" i="76" s="1"/>
  <c r="F294" i="76" a="1"/>
  <c r="F294" i="76" s="1"/>
  <c r="E295" i="76" a="1"/>
  <c r="E295" i="76" s="1"/>
  <c r="F295" i="76" a="1"/>
  <c r="F295" i="76" s="1"/>
  <c r="E296" i="76" a="1"/>
  <c r="E296" i="76" s="1"/>
  <c r="F296" i="76" a="1"/>
  <c r="F296" i="76" s="1"/>
  <c r="E297" i="76" a="1"/>
  <c r="E297" i="76" s="1"/>
  <c r="F297" i="76" a="1"/>
  <c r="F297" i="76" s="1"/>
  <c r="E298" i="76" a="1"/>
  <c r="E298" i="76" s="1"/>
  <c r="F298" i="76" a="1"/>
  <c r="F298" i="76" s="1"/>
  <c r="E299" i="76" a="1"/>
  <c r="E299" i="76" s="1"/>
  <c r="F299" i="76" a="1"/>
  <c r="F299" i="76" s="1"/>
  <c r="E300" i="76" a="1"/>
  <c r="E300" i="76" s="1"/>
  <c r="F300" i="76" a="1"/>
  <c r="F300" i="76" s="1"/>
  <c r="E301" i="76" a="1"/>
  <c r="E301" i="76" s="1"/>
  <c r="F301" i="76" a="1"/>
  <c r="F301" i="76" s="1"/>
  <c r="E302" i="76" a="1"/>
  <c r="E302" i="76" s="1"/>
  <c r="F302" i="76" a="1"/>
  <c r="F302" i="76" s="1"/>
  <c r="E303" i="76" a="1"/>
  <c r="E303" i="76" s="1"/>
  <c r="F303" i="76" a="1"/>
  <c r="F303" i="76" s="1"/>
  <c r="E304" i="76" a="1"/>
  <c r="E304" i="76" s="1"/>
  <c r="F304" i="76" a="1"/>
  <c r="F304" i="76" s="1"/>
  <c r="E305" i="76" a="1"/>
  <c r="E305" i="76" s="1"/>
  <c r="F305" i="76" a="1"/>
  <c r="F305" i="76" s="1"/>
  <c r="E306" i="76" a="1"/>
  <c r="E306" i="76" s="1"/>
  <c r="F306" i="76" a="1"/>
  <c r="F306" i="76" s="1"/>
  <c r="E307" i="76" a="1"/>
  <c r="E307" i="76" s="1"/>
  <c r="F307" i="76" a="1"/>
  <c r="F307" i="76" s="1"/>
  <c r="E308" i="76" a="1"/>
  <c r="E308" i="76" s="1"/>
  <c r="F308" i="76" a="1"/>
  <c r="F308" i="76" s="1"/>
  <c r="E309" i="76" a="1"/>
  <c r="E309" i="76" s="1"/>
  <c r="F309" i="76" a="1"/>
  <c r="F309" i="76" s="1"/>
  <c r="E310" i="76" a="1"/>
  <c r="E310" i="76" s="1"/>
  <c r="F310" i="76" a="1"/>
  <c r="F310" i="76" s="1"/>
  <c r="E311" i="76" a="1"/>
  <c r="E311" i="76" s="1"/>
  <c r="F311" i="76" a="1"/>
  <c r="F311" i="76" s="1"/>
  <c r="E312" i="76" a="1"/>
  <c r="E312" i="76" s="1"/>
  <c r="F312" i="76" a="1"/>
  <c r="F312" i="76" s="1"/>
  <c r="E313" i="76" a="1"/>
  <c r="E313" i="76" s="1"/>
  <c r="F313" i="76" a="1"/>
  <c r="F313" i="76" s="1"/>
  <c r="E314" i="76" a="1"/>
  <c r="E314" i="76" s="1"/>
  <c r="F314" i="76" a="1"/>
  <c r="F314" i="76" s="1"/>
  <c r="E315" i="76" a="1"/>
  <c r="E315" i="76" s="1"/>
  <c r="F315" i="76" a="1"/>
  <c r="F315" i="76" s="1"/>
  <c r="E316" i="76" a="1"/>
  <c r="E316" i="76" s="1"/>
  <c r="F316" i="76" a="1"/>
  <c r="F316" i="76" s="1"/>
  <c r="E317" i="76" a="1"/>
  <c r="E317" i="76" s="1"/>
  <c r="F317" i="76" a="1"/>
  <c r="F317" i="76" s="1"/>
  <c r="E318" i="76" a="1"/>
  <c r="E318" i="76" s="1"/>
  <c r="F318" i="76" a="1"/>
  <c r="F318" i="76" s="1"/>
  <c r="E319" i="76" a="1"/>
  <c r="E319" i="76" s="1"/>
  <c r="F319" i="76" a="1"/>
  <c r="F319" i="76" s="1"/>
  <c r="E320" i="76" a="1"/>
  <c r="E320" i="76" s="1"/>
  <c r="F320" i="76" a="1"/>
  <c r="F320" i="76" s="1"/>
  <c r="E321" i="76" a="1"/>
  <c r="E321" i="76" s="1"/>
  <c r="F321" i="76" a="1"/>
  <c r="F321" i="76" s="1"/>
  <c r="E322" i="76" a="1"/>
  <c r="E322" i="76" s="1"/>
  <c r="F322" i="76" a="1"/>
  <c r="F322" i="76" s="1"/>
  <c r="E323" i="76" a="1"/>
  <c r="E323" i="76" s="1"/>
  <c r="F323" i="76" a="1"/>
  <c r="F323" i="76" s="1"/>
  <c r="E324" i="76" a="1"/>
  <c r="E324" i="76" s="1"/>
  <c r="F324" i="76" a="1"/>
  <c r="F324" i="76" s="1"/>
  <c r="E325" i="76" a="1"/>
  <c r="E325" i="76" s="1"/>
  <c r="F325" i="76" a="1"/>
  <c r="F325" i="76" s="1"/>
  <c r="E326" i="76" a="1"/>
  <c r="E326" i="76" s="1"/>
  <c r="F326" i="76" a="1"/>
  <c r="F326" i="76" s="1"/>
  <c r="E327" i="76" a="1"/>
  <c r="E327" i="76" s="1"/>
  <c r="F327" i="76" a="1"/>
  <c r="F327" i="76" s="1"/>
  <c r="E328" i="76" a="1"/>
  <c r="E328" i="76" s="1"/>
  <c r="F328" i="76" a="1"/>
  <c r="F328" i="76" s="1"/>
  <c r="E329" i="76" a="1"/>
  <c r="E329" i="76" s="1"/>
  <c r="F329" i="76" a="1"/>
  <c r="F329" i="76" s="1"/>
  <c r="E330" i="76" a="1"/>
  <c r="E330" i="76" s="1"/>
  <c r="F330" i="76" a="1"/>
  <c r="F330" i="76" s="1"/>
  <c r="E331" i="76" a="1"/>
  <c r="E331" i="76" s="1"/>
  <c r="F331" i="76" a="1"/>
  <c r="F331" i="76" s="1"/>
  <c r="E332" i="76" a="1"/>
  <c r="E332" i="76" s="1"/>
  <c r="F332" i="76" a="1"/>
  <c r="F332" i="76" s="1"/>
  <c r="E333" i="76" a="1"/>
  <c r="E333" i="76" s="1"/>
  <c r="F333" i="76" a="1"/>
  <c r="F333" i="76" s="1"/>
  <c r="E334" i="76" a="1"/>
  <c r="E334" i="76" s="1"/>
  <c r="F334" i="76" a="1"/>
  <c r="F334" i="76" s="1"/>
  <c r="E335" i="76" a="1"/>
  <c r="E335" i="76" s="1"/>
  <c r="F335" i="76" a="1"/>
  <c r="F335" i="76" s="1"/>
  <c r="E336" i="76" a="1"/>
  <c r="E336" i="76" s="1"/>
  <c r="F336" i="76" a="1"/>
  <c r="F336" i="76" s="1"/>
  <c r="E337" i="76" a="1"/>
  <c r="E337" i="76" s="1"/>
  <c r="F337" i="76" a="1"/>
  <c r="F337" i="76" s="1"/>
  <c r="E338" i="76" a="1"/>
  <c r="E338" i="76" s="1"/>
  <c r="F338" i="76" a="1"/>
  <c r="F338" i="76" s="1"/>
  <c r="E339" i="76" a="1"/>
  <c r="E339" i="76" s="1"/>
  <c r="F339" i="76" a="1"/>
  <c r="F339" i="76" s="1"/>
  <c r="E340" i="76" a="1"/>
  <c r="E340" i="76" s="1"/>
  <c r="F340" i="76" a="1"/>
  <c r="F340" i="76" s="1"/>
  <c r="E341" i="76" a="1"/>
  <c r="E341" i="76" s="1"/>
  <c r="F341" i="76" a="1"/>
  <c r="F341" i="76" s="1"/>
  <c r="E342" i="76" a="1"/>
  <c r="E342" i="76" s="1"/>
  <c r="F342" i="76" a="1"/>
  <c r="F342" i="76" s="1"/>
  <c r="E343" i="76" a="1"/>
  <c r="E343" i="76" s="1"/>
  <c r="F343" i="76" a="1"/>
  <c r="F343" i="76" s="1"/>
  <c r="E344" i="76" a="1"/>
  <c r="E344" i="76" s="1"/>
  <c r="F344" i="76" a="1"/>
  <c r="F344" i="76" s="1"/>
  <c r="E345" i="76" a="1"/>
  <c r="E345" i="76" s="1"/>
  <c r="F345" i="76" a="1"/>
  <c r="F345" i="76" s="1"/>
  <c r="E346" i="76" a="1"/>
  <c r="E346" i="76" s="1"/>
  <c r="F346" i="76" a="1"/>
  <c r="F346" i="76" s="1"/>
  <c r="E347" i="76" a="1"/>
  <c r="E347" i="76" s="1"/>
  <c r="F347" i="76" a="1"/>
  <c r="F347" i="76" s="1"/>
  <c r="E348" i="76" a="1"/>
  <c r="E348" i="76" s="1"/>
  <c r="F348" i="76" a="1"/>
  <c r="F348" i="76" s="1"/>
  <c r="E349" i="76" a="1"/>
  <c r="E349" i="76" s="1"/>
  <c r="F349" i="76" a="1"/>
  <c r="F349" i="76" s="1"/>
  <c r="E350" i="76" a="1"/>
  <c r="E350" i="76" s="1"/>
  <c r="F350" i="76" a="1"/>
  <c r="F350" i="76" s="1"/>
  <c r="E351" i="76" a="1"/>
  <c r="E351" i="76" s="1"/>
  <c r="F351" i="76" a="1"/>
  <c r="F351" i="76" s="1"/>
  <c r="E352" i="76" a="1"/>
  <c r="E352" i="76" s="1"/>
  <c r="F352" i="76" a="1"/>
  <c r="F352" i="76" s="1"/>
  <c r="E353" i="76" a="1"/>
  <c r="E353" i="76" s="1"/>
  <c r="F353" i="76" a="1"/>
  <c r="F353" i="76" s="1"/>
  <c r="E354" i="76" a="1"/>
  <c r="E354" i="76" s="1"/>
  <c r="F354" i="76" a="1"/>
  <c r="F354" i="76" s="1"/>
  <c r="E355" i="76" a="1"/>
  <c r="E355" i="76" s="1"/>
  <c r="F355" i="76" a="1"/>
  <c r="F355" i="76" s="1"/>
  <c r="E356" i="76" a="1"/>
  <c r="E356" i="76" s="1"/>
  <c r="F356" i="76" a="1"/>
  <c r="F356" i="76" s="1"/>
  <c r="E357" i="76" a="1"/>
  <c r="E357" i="76" s="1"/>
  <c r="F357" i="76" a="1"/>
  <c r="F357" i="76" s="1"/>
  <c r="E358" i="76" a="1"/>
  <c r="E358" i="76" s="1"/>
  <c r="F358" i="76" a="1"/>
  <c r="F358" i="76" s="1"/>
  <c r="E359" i="76" a="1"/>
  <c r="E359" i="76" s="1"/>
  <c r="F359" i="76" a="1"/>
  <c r="F359" i="76" s="1"/>
  <c r="E360" i="76" a="1"/>
  <c r="E360" i="76" s="1"/>
  <c r="F360" i="76" a="1"/>
  <c r="F360" i="76" s="1"/>
  <c r="E361" i="76" a="1"/>
  <c r="E361" i="76" s="1"/>
  <c r="F361" i="76" a="1"/>
  <c r="F361" i="76" s="1"/>
  <c r="E362" i="76" a="1"/>
  <c r="E362" i="76" s="1"/>
  <c r="F362" i="76" a="1"/>
  <c r="F362" i="76" s="1"/>
  <c r="E363" i="76" a="1"/>
  <c r="E363" i="76" s="1"/>
  <c r="F363" i="76" a="1"/>
  <c r="F363" i="76" s="1"/>
  <c r="E364" i="76" a="1"/>
  <c r="E364" i="76" s="1"/>
  <c r="F364" i="76" a="1"/>
  <c r="F364" i="76" s="1"/>
  <c r="E365" i="76" a="1"/>
  <c r="E365" i="76" s="1"/>
  <c r="F365" i="76" a="1"/>
  <c r="F365" i="76" s="1"/>
  <c r="E366" i="76" a="1"/>
  <c r="E366" i="76" s="1"/>
  <c r="F366" i="76" a="1"/>
  <c r="F366" i="76" s="1"/>
  <c r="E367" i="76" a="1"/>
  <c r="E367" i="76" s="1"/>
  <c r="F367" i="76" a="1"/>
  <c r="F367" i="76" s="1"/>
  <c r="E368" i="76" a="1"/>
  <c r="E368" i="76" s="1"/>
  <c r="F368" i="76" a="1"/>
  <c r="F368" i="76" s="1"/>
  <c r="E369" i="76" a="1"/>
  <c r="E369" i="76" s="1"/>
  <c r="F369" i="76" a="1"/>
  <c r="F369" i="76" s="1"/>
  <c r="E370" i="76" a="1"/>
  <c r="E370" i="76" s="1"/>
  <c r="F370" i="76" a="1"/>
  <c r="F370" i="76" s="1"/>
  <c r="E371" i="76" a="1"/>
  <c r="E371" i="76" s="1"/>
  <c r="F371" i="76" a="1"/>
  <c r="F371" i="76" s="1"/>
  <c r="E372" i="76" a="1"/>
  <c r="E372" i="76" s="1"/>
  <c r="F372" i="76" a="1"/>
  <c r="F372" i="76" s="1"/>
  <c r="E373" i="76" a="1"/>
  <c r="E373" i="76" s="1"/>
  <c r="F373" i="76" a="1"/>
  <c r="F373" i="76" s="1"/>
  <c r="E374" i="76" a="1"/>
  <c r="E374" i="76" s="1"/>
  <c r="F374" i="76" a="1"/>
  <c r="F374" i="76" s="1"/>
  <c r="E375" i="76" a="1"/>
  <c r="E375" i="76" s="1"/>
  <c r="F375" i="76" a="1"/>
  <c r="F375" i="76" s="1"/>
  <c r="E376" i="76" a="1"/>
  <c r="E376" i="76" s="1"/>
  <c r="F376" i="76" a="1"/>
  <c r="F376" i="76" s="1"/>
  <c r="E377" i="76" a="1"/>
  <c r="E377" i="76" s="1"/>
  <c r="F377" i="76" a="1"/>
  <c r="F377" i="76" s="1"/>
  <c r="E378" i="76" a="1"/>
  <c r="E378" i="76" s="1"/>
  <c r="F378" i="76" a="1"/>
  <c r="F378" i="76" s="1"/>
  <c r="E379" i="76" a="1"/>
  <c r="E379" i="76" s="1"/>
  <c r="F379" i="76" a="1"/>
  <c r="F379" i="76" s="1"/>
  <c r="E380" i="76" a="1"/>
  <c r="E380" i="76" s="1"/>
  <c r="F380" i="76" a="1"/>
  <c r="F380" i="76" s="1"/>
  <c r="E381" i="76" a="1"/>
  <c r="E381" i="76" s="1"/>
  <c r="F381" i="76" a="1"/>
  <c r="F381" i="76" s="1"/>
  <c r="E382" i="76" a="1"/>
  <c r="E382" i="76" s="1"/>
  <c r="F382" i="76" a="1"/>
  <c r="F382" i="76" s="1"/>
  <c r="E383" i="76" a="1"/>
  <c r="E383" i="76" s="1"/>
  <c r="F383" i="76" a="1"/>
  <c r="F383" i="76" s="1"/>
  <c r="E384" i="76" a="1"/>
  <c r="E384" i="76" s="1"/>
  <c r="F384" i="76" a="1"/>
  <c r="F384" i="76" s="1"/>
  <c r="E385" i="76" a="1"/>
  <c r="E385" i="76" s="1"/>
  <c r="F385" i="76" a="1"/>
  <c r="F385" i="76" s="1"/>
  <c r="E386" i="76" a="1"/>
  <c r="E386" i="76" s="1"/>
  <c r="F386" i="76" a="1"/>
  <c r="F386" i="76" s="1"/>
  <c r="E387" i="76" a="1"/>
  <c r="E387" i="76" s="1"/>
  <c r="F387" i="76" a="1"/>
  <c r="F387" i="76" s="1"/>
  <c r="E388" i="76" a="1"/>
  <c r="E388" i="76" s="1"/>
  <c r="F388" i="76" a="1"/>
  <c r="F388" i="76" s="1"/>
  <c r="E389" i="76" a="1"/>
  <c r="E389" i="76" s="1"/>
  <c r="F389" i="76" a="1"/>
  <c r="F389" i="76" s="1"/>
  <c r="E390" i="76" a="1"/>
  <c r="E390" i="76" s="1"/>
  <c r="F390" i="76" a="1"/>
  <c r="F390" i="76" s="1"/>
  <c r="E391" i="76" a="1"/>
  <c r="E391" i="76" s="1"/>
  <c r="F391" i="76" a="1"/>
  <c r="F391" i="76" s="1"/>
  <c r="E392" i="76" a="1"/>
  <c r="E392" i="76" s="1"/>
  <c r="F392" i="76" a="1"/>
  <c r="F392" i="76" s="1"/>
  <c r="E393" i="76" a="1"/>
  <c r="E393" i="76" s="1"/>
  <c r="F393" i="76" a="1"/>
  <c r="F393" i="76" s="1"/>
  <c r="E394" i="76" a="1"/>
  <c r="E394" i="76" s="1"/>
  <c r="F394" i="76" a="1"/>
  <c r="F394" i="76" s="1"/>
  <c r="E395" i="76" a="1"/>
  <c r="E395" i="76" s="1"/>
  <c r="F395" i="76" a="1"/>
  <c r="F395" i="76" s="1"/>
  <c r="E396" i="76" a="1"/>
  <c r="E396" i="76" s="1"/>
  <c r="F396" i="76" a="1"/>
  <c r="F396" i="76" s="1"/>
  <c r="E397" i="76" a="1"/>
  <c r="E397" i="76" s="1"/>
  <c r="F397" i="76" a="1"/>
  <c r="F397" i="76" s="1"/>
  <c r="E398" i="76" a="1"/>
  <c r="E398" i="76" s="1"/>
  <c r="F398" i="76" a="1"/>
  <c r="F398" i="76" s="1"/>
  <c r="E399" i="76" a="1"/>
  <c r="E399" i="76" s="1"/>
  <c r="F399" i="76" a="1"/>
  <c r="F399" i="76" s="1"/>
  <c r="E400" i="76" a="1"/>
  <c r="E400" i="76" s="1"/>
  <c r="F400" i="76" a="1"/>
  <c r="F400" i="76" s="1"/>
  <c r="E401" i="76" a="1"/>
  <c r="E401" i="76" s="1"/>
  <c r="F401" i="76" a="1"/>
  <c r="F401" i="76" s="1"/>
  <c r="E402" i="76" a="1"/>
  <c r="E402" i="76" s="1"/>
  <c r="F402" i="76" a="1"/>
  <c r="F402" i="76" s="1"/>
  <c r="E403" i="76" a="1"/>
  <c r="E403" i="76" s="1"/>
  <c r="F403" i="76" a="1"/>
  <c r="F403" i="76" s="1"/>
  <c r="E404" i="76" a="1"/>
  <c r="E404" i="76" s="1"/>
  <c r="F404" i="76" a="1"/>
  <c r="F404" i="76" s="1"/>
  <c r="E405" i="76" a="1"/>
  <c r="E405" i="76" s="1"/>
  <c r="F405" i="76" a="1"/>
  <c r="F405" i="76" s="1"/>
  <c r="E406" i="76" a="1"/>
  <c r="E406" i="76" s="1"/>
  <c r="F406" i="76" a="1"/>
  <c r="F406" i="76" s="1"/>
  <c r="E407" i="76" a="1"/>
  <c r="E407" i="76" s="1"/>
  <c r="F407" i="76" a="1"/>
  <c r="F407" i="76" s="1"/>
  <c r="E408" i="76" a="1"/>
  <c r="E408" i="76" s="1"/>
  <c r="F408" i="76" a="1"/>
  <c r="F408" i="76" s="1"/>
  <c r="E409" i="76" a="1"/>
  <c r="E409" i="76" s="1"/>
  <c r="F409" i="76" a="1"/>
  <c r="F409" i="76" s="1"/>
  <c r="E410" i="76" a="1"/>
  <c r="E410" i="76" s="1"/>
  <c r="F410" i="76" a="1"/>
  <c r="F410" i="76" s="1"/>
  <c r="E411" i="76" a="1"/>
  <c r="E411" i="76" s="1"/>
  <c r="F411" i="76" a="1"/>
  <c r="F411" i="76" s="1"/>
  <c r="E412" i="76" a="1"/>
  <c r="E412" i="76" s="1"/>
  <c r="F412" i="76" a="1"/>
  <c r="F412" i="76" s="1"/>
  <c r="E413" i="76" a="1"/>
  <c r="E413" i="76" s="1"/>
  <c r="F413" i="76" a="1"/>
  <c r="F413" i="76" s="1"/>
  <c r="E414" i="76" a="1"/>
  <c r="E414" i="76" s="1"/>
  <c r="F414" i="76" a="1"/>
  <c r="F414" i="76" s="1"/>
  <c r="E415" i="76" a="1"/>
  <c r="E415" i="76" s="1"/>
  <c r="F415" i="76" a="1"/>
  <c r="F415" i="76" s="1"/>
  <c r="E416" i="76" a="1"/>
  <c r="E416" i="76" s="1"/>
  <c r="F416" i="76" a="1"/>
  <c r="F416" i="76" s="1"/>
  <c r="E417" i="76" a="1"/>
  <c r="E417" i="76" s="1"/>
  <c r="F417" i="76" a="1"/>
  <c r="F417" i="76" s="1"/>
  <c r="E418" i="76" a="1"/>
  <c r="E418" i="76" s="1"/>
  <c r="F418" i="76" a="1"/>
  <c r="F418" i="76" s="1"/>
  <c r="E419" i="76" a="1"/>
  <c r="E419" i="76" s="1"/>
  <c r="F419" i="76" a="1"/>
  <c r="F419" i="76" s="1"/>
  <c r="E420" i="76" a="1"/>
  <c r="E420" i="76" s="1"/>
  <c r="F420" i="76" a="1"/>
  <c r="F420" i="76" s="1"/>
  <c r="E421" i="76" a="1"/>
  <c r="E421" i="76" s="1"/>
  <c r="F421" i="76" a="1"/>
  <c r="F421" i="76" s="1"/>
  <c r="E422" i="76" a="1"/>
  <c r="E422" i="76" s="1"/>
  <c r="F422" i="76" a="1"/>
  <c r="F422" i="76" s="1"/>
  <c r="E423" i="76" a="1"/>
  <c r="E423" i="76" s="1"/>
  <c r="F423" i="76" a="1"/>
  <c r="F423" i="76" s="1"/>
  <c r="E424" i="76" a="1"/>
  <c r="E424" i="76" s="1"/>
  <c r="F424" i="76" a="1"/>
  <c r="F424" i="76" s="1"/>
  <c r="E425" i="76" a="1"/>
  <c r="E425" i="76" s="1"/>
  <c r="F425" i="76" a="1"/>
  <c r="F425" i="76" s="1"/>
  <c r="E426" i="76" a="1"/>
  <c r="E426" i="76" s="1"/>
  <c r="F426" i="76" a="1"/>
  <c r="F426" i="76" s="1"/>
  <c r="E427" i="76" a="1"/>
  <c r="E427" i="76" s="1"/>
  <c r="F427" i="76" a="1"/>
  <c r="F427" i="76" s="1"/>
  <c r="E428" i="76" a="1"/>
  <c r="E428" i="76" s="1"/>
  <c r="F428" i="76" a="1"/>
  <c r="F428" i="76" s="1"/>
  <c r="E429" i="76" a="1"/>
  <c r="E429" i="76" s="1"/>
  <c r="F429" i="76" a="1"/>
  <c r="F429" i="76" s="1"/>
  <c r="E430" i="76" a="1"/>
  <c r="E430" i="76" s="1"/>
  <c r="F430" i="76" a="1"/>
  <c r="F430" i="76" s="1"/>
  <c r="E431" i="76" a="1"/>
  <c r="E431" i="76" s="1"/>
  <c r="F431" i="76" a="1"/>
  <c r="F431" i="76" s="1"/>
  <c r="E432" i="76" a="1"/>
  <c r="E432" i="76" s="1"/>
  <c r="F432" i="76" a="1"/>
  <c r="F432" i="76" s="1"/>
  <c r="E433" i="76" a="1"/>
  <c r="E433" i="76" s="1"/>
  <c r="F433" i="76" a="1"/>
  <c r="F433" i="76" s="1"/>
  <c r="E434" i="76" a="1"/>
  <c r="E434" i="76" s="1"/>
  <c r="F434" i="76" a="1"/>
  <c r="F434" i="76" s="1"/>
  <c r="E435" i="76" a="1"/>
  <c r="E435" i="76" s="1"/>
  <c r="F435" i="76" a="1"/>
  <c r="F435" i="76" s="1"/>
  <c r="E436" i="76" a="1"/>
  <c r="E436" i="76" s="1"/>
  <c r="F436" i="76" a="1"/>
  <c r="F436" i="76" s="1"/>
  <c r="E437" i="76" a="1"/>
  <c r="E437" i="76" s="1"/>
  <c r="F437" i="76" a="1"/>
  <c r="F437" i="76" s="1"/>
  <c r="E438" i="76" a="1"/>
  <c r="E438" i="76" s="1"/>
  <c r="F438" i="76" a="1"/>
  <c r="F438" i="76" s="1"/>
  <c r="E439" i="76" a="1"/>
  <c r="E439" i="76" s="1"/>
  <c r="F439" i="76" a="1"/>
  <c r="F439" i="76" s="1"/>
  <c r="E440" i="76" a="1"/>
  <c r="E440" i="76" s="1"/>
  <c r="F440" i="76" a="1"/>
  <c r="F440" i="76" s="1"/>
  <c r="E441" i="76" a="1"/>
  <c r="E441" i="76" s="1"/>
  <c r="F441" i="76" a="1"/>
  <c r="F441" i="76" s="1"/>
  <c r="E442" i="76" a="1"/>
  <c r="E442" i="76" s="1"/>
  <c r="F442" i="76" a="1"/>
  <c r="F442" i="76" s="1"/>
  <c r="E443" i="76" a="1"/>
  <c r="E443" i="76" s="1"/>
  <c r="F443" i="76" a="1"/>
  <c r="F443" i="76" s="1"/>
  <c r="E444" i="76" a="1"/>
  <c r="E444" i="76" s="1"/>
  <c r="F444" i="76" a="1"/>
  <c r="F444" i="76" s="1"/>
  <c r="E445" i="76" a="1"/>
  <c r="E445" i="76" s="1"/>
  <c r="F445" i="76" a="1"/>
  <c r="F445" i="76" s="1"/>
  <c r="E446" i="76" a="1"/>
  <c r="E446" i="76" s="1"/>
  <c r="F446" i="76" a="1"/>
  <c r="F446" i="76" s="1"/>
  <c r="E447" i="76" a="1"/>
  <c r="E447" i="76" s="1"/>
  <c r="F447" i="76" a="1"/>
  <c r="F447" i="76" s="1"/>
  <c r="E448" i="76" a="1"/>
  <c r="E448" i="76" s="1"/>
  <c r="F448" i="76" a="1"/>
  <c r="F448" i="76" s="1"/>
  <c r="E449" i="76" a="1"/>
  <c r="E449" i="76" s="1"/>
  <c r="F449" i="76" a="1"/>
  <c r="F449" i="76" s="1"/>
  <c r="E450" i="76" a="1"/>
  <c r="E450" i="76" s="1"/>
  <c r="F450" i="76" a="1"/>
  <c r="F450" i="76" s="1"/>
  <c r="E451" i="76" a="1"/>
  <c r="E451" i="76" s="1"/>
  <c r="F451" i="76" a="1"/>
  <c r="F451" i="76" s="1"/>
  <c r="E452" i="76" a="1"/>
  <c r="E452" i="76" s="1"/>
  <c r="F452" i="76" a="1"/>
  <c r="F452" i="76" s="1"/>
  <c r="E453" i="76" a="1"/>
  <c r="E453" i="76" s="1"/>
  <c r="F453" i="76" a="1"/>
  <c r="F453" i="76" s="1"/>
  <c r="E454" i="76" a="1"/>
  <c r="E454" i="76" s="1"/>
  <c r="F454" i="76" a="1"/>
  <c r="F454" i="76" s="1"/>
  <c r="E455" i="76" a="1"/>
  <c r="E455" i="76" s="1"/>
  <c r="F455" i="76" a="1"/>
  <c r="F455" i="76" s="1"/>
  <c r="E456" i="76" a="1"/>
  <c r="E456" i="76" s="1"/>
  <c r="F456" i="76" a="1"/>
  <c r="F456" i="76" s="1"/>
  <c r="E457" i="76" a="1"/>
  <c r="E457" i="76" s="1"/>
  <c r="F457" i="76" a="1"/>
  <c r="F457" i="76" s="1"/>
  <c r="E458" i="76" a="1"/>
  <c r="E458" i="76" s="1"/>
  <c r="F458" i="76" a="1"/>
  <c r="F458" i="76" s="1"/>
  <c r="E459" i="76" a="1"/>
  <c r="E459" i="76" s="1"/>
  <c r="F459" i="76" a="1"/>
  <c r="F459" i="76" s="1"/>
  <c r="E460" i="76" a="1"/>
  <c r="E460" i="76" s="1"/>
  <c r="F460" i="76" a="1"/>
  <c r="F460" i="76" s="1"/>
  <c r="E461" i="76" a="1"/>
  <c r="E461" i="76" s="1"/>
  <c r="F461" i="76" a="1"/>
  <c r="F461" i="76" s="1"/>
  <c r="E462" i="76" a="1"/>
  <c r="E462" i="76" s="1"/>
  <c r="F462" i="76" a="1"/>
  <c r="F462" i="76" s="1"/>
  <c r="E463" i="76" a="1"/>
  <c r="E463" i="76" s="1"/>
  <c r="F463" i="76" a="1"/>
  <c r="F463" i="76" s="1"/>
  <c r="E464" i="76" a="1"/>
  <c r="E464" i="76" s="1"/>
  <c r="F464" i="76" a="1"/>
  <c r="F464" i="76" s="1"/>
  <c r="E465" i="76" a="1"/>
  <c r="E465" i="76" s="1"/>
  <c r="F465" i="76" a="1"/>
  <c r="F465" i="76" s="1"/>
  <c r="E466" i="76" a="1"/>
  <c r="E466" i="76" s="1"/>
  <c r="F466" i="76" a="1"/>
  <c r="F466" i="76" s="1"/>
  <c r="E467" i="76" a="1"/>
  <c r="E467" i="76" s="1"/>
  <c r="F467" i="76" a="1"/>
  <c r="F467" i="76" s="1"/>
  <c r="E468" i="76" a="1"/>
  <c r="E468" i="76" s="1"/>
  <c r="F468" i="76" a="1"/>
  <c r="F468" i="76" s="1"/>
  <c r="E469" i="76" a="1"/>
  <c r="E469" i="76" s="1"/>
  <c r="F469" i="76" a="1"/>
  <c r="F469" i="76" s="1"/>
  <c r="E470" i="76" a="1"/>
  <c r="E470" i="76" s="1"/>
  <c r="F470" i="76" a="1"/>
  <c r="F470" i="76" s="1"/>
  <c r="E471" i="76" a="1"/>
  <c r="E471" i="76" s="1"/>
  <c r="F471" i="76" a="1"/>
  <c r="F471" i="76" s="1"/>
  <c r="E472" i="76" a="1"/>
  <c r="E472" i="76" s="1"/>
  <c r="F472" i="76" a="1"/>
  <c r="F472" i="76" s="1"/>
  <c r="E473" i="76" a="1"/>
  <c r="E473" i="76" s="1"/>
  <c r="F473" i="76" a="1"/>
  <c r="F473" i="76" s="1"/>
  <c r="E474" i="76" a="1"/>
  <c r="E474" i="76" s="1"/>
  <c r="F474" i="76" a="1"/>
  <c r="F474" i="76" s="1"/>
  <c r="E475" i="76" a="1"/>
  <c r="E475" i="76" s="1"/>
  <c r="F475" i="76" a="1"/>
  <c r="F475" i="76" s="1"/>
  <c r="E476" i="76" a="1"/>
  <c r="E476" i="76" s="1"/>
  <c r="F476" i="76" a="1"/>
  <c r="F476" i="76" s="1"/>
  <c r="E477" i="76" a="1"/>
  <c r="E477" i="76" s="1"/>
  <c r="F477" i="76" a="1"/>
  <c r="F477" i="76" s="1"/>
  <c r="E478" i="76" a="1"/>
  <c r="E478" i="76" s="1"/>
  <c r="F478" i="76" a="1"/>
  <c r="F478" i="76" s="1"/>
  <c r="E479" i="76" a="1"/>
  <c r="E479" i="76" s="1"/>
  <c r="F479" i="76" a="1"/>
  <c r="F479" i="76" s="1"/>
  <c r="E480" i="76" a="1"/>
  <c r="E480" i="76" s="1"/>
  <c r="F480" i="76" a="1"/>
  <c r="F480" i="76" s="1"/>
  <c r="E481" i="76" a="1"/>
  <c r="E481" i="76" s="1"/>
  <c r="F481" i="76" a="1"/>
  <c r="F481" i="76" s="1"/>
  <c r="E482" i="76" a="1"/>
  <c r="E482" i="76" s="1"/>
  <c r="F482" i="76" a="1"/>
  <c r="F482" i="76" s="1"/>
  <c r="E483" i="76" a="1"/>
  <c r="E483" i="76" s="1"/>
  <c r="F483" i="76" a="1"/>
  <c r="F483" i="76" s="1"/>
  <c r="E484" i="76" a="1"/>
  <c r="E484" i="76" s="1"/>
  <c r="F484" i="76" a="1"/>
  <c r="F484" i="76" s="1"/>
  <c r="E485" i="76" a="1"/>
  <c r="E485" i="76" s="1"/>
  <c r="F485" i="76" a="1"/>
  <c r="F485" i="76" s="1"/>
  <c r="E486" i="76" a="1"/>
  <c r="E486" i="76" s="1"/>
  <c r="F486" i="76" a="1"/>
  <c r="F486" i="76" s="1"/>
  <c r="E487" i="76" a="1"/>
  <c r="E487" i="76" s="1"/>
  <c r="F487" i="76" a="1"/>
  <c r="F487" i="76" s="1"/>
  <c r="E488" i="76" a="1"/>
  <c r="E488" i="76" s="1"/>
  <c r="F488" i="76" a="1"/>
  <c r="F488" i="76" s="1"/>
  <c r="E489" i="76" a="1"/>
  <c r="E489" i="76" s="1"/>
  <c r="F489" i="76" a="1"/>
  <c r="F489" i="76" s="1"/>
  <c r="E490" i="76" a="1"/>
  <c r="E490" i="76" s="1"/>
  <c r="F490" i="76" a="1"/>
  <c r="F490" i="76" s="1"/>
  <c r="E491" i="76" a="1"/>
  <c r="E491" i="76" s="1"/>
  <c r="F491" i="76" a="1"/>
  <c r="F491" i="76" s="1"/>
  <c r="E492" i="76" a="1"/>
  <c r="E492" i="76" s="1"/>
  <c r="F492" i="76" a="1"/>
  <c r="F492" i="76" s="1"/>
  <c r="E493" i="76" a="1"/>
  <c r="E493" i="76" s="1"/>
  <c r="F493" i="76" a="1"/>
  <c r="F493" i="76" s="1"/>
  <c r="E494" i="76" a="1"/>
  <c r="E494" i="76" s="1"/>
  <c r="F494" i="76" a="1"/>
  <c r="F494" i="76" s="1"/>
  <c r="E495" i="76" a="1"/>
  <c r="E495" i="76" s="1"/>
  <c r="F495" i="76" a="1"/>
  <c r="F495" i="76" s="1"/>
  <c r="E496" i="76" a="1"/>
  <c r="E496" i="76" s="1"/>
  <c r="F496" i="76" a="1"/>
  <c r="F496" i="76" s="1"/>
  <c r="E497" i="76" a="1"/>
  <c r="E497" i="76" s="1"/>
  <c r="F497" i="76" a="1"/>
  <c r="F497" i="76" s="1"/>
  <c r="E498" i="76" a="1"/>
  <c r="E498" i="76" s="1"/>
  <c r="F498" i="76" a="1"/>
  <c r="F498" i="76" s="1"/>
  <c r="E499" i="76" a="1"/>
  <c r="E499" i="76" s="1"/>
  <c r="F499" i="76" a="1"/>
  <c r="F499" i="76" s="1"/>
  <c r="E500" i="76" a="1"/>
  <c r="E500" i="76" s="1"/>
  <c r="F500" i="76" a="1"/>
  <c r="F500" i="76" s="1"/>
  <c r="E501" i="76" a="1"/>
  <c r="E501" i="76" s="1"/>
  <c r="F501" i="76" a="1"/>
  <c r="F501" i="76" s="1"/>
  <c r="E4" i="76" a="1"/>
  <c r="E4" i="76" s="1"/>
  <c r="F4" i="76" a="1"/>
  <c r="F4" i="76" s="1"/>
  <c r="E5" i="76" a="1"/>
  <c r="E5" i="76" s="1"/>
  <c r="F5" i="76" a="1"/>
  <c r="F5" i="76" s="1"/>
  <c r="E6" i="76" a="1"/>
  <c r="E6" i="76" s="1"/>
  <c r="F6" i="76" a="1"/>
  <c r="F6" i="76" s="1"/>
  <c r="F7" i="76" a="1"/>
  <c r="F7" i="76" s="1"/>
  <c r="F8" i="76" a="1"/>
  <c r="F8" i="76" s="1"/>
  <c r="F9" i="76" a="1"/>
  <c r="F9" i="76" s="1"/>
  <c r="E10" i="76" a="1"/>
  <c r="E10" i="76" s="1"/>
  <c r="F10" i="76" a="1"/>
  <c r="F10" i="76" s="1"/>
  <c r="E11" i="76" a="1"/>
  <c r="E11" i="76" s="1"/>
  <c r="F11" i="76" a="1"/>
  <c r="F11" i="76" s="1"/>
  <c r="E12" i="76" a="1"/>
  <c r="E12" i="76" s="1"/>
  <c r="F12" i="76" a="1"/>
  <c r="F12" i="76" s="1"/>
  <c r="E13" i="76" a="1"/>
  <c r="E13" i="76" s="1"/>
  <c r="F13" i="76" a="1"/>
  <c r="F13" i="76" s="1"/>
  <c r="E14" i="76" a="1"/>
  <c r="E14" i="76" s="1"/>
  <c r="F14" i="76" a="1"/>
  <c r="F14" i="76" s="1"/>
  <c r="E15" i="76" a="1"/>
  <c r="E15" i="76" s="1"/>
  <c r="F15" i="76" a="1"/>
  <c r="F15" i="76" s="1"/>
  <c r="E16" i="76" a="1"/>
  <c r="E16" i="76" s="1"/>
  <c r="F16" i="76" a="1"/>
  <c r="F16" i="76" s="1"/>
  <c r="E17" i="76" a="1"/>
  <c r="E17" i="76" s="1"/>
  <c r="F17" i="76" a="1"/>
  <c r="F17" i="76" s="1"/>
  <c r="E18" i="76" a="1"/>
  <c r="E18" i="76" s="1"/>
  <c r="F18" i="76" a="1"/>
  <c r="F18" i="76" s="1"/>
  <c r="E19" i="76" a="1"/>
  <c r="E19" i="76" s="1"/>
  <c r="F19" i="76" a="1"/>
  <c r="F19" i="76" s="1"/>
  <c r="E20" i="76" a="1"/>
  <c r="E20" i="76" s="1"/>
  <c r="F20" i="76" a="1"/>
  <c r="F20" i="76" s="1"/>
  <c r="E21" i="76" a="1"/>
  <c r="E21" i="76" s="1"/>
  <c r="F21" i="76" a="1"/>
  <c r="F21" i="76" s="1"/>
  <c r="E22" i="76" a="1"/>
  <c r="E22" i="76" s="1"/>
  <c r="F22" i="76" a="1"/>
  <c r="F22" i="76" s="1"/>
  <c r="E23" i="76" a="1"/>
  <c r="E23" i="76" s="1"/>
  <c r="F23" i="76" a="1"/>
  <c r="F23" i="76" s="1"/>
  <c r="E24" i="76" a="1"/>
  <c r="E24" i="76" s="1"/>
  <c r="F24" i="76" a="1"/>
  <c r="F24" i="76" s="1"/>
  <c r="E25" i="76" a="1"/>
  <c r="E25" i="76" s="1"/>
  <c r="F25" i="76" a="1"/>
  <c r="F25" i="76" s="1"/>
  <c r="E26" i="76" a="1"/>
  <c r="E26" i="76" s="1"/>
  <c r="F26" i="76" a="1"/>
  <c r="F26" i="76" s="1"/>
  <c r="E27" i="76" a="1"/>
  <c r="E27" i="76" s="1"/>
  <c r="F27" i="76" a="1"/>
  <c r="F27" i="76" s="1"/>
  <c r="E28" i="76" a="1"/>
  <c r="E28" i="76" s="1"/>
  <c r="F28" i="76" a="1"/>
  <c r="F28" i="76" s="1"/>
  <c r="E29" i="76" a="1"/>
  <c r="E29" i="76" s="1"/>
  <c r="F29" i="76" a="1"/>
  <c r="F29" i="76" s="1"/>
  <c r="E30" i="76" a="1"/>
  <c r="E30" i="76" s="1"/>
  <c r="F30" i="76" a="1"/>
  <c r="F30" i="76" s="1"/>
  <c r="E31" i="76" a="1"/>
  <c r="E31" i="76" s="1"/>
  <c r="F31" i="76" a="1"/>
  <c r="F31" i="76" s="1"/>
  <c r="E32" i="76" a="1"/>
  <c r="E32" i="76" s="1"/>
  <c r="F32" i="76" a="1"/>
  <c r="F32" i="76" s="1"/>
  <c r="E33" i="76" a="1"/>
  <c r="E33" i="76" s="1"/>
  <c r="F33" i="76" a="1"/>
  <c r="F33" i="76" s="1"/>
  <c r="E34" i="76" a="1"/>
  <c r="E34" i="76" s="1"/>
  <c r="F34" i="76" a="1"/>
  <c r="F34" i="76" s="1"/>
  <c r="E35" i="76" a="1"/>
  <c r="E35" i="76" s="1"/>
  <c r="F35" i="76" a="1"/>
  <c r="F35" i="76" s="1"/>
  <c r="E36" i="76" a="1"/>
  <c r="E36" i="76" s="1"/>
  <c r="F36" i="76" a="1"/>
  <c r="F36" i="76" s="1"/>
  <c r="E37" i="76" a="1"/>
  <c r="E37" i="76" s="1"/>
  <c r="F37" i="76" a="1"/>
  <c r="F37" i="76" s="1"/>
  <c r="E38" i="76" a="1"/>
  <c r="E38" i="76" s="1"/>
  <c r="F38" i="76" a="1"/>
  <c r="F38" i="76" s="1"/>
  <c r="E39" i="76" a="1"/>
  <c r="E39" i="76" s="1"/>
  <c r="F39" i="76" a="1"/>
  <c r="F39" i="76" s="1"/>
  <c r="E40" i="76" a="1"/>
  <c r="E40" i="76" s="1"/>
  <c r="F40" i="76" a="1"/>
  <c r="F40" i="76" s="1"/>
  <c r="E41" i="76" a="1"/>
  <c r="E41" i="76" s="1"/>
  <c r="F41" i="76" a="1"/>
  <c r="F41" i="76" s="1"/>
  <c r="E42" i="76" a="1"/>
  <c r="E42" i="76" s="1"/>
  <c r="F42" i="76" a="1"/>
  <c r="F42" i="76" s="1"/>
  <c r="E43" i="76" a="1"/>
  <c r="E43" i="76" s="1"/>
  <c r="F43" i="76" a="1"/>
  <c r="F43" i="76" s="1"/>
  <c r="E44" i="76" a="1"/>
  <c r="E44" i="76" s="1"/>
  <c r="F44" i="76" a="1"/>
  <c r="F44" i="76" s="1"/>
  <c r="E45" i="76" a="1"/>
  <c r="E45" i="76" s="1"/>
  <c r="F45" i="76" a="1"/>
  <c r="F45" i="76" s="1"/>
  <c r="E46" i="76" a="1"/>
  <c r="E46" i="76" s="1"/>
  <c r="F46" i="76" a="1"/>
  <c r="F46" i="76" s="1"/>
  <c r="E47" i="76" a="1"/>
  <c r="E47" i="76" s="1"/>
  <c r="F47" i="76" a="1"/>
  <c r="F47" i="76" s="1"/>
  <c r="E48" i="76" a="1"/>
  <c r="E48" i="76" s="1"/>
  <c r="F48" i="76" a="1"/>
  <c r="F48" i="76" s="1"/>
  <c r="E49" i="76" a="1"/>
  <c r="E49" i="76" s="1"/>
  <c r="F49" i="76" a="1"/>
  <c r="F49" i="76" s="1"/>
  <c r="E50" i="76" a="1"/>
  <c r="E50" i="76" s="1"/>
  <c r="F50" i="76" a="1"/>
  <c r="F50" i="76" s="1"/>
  <c r="E51" i="76" a="1"/>
  <c r="E51" i="76" s="1"/>
  <c r="F51" i="76" a="1"/>
  <c r="F51" i="76" s="1"/>
  <c r="E52" i="76" a="1"/>
  <c r="E52" i="76" s="1"/>
  <c r="F52" i="76" a="1"/>
  <c r="F52" i="76" s="1"/>
  <c r="E53" i="76" a="1"/>
  <c r="E53" i="76" s="1"/>
  <c r="F53" i="76" a="1"/>
  <c r="F53" i="76" s="1"/>
  <c r="E54" i="76" a="1"/>
  <c r="E54" i="76" s="1"/>
  <c r="F54" i="76" a="1"/>
  <c r="F54" i="76" s="1"/>
  <c r="E55" i="76" a="1"/>
  <c r="E55" i="76" s="1"/>
  <c r="F55" i="76" a="1"/>
  <c r="F55" i="76" s="1"/>
  <c r="E56" i="76" a="1"/>
  <c r="E56" i="76" s="1"/>
  <c r="F56" i="76" a="1"/>
  <c r="F56" i="76" s="1"/>
  <c r="E57" i="76" a="1"/>
  <c r="E57" i="76" s="1"/>
  <c r="F57" i="76" a="1"/>
  <c r="F57" i="76" s="1"/>
  <c r="E58" i="76" a="1"/>
  <c r="E58" i="76" s="1"/>
  <c r="F58" i="76" a="1"/>
  <c r="F58" i="76" s="1"/>
  <c r="E59" i="76" a="1"/>
  <c r="E59" i="76" s="1"/>
  <c r="F59" i="76" a="1"/>
  <c r="F59" i="76" s="1"/>
  <c r="E60" i="76" a="1"/>
  <c r="E60" i="76" s="1"/>
  <c r="F60" i="76" a="1"/>
  <c r="F60" i="76" s="1"/>
  <c r="E61" i="76" a="1"/>
  <c r="E61" i="76" s="1"/>
  <c r="F61" i="76" a="1"/>
  <c r="F61" i="76" s="1"/>
  <c r="E62" i="76" a="1"/>
  <c r="E62" i="76" s="1"/>
  <c r="F62" i="76" a="1"/>
  <c r="F62" i="76" s="1"/>
  <c r="E63" i="76" a="1"/>
  <c r="E63" i="76" s="1"/>
  <c r="F63" i="76" a="1"/>
  <c r="F63" i="76" s="1"/>
  <c r="E64" i="76" a="1"/>
  <c r="E64" i="76" s="1"/>
  <c r="F64" i="76" a="1"/>
  <c r="F64" i="76" s="1"/>
  <c r="E65" i="76" a="1"/>
  <c r="E65" i="76" s="1"/>
  <c r="F65" i="76" a="1"/>
  <c r="F65" i="76" s="1"/>
  <c r="E66" i="76" a="1"/>
  <c r="E66" i="76" s="1"/>
  <c r="F66" i="76" a="1"/>
  <c r="F66" i="76" s="1"/>
  <c r="E67" i="76" a="1"/>
  <c r="E67" i="76" s="1"/>
  <c r="F67" i="76" a="1"/>
  <c r="F67" i="76" s="1"/>
  <c r="E68" i="76" a="1"/>
  <c r="E68" i="76" s="1"/>
  <c r="F68" i="76" a="1"/>
  <c r="F68" i="76" s="1"/>
  <c r="E69" i="76" a="1"/>
  <c r="E69" i="76" s="1"/>
  <c r="F69" i="76" a="1"/>
  <c r="F69" i="76" s="1"/>
  <c r="E70" i="76" a="1"/>
  <c r="E70" i="76" s="1"/>
  <c r="F70" i="76" a="1"/>
  <c r="F70" i="76" s="1"/>
  <c r="E71" i="76" a="1"/>
  <c r="E71" i="76" s="1"/>
  <c r="F71" i="76" a="1"/>
  <c r="F71" i="76" s="1"/>
  <c r="E72" i="76" a="1"/>
  <c r="E72" i="76" s="1"/>
  <c r="F72" i="76" a="1"/>
  <c r="F72" i="76" s="1"/>
  <c r="E73" i="76" a="1"/>
  <c r="E73" i="76" s="1"/>
  <c r="F73" i="76" a="1"/>
  <c r="F73" i="76" s="1"/>
  <c r="E74" i="76" a="1"/>
  <c r="E74" i="76" s="1"/>
  <c r="F74" i="76" a="1"/>
  <c r="F74" i="76" s="1"/>
  <c r="E75" i="76" a="1"/>
  <c r="E75" i="76" s="1"/>
  <c r="F75" i="76" a="1"/>
  <c r="F75" i="76" s="1"/>
  <c r="E76" i="76" a="1"/>
  <c r="E76" i="76" s="1"/>
  <c r="F76" i="76" a="1"/>
  <c r="F76" i="76" s="1"/>
  <c r="E77" i="76" a="1"/>
  <c r="E77" i="76" s="1"/>
  <c r="F77" i="76" a="1"/>
  <c r="F77" i="76" s="1"/>
  <c r="E78" i="76" a="1"/>
  <c r="E78" i="76" s="1"/>
  <c r="F78" i="76" a="1"/>
  <c r="F78" i="76" s="1"/>
  <c r="E79" i="76" a="1"/>
  <c r="E79" i="76" s="1"/>
  <c r="F79" i="76" a="1"/>
  <c r="F79" i="76" s="1"/>
  <c r="E80" i="76" a="1"/>
  <c r="E80" i="76" s="1"/>
  <c r="F80" i="76" a="1"/>
  <c r="F80" i="76" s="1"/>
  <c r="E81" i="76" a="1"/>
  <c r="E81" i="76" s="1"/>
  <c r="F81" i="76" a="1"/>
  <c r="F81" i="76" s="1"/>
  <c r="E82" i="76" a="1"/>
  <c r="E82" i="76" s="1"/>
  <c r="F82" i="76" a="1"/>
  <c r="F82" i="76" s="1"/>
  <c r="E83" i="76" a="1"/>
  <c r="E83" i="76" s="1"/>
  <c r="F83" i="76" a="1"/>
  <c r="F83" i="76" s="1"/>
  <c r="E84" i="76" a="1"/>
  <c r="E84" i="76" s="1"/>
  <c r="F84" i="76" a="1"/>
  <c r="F84" i="76" s="1"/>
  <c r="E85" i="76" a="1"/>
  <c r="E85" i="76" s="1"/>
  <c r="F85" i="76" a="1"/>
  <c r="F85" i="76" s="1"/>
  <c r="E86" i="76" a="1"/>
  <c r="E86" i="76" s="1"/>
  <c r="F86" i="76" a="1"/>
  <c r="F86" i="76" s="1"/>
  <c r="E87" i="76" a="1"/>
  <c r="E87" i="76" s="1"/>
  <c r="F87" i="76" a="1"/>
  <c r="F87" i="76" s="1"/>
  <c r="E88" i="76" a="1"/>
  <c r="E88" i="76" s="1"/>
  <c r="F88" i="76" a="1"/>
  <c r="F88" i="76" s="1"/>
  <c r="E89" i="76" a="1"/>
  <c r="E89" i="76" s="1"/>
  <c r="F89" i="76" a="1"/>
  <c r="F89" i="76" s="1"/>
  <c r="E90" i="76" a="1"/>
  <c r="E90" i="76" s="1"/>
  <c r="F90" i="76" a="1"/>
  <c r="F90" i="76" s="1"/>
  <c r="E91" i="76" a="1"/>
  <c r="E91" i="76" s="1"/>
  <c r="F91" i="76" a="1"/>
  <c r="F91" i="76" s="1"/>
  <c r="E92" i="76" a="1"/>
  <c r="E92" i="76" s="1"/>
  <c r="F92" i="76" a="1"/>
  <c r="F92" i="76" s="1"/>
  <c r="E93" i="76" a="1"/>
  <c r="E93" i="76" s="1"/>
  <c r="F93" i="76" a="1"/>
  <c r="F93" i="76" s="1"/>
  <c r="E94" i="76" a="1"/>
  <c r="E94" i="76" s="1"/>
  <c r="F94" i="76" a="1"/>
  <c r="F94" i="76" s="1"/>
  <c r="E95" i="76" a="1"/>
  <c r="E95" i="76" s="1"/>
  <c r="F95" i="76" a="1"/>
  <c r="F95" i="76" s="1"/>
  <c r="E96" i="76" a="1"/>
  <c r="E96" i="76" s="1"/>
  <c r="F96" i="76" a="1"/>
  <c r="F96" i="76" s="1"/>
  <c r="E97" i="76" a="1"/>
  <c r="E97" i="76" s="1"/>
  <c r="F97" i="76" a="1"/>
  <c r="F97" i="76" s="1"/>
  <c r="E98" i="76" a="1"/>
  <c r="E98" i="76" s="1"/>
  <c r="F98" i="76" a="1"/>
  <c r="F98" i="76" s="1"/>
  <c r="E99" i="76" a="1"/>
  <c r="E99" i="76" s="1"/>
  <c r="F99" i="76" a="1"/>
  <c r="F99" i="76" s="1"/>
  <c r="E100" i="76" a="1"/>
  <c r="E100" i="76" s="1"/>
  <c r="F100" i="76" a="1"/>
  <c r="F100" i="76" s="1"/>
  <c r="E101" i="76" a="1"/>
  <c r="E101" i="76" s="1"/>
  <c r="F101" i="76" a="1"/>
  <c r="F101" i="76" s="1"/>
  <c r="E102" i="76" a="1"/>
  <c r="E102" i="76" s="1"/>
  <c r="F102" i="76" a="1"/>
  <c r="F102" i="76" s="1"/>
  <c r="E103" i="76" a="1"/>
  <c r="E103" i="76" s="1"/>
  <c r="F103" i="76" a="1"/>
  <c r="F103" i="76" s="1"/>
  <c r="E104" i="76" a="1"/>
  <c r="E104" i="76" s="1"/>
  <c r="F104" i="76" a="1"/>
  <c r="F104" i="76" s="1"/>
  <c r="E105" i="76" a="1"/>
  <c r="E105" i="76" s="1"/>
  <c r="F105" i="76" a="1"/>
  <c r="F105" i="76" s="1"/>
  <c r="E106" i="76" a="1"/>
  <c r="E106" i="76" s="1"/>
  <c r="F106" i="76" a="1"/>
  <c r="F106" i="76" s="1"/>
  <c r="E107" i="76" a="1"/>
  <c r="E107" i="76" s="1"/>
  <c r="F107" i="76" a="1"/>
  <c r="F107" i="76" s="1"/>
  <c r="E108" i="76" a="1"/>
  <c r="E108" i="76" s="1"/>
  <c r="F108" i="76" a="1"/>
  <c r="F108" i="76" s="1"/>
  <c r="E109" i="76" a="1"/>
  <c r="E109" i="76" s="1"/>
  <c r="F109" i="76" a="1"/>
  <c r="F109" i="76" s="1"/>
  <c r="E110" i="76" a="1"/>
  <c r="E110" i="76" s="1"/>
  <c r="F110" i="76" a="1"/>
  <c r="F110" i="76" s="1"/>
  <c r="E111" i="76" a="1"/>
  <c r="E111" i="76" s="1"/>
  <c r="F111" i="76" a="1"/>
  <c r="F111" i="76" s="1"/>
  <c r="E112" i="76" a="1"/>
  <c r="E112" i="76" s="1"/>
  <c r="F112" i="76" a="1"/>
  <c r="F112" i="76" s="1"/>
  <c r="E113" i="76" a="1"/>
  <c r="E113" i="76" s="1"/>
  <c r="F113" i="76" a="1"/>
  <c r="F113" i="76" s="1"/>
  <c r="E114" i="76" a="1"/>
  <c r="E114" i="76" s="1"/>
  <c r="F114" i="76" a="1"/>
  <c r="F114" i="76" s="1"/>
  <c r="E115" i="76" a="1"/>
  <c r="E115" i="76" s="1"/>
  <c r="F115" i="76" a="1"/>
  <c r="F115" i="76" s="1"/>
  <c r="E116" i="76" a="1"/>
  <c r="E116" i="76" s="1"/>
  <c r="F116" i="76" a="1"/>
  <c r="F116" i="76" s="1"/>
  <c r="E117" i="76" a="1"/>
  <c r="E117" i="76" s="1"/>
  <c r="F117" i="76" a="1"/>
  <c r="F117" i="76" s="1"/>
  <c r="E118" i="76" a="1"/>
  <c r="E118" i="76" s="1"/>
  <c r="F118" i="76" a="1"/>
  <c r="F118" i="76" s="1"/>
  <c r="E119" i="76" a="1"/>
  <c r="E119" i="76" s="1"/>
  <c r="F119" i="76" a="1"/>
  <c r="F119" i="76" s="1"/>
  <c r="E120" i="76" a="1"/>
  <c r="E120" i="76" s="1"/>
  <c r="F120" i="76" a="1"/>
  <c r="F120" i="76" s="1"/>
  <c r="E121" i="76" a="1"/>
  <c r="E121" i="76" s="1"/>
  <c r="F121" i="76" a="1"/>
  <c r="F121" i="76" s="1"/>
  <c r="E122" i="76" a="1"/>
  <c r="E122" i="76" s="1"/>
  <c r="F122" i="76" a="1"/>
  <c r="F122" i="76" s="1"/>
  <c r="E123" i="76" a="1"/>
  <c r="E123" i="76" s="1"/>
  <c r="F123" i="76" a="1"/>
  <c r="F123" i="76" s="1"/>
  <c r="E124" i="76" a="1"/>
  <c r="E124" i="76" s="1"/>
  <c r="F124" i="76" a="1"/>
  <c r="F124" i="76" s="1"/>
  <c r="E125" i="76" a="1"/>
  <c r="E125" i="76" s="1"/>
  <c r="F125" i="76" a="1"/>
  <c r="F125" i="76" s="1"/>
  <c r="E126" i="76" a="1"/>
  <c r="E126" i="76" s="1"/>
  <c r="F126" i="76" a="1"/>
  <c r="F126" i="76" s="1"/>
  <c r="E127" i="76" a="1"/>
  <c r="E127" i="76" s="1"/>
  <c r="F127" i="76" a="1"/>
  <c r="F127" i="76" s="1"/>
  <c r="E128" i="76" a="1"/>
  <c r="E128" i="76" s="1"/>
  <c r="F128" i="76" a="1"/>
  <c r="F128" i="76" s="1"/>
  <c r="E129" i="76" a="1"/>
  <c r="E129" i="76" s="1"/>
  <c r="F129" i="76" a="1"/>
  <c r="F129" i="76" s="1"/>
  <c r="E130" i="76" a="1"/>
  <c r="E130" i="76" s="1"/>
  <c r="F130" i="76" a="1"/>
  <c r="F130" i="76" s="1"/>
  <c r="E131" i="76" a="1"/>
  <c r="E131" i="76" s="1"/>
  <c r="F131" i="76" a="1"/>
  <c r="F131" i="76" s="1"/>
  <c r="E132" i="76" a="1"/>
  <c r="E132" i="76" s="1"/>
  <c r="F132" i="76" a="1"/>
  <c r="F132" i="76" s="1"/>
  <c r="E133" i="76" a="1"/>
  <c r="E133" i="76" s="1"/>
  <c r="F133" i="76" a="1"/>
  <c r="F133" i="76" s="1"/>
  <c r="E134" i="76" a="1"/>
  <c r="E134" i="76" s="1"/>
  <c r="F134" i="76" a="1"/>
  <c r="F134" i="76" s="1"/>
  <c r="E135" i="76" a="1"/>
  <c r="E135" i="76" s="1"/>
  <c r="F135" i="76" a="1"/>
  <c r="F135" i="76" s="1"/>
  <c r="E136" i="76" a="1"/>
  <c r="E136" i="76" s="1"/>
  <c r="F136" i="76" a="1"/>
  <c r="F136" i="76" s="1"/>
  <c r="E137" i="76" a="1"/>
  <c r="E137" i="76" s="1"/>
  <c r="F137" i="76" a="1"/>
  <c r="F137" i="76" s="1"/>
  <c r="E138" i="76" a="1"/>
  <c r="E138" i="76" s="1"/>
  <c r="F138" i="76" a="1"/>
  <c r="F138" i="76" s="1"/>
  <c r="E139" i="76" a="1"/>
  <c r="E139" i="76" s="1"/>
  <c r="F139" i="76" a="1"/>
  <c r="F139" i="76" s="1"/>
  <c r="E140" i="76" a="1"/>
  <c r="E140" i="76" s="1"/>
  <c r="F140" i="76" a="1"/>
  <c r="F140" i="76" s="1"/>
  <c r="E141" i="76" a="1"/>
  <c r="E141" i="76" s="1"/>
  <c r="F141" i="76" a="1"/>
  <c r="F141" i="76" s="1"/>
  <c r="E142" i="76" a="1"/>
  <c r="E142" i="76" s="1"/>
  <c r="F142" i="76" a="1"/>
  <c r="F142" i="76" s="1"/>
  <c r="E143" i="76" a="1"/>
  <c r="E143" i="76" s="1"/>
  <c r="F143" i="76" a="1"/>
  <c r="F143" i="76" s="1"/>
  <c r="E144" i="76" a="1"/>
  <c r="E144" i="76" s="1"/>
  <c r="F144" i="76" a="1"/>
  <c r="F144" i="76" s="1"/>
  <c r="E145" i="76" a="1"/>
  <c r="E145" i="76" s="1"/>
  <c r="F145" i="76" a="1"/>
  <c r="F145" i="76" s="1"/>
  <c r="E146" i="76" a="1"/>
  <c r="E146" i="76" s="1"/>
  <c r="F146" i="76" a="1"/>
  <c r="F146" i="76" s="1"/>
  <c r="E147" i="76" a="1"/>
  <c r="E147" i="76" s="1"/>
  <c r="F147" i="76" a="1"/>
  <c r="F147" i="76" s="1"/>
  <c r="E148" i="76" a="1"/>
  <c r="E148" i="76" s="1"/>
  <c r="F148" i="76" a="1"/>
  <c r="F148" i="76" s="1"/>
  <c r="E149" i="76" a="1"/>
  <c r="E149" i="76" s="1"/>
  <c r="F149" i="76" a="1"/>
  <c r="F149" i="76" s="1"/>
  <c r="E150" i="76" a="1"/>
  <c r="E150" i="76" s="1"/>
  <c r="F150" i="76" a="1"/>
  <c r="F150" i="76" s="1"/>
  <c r="E151" i="76" a="1"/>
  <c r="E151" i="76" s="1"/>
  <c r="F151" i="76" a="1"/>
  <c r="F151" i="76" s="1"/>
  <c r="E152" i="76" a="1"/>
  <c r="E152" i="76" s="1"/>
  <c r="F152" i="76" a="1"/>
  <c r="F152" i="76" s="1"/>
  <c r="E153" i="76" a="1"/>
  <c r="E153" i="76" s="1"/>
  <c r="F153" i="76" a="1"/>
  <c r="F153" i="76" s="1"/>
  <c r="E154" i="76" a="1"/>
  <c r="E154" i="76" s="1"/>
  <c r="F154" i="76" a="1"/>
  <c r="F154" i="76" s="1"/>
  <c r="E155" i="76" a="1"/>
  <c r="E155" i="76" s="1"/>
  <c r="F155" i="76" a="1"/>
  <c r="F155" i="76" s="1"/>
  <c r="E156" i="76" a="1"/>
  <c r="E156" i="76" s="1"/>
  <c r="F156" i="76" a="1"/>
  <c r="F156" i="76" s="1"/>
  <c r="E157" i="76" a="1"/>
  <c r="E157" i="76" s="1"/>
  <c r="F157" i="76" a="1"/>
  <c r="F157" i="76" s="1"/>
  <c r="E158" i="76" a="1"/>
  <c r="E158" i="76" s="1"/>
  <c r="F158" i="76" a="1"/>
  <c r="F158" i="76" s="1"/>
  <c r="E159" i="76" a="1"/>
  <c r="E159" i="76" s="1"/>
  <c r="F159" i="76" a="1"/>
  <c r="F159" i="76" s="1"/>
  <c r="E160" i="76" a="1"/>
  <c r="E160" i="76" s="1"/>
  <c r="F160" i="76" a="1"/>
  <c r="F160" i="76" s="1"/>
  <c r="E161" i="76" a="1"/>
  <c r="E161" i="76" s="1"/>
  <c r="F161" i="76" a="1"/>
  <c r="F161" i="76" s="1"/>
  <c r="E162" i="76" a="1"/>
  <c r="E162" i="76" s="1"/>
  <c r="F162" i="76" a="1"/>
  <c r="F162" i="76" s="1"/>
  <c r="E163" i="76" a="1"/>
  <c r="E163" i="76" s="1"/>
  <c r="F163" i="76" a="1"/>
  <c r="F163" i="76" s="1"/>
  <c r="E164" i="76" a="1"/>
  <c r="E164" i="76" s="1"/>
  <c r="F164" i="76" a="1"/>
  <c r="F164" i="76" s="1"/>
  <c r="E165" i="76" a="1"/>
  <c r="E165" i="76" s="1"/>
  <c r="F165" i="76" a="1"/>
  <c r="F165" i="76" s="1"/>
  <c r="E166" i="76" a="1"/>
  <c r="E166" i="76" s="1"/>
  <c r="F166" i="76" a="1"/>
  <c r="F166" i="76" s="1"/>
  <c r="E167" i="76" a="1"/>
  <c r="E167" i="76" s="1"/>
  <c r="F167" i="76" a="1"/>
  <c r="F167" i="76" s="1"/>
  <c r="E168" i="76" a="1"/>
  <c r="E168" i="76" s="1"/>
  <c r="F168" i="76" a="1"/>
  <c r="F168" i="76" s="1"/>
  <c r="E169" i="76" a="1"/>
  <c r="E169" i="76" s="1"/>
  <c r="F169" i="76" a="1"/>
  <c r="F169" i="76" s="1"/>
  <c r="E170" i="76" a="1"/>
  <c r="E170" i="76" s="1"/>
  <c r="F170" i="76" a="1"/>
  <c r="F170" i="76" s="1"/>
  <c r="E171" i="76" a="1"/>
  <c r="E171" i="76" s="1"/>
  <c r="F171" i="76" a="1"/>
  <c r="F171" i="76" s="1"/>
  <c r="E172" i="76" a="1"/>
  <c r="E172" i="76" s="1"/>
  <c r="F172" i="76" a="1"/>
  <c r="F172" i="76" s="1"/>
  <c r="E173" i="76" a="1"/>
  <c r="E173" i="76" s="1"/>
  <c r="F173" i="76" a="1"/>
  <c r="F173" i="76" s="1"/>
  <c r="E174" i="76" a="1"/>
  <c r="E174" i="76" s="1"/>
  <c r="F174" i="76" a="1"/>
  <c r="F174" i="76" s="1"/>
  <c r="E175" i="76" a="1"/>
  <c r="E175" i="76" s="1"/>
  <c r="F175" i="76" a="1"/>
  <c r="F175" i="76" s="1"/>
  <c r="E176" i="76" a="1"/>
  <c r="E176" i="76" s="1"/>
  <c r="F176" i="76" a="1"/>
  <c r="F176" i="76" s="1"/>
  <c r="E177" i="76" a="1"/>
  <c r="E177" i="76" s="1"/>
  <c r="F177" i="76" a="1"/>
  <c r="F177" i="76" s="1"/>
  <c r="E178" i="76" a="1"/>
  <c r="E178" i="76" s="1"/>
  <c r="F178" i="76" a="1"/>
  <c r="F178" i="76" s="1"/>
  <c r="E179" i="76" a="1"/>
  <c r="E179" i="76" s="1"/>
  <c r="F179" i="76" a="1"/>
  <c r="F179" i="76" s="1"/>
  <c r="E180" i="76" a="1"/>
  <c r="E180" i="76" s="1"/>
  <c r="F180" i="76" a="1"/>
  <c r="F180" i="76" s="1"/>
  <c r="E181" i="76" a="1"/>
  <c r="E181" i="76" s="1"/>
  <c r="F181" i="76" a="1"/>
  <c r="F181" i="76" s="1"/>
  <c r="E182" i="76" a="1"/>
  <c r="E182" i="76" s="1"/>
  <c r="F182" i="76" a="1"/>
  <c r="F182" i="76" s="1"/>
  <c r="F3" i="76" a="1"/>
  <c r="F3" i="76" s="1"/>
  <c r="E3" i="76" a="1"/>
  <c r="E3" i="76" s="1"/>
  <c r="H4" i="76" a="1"/>
  <c r="H4" i="76" s="1"/>
  <c r="I4" i="76" a="1"/>
  <c r="I4" i="76" s="1"/>
  <c r="H5" i="76" a="1"/>
  <c r="H5" i="76" s="1"/>
  <c r="I5" i="76" a="1"/>
  <c r="I5" i="76" s="1"/>
  <c r="H6" i="76" a="1"/>
  <c r="H6" i="76" s="1"/>
  <c r="I6" i="76" a="1"/>
  <c r="I6" i="76" s="1"/>
  <c r="H7" i="76" a="1"/>
  <c r="H7" i="76" s="1"/>
  <c r="I7" i="76" a="1"/>
  <c r="I7" i="76" s="1"/>
  <c r="H8" i="76" a="1"/>
  <c r="H8" i="76" s="1"/>
  <c r="I8" i="76" a="1"/>
  <c r="I8" i="76" s="1"/>
  <c r="H9" i="76" a="1"/>
  <c r="H9" i="76" s="1"/>
  <c r="I9" i="76" a="1"/>
  <c r="I9" i="76" s="1"/>
  <c r="H10" i="76" a="1"/>
  <c r="H10" i="76" s="1"/>
  <c r="I10" i="76" a="1"/>
  <c r="I10" i="76" s="1"/>
  <c r="H11" i="76" a="1"/>
  <c r="H11" i="76" s="1"/>
  <c r="I11" i="76" a="1"/>
  <c r="I11" i="76" s="1"/>
  <c r="H12" i="76" a="1"/>
  <c r="H12" i="76" s="1"/>
  <c r="I12" i="76" a="1"/>
  <c r="I12" i="76" s="1"/>
  <c r="H13" i="76" a="1"/>
  <c r="H13" i="76" s="1"/>
  <c r="I13" i="76" a="1"/>
  <c r="I13" i="76" s="1"/>
  <c r="H14" i="76" a="1"/>
  <c r="H14" i="76" s="1"/>
  <c r="I14" i="76" a="1"/>
  <c r="I14" i="76" s="1"/>
  <c r="H15" i="76" a="1"/>
  <c r="H15" i="76" s="1"/>
  <c r="I15" i="76" a="1"/>
  <c r="I15" i="76" s="1"/>
  <c r="H16" i="76" a="1"/>
  <c r="H16" i="76" s="1"/>
  <c r="I16" i="76" a="1"/>
  <c r="I16" i="76" s="1"/>
  <c r="H17" i="76" a="1"/>
  <c r="H17" i="76" s="1"/>
  <c r="I17" i="76" a="1"/>
  <c r="I17" i="76" s="1"/>
  <c r="H18" i="76" a="1"/>
  <c r="H18" i="76" s="1"/>
  <c r="I18" i="76" a="1"/>
  <c r="I18" i="76" s="1"/>
  <c r="H19" i="76" a="1"/>
  <c r="H19" i="76" s="1"/>
  <c r="I19" i="76" a="1"/>
  <c r="I19" i="76" s="1"/>
  <c r="H20" i="76" a="1"/>
  <c r="H20" i="76" s="1"/>
  <c r="I20" i="76" a="1"/>
  <c r="I20" i="76" s="1"/>
  <c r="H21" i="76" a="1"/>
  <c r="H21" i="76" s="1"/>
  <c r="I21" i="76" a="1"/>
  <c r="I21" i="76" s="1"/>
  <c r="H22" i="76" a="1"/>
  <c r="H22" i="76" s="1"/>
  <c r="I22" i="76" a="1"/>
  <c r="I22" i="76" s="1"/>
  <c r="H23" i="76" a="1"/>
  <c r="H23" i="76" s="1"/>
  <c r="I23" i="76" a="1"/>
  <c r="I23" i="76" s="1"/>
  <c r="H24" i="76" a="1"/>
  <c r="H24" i="76" s="1"/>
  <c r="I24" i="76" a="1"/>
  <c r="I24" i="76" s="1"/>
  <c r="H25" i="76" a="1"/>
  <c r="H25" i="76" s="1"/>
  <c r="I25" i="76" a="1"/>
  <c r="I25" i="76" s="1"/>
  <c r="H26" i="76" a="1"/>
  <c r="H26" i="76" s="1"/>
  <c r="I26" i="76" a="1"/>
  <c r="I26" i="76" s="1"/>
  <c r="H27" i="76" a="1"/>
  <c r="H27" i="76" s="1"/>
  <c r="I27" i="76" a="1"/>
  <c r="I27" i="76" s="1"/>
  <c r="H28" i="76" a="1"/>
  <c r="H28" i="76" s="1"/>
  <c r="I28" i="76" a="1"/>
  <c r="I28" i="76" s="1"/>
  <c r="H29" i="76" a="1"/>
  <c r="H29" i="76" s="1"/>
  <c r="I29" i="76" a="1"/>
  <c r="I29" i="76" s="1"/>
  <c r="H30" i="76" a="1"/>
  <c r="H30" i="76" s="1"/>
  <c r="I30" i="76" a="1"/>
  <c r="I30" i="76" s="1"/>
  <c r="H31" i="76" a="1"/>
  <c r="H31" i="76" s="1"/>
  <c r="I31" i="76" a="1"/>
  <c r="I31" i="76" s="1"/>
  <c r="H32" i="76" a="1"/>
  <c r="H32" i="76" s="1"/>
  <c r="I32" i="76" a="1"/>
  <c r="I32" i="76" s="1"/>
  <c r="H33" i="76" a="1"/>
  <c r="H33" i="76" s="1"/>
  <c r="I33" i="76" a="1"/>
  <c r="I33" i="76" s="1"/>
  <c r="H34" i="76" a="1"/>
  <c r="H34" i="76" s="1"/>
  <c r="I34" i="76" a="1"/>
  <c r="I34" i="76" s="1"/>
  <c r="H35" i="76" a="1"/>
  <c r="H35" i="76" s="1"/>
  <c r="I35" i="76" a="1"/>
  <c r="I35" i="76" s="1"/>
  <c r="H36" i="76" a="1"/>
  <c r="H36" i="76" s="1"/>
  <c r="I36" i="76" a="1"/>
  <c r="I36" i="76" s="1"/>
  <c r="H37" i="76" a="1"/>
  <c r="H37" i="76" s="1"/>
  <c r="I37" i="76" a="1"/>
  <c r="I37" i="76" s="1"/>
  <c r="H38" i="76" a="1"/>
  <c r="H38" i="76" s="1"/>
  <c r="I38" i="76" a="1"/>
  <c r="I38" i="76" s="1"/>
  <c r="H39" i="76" a="1"/>
  <c r="H39" i="76" s="1"/>
  <c r="I39" i="76" a="1"/>
  <c r="I39" i="76" s="1"/>
  <c r="H40" i="76" a="1"/>
  <c r="H40" i="76" s="1"/>
  <c r="I40" i="76" a="1"/>
  <c r="I40" i="76" s="1"/>
  <c r="H41" i="76" a="1"/>
  <c r="H41" i="76" s="1"/>
  <c r="I41" i="76" a="1"/>
  <c r="I41" i="76" s="1"/>
  <c r="H42" i="76" a="1"/>
  <c r="H42" i="76" s="1"/>
  <c r="I42" i="76" a="1"/>
  <c r="I42" i="76" s="1"/>
  <c r="H43" i="76" a="1"/>
  <c r="H43" i="76" s="1"/>
  <c r="I43" i="76" a="1"/>
  <c r="I43" i="76" s="1"/>
  <c r="H44" i="76" a="1"/>
  <c r="H44" i="76" s="1"/>
  <c r="I44" i="76" a="1"/>
  <c r="I44" i="76" s="1"/>
  <c r="H45" i="76" a="1"/>
  <c r="H45" i="76" s="1"/>
  <c r="I45" i="76" a="1"/>
  <c r="I45" i="76" s="1"/>
  <c r="H46" i="76" a="1"/>
  <c r="H46" i="76" s="1"/>
  <c r="I46" i="76" a="1"/>
  <c r="I46" i="76" s="1"/>
  <c r="H47" i="76" a="1"/>
  <c r="H47" i="76" s="1"/>
  <c r="I47" i="76" a="1"/>
  <c r="I47" i="76" s="1"/>
  <c r="H48" i="76" a="1"/>
  <c r="H48" i="76" s="1"/>
  <c r="I48" i="76" a="1"/>
  <c r="I48" i="76" s="1"/>
  <c r="H49" i="76" a="1"/>
  <c r="H49" i="76" s="1"/>
  <c r="I49" i="76" a="1"/>
  <c r="I49" i="76" s="1"/>
  <c r="H50" i="76" a="1"/>
  <c r="H50" i="76" s="1"/>
  <c r="I50" i="76" a="1"/>
  <c r="I50" i="76" s="1"/>
  <c r="H51" i="76" a="1"/>
  <c r="H51" i="76" s="1"/>
  <c r="I51" i="76" a="1"/>
  <c r="I51" i="76" s="1"/>
  <c r="H52" i="76" a="1"/>
  <c r="H52" i="76" s="1"/>
  <c r="I52" i="76" a="1"/>
  <c r="I52" i="76" s="1"/>
  <c r="H53" i="76" a="1"/>
  <c r="H53" i="76" s="1"/>
  <c r="I53" i="76" a="1"/>
  <c r="I53" i="76" s="1"/>
  <c r="H54" i="76" a="1"/>
  <c r="H54" i="76" s="1"/>
  <c r="I54" i="76" a="1"/>
  <c r="I54" i="76" s="1"/>
  <c r="H55" i="76" a="1"/>
  <c r="H55" i="76" s="1"/>
  <c r="I55" i="76" a="1"/>
  <c r="I55" i="76" s="1"/>
  <c r="H56" i="76" a="1"/>
  <c r="H56" i="76" s="1"/>
  <c r="I56" i="76" a="1"/>
  <c r="I56" i="76" s="1"/>
  <c r="H57" i="76" a="1"/>
  <c r="H57" i="76" s="1"/>
  <c r="I57" i="76" a="1"/>
  <c r="I57" i="76" s="1"/>
  <c r="H58" i="76" a="1"/>
  <c r="H58" i="76" s="1"/>
  <c r="I58" i="76" a="1"/>
  <c r="I58" i="76" s="1"/>
  <c r="H59" i="76" a="1"/>
  <c r="H59" i="76" s="1"/>
  <c r="I59" i="76" a="1"/>
  <c r="I59" i="76" s="1"/>
  <c r="H60" i="76" a="1"/>
  <c r="H60" i="76" s="1"/>
  <c r="I60" i="76" a="1"/>
  <c r="I60" i="76" s="1"/>
  <c r="H61" i="76" a="1"/>
  <c r="H61" i="76" s="1"/>
  <c r="I61" i="76" a="1"/>
  <c r="I61" i="76" s="1"/>
  <c r="H62" i="76" a="1"/>
  <c r="H62" i="76" s="1"/>
  <c r="I62" i="76" a="1"/>
  <c r="I62" i="76" s="1"/>
  <c r="H63" i="76" a="1"/>
  <c r="H63" i="76" s="1"/>
  <c r="I63" i="76" a="1"/>
  <c r="I63" i="76" s="1"/>
  <c r="H64" i="76" a="1"/>
  <c r="H64" i="76" s="1"/>
  <c r="I64" i="76" a="1"/>
  <c r="I64" i="76" s="1"/>
  <c r="H65" i="76" a="1"/>
  <c r="H65" i="76" s="1"/>
  <c r="I65" i="76" a="1"/>
  <c r="I65" i="76" s="1"/>
  <c r="H66" i="76" a="1"/>
  <c r="H66" i="76" s="1"/>
  <c r="I66" i="76" a="1"/>
  <c r="I66" i="76" s="1"/>
  <c r="H67" i="76" a="1"/>
  <c r="H67" i="76" s="1"/>
  <c r="I67" i="76" a="1"/>
  <c r="I67" i="76" s="1"/>
  <c r="H68" i="76" a="1"/>
  <c r="H68" i="76" s="1"/>
  <c r="I68" i="76" a="1"/>
  <c r="I68" i="76" s="1"/>
  <c r="H69" i="76" a="1"/>
  <c r="H69" i="76" s="1"/>
  <c r="I69" i="76" a="1"/>
  <c r="I69" i="76" s="1"/>
  <c r="H70" i="76" a="1"/>
  <c r="H70" i="76" s="1"/>
  <c r="I70" i="76" a="1"/>
  <c r="I70" i="76" s="1"/>
  <c r="H71" i="76" a="1"/>
  <c r="H71" i="76" s="1"/>
  <c r="I71" i="76" a="1"/>
  <c r="I71" i="76" s="1"/>
  <c r="H72" i="76" a="1"/>
  <c r="H72" i="76" s="1"/>
  <c r="I72" i="76" a="1"/>
  <c r="I72" i="76" s="1"/>
  <c r="H73" i="76" a="1"/>
  <c r="H73" i="76" s="1"/>
  <c r="I73" i="76" a="1"/>
  <c r="I73" i="76" s="1"/>
  <c r="H74" i="76" a="1"/>
  <c r="H74" i="76" s="1"/>
  <c r="I74" i="76" a="1"/>
  <c r="I74" i="76" s="1"/>
  <c r="H75" i="76" a="1"/>
  <c r="H75" i="76" s="1"/>
  <c r="I75" i="76" a="1"/>
  <c r="I75" i="76" s="1"/>
  <c r="H76" i="76" a="1"/>
  <c r="H76" i="76" s="1"/>
  <c r="I76" i="76" a="1"/>
  <c r="I76" i="76" s="1"/>
  <c r="H77" i="76" a="1"/>
  <c r="H77" i="76" s="1"/>
  <c r="I77" i="76" a="1"/>
  <c r="I77" i="76" s="1"/>
  <c r="H78" i="76" a="1"/>
  <c r="H78" i="76" s="1"/>
  <c r="I78" i="76" a="1"/>
  <c r="I78" i="76" s="1"/>
  <c r="H79" i="76" a="1"/>
  <c r="H79" i="76" s="1"/>
  <c r="I79" i="76" a="1"/>
  <c r="I79" i="76" s="1"/>
  <c r="H80" i="76" a="1"/>
  <c r="H80" i="76" s="1"/>
  <c r="I80" i="76" a="1"/>
  <c r="I80" i="76" s="1"/>
  <c r="H81" i="76" a="1"/>
  <c r="H81" i="76" s="1"/>
  <c r="I81" i="76" a="1"/>
  <c r="I81" i="76" s="1"/>
  <c r="H82" i="76" a="1"/>
  <c r="H82" i="76" s="1"/>
  <c r="I82" i="76" a="1"/>
  <c r="I82" i="76" s="1"/>
  <c r="H83" i="76" a="1"/>
  <c r="H83" i="76" s="1"/>
  <c r="I83" i="76" a="1"/>
  <c r="I83" i="76" s="1"/>
  <c r="H84" i="76" a="1"/>
  <c r="H84" i="76" s="1"/>
  <c r="I84" i="76" a="1"/>
  <c r="I84" i="76" s="1"/>
  <c r="H85" i="76" a="1"/>
  <c r="H85" i="76" s="1"/>
  <c r="I85" i="76" a="1"/>
  <c r="I85" i="76" s="1"/>
  <c r="H86" i="76" a="1"/>
  <c r="H86" i="76" s="1"/>
  <c r="I86" i="76" a="1"/>
  <c r="I86" i="76" s="1"/>
  <c r="H87" i="76" a="1"/>
  <c r="H87" i="76" s="1"/>
  <c r="I87" i="76" a="1"/>
  <c r="I87" i="76" s="1"/>
  <c r="H88" i="76" a="1"/>
  <c r="H88" i="76" s="1"/>
  <c r="I88" i="76" a="1"/>
  <c r="I88" i="76" s="1"/>
  <c r="H89" i="76" a="1"/>
  <c r="H89" i="76" s="1"/>
  <c r="I89" i="76" a="1"/>
  <c r="I89" i="76" s="1"/>
  <c r="H90" i="76" a="1"/>
  <c r="H90" i="76" s="1"/>
  <c r="I90" i="76" a="1"/>
  <c r="I90" i="76" s="1"/>
  <c r="H91" i="76" a="1"/>
  <c r="H91" i="76" s="1"/>
  <c r="I91" i="76" a="1"/>
  <c r="I91" i="76" s="1"/>
  <c r="H92" i="76" a="1"/>
  <c r="H92" i="76" s="1"/>
  <c r="I92" i="76" a="1"/>
  <c r="I92" i="76" s="1"/>
  <c r="H93" i="76" a="1"/>
  <c r="H93" i="76" s="1"/>
  <c r="I93" i="76" a="1"/>
  <c r="I93" i="76" s="1"/>
  <c r="H94" i="76" a="1"/>
  <c r="H94" i="76" s="1"/>
  <c r="I94" i="76" a="1"/>
  <c r="I94" i="76" s="1"/>
  <c r="H95" i="76" a="1"/>
  <c r="H95" i="76" s="1"/>
  <c r="I95" i="76" a="1"/>
  <c r="I95" i="76" s="1"/>
  <c r="H96" i="76" a="1"/>
  <c r="H96" i="76" s="1"/>
  <c r="I96" i="76" a="1"/>
  <c r="I96" i="76" s="1"/>
  <c r="H97" i="76" a="1"/>
  <c r="H97" i="76" s="1"/>
  <c r="I97" i="76" a="1"/>
  <c r="I97" i="76" s="1"/>
  <c r="H98" i="76" a="1"/>
  <c r="H98" i="76" s="1"/>
  <c r="I98" i="76" a="1"/>
  <c r="I98" i="76" s="1"/>
  <c r="H99" i="76" a="1"/>
  <c r="H99" i="76" s="1"/>
  <c r="I99" i="76" a="1"/>
  <c r="I99" i="76" s="1"/>
  <c r="H100" i="76" a="1"/>
  <c r="H100" i="76" s="1"/>
  <c r="I100" i="76" a="1"/>
  <c r="I100" i="76" s="1"/>
  <c r="H101" i="76" a="1"/>
  <c r="H101" i="76" s="1"/>
  <c r="I101" i="76" a="1"/>
  <c r="I101" i="76" s="1"/>
  <c r="H102" i="76" a="1"/>
  <c r="H102" i="76" s="1"/>
  <c r="I102" i="76" a="1"/>
  <c r="I102" i="76" s="1"/>
  <c r="H103" i="76" a="1"/>
  <c r="H103" i="76" s="1"/>
  <c r="I103" i="76" a="1"/>
  <c r="I103" i="76" s="1"/>
  <c r="H104" i="76" a="1"/>
  <c r="H104" i="76" s="1"/>
  <c r="I104" i="76" a="1"/>
  <c r="I104" i="76" s="1"/>
  <c r="H105" i="76" a="1"/>
  <c r="H105" i="76" s="1"/>
  <c r="I105" i="76" a="1"/>
  <c r="I105" i="76" s="1"/>
  <c r="H106" i="76" a="1"/>
  <c r="H106" i="76" s="1"/>
  <c r="I106" i="76" a="1"/>
  <c r="I106" i="76" s="1"/>
  <c r="H107" i="76" a="1"/>
  <c r="H107" i="76" s="1"/>
  <c r="I107" i="76" a="1"/>
  <c r="I107" i="76" s="1"/>
  <c r="H108" i="76" a="1"/>
  <c r="H108" i="76" s="1"/>
  <c r="I108" i="76" a="1"/>
  <c r="I108" i="76" s="1"/>
  <c r="H109" i="76" a="1"/>
  <c r="H109" i="76" s="1"/>
  <c r="I109" i="76" a="1"/>
  <c r="I109" i="76" s="1"/>
  <c r="H110" i="76" a="1"/>
  <c r="H110" i="76" s="1"/>
  <c r="I110" i="76" a="1"/>
  <c r="I110" i="76" s="1"/>
  <c r="H111" i="76" a="1"/>
  <c r="H111" i="76" s="1"/>
  <c r="I111" i="76" a="1"/>
  <c r="I111" i="76" s="1"/>
  <c r="H112" i="76" a="1"/>
  <c r="H112" i="76" s="1"/>
  <c r="I112" i="76" a="1"/>
  <c r="I112" i="76" s="1"/>
  <c r="H113" i="76" a="1"/>
  <c r="H113" i="76" s="1"/>
  <c r="I113" i="76" a="1"/>
  <c r="I113" i="76" s="1"/>
  <c r="H114" i="76" a="1"/>
  <c r="H114" i="76" s="1"/>
  <c r="I114" i="76" a="1"/>
  <c r="I114" i="76" s="1"/>
  <c r="H115" i="76" a="1"/>
  <c r="H115" i="76" s="1"/>
  <c r="I115" i="76" a="1"/>
  <c r="I115" i="76" s="1"/>
  <c r="H116" i="76" a="1"/>
  <c r="H116" i="76" s="1"/>
  <c r="I116" i="76" a="1"/>
  <c r="I116" i="76" s="1"/>
  <c r="H117" i="76" a="1"/>
  <c r="H117" i="76" s="1"/>
  <c r="I117" i="76" a="1"/>
  <c r="I117" i="76" s="1"/>
  <c r="H118" i="76" a="1"/>
  <c r="H118" i="76" s="1"/>
  <c r="I118" i="76" a="1"/>
  <c r="I118" i="76" s="1"/>
  <c r="H119" i="76" a="1"/>
  <c r="H119" i="76" s="1"/>
  <c r="B542" i="76" a="1"/>
  <c r="B542" i="76" s="1"/>
  <c r="H120" i="76" a="1"/>
  <c r="H120" i="76" s="1"/>
  <c r="I120" i="76" a="1"/>
  <c r="I120" i="76" s="1"/>
  <c r="H121" i="76" a="1"/>
  <c r="H121" i="76" s="1"/>
  <c r="I121" i="76" a="1"/>
  <c r="I121" i="76" s="1"/>
  <c r="H122" i="76" a="1"/>
  <c r="H122" i="76" s="1"/>
  <c r="I122" i="76" a="1"/>
  <c r="I122" i="76" s="1"/>
  <c r="H123" i="76" a="1"/>
  <c r="H123" i="76" s="1"/>
  <c r="I123" i="76" a="1"/>
  <c r="I123" i="76" s="1"/>
  <c r="H124" i="76" a="1"/>
  <c r="H124" i="76" s="1"/>
  <c r="I124" i="76" a="1"/>
  <c r="I124" i="76" s="1"/>
  <c r="H125" i="76" a="1"/>
  <c r="H125" i="76" s="1"/>
  <c r="I125" i="76" a="1"/>
  <c r="I125" i="76" s="1"/>
  <c r="H126" i="76" a="1"/>
  <c r="H126" i="76" s="1"/>
  <c r="I126" i="76" a="1"/>
  <c r="I126" i="76" s="1"/>
  <c r="H127" i="76" a="1"/>
  <c r="H127" i="76" s="1"/>
  <c r="I127" i="76" a="1"/>
  <c r="I127" i="76" s="1"/>
  <c r="H128" i="76" a="1"/>
  <c r="H128" i="76" s="1"/>
  <c r="I128" i="76" a="1"/>
  <c r="I128" i="76" s="1"/>
  <c r="H129" i="76" a="1"/>
  <c r="H129" i="76" s="1"/>
  <c r="I129" i="76" a="1"/>
  <c r="I129" i="76" s="1"/>
  <c r="H130" i="76" a="1"/>
  <c r="H130" i="76" s="1"/>
  <c r="I130" i="76" a="1"/>
  <c r="I130" i="76" s="1"/>
  <c r="H131" i="76" a="1"/>
  <c r="H131" i="76" s="1"/>
  <c r="I131" i="76" a="1"/>
  <c r="I131" i="76" s="1"/>
  <c r="H132" i="76" a="1"/>
  <c r="H132" i="76" s="1"/>
  <c r="I132" i="76" a="1"/>
  <c r="I132" i="76" s="1"/>
  <c r="H133" i="76" a="1"/>
  <c r="H133" i="76" s="1"/>
  <c r="I133" i="76" a="1"/>
  <c r="I133" i="76" s="1"/>
  <c r="H134" i="76" a="1"/>
  <c r="H134" i="76" s="1"/>
  <c r="I134" i="76" a="1"/>
  <c r="I134" i="76" s="1"/>
  <c r="H135" i="76" a="1"/>
  <c r="H135" i="76" s="1"/>
  <c r="I135" i="76" a="1"/>
  <c r="I135" i="76" s="1"/>
  <c r="H136" i="76" a="1"/>
  <c r="H136" i="76" s="1"/>
  <c r="I136" i="76" a="1"/>
  <c r="I136" i="76" s="1"/>
  <c r="H137" i="76" a="1"/>
  <c r="H137" i="76" s="1"/>
  <c r="I137" i="76" a="1"/>
  <c r="I137" i="76" s="1"/>
  <c r="H138" i="76" a="1"/>
  <c r="H138" i="76" s="1"/>
  <c r="I138" i="76" a="1"/>
  <c r="I138" i="76" s="1"/>
  <c r="H139" i="76" a="1"/>
  <c r="H139" i="76" s="1"/>
  <c r="I139" i="76" a="1"/>
  <c r="I139" i="76" s="1"/>
  <c r="H140" i="76" a="1"/>
  <c r="H140" i="76" s="1"/>
  <c r="I140" i="76" a="1"/>
  <c r="I140" i="76" s="1"/>
  <c r="H141" i="76" a="1"/>
  <c r="H141" i="76" s="1"/>
  <c r="I141" i="76" a="1"/>
  <c r="I141" i="76" s="1"/>
  <c r="H142" i="76" a="1"/>
  <c r="H142" i="76" s="1"/>
  <c r="I142" i="76" a="1"/>
  <c r="I142" i="76" s="1"/>
  <c r="H143" i="76" a="1"/>
  <c r="H143" i="76" s="1"/>
  <c r="I143" i="76" a="1"/>
  <c r="I143" i="76" s="1"/>
  <c r="H144" i="76" a="1"/>
  <c r="H144" i="76" s="1"/>
  <c r="I144" i="76" a="1"/>
  <c r="I144" i="76" s="1"/>
  <c r="H145" i="76" a="1"/>
  <c r="H145" i="76" s="1"/>
  <c r="I145" i="76" a="1"/>
  <c r="I145" i="76" s="1"/>
  <c r="H146" i="76" a="1"/>
  <c r="H146" i="76" s="1"/>
  <c r="I146" i="76" a="1"/>
  <c r="I146" i="76" s="1"/>
  <c r="H147" i="76" a="1"/>
  <c r="H147" i="76" s="1"/>
  <c r="I147" i="76" a="1"/>
  <c r="I147" i="76" s="1"/>
  <c r="H148" i="76" a="1"/>
  <c r="H148" i="76" s="1"/>
  <c r="I148" i="76" a="1"/>
  <c r="I148" i="76" s="1"/>
  <c r="H149" i="76" a="1"/>
  <c r="H149" i="76" s="1"/>
  <c r="I149" i="76" a="1"/>
  <c r="I149" i="76" s="1"/>
  <c r="H150" i="76" a="1"/>
  <c r="H150" i="76" s="1"/>
  <c r="I150" i="76" a="1"/>
  <c r="I150" i="76" s="1"/>
  <c r="H151" i="76" a="1"/>
  <c r="H151" i="76" s="1"/>
  <c r="I151" i="76" a="1"/>
  <c r="I151" i="76" s="1"/>
  <c r="H152" i="76" a="1"/>
  <c r="H152" i="76" s="1"/>
  <c r="I152" i="76" a="1"/>
  <c r="I152" i="76" s="1"/>
  <c r="H153" i="76" a="1"/>
  <c r="H153" i="76" s="1"/>
  <c r="I153" i="76" a="1"/>
  <c r="I153" i="76" s="1"/>
  <c r="H154" i="76" a="1"/>
  <c r="H154" i="76" s="1"/>
  <c r="I154" i="76" a="1"/>
  <c r="I154" i="76" s="1"/>
  <c r="H155" i="76" a="1"/>
  <c r="H155" i="76" s="1"/>
  <c r="I155" i="76" a="1"/>
  <c r="I155" i="76" s="1"/>
  <c r="H156" i="76" a="1"/>
  <c r="H156" i="76" s="1"/>
  <c r="I156" i="76" a="1"/>
  <c r="I156" i="76" s="1"/>
  <c r="H157" i="76" a="1"/>
  <c r="H157" i="76" s="1"/>
  <c r="I157" i="76" a="1"/>
  <c r="I157" i="76" s="1"/>
  <c r="H158" i="76" a="1"/>
  <c r="H158" i="76" s="1"/>
  <c r="I158" i="76" a="1"/>
  <c r="I158" i="76" s="1"/>
  <c r="H159" i="76" a="1"/>
  <c r="H159" i="76" s="1"/>
  <c r="I159" i="76" a="1"/>
  <c r="I159" i="76" s="1"/>
  <c r="H160" i="76" a="1"/>
  <c r="H160" i="76" s="1"/>
  <c r="I160" i="76" a="1"/>
  <c r="I160" i="76" s="1"/>
  <c r="H161" i="76" a="1"/>
  <c r="H161" i="76" s="1"/>
  <c r="I161" i="76" a="1"/>
  <c r="I161" i="76" s="1"/>
  <c r="H162" i="76" a="1"/>
  <c r="H162" i="76" s="1"/>
  <c r="I162" i="76" a="1"/>
  <c r="I162" i="76" s="1"/>
  <c r="H163" i="76" a="1"/>
  <c r="H163" i="76" s="1"/>
  <c r="I163" i="76" a="1"/>
  <c r="I163" i="76" s="1"/>
  <c r="H164" i="76" a="1"/>
  <c r="H164" i="76" s="1"/>
  <c r="I164" i="76" a="1"/>
  <c r="I164" i="76" s="1"/>
  <c r="H165" i="76" a="1"/>
  <c r="H165" i="76" s="1"/>
  <c r="I165" i="76" a="1"/>
  <c r="I165" i="76" s="1"/>
  <c r="H166" i="76" a="1"/>
  <c r="H166" i="76" s="1"/>
  <c r="I166" i="76" a="1"/>
  <c r="I166" i="76" s="1"/>
  <c r="H167" i="76" a="1"/>
  <c r="H167" i="76" s="1"/>
  <c r="I167" i="76" a="1"/>
  <c r="I167" i="76" s="1"/>
  <c r="H168" i="76" a="1"/>
  <c r="H168" i="76" s="1"/>
  <c r="I168" i="76" a="1"/>
  <c r="I168" i="76" s="1"/>
  <c r="H169" i="76" a="1"/>
  <c r="H169" i="76" s="1"/>
  <c r="I169" i="76" a="1"/>
  <c r="I169" i="76" s="1"/>
  <c r="H170" i="76" a="1"/>
  <c r="H170" i="76" s="1"/>
  <c r="I170" i="76" a="1"/>
  <c r="I170" i="76" s="1"/>
  <c r="H171" i="76" a="1"/>
  <c r="H171" i="76" s="1"/>
  <c r="I171" i="76" a="1"/>
  <c r="I171" i="76" s="1"/>
  <c r="H172" i="76" a="1"/>
  <c r="H172" i="76" s="1"/>
  <c r="I172" i="76" a="1"/>
  <c r="I172" i="76" s="1"/>
  <c r="H173" i="76" a="1"/>
  <c r="H173" i="76" s="1"/>
  <c r="I173" i="76" a="1"/>
  <c r="I173" i="76" s="1"/>
  <c r="H174" i="76" a="1"/>
  <c r="H174" i="76" s="1"/>
  <c r="I174" i="76" a="1"/>
  <c r="I174" i="76" s="1"/>
  <c r="H175" i="76" a="1"/>
  <c r="H175" i="76" s="1"/>
  <c r="I175" i="76" a="1"/>
  <c r="I175" i="76" s="1"/>
  <c r="H176" i="76" a="1"/>
  <c r="H176" i="76" s="1"/>
  <c r="I176" i="76" a="1"/>
  <c r="I176" i="76" s="1"/>
  <c r="H177" i="76" a="1"/>
  <c r="H177" i="76" s="1"/>
  <c r="I177" i="76" a="1"/>
  <c r="I177" i="76" s="1"/>
  <c r="H178" i="76" a="1"/>
  <c r="H178" i="76" s="1"/>
  <c r="I178" i="76" a="1"/>
  <c r="I178" i="76" s="1"/>
  <c r="H179" i="76" a="1"/>
  <c r="H179" i="76" s="1"/>
  <c r="I179" i="76" a="1"/>
  <c r="I179" i="76" s="1"/>
  <c r="H180" i="76" a="1"/>
  <c r="H180" i="76" s="1"/>
  <c r="I180" i="76" a="1"/>
  <c r="I180" i="76" s="1"/>
  <c r="H181" i="76" a="1"/>
  <c r="H181" i="76" s="1"/>
  <c r="I181" i="76" a="1"/>
  <c r="I181" i="76" s="1"/>
  <c r="H182" i="76" a="1"/>
  <c r="H182" i="76" s="1"/>
  <c r="I182" i="76" a="1"/>
  <c r="I182" i="76" s="1"/>
  <c r="I3" i="76" a="1"/>
  <c r="I3" i="76" s="1"/>
  <c r="H3" i="76" a="1"/>
  <c r="H3" i="76" s="1"/>
  <c r="CI192" i="1" l="1"/>
  <c r="BA261" i="1"/>
  <c r="BQ261" i="1"/>
  <c r="BW261" i="1" s="1"/>
  <c r="BY261" i="1" s="1"/>
  <c r="BQ251" i="1"/>
  <c r="BW251" i="1" s="1"/>
  <c r="BX251" i="1" s="1"/>
  <c r="BQ266" i="1"/>
  <c r="BW266" i="1" s="1"/>
  <c r="BY266" i="1" s="1"/>
  <c r="BA266" i="1"/>
  <c r="BA265" i="1"/>
  <c r="BQ265" i="1"/>
  <c r="BW265" i="1" s="1"/>
  <c r="BY265" i="1" s="1"/>
  <c r="BA262" i="1"/>
  <c r="BQ262" i="1"/>
  <c r="BW262" i="1" s="1"/>
  <c r="BY262" i="1" s="1"/>
  <c r="BQ260" i="1"/>
  <c r="BW260" i="1" s="1"/>
  <c r="BY260" i="1" s="1"/>
  <c r="BA260" i="1"/>
  <c r="BQ258" i="1"/>
  <c r="BW258" i="1" s="1"/>
  <c r="BY258" i="1" s="1"/>
  <c r="BA258" i="1"/>
  <c r="BA257" i="1"/>
  <c r="BQ257" i="1"/>
  <c r="BW257" i="1" s="1"/>
  <c r="BY257" i="1" s="1"/>
  <c r="BQ255" i="1"/>
  <c r="BW255" i="1" s="1"/>
  <c r="BX255" i="1" s="1"/>
  <c r="BA253" i="1"/>
  <c r="BQ253" i="1"/>
  <c r="BW253" i="1" s="1"/>
  <c r="BA252" i="1"/>
  <c r="BQ252" i="1"/>
  <c r="BW252" i="1" s="1"/>
  <c r="BY252" i="1" s="1"/>
  <c r="BX262" i="1"/>
  <c r="BX256" i="1"/>
  <c r="BX263" i="1"/>
  <c r="BX259" i="1"/>
  <c r="DB253" i="1"/>
  <c r="DB264" i="1"/>
  <c r="DA262" i="1"/>
  <c r="DC262" i="1" s="1"/>
  <c r="DB260" i="1"/>
  <c r="DB256" i="1"/>
  <c r="DA254" i="1"/>
  <c r="DC254" i="1" s="1"/>
  <c r="DB261" i="1"/>
  <c r="DB252" i="1"/>
  <c r="DA265" i="1"/>
  <c r="DC265" i="1" s="1"/>
  <c r="DA257" i="1"/>
  <c r="DC257" i="1" s="1"/>
  <c r="DA266" i="1"/>
  <c r="DC266" i="1" s="1"/>
  <c r="DA258" i="1"/>
  <c r="DC258" i="1" s="1"/>
  <c r="DB267" i="1"/>
  <c r="DB263" i="1"/>
  <c r="DB259" i="1"/>
  <c r="DB255" i="1"/>
  <c r="DB251" i="1"/>
  <c r="CK26" i="1"/>
  <c r="CI204" i="1"/>
  <c r="CK132" i="1"/>
  <c r="CL132" i="1"/>
  <c r="CI186" i="1"/>
  <c r="CH249" i="1"/>
  <c r="C246" i="76" s="1" a="1"/>
  <c r="C246" i="76" s="1"/>
  <c r="CI218" i="1"/>
  <c r="CI217" i="1"/>
  <c r="CI248" i="1"/>
  <c r="CK248" i="1" s="1"/>
  <c r="CI247" i="1"/>
  <c r="CK247" i="1" s="1"/>
  <c r="CI246" i="1"/>
  <c r="CK246" i="1" s="1"/>
  <c r="CI245" i="1"/>
  <c r="CK245" i="1" s="1"/>
  <c r="CI241" i="1"/>
  <c r="CK241" i="1" s="1"/>
  <c r="CI210" i="1"/>
  <c r="CK210" i="1" s="1"/>
  <c r="CI207" i="1"/>
  <c r="CK207" i="1" s="1"/>
  <c r="CK206" i="1"/>
  <c r="BX187" i="1"/>
  <c r="C193" i="76" a="1"/>
  <c r="C193" i="76" s="1"/>
  <c r="C247" i="76" a="1"/>
  <c r="C247" i="76" s="1"/>
  <c r="C185" i="76" a="1"/>
  <c r="C185" i="76" s="1"/>
  <c r="C212" i="76" a="1"/>
  <c r="C212" i="76" s="1"/>
  <c r="C235" i="76" a="1"/>
  <c r="C235" i="76" s="1"/>
  <c r="C223" i="76" a="1"/>
  <c r="C223" i="76" s="1"/>
  <c r="C203" i="76" a="1"/>
  <c r="C203" i="76" s="1"/>
  <c r="C219" i="76" a="1"/>
  <c r="C219" i="76" s="1"/>
  <c r="BX215" i="1"/>
  <c r="C230" i="76" a="1"/>
  <c r="C230" i="76" s="1"/>
  <c r="C210" i="76" a="1"/>
  <c r="C210" i="76" s="1"/>
  <c r="BX212" i="1"/>
  <c r="BX200" i="1"/>
  <c r="C227" i="76" a="1"/>
  <c r="C227" i="76" s="1"/>
  <c r="C195" i="76" a="1"/>
  <c r="C195" i="76" s="1"/>
  <c r="C196" i="76" a="1"/>
  <c r="C196" i="76" s="1"/>
  <c r="C217" i="76" a="1"/>
  <c r="C217" i="76" s="1"/>
  <c r="C209" i="76" a="1"/>
  <c r="C209" i="76" s="1"/>
  <c r="C184" i="76" a="1"/>
  <c r="C184" i="76" s="1"/>
  <c r="BX226" i="1"/>
  <c r="BX238" i="1"/>
  <c r="C234" i="76" a="1"/>
  <c r="C234" i="76" s="1"/>
  <c r="C222" i="76" a="1"/>
  <c r="C222" i="76" s="1"/>
  <c r="C197" i="76" a="1"/>
  <c r="C197" i="76" s="1"/>
  <c r="BX198" i="1"/>
  <c r="BX230" i="1"/>
  <c r="C211" i="76" a="1"/>
  <c r="C211" i="76" s="1"/>
  <c r="C191" i="76" a="1"/>
  <c r="C191" i="76" s="1"/>
  <c r="BA248" i="1"/>
  <c r="BQ248" i="1"/>
  <c r="BW248" i="1" s="1"/>
  <c r="BY248" i="1" s="1"/>
  <c r="BQ247" i="1"/>
  <c r="BW247" i="1" s="1"/>
  <c r="BY247" i="1" s="1"/>
  <c r="BA247" i="1"/>
  <c r="BA246" i="1"/>
  <c r="BQ246" i="1"/>
  <c r="BW246" i="1" s="1"/>
  <c r="BY246" i="1" s="1"/>
  <c r="DA250" i="1"/>
  <c r="DC250" i="1" s="1"/>
  <c r="CV250" i="1"/>
  <c r="BQ250" i="1"/>
  <c r="BW250" i="1" s="1"/>
  <c r="C199" i="76" a="1"/>
  <c r="C199" i="76" s="1"/>
  <c r="C241" i="76" a="1"/>
  <c r="C241" i="76" s="1"/>
  <c r="C240" i="76" a="1"/>
  <c r="C240" i="76" s="1"/>
  <c r="C239" i="76" a="1"/>
  <c r="C239" i="76" s="1"/>
  <c r="C237" i="76" a="1"/>
  <c r="C237" i="76" s="1"/>
  <c r="C236" i="76" a="1"/>
  <c r="C236" i="76" s="1"/>
  <c r="C233" i="76" a="1"/>
  <c r="C233" i="76" s="1"/>
  <c r="C232" i="76" a="1"/>
  <c r="C232" i="76" s="1"/>
  <c r="C231" i="76" a="1"/>
  <c r="C231" i="76" s="1"/>
  <c r="C229" i="76" a="1"/>
  <c r="C229" i="76" s="1"/>
  <c r="C228" i="76" a="1"/>
  <c r="C228" i="76" s="1"/>
  <c r="C226" i="76" a="1"/>
  <c r="C226" i="76" s="1"/>
  <c r="C225" i="76" a="1"/>
  <c r="C225" i="76" s="1"/>
  <c r="C224" i="76" a="1"/>
  <c r="C224" i="76" s="1"/>
  <c r="C221" i="76" a="1"/>
  <c r="C221" i="76" s="1"/>
  <c r="C220" i="76" a="1"/>
  <c r="C220" i="76" s="1"/>
  <c r="C218" i="76" a="1"/>
  <c r="C218" i="76" s="1"/>
  <c r="C213" i="76" a="1"/>
  <c r="C213" i="76" s="1"/>
  <c r="C208" i="76" a="1"/>
  <c r="C208" i="76" s="1"/>
  <c r="C206" i="76" a="1"/>
  <c r="C206" i="76" s="1"/>
  <c r="C205" i="76" a="1"/>
  <c r="C205" i="76" s="1"/>
  <c r="C202" i="76" a="1"/>
  <c r="C202" i="76" s="1"/>
  <c r="C200" i="76" a="1"/>
  <c r="C200" i="76" s="1"/>
  <c r="C198" i="76" a="1"/>
  <c r="C198" i="76" s="1"/>
  <c r="C192" i="76" a="1"/>
  <c r="C192" i="76" s="1"/>
  <c r="C190" i="76" a="1"/>
  <c r="C190" i="76" s="1"/>
  <c r="C188" i="76" a="1"/>
  <c r="C188" i="76" s="1"/>
  <c r="C187" i="76" a="1"/>
  <c r="C187" i="76" s="1"/>
  <c r="C186" i="76" a="1"/>
  <c r="C186" i="76" s="1"/>
  <c r="BQ213" i="1"/>
  <c r="BW213" i="1" s="1"/>
  <c r="BY213" i="1" s="1"/>
  <c r="BX237" i="1"/>
  <c r="BQ225" i="1"/>
  <c r="BW225" i="1" s="1"/>
  <c r="BY225" i="1" s="1"/>
  <c r="BX220" i="1"/>
  <c r="BX196" i="1"/>
  <c r="BA186" i="1"/>
  <c r="BQ186" i="1"/>
  <c r="BW186" i="1" s="1"/>
  <c r="BY186" i="1" s="1"/>
  <c r="BX233" i="1"/>
  <c r="BQ185" i="1"/>
  <c r="BW185" i="1" s="1"/>
  <c r="BY185" i="1" s="1"/>
  <c r="DA244" i="1"/>
  <c r="DC244" i="1" s="1"/>
  <c r="DA236" i="1"/>
  <c r="DC236" i="1" s="1"/>
  <c r="DA228" i="1"/>
  <c r="DC228" i="1" s="1"/>
  <c r="DA220" i="1"/>
  <c r="DC220" i="1" s="1"/>
  <c r="DA200" i="1"/>
  <c r="DC200" i="1" s="1"/>
  <c r="DA192" i="1"/>
  <c r="DC192" i="1" s="1"/>
  <c r="DA218" i="1"/>
  <c r="DC218" i="1" s="1"/>
  <c r="DA247" i="1"/>
  <c r="DC247" i="1" s="1"/>
  <c r="DA243" i="1"/>
  <c r="DC243" i="1" s="1"/>
  <c r="DA239" i="1"/>
  <c r="DC239" i="1" s="1"/>
  <c r="DA235" i="1"/>
  <c r="DC235" i="1" s="1"/>
  <c r="DA231" i="1"/>
  <c r="DC231" i="1" s="1"/>
  <c r="DA227" i="1"/>
  <c r="DC227" i="1" s="1"/>
  <c r="DA223" i="1"/>
  <c r="DC223" i="1" s="1"/>
  <c r="DA219" i="1"/>
  <c r="DC219" i="1" s="1"/>
  <c r="DA215" i="1"/>
  <c r="DC215" i="1" s="1"/>
  <c r="BQ231" i="1"/>
  <c r="BW231" i="1" s="1"/>
  <c r="BY231" i="1" s="1"/>
  <c r="BA245" i="1"/>
  <c r="BQ245" i="1"/>
  <c r="BW245" i="1" s="1"/>
  <c r="BY245" i="1" s="1"/>
  <c r="BQ214" i="1"/>
  <c r="BW214" i="1" s="1"/>
  <c r="BY214" i="1" s="1"/>
  <c r="BQ206" i="1"/>
  <c r="BW206" i="1" s="1"/>
  <c r="BY206" i="1" s="1"/>
  <c r="DA211" i="1"/>
  <c r="DC211" i="1" s="1"/>
  <c r="DA207" i="1"/>
  <c r="DC207" i="1" s="1"/>
  <c r="DA203" i="1"/>
  <c r="DC203" i="1" s="1"/>
  <c r="DA199" i="1"/>
  <c r="DC199" i="1" s="1"/>
  <c r="DA195" i="1"/>
  <c r="DC195" i="1" s="1"/>
  <c r="DA191" i="1"/>
  <c r="DC191" i="1" s="1"/>
  <c r="DA187" i="1"/>
  <c r="DC187" i="1" s="1"/>
  <c r="BQ222" i="1"/>
  <c r="BW222" i="1" s="1"/>
  <c r="BY222" i="1" s="1"/>
  <c r="BQ194" i="1"/>
  <c r="BW194" i="1" s="1"/>
  <c r="BY194" i="1" s="1"/>
  <c r="BA231" i="1"/>
  <c r="DA249" i="1"/>
  <c r="DC249" i="1" s="1"/>
  <c r="DA245" i="1"/>
  <c r="DC245" i="1" s="1"/>
  <c r="DA241" i="1"/>
  <c r="DC241" i="1" s="1"/>
  <c r="DA237" i="1"/>
  <c r="DC237" i="1" s="1"/>
  <c r="DA233" i="1"/>
  <c r="DC233" i="1" s="1"/>
  <c r="DA225" i="1"/>
  <c r="DC225" i="1" s="1"/>
  <c r="DA221" i="1"/>
  <c r="DC221" i="1" s="1"/>
  <c r="DA213" i="1"/>
  <c r="DC213" i="1" s="1"/>
  <c r="DA209" i="1"/>
  <c r="DC209" i="1" s="1"/>
  <c r="DA201" i="1"/>
  <c r="DC201" i="1" s="1"/>
  <c r="DA197" i="1"/>
  <c r="DC197" i="1" s="1"/>
  <c r="DA189" i="1"/>
  <c r="DC189" i="1" s="1"/>
  <c r="DA185" i="1"/>
  <c r="DC185" i="1" s="1"/>
  <c r="BQ249" i="1"/>
  <c r="BW249" i="1" s="1"/>
  <c r="BA249" i="1"/>
  <c r="BA242" i="1"/>
  <c r="BQ242" i="1"/>
  <c r="BW242" i="1" s="1"/>
  <c r="BA241" i="1"/>
  <c r="BQ241" i="1"/>
  <c r="BW241" i="1" s="1"/>
  <c r="BQ239" i="1"/>
  <c r="BW239" i="1" s="1"/>
  <c r="BY239" i="1" s="1"/>
  <c r="BA239" i="1"/>
  <c r="BQ236" i="1"/>
  <c r="BW236" i="1" s="1"/>
  <c r="BA236" i="1"/>
  <c r="BA235" i="1"/>
  <c r="BQ235" i="1"/>
  <c r="BW235" i="1" s="1"/>
  <c r="BQ234" i="1"/>
  <c r="BW234" i="1" s="1"/>
  <c r="BY234" i="1" s="1"/>
  <c r="BA234" i="1"/>
  <c r="BA232" i="1"/>
  <c r="BQ232" i="1"/>
  <c r="BW232" i="1" s="1"/>
  <c r="BQ228" i="1"/>
  <c r="BW228" i="1" s="1"/>
  <c r="BA228" i="1"/>
  <c r="BA224" i="1"/>
  <c r="BQ224" i="1"/>
  <c r="BW224" i="1" s="1"/>
  <c r="BA223" i="1"/>
  <c r="BQ223" i="1"/>
  <c r="BW223" i="1" s="1"/>
  <c r="BQ221" i="1"/>
  <c r="BW221" i="1" s="1"/>
  <c r="BA221" i="1"/>
  <c r="BA219" i="1"/>
  <c r="BQ219" i="1"/>
  <c r="BW219" i="1" s="1"/>
  <c r="BA218" i="1"/>
  <c r="BQ218" i="1"/>
  <c r="BW218" i="1" s="1"/>
  <c r="BA217" i="1"/>
  <c r="BQ217" i="1"/>
  <c r="BW217" i="1" s="1"/>
  <c r="BQ216" i="1"/>
  <c r="BW216" i="1" s="1"/>
  <c r="BA216" i="1"/>
  <c r="BA211" i="1"/>
  <c r="BQ211" i="1"/>
  <c r="BW211" i="1" s="1"/>
  <c r="BA210" i="1"/>
  <c r="BQ210" i="1"/>
  <c r="BW210" i="1" s="1"/>
  <c r="BA209" i="1"/>
  <c r="BQ209" i="1"/>
  <c r="BW209" i="1" s="1"/>
  <c r="BQ207" i="1"/>
  <c r="BW207" i="1" s="1"/>
  <c r="BA207" i="1"/>
  <c r="BA205" i="1"/>
  <c r="BQ205" i="1"/>
  <c r="BW205" i="1" s="1"/>
  <c r="BA204" i="1"/>
  <c r="BQ204" i="1"/>
  <c r="BW204" i="1" s="1"/>
  <c r="BA203" i="1"/>
  <c r="BQ203" i="1"/>
  <c r="BW203" i="1" s="1"/>
  <c r="BQ202" i="1"/>
  <c r="BW202" i="1" s="1"/>
  <c r="BA202" i="1"/>
  <c r="BA201" i="1"/>
  <c r="BQ201" i="1"/>
  <c r="BW201" i="1" s="1"/>
  <c r="BA197" i="1"/>
  <c r="BQ197" i="1"/>
  <c r="BW197" i="1" s="1"/>
  <c r="BA192" i="1"/>
  <c r="BQ192" i="1"/>
  <c r="BW192" i="1" s="1"/>
  <c r="BQ191" i="1"/>
  <c r="BW191" i="1" s="1"/>
  <c r="BA191" i="1"/>
  <c r="DB213" i="1"/>
  <c r="DA229" i="1"/>
  <c r="DC229" i="1" s="1"/>
  <c r="DB207" i="1"/>
  <c r="DB245" i="1"/>
  <c r="DB201" i="1"/>
  <c r="DA217" i="1"/>
  <c r="DC217" i="1" s="1"/>
  <c r="DA205" i="1"/>
  <c r="DC205" i="1" s="1"/>
  <c r="DB200" i="1"/>
  <c r="DA204" i="1"/>
  <c r="DC204" i="1" s="1"/>
  <c r="DB192" i="1"/>
  <c r="DA196" i="1"/>
  <c r="DC196" i="1" s="1"/>
  <c r="DA212" i="1"/>
  <c r="DC212" i="1" s="1"/>
  <c r="DB241" i="1"/>
  <c r="DB225" i="1"/>
  <c r="DB209" i="1"/>
  <c r="DB189" i="1"/>
  <c r="DA193" i="1"/>
  <c r="DC193" i="1" s="1"/>
  <c r="DB237" i="1"/>
  <c r="DB221" i="1"/>
  <c r="DB197" i="1"/>
  <c r="DB185" i="1"/>
  <c r="DB249" i="1"/>
  <c r="DB233" i="1"/>
  <c r="DB244" i="1"/>
  <c r="DB236" i="1"/>
  <c r="DB228" i="1"/>
  <c r="DB220" i="1"/>
  <c r="DA248" i="1"/>
  <c r="DC248" i="1" s="1"/>
  <c r="DA240" i="1"/>
  <c r="DC240" i="1" s="1"/>
  <c r="DA232" i="1"/>
  <c r="DC232" i="1" s="1"/>
  <c r="DA224" i="1"/>
  <c r="DC224" i="1" s="1"/>
  <c r="DA188" i="1"/>
  <c r="DC188" i="1" s="1"/>
  <c r="DA216" i="1"/>
  <c r="DC216" i="1" s="1"/>
  <c r="DA208" i="1"/>
  <c r="DC208" i="1" s="1"/>
  <c r="DA190" i="1"/>
  <c r="DC190" i="1" s="1"/>
  <c r="DA222" i="1"/>
  <c r="DC222" i="1" s="1"/>
  <c r="DA202" i="1"/>
  <c r="DC202" i="1" s="1"/>
  <c r="DA186" i="1"/>
  <c r="DC186" i="1" s="1"/>
  <c r="DB191" i="1"/>
  <c r="DB239" i="1"/>
  <c r="DA234" i="1"/>
  <c r="DC234" i="1" s="1"/>
  <c r="DB223" i="1"/>
  <c r="DA238" i="1"/>
  <c r="DC238" i="1" s="1"/>
  <c r="DA206" i="1"/>
  <c r="DC206" i="1" s="1"/>
  <c r="DB243" i="1"/>
  <c r="DB227" i="1"/>
  <c r="DB211" i="1"/>
  <c r="DB195" i="1"/>
  <c r="DB247" i="1"/>
  <c r="DB231" i="1"/>
  <c r="DB215" i="1"/>
  <c r="DB199" i="1"/>
  <c r="DA242" i="1"/>
  <c r="DC242" i="1" s="1"/>
  <c r="DA226" i="1"/>
  <c r="DC226" i="1" s="1"/>
  <c r="DA210" i="1"/>
  <c r="DC210" i="1" s="1"/>
  <c r="DA194" i="1"/>
  <c r="DC194" i="1" s="1"/>
  <c r="DB235" i="1"/>
  <c r="DB219" i="1"/>
  <c r="DB203" i="1"/>
  <c r="DB187" i="1"/>
  <c r="DA246" i="1"/>
  <c r="DC246" i="1" s="1"/>
  <c r="DA230" i="1"/>
  <c r="DC230" i="1" s="1"/>
  <c r="DA214" i="1"/>
  <c r="DC214" i="1" s="1"/>
  <c r="DA198" i="1"/>
  <c r="DC198" i="1" s="1"/>
  <c r="BA8" i="1"/>
  <c r="BA9" i="1"/>
  <c r="BA10" i="1"/>
  <c r="BA15" i="1"/>
  <c r="BA16" i="1"/>
  <c r="BA17" i="1"/>
  <c r="BA23" i="1"/>
  <c r="BA25" i="1"/>
  <c r="BA29" i="1"/>
  <c r="BA30" i="1"/>
  <c r="BA33" i="1"/>
  <c r="BA35" i="1"/>
  <c r="BA42" i="1"/>
  <c r="BA43" i="1"/>
  <c r="BA45" i="1"/>
  <c r="BA46" i="1"/>
  <c r="BA47" i="1"/>
  <c r="BA48" i="1"/>
  <c r="BA50" i="1"/>
  <c r="BA53" i="1"/>
  <c r="BA54" i="1"/>
  <c r="BA55" i="1"/>
  <c r="BA60" i="1"/>
  <c r="BA61" i="1"/>
  <c r="BA62" i="1"/>
  <c r="BA65" i="1"/>
  <c r="BA70" i="1"/>
  <c r="BA74" i="1"/>
  <c r="BA76" i="1"/>
  <c r="BA77" i="1"/>
  <c r="BA80" i="1"/>
  <c r="BA82" i="1"/>
  <c r="BA84" i="1"/>
  <c r="BA85" i="1"/>
  <c r="BA86" i="1"/>
  <c r="BA88" i="1"/>
  <c r="BA90" i="1"/>
  <c r="BA94" i="1"/>
  <c r="BA102" i="1"/>
  <c r="BA103" i="1"/>
  <c r="BA105" i="1"/>
  <c r="BA108" i="1"/>
  <c r="BA110" i="1"/>
  <c r="BA113" i="1"/>
  <c r="BA114" i="1"/>
  <c r="BA118" i="1"/>
  <c r="BA119" i="1"/>
  <c r="BA120" i="1"/>
  <c r="BA121" i="1"/>
  <c r="BA122" i="1"/>
  <c r="BA124" i="1"/>
  <c r="BA125" i="1"/>
  <c r="BA126" i="1"/>
  <c r="BA127" i="1"/>
  <c r="BA129" i="1"/>
  <c r="BA134" i="1"/>
  <c r="BA136" i="1"/>
  <c r="BA138" i="1"/>
  <c r="BA144" i="1"/>
  <c r="BA145" i="1"/>
  <c r="BA148" i="1"/>
  <c r="BA149" i="1"/>
  <c r="BA153" i="1"/>
  <c r="BA154" i="1"/>
  <c r="BA160" i="1"/>
  <c r="BA161" i="1"/>
  <c r="BA163" i="1"/>
  <c r="BA165" i="1"/>
  <c r="BA166" i="1"/>
  <c r="BA168" i="1"/>
  <c r="BA169" i="1"/>
  <c r="BA170" i="1"/>
  <c r="BA171" i="1"/>
  <c r="BA178" i="1"/>
  <c r="BA180" i="1"/>
  <c r="BA181" i="1"/>
  <c r="BA182" i="1"/>
  <c r="BA183" i="1"/>
  <c r="BA184" i="1"/>
  <c r="CX184" i="1"/>
  <c r="CD184" i="1"/>
  <c r="CJ184" i="1"/>
  <c r="CH184" i="1" s="1"/>
  <c r="CA184" i="1"/>
  <c r="BR184" i="1"/>
  <c r="BH184" i="1"/>
  <c r="BI184" i="1" s="1"/>
  <c r="AZ184" i="1"/>
  <c r="AY184" i="1"/>
  <c r="AX184" i="1"/>
  <c r="AW184" i="1"/>
  <c r="AV184" i="1"/>
  <c r="AU184" i="1"/>
  <c r="BX48" i="1"/>
  <c r="BQ90" i="1"/>
  <c r="BW90" i="1" s="1"/>
  <c r="BY90" i="1" s="1"/>
  <c r="BX127" i="1"/>
  <c r="BQ179" i="1"/>
  <c r="BW179" i="1" s="1"/>
  <c r="BY179" i="1" s="1"/>
  <c r="BQ30" i="1"/>
  <c r="BW30" i="1" s="1"/>
  <c r="BY30" i="1" s="1"/>
  <c r="BX42" i="1"/>
  <c r="BX55" i="1"/>
  <c r="BQ82" i="1"/>
  <c r="BW82" i="1" s="1"/>
  <c r="BY82" i="1" s="1"/>
  <c r="BQ119" i="1"/>
  <c r="BW119" i="1" s="1"/>
  <c r="BY119" i="1" s="1"/>
  <c r="BQ138" i="1"/>
  <c r="BW138" i="1" s="1"/>
  <c r="BY138" i="1" s="1"/>
  <c r="BX149" i="1"/>
  <c r="BX154" i="1"/>
  <c r="BX180" i="1"/>
  <c r="BQ183" i="1"/>
  <c r="BW183" i="1" s="1"/>
  <c r="BY183" i="1" s="1"/>
  <c r="G26" i="57"/>
  <c r="H26" i="57" s="1"/>
  <c r="E26" i="57"/>
  <c r="H184" i="76" a="1"/>
  <c r="H184" i="76" s="1"/>
  <c r="H185" i="76" a="1"/>
  <c r="H185" i="76" s="1"/>
  <c r="BX103" i="1"/>
  <c r="BX169" i="1"/>
  <c r="E27" i="57"/>
  <c r="E28" i="57"/>
  <c r="E29" i="57"/>
  <c r="E30" i="57"/>
  <c r="E31" i="57"/>
  <c r="E32" i="57"/>
  <c r="E33" i="57"/>
  <c r="E34" i="57"/>
  <c r="E35" i="57"/>
  <c r="E36" i="57"/>
  <c r="E37" i="57"/>
  <c r="E38" i="57"/>
  <c r="C1" i="78"/>
  <c r="D26" i="57" a="1"/>
  <c r="D26" i="57" s="1"/>
  <c r="CD12" i="1"/>
  <c r="CD11" i="1"/>
  <c r="AU155" i="1"/>
  <c r="AV155" i="1"/>
  <c r="AW155" i="1"/>
  <c r="AX155" i="1"/>
  <c r="AY155" i="1"/>
  <c r="AZ155" i="1"/>
  <c r="BH155" i="1"/>
  <c r="BI155" i="1" s="1"/>
  <c r="BR155" i="1"/>
  <c r="BS155" i="1"/>
  <c r="CA155" i="1"/>
  <c r="P125" i="78"/>
  <c r="R125" i="78" s="1"/>
  <c r="S125" i="78" s="1"/>
  <c r="CD155" i="1"/>
  <c r="CX155" i="1"/>
  <c r="D28" i="57" a="1"/>
  <c r="D28" i="57" s="1"/>
  <c r="A3" i="76" a="1"/>
  <c r="A3" i="76" s="1"/>
  <c r="A501" i="76" a="1"/>
  <c r="A501" i="76" s="1"/>
  <c r="A500" i="76" a="1"/>
  <c r="A500" i="76" s="1"/>
  <c r="A499" i="76" a="1"/>
  <c r="A499" i="76" s="1"/>
  <c r="A498" i="76" a="1"/>
  <c r="A498" i="76" s="1"/>
  <c r="A497" i="76" a="1"/>
  <c r="A497" i="76" s="1"/>
  <c r="A496" i="76" a="1"/>
  <c r="A496" i="76" s="1"/>
  <c r="A495" i="76" a="1"/>
  <c r="A495" i="76" s="1"/>
  <c r="A494" i="76" a="1"/>
  <c r="A494" i="76" s="1"/>
  <c r="A493" i="76" a="1"/>
  <c r="A493" i="76" s="1"/>
  <c r="A492" i="76" a="1"/>
  <c r="A492" i="76" s="1"/>
  <c r="A491" i="76" a="1"/>
  <c r="A491" i="76" s="1"/>
  <c r="A490" i="76" a="1"/>
  <c r="A490" i="76" s="1"/>
  <c r="A489" i="76" a="1"/>
  <c r="A489" i="76" s="1"/>
  <c r="A488" i="76" a="1"/>
  <c r="A488" i="76" s="1"/>
  <c r="A487" i="76" a="1"/>
  <c r="A487" i="76" s="1"/>
  <c r="A486" i="76" a="1"/>
  <c r="A486" i="76" s="1"/>
  <c r="A485" i="76" a="1"/>
  <c r="A485" i="76" s="1"/>
  <c r="A484" i="76" a="1"/>
  <c r="A484" i="76" s="1"/>
  <c r="A483" i="76" a="1"/>
  <c r="A483" i="76" s="1"/>
  <c r="A482" i="76" a="1"/>
  <c r="A482" i="76" s="1"/>
  <c r="A481" i="76" a="1"/>
  <c r="A481" i="76" s="1"/>
  <c r="A480" i="76" a="1"/>
  <c r="A480" i="76" s="1"/>
  <c r="A479" i="76" a="1"/>
  <c r="A479" i="76" s="1"/>
  <c r="A478" i="76" a="1"/>
  <c r="A478" i="76" s="1"/>
  <c r="A477" i="76" a="1"/>
  <c r="A477" i="76" s="1"/>
  <c r="A476" i="76" a="1"/>
  <c r="A476" i="76" s="1"/>
  <c r="A475" i="76" a="1"/>
  <c r="A475" i="76" s="1"/>
  <c r="A474" i="76" a="1"/>
  <c r="A474" i="76" s="1"/>
  <c r="A473" i="76" a="1"/>
  <c r="A473" i="76" s="1"/>
  <c r="A472" i="76" a="1"/>
  <c r="A472" i="76" s="1"/>
  <c r="A471" i="76" a="1"/>
  <c r="A471" i="76" s="1"/>
  <c r="A470" i="76" a="1"/>
  <c r="A470" i="76" s="1"/>
  <c r="A469" i="76" a="1"/>
  <c r="A469" i="76" s="1"/>
  <c r="A468" i="76" a="1"/>
  <c r="A468" i="76" s="1"/>
  <c r="A467" i="76" a="1"/>
  <c r="A467" i="76" s="1"/>
  <c r="A466" i="76" a="1"/>
  <c r="A466" i="76" s="1"/>
  <c r="A465" i="76" a="1"/>
  <c r="A465" i="76" s="1"/>
  <c r="A464" i="76" a="1"/>
  <c r="A464" i="76" s="1"/>
  <c r="A463" i="76" a="1"/>
  <c r="A463" i="76" s="1"/>
  <c r="A462" i="76" a="1"/>
  <c r="A462" i="76" s="1"/>
  <c r="A461" i="76" a="1"/>
  <c r="A461" i="76" s="1"/>
  <c r="A460" i="76" a="1"/>
  <c r="A460" i="76" s="1"/>
  <c r="A459" i="76" a="1"/>
  <c r="A459" i="76" s="1"/>
  <c r="A458" i="76" a="1"/>
  <c r="A458" i="76" s="1"/>
  <c r="A457" i="76" a="1"/>
  <c r="A457" i="76" s="1"/>
  <c r="A456" i="76" a="1"/>
  <c r="A456" i="76" s="1"/>
  <c r="A455" i="76" a="1"/>
  <c r="A455" i="76" s="1"/>
  <c r="A454" i="76" a="1"/>
  <c r="A454" i="76" s="1"/>
  <c r="A453" i="76" a="1"/>
  <c r="A453" i="76" s="1"/>
  <c r="A452" i="76" a="1"/>
  <c r="A452" i="76" s="1"/>
  <c r="A451" i="76" a="1"/>
  <c r="A451" i="76" s="1"/>
  <c r="A450" i="76" a="1"/>
  <c r="A450" i="76" s="1"/>
  <c r="A449" i="76" a="1"/>
  <c r="A449" i="76" s="1"/>
  <c r="A448" i="76" a="1"/>
  <c r="A448" i="76" s="1"/>
  <c r="A447" i="76" a="1"/>
  <c r="A447" i="76" s="1"/>
  <c r="A446" i="76" a="1"/>
  <c r="A446" i="76" s="1"/>
  <c r="A445" i="76" a="1"/>
  <c r="A445" i="76" s="1"/>
  <c r="A444" i="76" a="1"/>
  <c r="A444" i="76" s="1"/>
  <c r="A443" i="76" a="1"/>
  <c r="A443" i="76" s="1"/>
  <c r="A442" i="76" a="1"/>
  <c r="A442" i="76" s="1"/>
  <c r="A441" i="76" a="1"/>
  <c r="A441" i="76" s="1"/>
  <c r="A440" i="76" a="1"/>
  <c r="A440" i="76" s="1"/>
  <c r="A439" i="76" a="1"/>
  <c r="A439" i="76" s="1"/>
  <c r="A438" i="76" a="1"/>
  <c r="A438" i="76" s="1"/>
  <c r="A437" i="76" a="1"/>
  <c r="A437" i="76" s="1"/>
  <c r="A436" i="76" a="1"/>
  <c r="A436" i="76" s="1"/>
  <c r="A435" i="76" a="1"/>
  <c r="A435" i="76" s="1"/>
  <c r="A434" i="76" a="1"/>
  <c r="A434" i="76" s="1"/>
  <c r="A433" i="76" a="1"/>
  <c r="A433" i="76" s="1"/>
  <c r="A432" i="76" a="1"/>
  <c r="A432" i="76" s="1"/>
  <c r="A431" i="76" a="1"/>
  <c r="A431" i="76" s="1"/>
  <c r="A430" i="76" a="1"/>
  <c r="A430" i="76" s="1"/>
  <c r="A429" i="76" a="1"/>
  <c r="A429" i="76" s="1"/>
  <c r="A428" i="76" a="1"/>
  <c r="A428" i="76" s="1"/>
  <c r="A427" i="76" a="1"/>
  <c r="A427" i="76" s="1"/>
  <c r="A426" i="76" a="1"/>
  <c r="A426" i="76" s="1"/>
  <c r="A425" i="76" a="1"/>
  <c r="A425" i="76" s="1"/>
  <c r="A424" i="76" a="1"/>
  <c r="A424" i="76" s="1"/>
  <c r="A423" i="76" a="1"/>
  <c r="A423" i="76" s="1"/>
  <c r="A422" i="76" a="1"/>
  <c r="A422" i="76" s="1"/>
  <c r="A421" i="76" a="1"/>
  <c r="A421" i="76" s="1"/>
  <c r="A420" i="76" a="1"/>
  <c r="A420" i="76" s="1"/>
  <c r="A419" i="76" a="1"/>
  <c r="A419" i="76" s="1"/>
  <c r="A418" i="76" a="1"/>
  <c r="A418" i="76" s="1"/>
  <c r="A417" i="76" a="1"/>
  <c r="A417" i="76" s="1"/>
  <c r="A416" i="76" a="1"/>
  <c r="A416" i="76" s="1"/>
  <c r="A415" i="76" a="1"/>
  <c r="A415" i="76" s="1"/>
  <c r="A414" i="76" a="1"/>
  <c r="A414" i="76" s="1"/>
  <c r="A413" i="76" a="1"/>
  <c r="A413" i="76" s="1"/>
  <c r="A412" i="76" a="1"/>
  <c r="A412" i="76" s="1"/>
  <c r="A411" i="76" a="1"/>
  <c r="A411" i="76" s="1"/>
  <c r="A410" i="76" a="1"/>
  <c r="A410" i="76" s="1"/>
  <c r="A409" i="76" a="1"/>
  <c r="A409" i="76" s="1"/>
  <c r="A408" i="76" a="1"/>
  <c r="A408" i="76" s="1"/>
  <c r="A407" i="76" a="1"/>
  <c r="A407" i="76" s="1"/>
  <c r="A406" i="76" a="1"/>
  <c r="A406" i="76" s="1"/>
  <c r="A405" i="76" a="1"/>
  <c r="A405" i="76" s="1"/>
  <c r="A404" i="76" a="1"/>
  <c r="A404" i="76" s="1"/>
  <c r="A403" i="76" a="1"/>
  <c r="A403" i="76" s="1"/>
  <c r="A402" i="76" a="1"/>
  <c r="A402" i="76" s="1"/>
  <c r="A401" i="76" a="1"/>
  <c r="A401" i="76" s="1"/>
  <c r="A400" i="76" a="1"/>
  <c r="A400" i="76" s="1"/>
  <c r="A399" i="76" a="1"/>
  <c r="A399" i="76" s="1"/>
  <c r="A398" i="76" a="1"/>
  <c r="A398" i="76" s="1"/>
  <c r="A397" i="76" a="1"/>
  <c r="A397" i="76" s="1"/>
  <c r="A396" i="76" a="1"/>
  <c r="A396" i="76" s="1"/>
  <c r="A395" i="76" a="1"/>
  <c r="A395" i="76" s="1"/>
  <c r="A394" i="76" a="1"/>
  <c r="A394" i="76" s="1"/>
  <c r="A393" i="76" a="1"/>
  <c r="A393" i="76" s="1"/>
  <c r="A392" i="76" a="1"/>
  <c r="A392" i="76" s="1"/>
  <c r="A391" i="76" a="1"/>
  <c r="A391" i="76" s="1"/>
  <c r="A390" i="76" a="1"/>
  <c r="A390" i="76" s="1"/>
  <c r="A389" i="76" a="1"/>
  <c r="A389" i="76" s="1"/>
  <c r="A388" i="76" a="1"/>
  <c r="A388" i="76" s="1"/>
  <c r="A387" i="76" a="1"/>
  <c r="A387" i="76" s="1"/>
  <c r="A386" i="76" a="1"/>
  <c r="A386" i="76" s="1"/>
  <c r="A385" i="76" a="1"/>
  <c r="A385" i="76" s="1"/>
  <c r="A384" i="76" a="1"/>
  <c r="A384" i="76" s="1"/>
  <c r="A383" i="76" a="1"/>
  <c r="A383" i="76" s="1"/>
  <c r="A382" i="76" a="1"/>
  <c r="A382" i="76" s="1"/>
  <c r="A381" i="76" a="1"/>
  <c r="A381" i="76" s="1"/>
  <c r="A380" i="76" a="1"/>
  <c r="A380" i="76" s="1"/>
  <c r="A379" i="76" a="1"/>
  <c r="A379" i="76" s="1"/>
  <c r="A378" i="76" a="1"/>
  <c r="A378" i="76" s="1"/>
  <c r="A377" i="76" a="1"/>
  <c r="A377" i="76" s="1"/>
  <c r="A376" i="76" a="1"/>
  <c r="A376" i="76" s="1"/>
  <c r="A375" i="76" a="1"/>
  <c r="A375" i="76" s="1"/>
  <c r="A374" i="76" a="1"/>
  <c r="A374" i="76" s="1"/>
  <c r="A373" i="76" a="1"/>
  <c r="A373" i="76" s="1"/>
  <c r="A372" i="76" a="1"/>
  <c r="A372" i="76" s="1"/>
  <c r="A371" i="76" a="1"/>
  <c r="A371" i="76" s="1"/>
  <c r="A370" i="76" a="1"/>
  <c r="A370" i="76" s="1"/>
  <c r="A369" i="76" a="1"/>
  <c r="A369" i="76" s="1"/>
  <c r="A368" i="76" a="1"/>
  <c r="A368" i="76" s="1"/>
  <c r="A367" i="76" a="1"/>
  <c r="A367" i="76" s="1"/>
  <c r="A366" i="76" a="1"/>
  <c r="A366" i="76" s="1"/>
  <c r="A365" i="76" a="1"/>
  <c r="A365" i="76" s="1"/>
  <c r="A364" i="76" a="1"/>
  <c r="A364" i="76" s="1"/>
  <c r="A363" i="76" a="1"/>
  <c r="A363" i="76" s="1"/>
  <c r="A362" i="76" a="1"/>
  <c r="A362" i="76" s="1"/>
  <c r="A361" i="76" a="1"/>
  <c r="A361" i="76" s="1"/>
  <c r="A360" i="76" a="1"/>
  <c r="A360" i="76" s="1"/>
  <c r="A359" i="76" a="1"/>
  <c r="A359" i="76" s="1"/>
  <c r="A358" i="76" a="1"/>
  <c r="A358" i="76" s="1"/>
  <c r="A357" i="76" a="1"/>
  <c r="A357" i="76" s="1"/>
  <c r="A356" i="76" a="1"/>
  <c r="A356" i="76" s="1"/>
  <c r="A355" i="76" a="1"/>
  <c r="A355" i="76" s="1"/>
  <c r="A354" i="76" a="1"/>
  <c r="A354" i="76" s="1"/>
  <c r="A353" i="76" a="1"/>
  <c r="A353" i="76" s="1"/>
  <c r="A352" i="76" a="1"/>
  <c r="A352" i="76" s="1"/>
  <c r="A351" i="76" a="1"/>
  <c r="A351" i="76" s="1"/>
  <c r="A350" i="76" a="1"/>
  <c r="A350" i="76" s="1"/>
  <c r="A349" i="76" a="1"/>
  <c r="A349" i="76" s="1"/>
  <c r="A348" i="76" a="1"/>
  <c r="A348" i="76" s="1"/>
  <c r="A347" i="76" a="1"/>
  <c r="A347" i="76" s="1"/>
  <c r="A346" i="76" a="1"/>
  <c r="A346" i="76" s="1"/>
  <c r="A345" i="76" a="1"/>
  <c r="A345" i="76" s="1"/>
  <c r="A344" i="76" a="1"/>
  <c r="A344" i="76" s="1"/>
  <c r="A343" i="76" a="1"/>
  <c r="A343" i="76" s="1"/>
  <c r="A342" i="76" a="1"/>
  <c r="A342" i="76" s="1"/>
  <c r="A341" i="76" a="1"/>
  <c r="A341" i="76" s="1"/>
  <c r="A340" i="76" a="1"/>
  <c r="A340" i="76" s="1"/>
  <c r="A339" i="76" a="1"/>
  <c r="A339" i="76" s="1"/>
  <c r="A338" i="76" a="1"/>
  <c r="A338" i="76" s="1"/>
  <c r="A337" i="76" a="1"/>
  <c r="A337" i="76" s="1"/>
  <c r="A336" i="76" a="1"/>
  <c r="A336" i="76" s="1"/>
  <c r="A335" i="76" a="1"/>
  <c r="A335" i="76" s="1"/>
  <c r="A334" i="76" a="1"/>
  <c r="A334" i="76" s="1"/>
  <c r="A333" i="76" a="1"/>
  <c r="A333" i="76" s="1"/>
  <c r="A332" i="76" a="1"/>
  <c r="A332" i="76" s="1"/>
  <c r="A331" i="76" a="1"/>
  <c r="A331" i="76" s="1"/>
  <c r="A330" i="76" a="1"/>
  <c r="A330" i="76" s="1"/>
  <c r="A329" i="76" a="1"/>
  <c r="A329" i="76" s="1"/>
  <c r="A328" i="76" a="1"/>
  <c r="A328" i="76" s="1"/>
  <c r="A327" i="76" a="1"/>
  <c r="A327" i="76" s="1"/>
  <c r="A326" i="76" a="1"/>
  <c r="A326" i="76" s="1"/>
  <c r="A325" i="76" a="1"/>
  <c r="A325" i="76" s="1"/>
  <c r="A324" i="76" a="1"/>
  <c r="A324" i="76" s="1"/>
  <c r="A323" i="76" a="1"/>
  <c r="A323" i="76" s="1"/>
  <c r="A322" i="76" a="1"/>
  <c r="A322" i="76" s="1"/>
  <c r="A321" i="76" a="1"/>
  <c r="A321" i="76" s="1"/>
  <c r="A320" i="76" a="1"/>
  <c r="A320" i="76" s="1"/>
  <c r="A319" i="76" a="1"/>
  <c r="A319" i="76" s="1"/>
  <c r="A318" i="76" a="1"/>
  <c r="A318" i="76" s="1"/>
  <c r="A317" i="76" a="1"/>
  <c r="A317" i="76" s="1"/>
  <c r="A316" i="76" a="1"/>
  <c r="A316" i="76" s="1"/>
  <c r="A315" i="76" a="1"/>
  <c r="A315" i="76" s="1"/>
  <c r="A314" i="76" a="1"/>
  <c r="A314" i="76" s="1"/>
  <c r="A313" i="76" a="1"/>
  <c r="A313" i="76" s="1"/>
  <c r="A312" i="76" a="1"/>
  <c r="A312" i="76" s="1"/>
  <c r="A311" i="76" a="1"/>
  <c r="A311" i="76" s="1"/>
  <c r="A310" i="76" a="1"/>
  <c r="A310" i="76" s="1"/>
  <c r="A309" i="76" a="1"/>
  <c r="A309" i="76" s="1"/>
  <c r="A308" i="76" a="1"/>
  <c r="A308" i="76" s="1"/>
  <c r="A307" i="76" a="1"/>
  <c r="A307" i="76" s="1"/>
  <c r="A306" i="76" a="1"/>
  <c r="A306" i="76" s="1"/>
  <c r="A305" i="76" a="1"/>
  <c r="A305" i="76" s="1"/>
  <c r="A304" i="76" a="1"/>
  <c r="A304" i="76" s="1"/>
  <c r="A303" i="76" a="1"/>
  <c r="A303" i="76" s="1"/>
  <c r="A302" i="76" a="1"/>
  <c r="A302" i="76" s="1"/>
  <c r="A301" i="76" a="1"/>
  <c r="A301" i="76" s="1"/>
  <c r="A300" i="76" a="1"/>
  <c r="A300" i="76" s="1"/>
  <c r="A299" i="76" a="1"/>
  <c r="A299" i="76" s="1"/>
  <c r="A298" i="76" a="1"/>
  <c r="A298" i="76" s="1"/>
  <c r="A297" i="76" a="1"/>
  <c r="A297" i="76" s="1"/>
  <c r="A296" i="76" a="1"/>
  <c r="A296" i="76" s="1"/>
  <c r="A295" i="76" a="1"/>
  <c r="A295" i="76" s="1"/>
  <c r="A294" i="76" a="1"/>
  <c r="A294" i="76" s="1"/>
  <c r="A293" i="76" a="1"/>
  <c r="A293" i="76" s="1"/>
  <c r="A292" i="76" a="1"/>
  <c r="A292" i="76" s="1"/>
  <c r="A291" i="76" a="1"/>
  <c r="A291" i="76" s="1"/>
  <c r="A290" i="76" a="1"/>
  <c r="A290" i="76" s="1"/>
  <c r="A289" i="76" a="1"/>
  <c r="A289" i="76" s="1"/>
  <c r="A288" i="76" a="1"/>
  <c r="A288" i="76" s="1"/>
  <c r="A287" i="76" a="1"/>
  <c r="A287" i="76" s="1"/>
  <c r="A286" i="76" a="1"/>
  <c r="A286" i="76" s="1"/>
  <c r="A285" i="76" a="1"/>
  <c r="A285" i="76" s="1"/>
  <c r="A284" i="76" a="1"/>
  <c r="A284" i="76" s="1"/>
  <c r="A283" i="76" a="1"/>
  <c r="A283" i="76" s="1"/>
  <c r="A282" i="76" a="1"/>
  <c r="A282" i="76" s="1"/>
  <c r="A281" i="76" a="1"/>
  <c r="A281" i="76" s="1"/>
  <c r="A280" i="76" a="1"/>
  <c r="A280" i="76" s="1"/>
  <c r="A279" i="76" a="1"/>
  <c r="A279" i="76" s="1"/>
  <c r="A278" i="76" a="1"/>
  <c r="A278" i="76" s="1"/>
  <c r="A277" i="76" a="1"/>
  <c r="A277" i="76" s="1"/>
  <c r="A276" i="76" a="1"/>
  <c r="A276" i="76" s="1"/>
  <c r="A275" i="76" a="1"/>
  <c r="A275" i="76" s="1"/>
  <c r="A274" i="76" a="1"/>
  <c r="A274" i="76" s="1"/>
  <c r="A273" i="76" a="1"/>
  <c r="A273" i="76" s="1"/>
  <c r="A272" i="76" a="1"/>
  <c r="A272" i="76" s="1"/>
  <c r="A271" i="76" a="1"/>
  <c r="A271" i="76" s="1"/>
  <c r="A270" i="76" a="1"/>
  <c r="A270" i="76" s="1"/>
  <c r="A269" i="76" a="1"/>
  <c r="A269" i="76" s="1"/>
  <c r="A268" i="76" a="1"/>
  <c r="A268" i="76" s="1"/>
  <c r="A267" i="76" a="1"/>
  <c r="A267" i="76" s="1"/>
  <c r="A266" i="76" a="1"/>
  <c r="A266" i="76" s="1"/>
  <c r="A265" i="76" a="1"/>
  <c r="A265" i="76" s="1"/>
  <c r="A264" i="76" a="1"/>
  <c r="A264" i="76" s="1"/>
  <c r="A263" i="76" a="1"/>
  <c r="A263" i="76" s="1"/>
  <c r="A262" i="76" a="1"/>
  <c r="A262" i="76" s="1"/>
  <c r="A261" i="76" a="1"/>
  <c r="A261" i="76" s="1"/>
  <c r="A260" i="76" a="1"/>
  <c r="A260" i="76" s="1"/>
  <c r="A259" i="76" a="1"/>
  <c r="A259" i="76" s="1"/>
  <c r="A258" i="76" a="1"/>
  <c r="A258" i="76" s="1"/>
  <c r="A257" i="76" a="1"/>
  <c r="A257" i="76" s="1"/>
  <c r="A256" i="76" a="1"/>
  <c r="A256" i="76" s="1"/>
  <c r="A255" i="76" a="1"/>
  <c r="A255" i="76" s="1"/>
  <c r="A254" i="76" a="1"/>
  <c r="A254" i="76" s="1"/>
  <c r="A253" i="76" a="1"/>
  <c r="A253" i="76" s="1"/>
  <c r="A252" i="76" a="1"/>
  <c r="A252" i="76" s="1"/>
  <c r="A251" i="76" a="1"/>
  <c r="A251" i="76" s="1"/>
  <c r="A250" i="76" a="1"/>
  <c r="A250" i="76" s="1"/>
  <c r="A249" i="76" a="1"/>
  <c r="A249" i="76" s="1"/>
  <c r="A248" i="76" a="1"/>
  <c r="A248" i="76" s="1"/>
  <c r="A247" i="76" a="1"/>
  <c r="A247" i="76" s="1"/>
  <c r="A246" i="76" a="1"/>
  <c r="A246" i="76" s="1"/>
  <c r="A245" i="76" a="1"/>
  <c r="A245" i="76" s="1"/>
  <c r="A244" i="76" a="1"/>
  <c r="A244" i="76" s="1"/>
  <c r="A243" i="76" a="1"/>
  <c r="A243" i="76" s="1"/>
  <c r="A242" i="76" a="1"/>
  <c r="A242" i="76" s="1"/>
  <c r="A241" i="76" a="1"/>
  <c r="A241" i="76" s="1"/>
  <c r="A240" i="76" a="1"/>
  <c r="A240" i="76" s="1"/>
  <c r="A239" i="76" a="1"/>
  <c r="A239" i="76" s="1"/>
  <c r="A238" i="76" a="1"/>
  <c r="A238" i="76" s="1"/>
  <c r="A237" i="76" a="1"/>
  <c r="A237" i="76" s="1"/>
  <c r="A236" i="76" a="1"/>
  <c r="A236" i="76" s="1"/>
  <c r="A235" i="76" a="1"/>
  <c r="A235" i="76" s="1"/>
  <c r="A234" i="76" a="1"/>
  <c r="A234" i="76" s="1"/>
  <c r="A233" i="76" a="1"/>
  <c r="A233" i="76" s="1"/>
  <c r="A232" i="76" a="1"/>
  <c r="A232" i="76" s="1"/>
  <c r="A231" i="76" a="1"/>
  <c r="A231" i="76" s="1"/>
  <c r="A230" i="76" a="1"/>
  <c r="A230" i="76" s="1"/>
  <c r="A229" i="76" a="1"/>
  <c r="A229" i="76" s="1"/>
  <c r="A228" i="76" a="1"/>
  <c r="A228" i="76" s="1"/>
  <c r="A227" i="76" a="1"/>
  <c r="A227" i="76" s="1"/>
  <c r="A226" i="76" a="1"/>
  <c r="A226" i="76" s="1"/>
  <c r="A225" i="76" a="1"/>
  <c r="A225" i="76" s="1"/>
  <c r="A224" i="76" a="1"/>
  <c r="A224" i="76" s="1"/>
  <c r="A223" i="76" a="1"/>
  <c r="A223" i="76" s="1"/>
  <c r="A222" i="76" a="1"/>
  <c r="A222" i="76" s="1"/>
  <c r="A221" i="76" a="1"/>
  <c r="A221" i="76" s="1"/>
  <c r="A220" i="76" a="1"/>
  <c r="A220" i="76" s="1"/>
  <c r="A219" i="76" a="1"/>
  <c r="A219" i="76" s="1"/>
  <c r="A218" i="76" a="1"/>
  <c r="A218" i="76" s="1"/>
  <c r="A217" i="76" a="1"/>
  <c r="A217" i="76" s="1"/>
  <c r="A216" i="76" a="1"/>
  <c r="A216" i="76" s="1"/>
  <c r="A215" i="76" a="1"/>
  <c r="A215" i="76" s="1"/>
  <c r="A214" i="76" a="1"/>
  <c r="A214" i="76" s="1"/>
  <c r="A213" i="76" a="1"/>
  <c r="A213" i="76" s="1"/>
  <c r="A212" i="76" a="1"/>
  <c r="A212" i="76" s="1"/>
  <c r="A211" i="76" a="1"/>
  <c r="A211" i="76" s="1"/>
  <c r="A210" i="76" a="1"/>
  <c r="A210" i="76" s="1"/>
  <c r="A209" i="76" a="1"/>
  <c r="A209" i="76" s="1"/>
  <c r="A208" i="76" a="1"/>
  <c r="A208" i="76" s="1"/>
  <c r="A207" i="76" a="1"/>
  <c r="A207" i="76" s="1"/>
  <c r="A206" i="76" a="1"/>
  <c r="A206" i="76" s="1"/>
  <c r="A205" i="76" a="1"/>
  <c r="A205" i="76" s="1"/>
  <c r="A204" i="76" a="1"/>
  <c r="A204" i="76" s="1"/>
  <c r="A203" i="76" a="1"/>
  <c r="A203" i="76" s="1"/>
  <c r="A202" i="76" a="1"/>
  <c r="A202" i="76" s="1"/>
  <c r="A201" i="76" a="1"/>
  <c r="A201" i="76" s="1"/>
  <c r="A200" i="76" a="1"/>
  <c r="A200" i="76" s="1"/>
  <c r="A199" i="76" a="1"/>
  <c r="A199" i="76" s="1"/>
  <c r="A198" i="76" a="1"/>
  <c r="A198" i="76" s="1"/>
  <c r="A197" i="76" a="1"/>
  <c r="A197" i="76" s="1"/>
  <c r="A182" i="76" a="1"/>
  <c r="A182" i="76" s="1"/>
  <c r="A181" i="76" a="1"/>
  <c r="A181" i="76" s="1"/>
  <c r="A180" i="76" a="1"/>
  <c r="A180" i="76" s="1"/>
  <c r="A179" i="76" a="1"/>
  <c r="A179" i="76" s="1"/>
  <c r="A178" i="76" a="1"/>
  <c r="A178" i="76" s="1"/>
  <c r="A177" i="76" a="1"/>
  <c r="A177" i="76" s="1"/>
  <c r="A176" i="76" a="1"/>
  <c r="A176" i="76" s="1"/>
  <c r="A175" i="76" a="1"/>
  <c r="A175" i="76" s="1"/>
  <c r="A174" i="76" a="1"/>
  <c r="A174" i="76" s="1"/>
  <c r="A173" i="76" a="1"/>
  <c r="A173" i="76" s="1"/>
  <c r="A172" i="76" a="1"/>
  <c r="A172" i="76" s="1"/>
  <c r="A171" i="76" a="1"/>
  <c r="A171" i="76" s="1"/>
  <c r="A170" i="76" a="1"/>
  <c r="A170" i="76" s="1"/>
  <c r="A169" i="76" a="1"/>
  <c r="A169" i="76" s="1"/>
  <c r="A168" i="76" a="1"/>
  <c r="A168" i="76" s="1"/>
  <c r="A167" i="76" a="1"/>
  <c r="A167" i="76" s="1"/>
  <c r="A166" i="76" a="1"/>
  <c r="A166" i="76" s="1"/>
  <c r="A165" i="76" a="1"/>
  <c r="A165" i="76" s="1"/>
  <c r="A164" i="76" a="1"/>
  <c r="A164" i="76" s="1"/>
  <c r="A163" i="76" a="1"/>
  <c r="A163" i="76" s="1"/>
  <c r="A162" i="76" a="1"/>
  <c r="A162" i="76" s="1"/>
  <c r="A161" i="76" a="1"/>
  <c r="A161" i="76" s="1"/>
  <c r="A160" i="76" a="1"/>
  <c r="A160" i="76" s="1"/>
  <c r="A159" i="76" a="1"/>
  <c r="A159" i="76" s="1"/>
  <c r="A158" i="76" a="1"/>
  <c r="A158" i="76" s="1"/>
  <c r="A157" i="76" a="1"/>
  <c r="A157" i="76" s="1"/>
  <c r="A156" i="76" a="1"/>
  <c r="A156" i="76" s="1"/>
  <c r="A155" i="76" a="1"/>
  <c r="A155" i="76" s="1"/>
  <c r="A154" i="76" a="1"/>
  <c r="A154" i="76" s="1"/>
  <c r="A153" i="76" a="1"/>
  <c r="A153" i="76" s="1"/>
  <c r="A152" i="76" a="1"/>
  <c r="A152" i="76" s="1"/>
  <c r="A151" i="76" a="1"/>
  <c r="A151" i="76" s="1"/>
  <c r="A150" i="76" a="1"/>
  <c r="A150" i="76" s="1"/>
  <c r="A149" i="76" a="1"/>
  <c r="A149" i="76" s="1"/>
  <c r="A148" i="76" a="1"/>
  <c r="A148" i="76" s="1"/>
  <c r="A147" i="76" a="1"/>
  <c r="A147" i="76" s="1"/>
  <c r="A146" i="76" a="1"/>
  <c r="A146" i="76" s="1"/>
  <c r="A145" i="76" a="1"/>
  <c r="A145" i="76" s="1"/>
  <c r="A144" i="76" a="1"/>
  <c r="A144" i="76" s="1"/>
  <c r="A143" i="76" a="1"/>
  <c r="A143" i="76" s="1"/>
  <c r="A142" i="76" a="1"/>
  <c r="A142" i="76" s="1"/>
  <c r="A141" i="76" a="1"/>
  <c r="A141" i="76" s="1"/>
  <c r="A140" i="76" a="1"/>
  <c r="A140" i="76" s="1"/>
  <c r="A139" i="76" a="1"/>
  <c r="A139" i="76" s="1"/>
  <c r="A138" i="76" a="1"/>
  <c r="A138" i="76" s="1"/>
  <c r="A137" i="76" a="1"/>
  <c r="A137" i="76" s="1"/>
  <c r="A136" i="76" a="1"/>
  <c r="A136" i="76" s="1"/>
  <c r="A135" i="76" a="1"/>
  <c r="A135" i="76" s="1"/>
  <c r="A134" i="76" a="1"/>
  <c r="A134" i="76" s="1"/>
  <c r="A133" i="76" a="1"/>
  <c r="A133" i="76" s="1"/>
  <c r="A132" i="76" a="1"/>
  <c r="A132" i="76" s="1"/>
  <c r="A131" i="76" a="1"/>
  <c r="A131" i="76" s="1"/>
  <c r="A130" i="76" a="1"/>
  <c r="A130" i="76" s="1"/>
  <c r="A129" i="76" a="1"/>
  <c r="A129" i="76" s="1"/>
  <c r="A128" i="76" a="1"/>
  <c r="A128" i="76" s="1"/>
  <c r="A127" i="76" a="1"/>
  <c r="A127" i="76" s="1"/>
  <c r="A126" i="76" a="1"/>
  <c r="A126" i="76" s="1"/>
  <c r="A125" i="76" a="1"/>
  <c r="A125" i="76" s="1"/>
  <c r="A124" i="76" a="1"/>
  <c r="A124" i="76" s="1"/>
  <c r="A123" i="76" a="1"/>
  <c r="A123" i="76" s="1"/>
  <c r="A122" i="76" a="1"/>
  <c r="A122" i="76" s="1"/>
  <c r="A121" i="76" a="1"/>
  <c r="A121" i="76" s="1"/>
  <c r="A120" i="76" a="1"/>
  <c r="A120" i="76" s="1"/>
  <c r="A119" i="76" a="1"/>
  <c r="A119" i="76" s="1"/>
  <c r="A118" i="76" a="1"/>
  <c r="A118" i="76" s="1"/>
  <c r="A117" i="76" a="1"/>
  <c r="A117" i="76" s="1"/>
  <c r="A116" i="76" a="1"/>
  <c r="A116" i="76" s="1"/>
  <c r="A115" i="76" a="1"/>
  <c r="A115" i="76" s="1"/>
  <c r="A114" i="76" a="1"/>
  <c r="A114" i="76" s="1"/>
  <c r="A113" i="76" a="1"/>
  <c r="A113" i="76" s="1"/>
  <c r="A112" i="76" a="1"/>
  <c r="A112" i="76" s="1"/>
  <c r="A111" i="76" a="1"/>
  <c r="A111" i="76" s="1"/>
  <c r="A110" i="76" a="1"/>
  <c r="A110" i="76" s="1"/>
  <c r="A109" i="76" a="1"/>
  <c r="A109" i="76" s="1"/>
  <c r="A108" i="76" a="1"/>
  <c r="A108" i="76" s="1"/>
  <c r="A107" i="76" a="1"/>
  <c r="A107" i="76" s="1"/>
  <c r="A106" i="76" a="1"/>
  <c r="A106" i="76" s="1"/>
  <c r="A105" i="76" a="1"/>
  <c r="A105" i="76" s="1"/>
  <c r="A104" i="76" a="1"/>
  <c r="A104" i="76" s="1"/>
  <c r="A103" i="76" a="1"/>
  <c r="A103" i="76" s="1"/>
  <c r="A102" i="76" a="1"/>
  <c r="A102" i="76" s="1"/>
  <c r="A101" i="76" a="1"/>
  <c r="A101" i="76" s="1"/>
  <c r="A100" i="76" a="1"/>
  <c r="A100" i="76" s="1"/>
  <c r="A99" i="76" a="1"/>
  <c r="A99" i="76" s="1"/>
  <c r="A98" i="76" a="1"/>
  <c r="A98" i="76" s="1"/>
  <c r="A97" i="76" a="1"/>
  <c r="A97" i="76" s="1"/>
  <c r="A96" i="76" a="1"/>
  <c r="A96" i="76" s="1"/>
  <c r="A95" i="76" a="1"/>
  <c r="A95" i="76" s="1"/>
  <c r="A94" i="76" a="1"/>
  <c r="A94" i="76" s="1"/>
  <c r="A93" i="76" a="1"/>
  <c r="A93" i="76" s="1"/>
  <c r="A92" i="76" a="1"/>
  <c r="A92" i="76" s="1"/>
  <c r="A91" i="76" a="1"/>
  <c r="A91" i="76" s="1"/>
  <c r="A90" i="76" a="1"/>
  <c r="A90" i="76" s="1"/>
  <c r="A89" i="76" a="1"/>
  <c r="A89" i="76" s="1"/>
  <c r="A88" i="76" a="1"/>
  <c r="A88" i="76" s="1"/>
  <c r="A87" i="76" a="1"/>
  <c r="A87" i="76" s="1"/>
  <c r="A86" i="76" a="1"/>
  <c r="A86" i="76" s="1"/>
  <c r="A85" i="76" a="1"/>
  <c r="A85" i="76" s="1"/>
  <c r="A84" i="76" a="1"/>
  <c r="A84" i="76" s="1"/>
  <c r="A83" i="76" a="1"/>
  <c r="A83" i="76" s="1"/>
  <c r="A82" i="76" a="1"/>
  <c r="A82" i="76" s="1"/>
  <c r="A81" i="76" a="1"/>
  <c r="A81" i="76" s="1"/>
  <c r="A80" i="76" a="1"/>
  <c r="A80" i="76" s="1"/>
  <c r="A79" i="76" a="1"/>
  <c r="A79" i="76" s="1"/>
  <c r="A78" i="76" a="1"/>
  <c r="A78" i="76" s="1"/>
  <c r="A77" i="76" a="1"/>
  <c r="A77" i="76" s="1"/>
  <c r="A76" i="76" a="1"/>
  <c r="A76" i="76" s="1"/>
  <c r="A75" i="76" a="1"/>
  <c r="A75" i="76" s="1"/>
  <c r="A74" i="76" a="1"/>
  <c r="A74" i="76" s="1"/>
  <c r="A73" i="76" a="1"/>
  <c r="A73" i="76" s="1"/>
  <c r="A72" i="76" a="1"/>
  <c r="A72" i="76" s="1"/>
  <c r="A71" i="76" a="1"/>
  <c r="A71" i="76" s="1"/>
  <c r="A70" i="76" a="1"/>
  <c r="A70" i="76" s="1"/>
  <c r="A69" i="76" a="1"/>
  <c r="A69" i="76" s="1"/>
  <c r="A68" i="76" a="1"/>
  <c r="A68" i="76" s="1"/>
  <c r="A67" i="76" a="1"/>
  <c r="A67" i="76" s="1"/>
  <c r="A66" i="76" a="1"/>
  <c r="A66" i="76" s="1"/>
  <c r="A65" i="76" a="1"/>
  <c r="A65" i="76" s="1"/>
  <c r="A64" i="76" a="1"/>
  <c r="A64" i="76" s="1"/>
  <c r="A63" i="76" a="1"/>
  <c r="A63" i="76" s="1"/>
  <c r="A62" i="76" a="1"/>
  <c r="A62" i="76" s="1"/>
  <c r="A61" i="76" a="1"/>
  <c r="A61" i="76" s="1"/>
  <c r="A60" i="76" a="1"/>
  <c r="A60" i="76" s="1"/>
  <c r="A59" i="76" a="1"/>
  <c r="A59" i="76" s="1"/>
  <c r="A58" i="76" a="1"/>
  <c r="A58" i="76" s="1"/>
  <c r="A57" i="76" a="1"/>
  <c r="A57" i="76" s="1"/>
  <c r="A56" i="76" a="1"/>
  <c r="A56" i="76" s="1"/>
  <c r="A55" i="76" a="1"/>
  <c r="A55" i="76" s="1"/>
  <c r="A54" i="76" a="1"/>
  <c r="A54" i="76" s="1"/>
  <c r="A53" i="76" a="1"/>
  <c r="A53" i="76" s="1"/>
  <c r="A52" i="76" a="1"/>
  <c r="A52" i="76" s="1"/>
  <c r="A51" i="76" a="1"/>
  <c r="A51" i="76" s="1"/>
  <c r="A50" i="76" a="1"/>
  <c r="A50" i="76" s="1"/>
  <c r="A49" i="76" a="1"/>
  <c r="A49" i="76" s="1"/>
  <c r="A48" i="76" a="1"/>
  <c r="A48" i="76" s="1"/>
  <c r="A47" i="76" a="1"/>
  <c r="A47" i="76" s="1"/>
  <c r="A46" i="76" a="1"/>
  <c r="A46" i="76" s="1"/>
  <c r="A45" i="76" a="1"/>
  <c r="A45" i="76" s="1"/>
  <c r="A44" i="76" a="1"/>
  <c r="A44" i="76" s="1"/>
  <c r="A43" i="76" a="1"/>
  <c r="A43" i="76" s="1"/>
  <c r="A42" i="76" a="1"/>
  <c r="A42" i="76" s="1"/>
  <c r="A41" i="76" a="1"/>
  <c r="A41" i="76" s="1"/>
  <c r="A40" i="76" a="1"/>
  <c r="A40" i="76" s="1"/>
  <c r="A39" i="76" a="1"/>
  <c r="A39" i="76" s="1"/>
  <c r="A38" i="76" a="1"/>
  <c r="A38" i="76" s="1"/>
  <c r="A37" i="76" a="1"/>
  <c r="A37" i="76" s="1"/>
  <c r="A36" i="76" a="1"/>
  <c r="A36" i="76" s="1"/>
  <c r="A35" i="76" a="1"/>
  <c r="A35" i="76" s="1"/>
  <c r="A34" i="76" a="1"/>
  <c r="A34" i="76" s="1"/>
  <c r="A33" i="76" a="1"/>
  <c r="A33" i="76" s="1"/>
  <c r="A32" i="76" a="1"/>
  <c r="A32" i="76" s="1"/>
  <c r="A31" i="76" a="1"/>
  <c r="A31" i="76" s="1"/>
  <c r="A30" i="76" a="1"/>
  <c r="A30" i="76" s="1"/>
  <c r="A29" i="76" a="1"/>
  <c r="A29" i="76" s="1"/>
  <c r="A28" i="76" a="1"/>
  <c r="A28" i="76" s="1"/>
  <c r="A27" i="76" a="1"/>
  <c r="A27" i="76" s="1"/>
  <c r="A26" i="76" a="1"/>
  <c r="A26" i="76" s="1"/>
  <c r="A25" i="76" a="1"/>
  <c r="A25" i="76" s="1"/>
  <c r="A24" i="76" a="1"/>
  <c r="A24" i="76" s="1"/>
  <c r="A23" i="76" a="1"/>
  <c r="A23" i="76" s="1"/>
  <c r="A22" i="76" a="1"/>
  <c r="A22" i="76" s="1"/>
  <c r="A21" i="76" a="1"/>
  <c r="A21" i="76" s="1"/>
  <c r="A20" i="76" a="1"/>
  <c r="A20" i="76" s="1"/>
  <c r="A19" i="76" a="1"/>
  <c r="A19" i="76" s="1"/>
  <c r="A18" i="76" a="1"/>
  <c r="A18" i="76" s="1"/>
  <c r="A17" i="76" a="1"/>
  <c r="A17" i="76" s="1"/>
  <c r="A16" i="76" a="1"/>
  <c r="A16" i="76" s="1"/>
  <c r="A15" i="76" a="1"/>
  <c r="A15" i="76" s="1"/>
  <c r="A14" i="76" a="1"/>
  <c r="A14" i="76" s="1"/>
  <c r="A13" i="76" a="1"/>
  <c r="A13" i="76" s="1"/>
  <c r="A12" i="76" a="1"/>
  <c r="A12" i="76" s="1"/>
  <c r="A11" i="76" a="1"/>
  <c r="A11" i="76" s="1"/>
  <c r="A10" i="76" a="1"/>
  <c r="A10" i="76" s="1"/>
  <c r="A9" i="76" a="1"/>
  <c r="A9" i="76" s="1"/>
  <c r="A8" i="76" a="1"/>
  <c r="A8" i="76" s="1"/>
  <c r="A7" i="76" a="1"/>
  <c r="A7" i="76" s="1"/>
  <c r="A6" i="76" a="1"/>
  <c r="A6" i="76" s="1"/>
  <c r="A5" i="76" a="1"/>
  <c r="A5" i="76" s="1"/>
  <c r="A4" i="76" a="1"/>
  <c r="A4" i="76" s="1"/>
  <c r="B3" i="76" a="1"/>
  <c r="B3" i="76" s="1"/>
  <c r="B36" i="76" a="1"/>
  <c r="B36" i="76" s="1"/>
  <c r="I501" i="76" a="1"/>
  <c r="I501" i="76" s="1"/>
  <c r="I500" i="76" a="1"/>
  <c r="I500" i="76" s="1"/>
  <c r="I499" i="76" a="1"/>
  <c r="I499" i="76" s="1"/>
  <c r="I498" i="76" a="1"/>
  <c r="I498" i="76" s="1"/>
  <c r="I497" i="76" a="1"/>
  <c r="I497" i="76" s="1"/>
  <c r="I496" i="76" a="1"/>
  <c r="I496" i="76" s="1"/>
  <c r="I495" i="76" a="1"/>
  <c r="I495" i="76" s="1"/>
  <c r="I494" i="76" a="1"/>
  <c r="I494" i="76" s="1"/>
  <c r="I493" i="76" a="1"/>
  <c r="I493" i="76" s="1"/>
  <c r="I492" i="76" a="1"/>
  <c r="I492" i="76" s="1"/>
  <c r="I491" i="76" a="1"/>
  <c r="I491" i="76" s="1"/>
  <c r="I490" i="76" a="1"/>
  <c r="I490" i="76" s="1"/>
  <c r="I489" i="76" a="1"/>
  <c r="I489" i="76" s="1"/>
  <c r="I488" i="76" a="1"/>
  <c r="I488" i="76" s="1"/>
  <c r="I487" i="76" a="1"/>
  <c r="I487" i="76" s="1"/>
  <c r="I486" i="76" a="1"/>
  <c r="I486" i="76" s="1"/>
  <c r="I485" i="76" a="1"/>
  <c r="I485" i="76" s="1"/>
  <c r="I484" i="76" a="1"/>
  <c r="I484" i="76" s="1"/>
  <c r="I483" i="76" a="1"/>
  <c r="I483" i="76" s="1"/>
  <c r="I482" i="76" a="1"/>
  <c r="I482" i="76" s="1"/>
  <c r="I481" i="76" a="1"/>
  <c r="I481" i="76" s="1"/>
  <c r="I480" i="76" a="1"/>
  <c r="I480" i="76" s="1"/>
  <c r="I479" i="76" a="1"/>
  <c r="I479" i="76" s="1"/>
  <c r="I478" i="76" a="1"/>
  <c r="I478" i="76" s="1"/>
  <c r="I477" i="76" a="1"/>
  <c r="I477" i="76" s="1"/>
  <c r="I476" i="76" a="1"/>
  <c r="I476" i="76" s="1"/>
  <c r="I475" i="76" a="1"/>
  <c r="I475" i="76" s="1"/>
  <c r="I474" i="76" a="1"/>
  <c r="I474" i="76" s="1"/>
  <c r="I473" i="76" a="1"/>
  <c r="I473" i="76" s="1"/>
  <c r="I472" i="76" a="1"/>
  <c r="I472" i="76" s="1"/>
  <c r="I471" i="76" a="1"/>
  <c r="I471" i="76" s="1"/>
  <c r="I470" i="76" a="1"/>
  <c r="I470" i="76" s="1"/>
  <c r="I469" i="76" a="1"/>
  <c r="I469" i="76" s="1"/>
  <c r="I468" i="76" a="1"/>
  <c r="I468" i="76" s="1"/>
  <c r="I467" i="76" a="1"/>
  <c r="I467" i="76" s="1"/>
  <c r="I466" i="76" a="1"/>
  <c r="I466" i="76" s="1"/>
  <c r="I465" i="76" a="1"/>
  <c r="I465" i="76" s="1"/>
  <c r="I464" i="76" a="1"/>
  <c r="I464" i="76" s="1"/>
  <c r="I463" i="76" a="1"/>
  <c r="I463" i="76" s="1"/>
  <c r="I462" i="76" a="1"/>
  <c r="I462" i="76" s="1"/>
  <c r="I461" i="76" a="1"/>
  <c r="I461" i="76" s="1"/>
  <c r="I460" i="76" a="1"/>
  <c r="I460" i="76" s="1"/>
  <c r="I459" i="76" a="1"/>
  <c r="I459" i="76" s="1"/>
  <c r="I458" i="76" a="1"/>
  <c r="I458" i="76" s="1"/>
  <c r="I457" i="76" a="1"/>
  <c r="I457" i="76" s="1"/>
  <c r="I456" i="76" a="1"/>
  <c r="I456" i="76" s="1"/>
  <c r="I455" i="76" a="1"/>
  <c r="I455" i="76" s="1"/>
  <c r="I454" i="76" a="1"/>
  <c r="I454" i="76" s="1"/>
  <c r="I453" i="76" a="1"/>
  <c r="I453" i="76" s="1"/>
  <c r="I452" i="76" a="1"/>
  <c r="I452" i="76" s="1"/>
  <c r="I451" i="76" a="1"/>
  <c r="I451" i="76" s="1"/>
  <c r="I450" i="76" a="1"/>
  <c r="I450" i="76" s="1"/>
  <c r="I449" i="76" a="1"/>
  <c r="I449" i="76" s="1"/>
  <c r="I448" i="76" a="1"/>
  <c r="I448" i="76" s="1"/>
  <c r="I447" i="76" a="1"/>
  <c r="I447" i="76" s="1"/>
  <c r="I446" i="76" a="1"/>
  <c r="I446" i="76" s="1"/>
  <c r="I445" i="76" a="1"/>
  <c r="I445" i="76" s="1"/>
  <c r="I444" i="76" a="1"/>
  <c r="I444" i="76" s="1"/>
  <c r="I443" i="76" a="1"/>
  <c r="I443" i="76" s="1"/>
  <c r="I442" i="76" a="1"/>
  <c r="I442" i="76" s="1"/>
  <c r="I441" i="76" a="1"/>
  <c r="I441" i="76" s="1"/>
  <c r="I440" i="76" a="1"/>
  <c r="I440" i="76" s="1"/>
  <c r="I439" i="76" a="1"/>
  <c r="I439" i="76" s="1"/>
  <c r="I438" i="76" a="1"/>
  <c r="I438" i="76" s="1"/>
  <c r="I437" i="76" a="1"/>
  <c r="I437" i="76" s="1"/>
  <c r="I436" i="76" a="1"/>
  <c r="I436" i="76" s="1"/>
  <c r="I435" i="76" a="1"/>
  <c r="I435" i="76" s="1"/>
  <c r="I434" i="76" a="1"/>
  <c r="I434" i="76" s="1"/>
  <c r="I433" i="76" a="1"/>
  <c r="I433" i="76" s="1"/>
  <c r="I432" i="76" a="1"/>
  <c r="I432" i="76" s="1"/>
  <c r="I431" i="76" a="1"/>
  <c r="I431" i="76" s="1"/>
  <c r="I430" i="76" a="1"/>
  <c r="I430" i="76" s="1"/>
  <c r="I429" i="76" a="1"/>
  <c r="I429" i="76" s="1"/>
  <c r="I428" i="76" a="1"/>
  <c r="I428" i="76" s="1"/>
  <c r="I427" i="76" a="1"/>
  <c r="I427" i="76" s="1"/>
  <c r="I426" i="76" a="1"/>
  <c r="I426" i="76" s="1"/>
  <c r="I425" i="76" a="1"/>
  <c r="I425" i="76" s="1"/>
  <c r="I424" i="76" a="1"/>
  <c r="I424" i="76" s="1"/>
  <c r="I423" i="76" a="1"/>
  <c r="I423" i="76" s="1"/>
  <c r="I422" i="76" a="1"/>
  <c r="I422" i="76" s="1"/>
  <c r="I421" i="76" a="1"/>
  <c r="I421" i="76" s="1"/>
  <c r="I420" i="76" a="1"/>
  <c r="I420" i="76" s="1"/>
  <c r="I419" i="76" a="1"/>
  <c r="I419" i="76" s="1"/>
  <c r="I418" i="76" a="1"/>
  <c r="I418" i="76" s="1"/>
  <c r="I417" i="76" a="1"/>
  <c r="I417" i="76" s="1"/>
  <c r="I416" i="76" a="1"/>
  <c r="I416" i="76" s="1"/>
  <c r="I415" i="76" a="1"/>
  <c r="I415" i="76" s="1"/>
  <c r="I414" i="76" a="1"/>
  <c r="I414" i="76" s="1"/>
  <c r="I413" i="76" a="1"/>
  <c r="I413" i="76" s="1"/>
  <c r="I412" i="76" a="1"/>
  <c r="I412" i="76" s="1"/>
  <c r="I411" i="76" a="1"/>
  <c r="I411" i="76" s="1"/>
  <c r="I410" i="76" a="1"/>
  <c r="I410" i="76" s="1"/>
  <c r="I409" i="76" a="1"/>
  <c r="I409" i="76" s="1"/>
  <c r="I408" i="76" a="1"/>
  <c r="I408" i="76" s="1"/>
  <c r="I407" i="76" a="1"/>
  <c r="I407" i="76" s="1"/>
  <c r="I406" i="76" a="1"/>
  <c r="I406" i="76" s="1"/>
  <c r="I405" i="76" a="1"/>
  <c r="I405" i="76" s="1"/>
  <c r="I404" i="76" a="1"/>
  <c r="I404" i="76" s="1"/>
  <c r="I403" i="76" a="1"/>
  <c r="I403" i="76" s="1"/>
  <c r="I402" i="76" a="1"/>
  <c r="I402" i="76" s="1"/>
  <c r="I401" i="76" a="1"/>
  <c r="I401" i="76" s="1"/>
  <c r="I400" i="76" a="1"/>
  <c r="I400" i="76" s="1"/>
  <c r="I399" i="76" a="1"/>
  <c r="I399" i="76" s="1"/>
  <c r="I398" i="76" a="1"/>
  <c r="I398" i="76" s="1"/>
  <c r="I397" i="76" a="1"/>
  <c r="I397" i="76" s="1"/>
  <c r="I396" i="76" a="1"/>
  <c r="I396" i="76" s="1"/>
  <c r="I395" i="76" a="1"/>
  <c r="I395" i="76" s="1"/>
  <c r="I394" i="76" a="1"/>
  <c r="I394" i="76" s="1"/>
  <c r="I393" i="76" a="1"/>
  <c r="I393" i="76" s="1"/>
  <c r="I392" i="76" a="1"/>
  <c r="I392" i="76" s="1"/>
  <c r="I391" i="76" a="1"/>
  <c r="I391" i="76" s="1"/>
  <c r="I390" i="76" a="1"/>
  <c r="I390" i="76" s="1"/>
  <c r="I389" i="76" a="1"/>
  <c r="I389" i="76" s="1"/>
  <c r="I388" i="76" a="1"/>
  <c r="I388" i="76" s="1"/>
  <c r="I387" i="76" a="1"/>
  <c r="I387" i="76" s="1"/>
  <c r="I386" i="76" a="1"/>
  <c r="I386" i="76" s="1"/>
  <c r="I385" i="76" a="1"/>
  <c r="I385" i="76" s="1"/>
  <c r="I384" i="76" a="1"/>
  <c r="I384" i="76" s="1"/>
  <c r="I383" i="76" a="1"/>
  <c r="I383" i="76" s="1"/>
  <c r="I382" i="76" a="1"/>
  <c r="I382" i="76" s="1"/>
  <c r="I381" i="76" a="1"/>
  <c r="I381" i="76" s="1"/>
  <c r="I380" i="76" a="1"/>
  <c r="I380" i="76" s="1"/>
  <c r="I379" i="76" a="1"/>
  <c r="I379" i="76" s="1"/>
  <c r="I378" i="76" a="1"/>
  <c r="I378" i="76" s="1"/>
  <c r="I377" i="76" a="1"/>
  <c r="I377" i="76" s="1"/>
  <c r="I376" i="76" a="1"/>
  <c r="I376" i="76" s="1"/>
  <c r="I375" i="76" a="1"/>
  <c r="I375" i="76" s="1"/>
  <c r="I374" i="76" a="1"/>
  <c r="I374" i="76" s="1"/>
  <c r="I373" i="76" a="1"/>
  <c r="I373" i="76" s="1"/>
  <c r="I372" i="76" a="1"/>
  <c r="I372" i="76" s="1"/>
  <c r="I371" i="76" a="1"/>
  <c r="I371" i="76" s="1"/>
  <c r="I370" i="76" a="1"/>
  <c r="I370" i="76" s="1"/>
  <c r="I369" i="76" a="1"/>
  <c r="I369" i="76" s="1"/>
  <c r="I368" i="76" a="1"/>
  <c r="I368" i="76" s="1"/>
  <c r="I367" i="76" a="1"/>
  <c r="I367" i="76" s="1"/>
  <c r="I366" i="76" a="1"/>
  <c r="I366" i="76" s="1"/>
  <c r="I365" i="76" a="1"/>
  <c r="I365" i="76" s="1"/>
  <c r="I364" i="76" a="1"/>
  <c r="I364" i="76" s="1"/>
  <c r="I363" i="76" a="1"/>
  <c r="I363" i="76" s="1"/>
  <c r="I362" i="76" a="1"/>
  <c r="I362" i="76" s="1"/>
  <c r="I361" i="76" a="1"/>
  <c r="I361" i="76" s="1"/>
  <c r="I360" i="76" a="1"/>
  <c r="I360" i="76" s="1"/>
  <c r="I359" i="76" a="1"/>
  <c r="I359" i="76" s="1"/>
  <c r="I358" i="76" a="1"/>
  <c r="I358" i="76" s="1"/>
  <c r="I357" i="76" a="1"/>
  <c r="I357" i="76" s="1"/>
  <c r="I356" i="76" a="1"/>
  <c r="I356" i="76" s="1"/>
  <c r="I355" i="76" a="1"/>
  <c r="I355" i="76" s="1"/>
  <c r="I354" i="76" a="1"/>
  <c r="I354" i="76" s="1"/>
  <c r="I353" i="76" a="1"/>
  <c r="I353" i="76" s="1"/>
  <c r="I352" i="76" a="1"/>
  <c r="I352" i="76" s="1"/>
  <c r="I351" i="76" a="1"/>
  <c r="I351" i="76" s="1"/>
  <c r="I350" i="76" a="1"/>
  <c r="I350" i="76" s="1"/>
  <c r="I349" i="76" a="1"/>
  <c r="I349" i="76" s="1"/>
  <c r="I348" i="76" a="1"/>
  <c r="I348" i="76" s="1"/>
  <c r="I347" i="76" a="1"/>
  <c r="I347" i="76" s="1"/>
  <c r="I346" i="76" a="1"/>
  <c r="I346" i="76" s="1"/>
  <c r="I345" i="76" a="1"/>
  <c r="I345" i="76" s="1"/>
  <c r="I344" i="76" a="1"/>
  <c r="I344" i="76" s="1"/>
  <c r="I343" i="76" a="1"/>
  <c r="I343" i="76" s="1"/>
  <c r="I342" i="76" a="1"/>
  <c r="I342" i="76" s="1"/>
  <c r="I341" i="76" a="1"/>
  <c r="I341" i="76" s="1"/>
  <c r="I340" i="76" a="1"/>
  <c r="I340" i="76" s="1"/>
  <c r="I339" i="76" a="1"/>
  <c r="I339" i="76" s="1"/>
  <c r="I338" i="76" a="1"/>
  <c r="I338" i="76" s="1"/>
  <c r="I337" i="76" a="1"/>
  <c r="I337" i="76" s="1"/>
  <c r="I336" i="76" a="1"/>
  <c r="I336" i="76" s="1"/>
  <c r="I335" i="76" a="1"/>
  <c r="I335" i="76" s="1"/>
  <c r="I334" i="76" a="1"/>
  <c r="I334" i="76" s="1"/>
  <c r="I333" i="76" a="1"/>
  <c r="I333" i="76" s="1"/>
  <c r="I332" i="76" a="1"/>
  <c r="I332" i="76" s="1"/>
  <c r="I331" i="76" a="1"/>
  <c r="I331" i="76" s="1"/>
  <c r="I330" i="76" a="1"/>
  <c r="I330" i="76" s="1"/>
  <c r="I329" i="76" a="1"/>
  <c r="I329" i="76" s="1"/>
  <c r="I328" i="76" a="1"/>
  <c r="I328" i="76" s="1"/>
  <c r="I327" i="76" a="1"/>
  <c r="I327" i="76" s="1"/>
  <c r="I326" i="76" a="1"/>
  <c r="I326" i="76" s="1"/>
  <c r="I325" i="76" a="1"/>
  <c r="I325" i="76" s="1"/>
  <c r="I324" i="76" a="1"/>
  <c r="I324" i="76" s="1"/>
  <c r="I323" i="76" a="1"/>
  <c r="I323" i="76" s="1"/>
  <c r="I322" i="76" a="1"/>
  <c r="I322" i="76" s="1"/>
  <c r="I321" i="76" a="1"/>
  <c r="I321" i="76" s="1"/>
  <c r="I320" i="76" a="1"/>
  <c r="I320" i="76" s="1"/>
  <c r="I319" i="76" a="1"/>
  <c r="I319" i="76" s="1"/>
  <c r="I318" i="76" a="1"/>
  <c r="I318" i="76" s="1"/>
  <c r="I317" i="76" a="1"/>
  <c r="I317" i="76" s="1"/>
  <c r="I316" i="76" a="1"/>
  <c r="I316" i="76" s="1"/>
  <c r="I315" i="76" a="1"/>
  <c r="I315" i="76" s="1"/>
  <c r="I314" i="76" a="1"/>
  <c r="I314" i="76" s="1"/>
  <c r="I313" i="76" a="1"/>
  <c r="I313" i="76" s="1"/>
  <c r="I312" i="76" a="1"/>
  <c r="I312" i="76" s="1"/>
  <c r="I311" i="76" a="1"/>
  <c r="I311" i="76" s="1"/>
  <c r="I310" i="76" a="1"/>
  <c r="I310" i="76" s="1"/>
  <c r="I309" i="76" a="1"/>
  <c r="I309" i="76" s="1"/>
  <c r="I308" i="76" a="1"/>
  <c r="I308" i="76" s="1"/>
  <c r="I307" i="76" a="1"/>
  <c r="I307" i="76" s="1"/>
  <c r="I306" i="76" a="1"/>
  <c r="I306" i="76" s="1"/>
  <c r="I305" i="76" a="1"/>
  <c r="I305" i="76" s="1"/>
  <c r="I304" i="76" a="1"/>
  <c r="I304" i="76" s="1"/>
  <c r="I303" i="76" a="1"/>
  <c r="I303" i="76" s="1"/>
  <c r="I302" i="76" a="1"/>
  <c r="I302" i="76" s="1"/>
  <c r="I301" i="76" a="1"/>
  <c r="I301" i="76" s="1"/>
  <c r="I300" i="76" a="1"/>
  <c r="I300" i="76" s="1"/>
  <c r="I299" i="76" a="1"/>
  <c r="I299" i="76" s="1"/>
  <c r="I298" i="76" a="1"/>
  <c r="I298" i="76" s="1"/>
  <c r="I297" i="76" a="1"/>
  <c r="I297" i="76" s="1"/>
  <c r="I296" i="76" a="1"/>
  <c r="I296" i="76" s="1"/>
  <c r="I295" i="76" a="1"/>
  <c r="I295" i="76" s="1"/>
  <c r="I294" i="76" a="1"/>
  <c r="I294" i="76" s="1"/>
  <c r="I293" i="76" a="1"/>
  <c r="I293" i="76" s="1"/>
  <c r="I292" i="76" a="1"/>
  <c r="I292" i="76" s="1"/>
  <c r="I291" i="76" a="1"/>
  <c r="I291" i="76" s="1"/>
  <c r="I290" i="76" a="1"/>
  <c r="I290" i="76" s="1"/>
  <c r="I289" i="76" a="1"/>
  <c r="I289" i="76" s="1"/>
  <c r="I288" i="76" a="1"/>
  <c r="I288" i="76" s="1"/>
  <c r="I287" i="76" a="1"/>
  <c r="I287" i="76" s="1"/>
  <c r="I286" i="76" a="1"/>
  <c r="I286" i="76" s="1"/>
  <c r="I285" i="76" a="1"/>
  <c r="I285" i="76" s="1"/>
  <c r="I284" i="76" a="1"/>
  <c r="I284" i="76" s="1"/>
  <c r="I283" i="76" a="1"/>
  <c r="I283" i="76" s="1"/>
  <c r="I282" i="76" a="1"/>
  <c r="I282" i="76" s="1"/>
  <c r="I281" i="76" a="1"/>
  <c r="I281" i="76" s="1"/>
  <c r="I280" i="76" a="1"/>
  <c r="I280" i="76" s="1"/>
  <c r="I279" i="76" a="1"/>
  <c r="I279" i="76" s="1"/>
  <c r="I278" i="76" a="1"/>
  <c r="I278" i="76" s="1"/>
  <c r="I277" i="76" a="1"/>
  <c r="I277" i="76" s="1"/>
  <c r="I276" i="76" a="1"/>
  <c r="I276" i="76" s="1"/>
  <c r="I275" i="76" a="1"/>
  <c r="I275" i="76" s="1"/>
  <c r="I274" i="76" a="1"/>
  <c r="I274" i="76" s="1"/>
  <c r="I273" i="76" a="1"/>
  <c r="I273" i="76" s="1"/>
  <c r="I272" i="76" a="1"/>
  <c r="I272" i="76" s="1"/>
  <c r="I271" i="76" a="1"/>
  <c r="I271" i="76" s="1"/>
  <c r="I270" i="76" a="1"/>
  <c r="I270" i="76" s="1"/>
  <c r="I269" i="76" a="1"/>
  <c r="I269" i="76" s="1"/>
  <c r="I268" i="76" a="1"/>
  <c r="I268" i="76" s="1"/>
  <c r="I267" i="76" a="1"/>
  <c r="I267" i="76" s="1"/>
  <c r="I266" i="76" a="1"/>
  <c r="I266" i="76" s="1"/>
  <c r="I265" i="76" a="1"/>
  <c r="I265" i="76" s="1"/>
  <c r="I264" i="76" a="1"/>
  <c r="I264" i="76" s="1"/>
  <c r="I263" i="76" a="1"/>
  <c r="I263" i="76" s="1"/>
  <c r="I262" i="76" a="1"/>
  <c r="I262" i="76" s="1"/>
  <c r="I261" i="76" a="1"/>
  <c r="I261" i="76" s="1"/>
  <c r="I260" i="76" a="1"/>
  <c r="I260" i="76" s="1"/>
  <c r="I259" i="76" a="1"/>
  <c r="I259" i="76" s="1"/>
  <c r="I258" i="76" a="1"/>
  <c r="I258" i="76" s="1"/>
  <c r="I257" i="76" a="1"/>
  <c r="I257" i="76" s="1"/>
  <c r="I256" i="76" a="1"/>
  <c r="I256" i="76" s="1"/>
  <c r="I255" i="76" a="1"/>
  <c r="I255" i="76" s="1"/>
  <c r="I254" i="76" a="1"/>
  <c r="I254" i="76" s="1"/>
  <c r="I253" i="76" a="1"/>
  <c r="I253" i="76" s="1"/>
  <c r="I252" i="76" a="1"/>
  <c r="I252" i="76" s="1"/>
  <c r="I251" i="76" a="1"/>
  <c r="I251" i="76" s="1"/>
  <c r="I250" i="76" a="1"/>
  <c r="I250" i="76" s="1"/>
  <c r="I249" i="76" a="1"/>
  <c r="I249" i="76" s="1"/>
  <c r="I248" i="76" a="1"/>
  <c r="I248" i="76" s="1"/>
  <c r="I247" i="76" a="1"/>
  <c r="I247" i="76" s="1"/>
  <c r="I246" i="76" a="1"/>
  <c r="I246" i="76" s="1"/>
  <c r="I245" i="76" a="1"/>
  <c r="I245" i="76" s="1"/>
  <c r="I244" i="76" a="1"/>
  <c r="I244" i="76" s="1"/>
  <c r="I243" i="76" a="1"/>
  <c r="I243" i="76" s="1"/>
  <c r="I242" i="76" a="1"/>
  <c r="I242" i="76" s="1"/>
  <c r="I241" i="76" a="1"/>
  <c r="I241" i="76" s="1"/>
  <c r="I240" i="76" a="1"/>
  <c r="I240" i="76" s="1"/>
  <c r="I239" i="76" a="1"/>
  <c r="I239" i="76" s="1"/>
  <c r="I238" i="76" a="1"/>
  <c r="I238" i="76" s="1"/>
  <c r="I237" i="76" a="1"/>
  <c r="I237" i="76" s="1"/>
  <c r="I236" i="76" a="1"/>
  <c r="I236" i="76" s="1"/>
  <c r="I235" i="76" a="1"/>
  <c r="I235" i="76" s="1"/>
  <c r="I234" i="76" a="1"/>
  <c r="I234" i="76" s="1"/>
  <c r="I233" i="76" a="1"/>
  <c r="I233" i="76" s="1"/>
  <c r="I232" i="76" a="1"/>
  <c r="I232" i="76" s="1"/>
  <c r="I231" i="76" a="1"/>
  <c r="I231" i="76" s="1"/>
  <c r="I230" i="76" a="1"/>
  <c r="I230" i="76" s="1"/>
  <c r="I229" i="76" a="1"/>
  <c r="I229" i="76" s="1"/>
  <c r="I228" i="76" a="1"/>
  <c r="I228" i="76" s="1"/>
  <c r="I227" i="76" a="1"/>
  <c r="I227" i="76" s="1"/>
  <c r="I226" i="76" a="1"/>
  <c r="I226" i="76" s="1"/>
  <c r="I225" i="76" a="1"/>
  <c r="I225" i="76" s="1"/>
  <c r="I224" i="76" a="1"/>
  <c r="I224" i="76" s="1"/>
  <c r="I223" i="76" a="1"/>
  <c r="I223" i="76" s="1"/>
  <c r="I222" i="76" a="1"/>
  <c r="I222" i="76" s="1"/>
  <c r="I221" i="76" a="1"/>
  <c r="I221" i="76" s="1"/>
  <c r="I220" i="76" a="1"/>
  <c r="I220" i="76" s="1"/>
  <c r="I219" i="76" a="1"/>
  <c r="I219" i="76" s="1"/>
  <c r="I218" i="76" a="1"/>
  <c r="I218" i="76" s="1"/>
  <c r="I217" i="76" a="1"/>
  <c r="I217" i="76" s="1"/>
  <c r="I216" i="76" a="1"/>
  <c r="I216" i="76" s="1"/>
  <c r="I215" i="76" a="1"/>
  <c r="I215" i="76" s="1"/>
  <c r="I214" i="76" a="1"/>
  <c r="I214" i="76" s="1"/>
  <c r="I213" i="76" a="1"/>
  <c r="I213" i="76" s="1"/>
  <c r="I212" i="76" a="1"/>
  <c r="I212" i="76" s="1"/>
  <c r="I211" i="76" a="1"/>
  <c r="I211" i="76" s="1"/>
  <c r="I210" i="76" a="1"/>
  <c r="I210" i="76" s="1"/>
  <c r="I209" i="76" a="1"/>
  <c r="I209" i="76" s="1"/>
  <c r="H501" i="76" a="1"/>
  <c r="H501" i="76" s="1"/>
  <c r="H500" i="76" a="1"/>
  <c r="H500" i="76" s="1"/>
  <c r="H499" i="76" a="1"/>
  <c r="H499" i="76" s="1"/>
  <c r="H498" i="76" a="1"/>
  <c r="H498" i="76" s="1"/>
  <c r="H497" i="76" a="1"/>
  <c r="H497" i="76" s="1"/>
  <c r="H496" i="76" a="1"/>
  <c r="H496" i="76" s="1"/>
  <c r="H495" i="76" a="1"/>
  <c r="H495" i="76" s="1"/>
  <c r="H494" i="76" a="1"/>
  <c r="H494" i="76" s="1"/>
  <c r="H493" i="76" a="1"/>
  <c r="H493" i="76" s="1"/>
  <c r="H492" i="76" a="1"/>
  <c r="H492" i="76" s="1"/>
  <c r="H491" i="76" a="1"/>
  <c r="H491" i="76" s="1"/>
  <c r="H490" i="76" a="1"/>
  <c r="H490" i="76" s="1"/>
  <c r="H489" i="76" a="1"/>
  <c r="H489" i="76" s="1"/>
  <c r="H488" i="76" a="1"/>
  <c r="H488" i="76" s="1"/>
  <c r="H487" i="76" a="1"/>
  <c r="H487" i="76" s="1"/>
  <c r="H486" i="76" a="1"/>
  <c r="H486" i="76" s="1"/>
  <c r="H485" i="76" a="1"/>
  <c r="H485" i="76" s="1"/>
  <c r="H484" i="76" a="1"/>
  <c r="H484" i="76" s="1"/>
  <c r="H483" i="76" a="1"/>
  <c r="H483" i="76" s="1"/>
  <c r="H482" i="76" a="1"/>
  <c r="H482" i="76" s="1"/>
  <c r="H481" i="76" a="1"/>
  <c r="H481" i="76" s="1"/>
  <c r="H480" i="76" a="1"/>
  <c r="H480" i="76" s="1"/>
  <c r="H479" i="76" a="1"/>
  <c r="H479" i="76" s="1"/>
  <c r="H478" i="76" a="1"/>
  <c r="H478" i="76" s="1"/>
  <c r="H477" i="76" a="1"/>
  <c r="H477" i="76" s="1"/>
  <c r="H476" i="76" a="1"/>
  <c r="H476" i="76" s="1"/>
  <c r="H475" i="76" a="1"/>
  <c r="H475" i="76" s="1"/>
  <c r="H474" i="76" a="1"/>
  <c r="H474" i="76" s="1"/>
  <c r="H473" i="76" a="1"/>
  <c r="H473" i="76" s="1"/>
  <c r="H472" i="76" a="1"/>
  <c r="H472" i="76" s="1"/>
  <c r="H471" i="76" a="1"/>
  <c r="H471" i="76" s="1"/>
  <c r="H470" i="76" a="1"/>
  <c r="H470" i="76" s="1"/>
  <c r="H469" i="76" a="1"/>
  <c r="H469" i="76" s="1"/>
  <c r="H468" i="76" a="1"/>
  <c r="H468" i="76" s="1"/>
  <c r="H467" i="76" a="1"/>
  <c r="H467" i="76" s="1"/>
  <c r="H466" i="76" a="1"/>
  <c r="H466" i="76" s="1"/>
  <c r="H465" i="76" a="1"/>
  <c r="H465" i="76" s="1"/>
  <c r="H464" i="76" a="1"/>
  <c r="H464" i="76" s="1"/>
  <c r="H463" i="76" a="1"/>
  <c r="H463" i="76" s="1"/>
  <c r="H462" i="76" a="1"/>
  <c r="H462" i="76" s="1"/>
  <c r="H461" i="76" a="1"/>
  <c r="H461" i="76" s="1"/>
  <c r="H460" i="76" a="1"/>
  <c r="H460" i="76" s="1"/>
  <c r="H459" i="76" a="1"/>
  <c r="H459" i="76" s="1"/>
  <c r="H458" i="76" a="1"/>
  <c r="H458" i="76" s="1"/>
  <c r="H457" i="76" a="1"/>
  <c r="H457" i="76" s="1"/>
  <c r="H456" i="76" a="1"/>
  <c r="H456" i="76" s="1"/>
  <c r="H455" i="76" a="1"/>
  <c r="H455" i="76" s="1"/>
  <c r="H454" i="76" a="1"/>
  <c r="H454" i="76" s="1"/>
  <c r="H453" i="76" a="1"/>
  <c r="H453" i="76" s="1"/>
  <c r="H452" i="76" a="1"/>
  <c r="H452" i="76" s="1"/>
  <c r="H451" i="76" a="1"/>
  <c r="H451" i="76" s="1"/>
  <c r="H450" i="76" a="1"/>
  <c r="H450" i="76" s="1"/>
  <c r="H449" i="76" a="1"/>
  <c r="H449" i="76" s="1"/>
  <c r="H448" i="76" a="1"/>
  <c r="H448" i="76" s="1"/>
  <c r="H447" i="76" a="1"/>
  <c r="H447" i="76" s="1"/>
  <c r="H446" i="76" a="1"/>
  <c r="H446" i="76" s="1"/>
  <c r="H445" i="76" a="1"/>
  <c r="H445" i="76" s="1"/>
  <c r="H444" i="76" a="1"/>
  <c r="H444" i="76" s="1"/>
  <c r="H443" i="76" a="1"/>
  <c r="H443" i="76" s="1"/>
  <c r="H442" i="76" a="1"/>
  <c r="H442" i="76" s="1"/>
  <c r="H441" i="76" a="1"/>
  <c r="H441" i="76" s="1"/>
  <c r="H440" i="76" a="1"/>
  <c r="H440" i="76" s="1"/>
  <c r="H439" i="76" a="1"/>
  <c r="H439" i="76" s="1"/>
  <c r="H438" i="76" a="1"/>
  <c r="H438" i="76" s="1"/>
  <c r="H437" i="76" a="1"/>
  <c r="H437" i="76" s="1"/>
  <c r="H436" i="76" a="1"/>
  <c r="H436" i="76" s="1"/>
  <c r="H435" i="76" a="1"/>
  <c r="H435" i="76" s="1"/>
  <c r="H434" i="76" a="1"/>
  <c r="H434" i="76" s="1"/>
  <c r="H433" i="76" a="1"/>
  <c r="H433" i="76" s="1"/>
  <c r="H432" i="76" a="1"/>
  <c r="H432" i="76" s="1"/>
  <c r="H431" i="76" a="1"/>
  <c r="H431" i="76" s="1"/>
  <c r="H430" i="76" a="1"/>
  <c r="H430" i="76" s="1"/>
  <c r="H429" i="76" a="1"/>
  <c r="H429" i="76" s="1"/>
  <c r="H428" i="76" a="1"/>
  <c r="H428" i="76" s="1"/>
  <c r="H427" i="76" a="1"/>
  <c r="H427" i="76" s="1"/>
  <c r="H426" i="76" a="1"/>
  <c r="H426" i="76" s="1"/>
  <c r="H425" i="76" a="1"/>
  <c r="H425" i="76" s="1"/>
  <c r="H424" i="76" a="1"/>
  <c r="H424" i="76" s="1"/>
  <c r="H423" i="76" a="1"/>
  <c r="H423" i="76" s="1"/>
  <c r="H422" i="76" a="1"/>
  <c r="H422" i="76" s="1"/>
  <c r="H421" i="76" a="1"/>
  <c r="H421" i="76" s="1"/>
  <c r="H420" i="76" a="1"/>
  <c r="H420" i="76" s="1"/>
  <c r="H419" i="76" a="1"/>
  <c r="H419" i="76" s="1"/>
  <c r="H418" i="76" a="1"/>
  <c r="H418" i="76" s="1"/>
  <c r="H417" i="76" a="1"/>
  <c r="H417" i="76" s="1"/>
  <c r="H416" i="76" a="1"/>
  <c r="H416" i="76" s="1"/>
  <c r="H415" i="76" a="1"/>
  <c r="H415" i="76" s="1"/>
  <c r="H414" i="76" a="1"/>
  <c r="H414" i="76" s="1"/>
  <c r="H413" i="76" a="1"/>
  <c r="H413" i="76" s="1"/>
  <c r="H412" i="76" a="1"/>
  <c r="H412" i="76" s="1"/>
  <c r="H411" i="76" a="1"/>
  <c r="H411" i="76" s="1"/>
  <c r="H410" i="76" a="1"/>
  <c r="H410" i="76" s="1"/>
  <c r="H409" i="76" a="1"/>
  <c r="H409" i="76" s="1"/>
  <c r="H408" i="76" a="1"/>
  <c r="H408" i="76" s="1"/>
  <c r="H407" i="76" a="1"/>
  <c r="H407" i="76" s="1"/>
  <c r="H406" i="76" a="1"/>
  <c r="H406" i="76" s="1"/>
  <c r="H405" i="76" a="1"/>
  <c r="H405" i="76" s="1"/>
  <c r="H404" i="76" a="1"/>
  <c r="H404" i="76" s="1"/>
  <c r="H403" i="76" a="1"/>
  <c r="H403" i="76" s="1"/>
  <c r="H402" i="76" a="1"/>
  <c r="H402" i="76" s="1"/>
  <c r="H401" i="76" a="1"/>
  <c r="H401" i="76" s="1"/>
  <c r="H400" i="76" a="1"/>
  <c r="H400" i="76" s="1"/>
  <c r="H399" i="76" a="1"/>
  <c r="H399" i="76" s="1"/>
  <c r="H398" i="76" a="1"/>
  <c r="H398" i="76" s="1"/>
  <c r="H397" i="76" a="1"/>
  <c r="H397" i="76" s="1"/>
  <c r="H396" i="76" a="1"/>
  <c r="H396" i="76" s="1"/>
  <c r="H395" i="76" a="1"/>
  <c r="H395" i="76" s="1"/>
  <c r="H394" i="76" a="1"/>
  <c r="H394" i="76" s="1"/>
  <c r="H393" i="76" a="1"/>
  <c r="H393" i="76" s="1"/>
  <c r="H392" i="76" a="1"/>
  <c r="H392" i="76" s="1"/>
  <c r="H391" i="76" a="1"/>
  <c r="H391" i="76" s="1"/>
  <c r="H390" i="76" a="1"/>
  <c r="H390" i="76" s="1"/>
  <c r="H389" i="76" a="1"/>
  <c r="H389" i="76" s="1"/>
  <c r="H388" i="76" a="1"/>
  <c r="H388" i="76" s="1"/>
  <c r="H387" i="76" a="1"/>
  <c r="H387" i="76" s="1"/>
  <c r="H386" i="76" a="1"/>
  <c r="H386" i="76" s="1"/>
  <c r="H385" i="76" a="1"/>
  <c r="H385" i="76" s="1"/>
  <c r="H384" i="76" a="1"/>
  <c r="H384" i="76" s="1"/>
  <c r="H383" i="76" a="1"/>
  <c r="H383" i="76" s="1"/>
  <c r="H382" i="76" a="1"/>
  <c r="H382" i="76" s="1"/>
  <c r="H381" i="76" a="1"/>
  <c r="H381" i="76" s="1"/>
  <c r="H380" i="76" a="1"/>
  <c r="H380" i="76" s="1"/>
  <c r="H379" i="76" a="1"/>
  <c r="H379" i="76" s="1"/>
  <c r="H378" i="76" a="1"/>
  <c r="H378" i="76" s="1"/>
  <c r="H377" i="76" a="1"/>
  <c r="H377" i="76" s="1"/>
  <c r="H376" i="76" a="1"/>
  <c r="H376" i="76" s="1"/>
  <c r="H375" i="76" a="1"/>
  <c r="H375" i="76" s="1"/>
  <c r="H374" i="76" a="1"/>
  <c r="H374" i="76" s="1"/>
  <c r="H373" i="76" a="1"/>
  <c r="H373" i="76" s="1"/>
  <c r="H372" i="76" a="1"/>
  <c r="H372" i="76" s="1"/>
  <c r="H371" i="76" a="1"/>
  <c r="H371" i="76" s="1"/>
  <c r="H370" i="76" a="1"/>
  <c r="H370" i="76" s="1"/>
  <c r="H369" i="76" a="1"/>
  <c r="H369" i="76" s="1"/>
  <c r="H368" i="76" a="1"/>
  <c r="H368" i="76" s="1"/>
  <c r="H367" i="76" a="1"/>
  <c r="H367" i="76" s="1"/>
  <c r="H366" i="76" a="1"/>
  <c r="H366" i="76" s="1"/>
  <c r="H365" i="76" a="1"/>
  <c r="H365" i="76" s="1"/>
  <c r="H364" i="76" a="1"/>
  <c r="H364" i="76" s="1"/>
  <c r="H363" i="76" a="1"/>
  <c r="H363" i="76" s="1"/>
  <c r="H362" i="76" a="1"/>
  <c r="H362" i="76" s="1"/>
  <c r="H361" i="76" a="1"/>
  <c r="H361" i="76" s="1"/>
  <c r="H360" i="76" a="1"/>
  <c r="H360" i="76" s="1"/>
  <c r="H359" i="76" a="1"/>
  <c r="H359" i="76" s="1"/>
  <c r="H358" i="76" a="1"/>
  <c r="H358" i="76" s="1"/>
  <c r="H357" i="76" a="1"/>
  <c r="H357" i="76" s="1"/>
  <c r="H356" i="76" a="1"/>
  <c r="H356" i="76" s="1"/>
  <c r="H355" i="76" a="1"/>
  <c r="H355" i="76" s="1"/>
  <c r="H354" i="76" a="1"/>
  <c r="H354" i="76" s="1"/>
  <c r="H353" i="76" a="1"/>
  <c r="H353" i="76" s="1"/>
  <c r="H352" i="76" a="1"/>
  <c r="H352" i="76" s="1"/>
  <c r="H351" i="76" a="1"/>
  <c r="H351" i="76" s="1"/>
  <c r="H350" i="76" a="1"/>
  <c r="H350" i="76" s="1"/>
  <c r="H349" i="76" a="1"/>
  <c r="H349" i="76" s="1"/>
  <c r="H348" i="76" a="1"/>
  <c r="H348" i="76" s="1"/>
  <c r="H347" i="76" a="1"/>
  <c r="H347" i="76" s="1"/>
  <c r="H346" i="76" a="1"/>
  <c r="H346" i="76" s="1"/>
  <c r="H345" i="76" a="1"/>
  <c r="H345" i="76" s="1"/>
  <c r="H344" i="76" a="1"/>
  <c r="H344" i="76" s="1"/>
  <c r="H343" i="76" a="1"/>
  <c r="H343" i="76" s="1"/>
  <c r="H342" i="76" a="1"/>
  <c r="H342" i="76" s="1"/>
  <c r="H341" i="76" a="1"/>
  <c r="H341" i="76" s="1"/>
  <c r="H340" i="76" a="1"/>
  <c r="H340" i="76" s="1"/>
  <c r="H339" i="76" a="1"/>
  <c r="H339" i="76" s="1"/>
  <c r="H338" i="76" a="1"/>
  <c r="H338" i="76" s="1"/>
  <c r="H337" i="76" a="1"/>
  <c r="H337" i="76" s="1"/>
  <c r="H336" i="76" a="1"/>
  <c r="H336" i="76" s="1"/>
  <c r="H335" i="76" a="1"/>
  <c r="H335" i="76" s="1"/>
  <c r="H334" i="76" a="1"/>
  <c r="H334" i="76" s="1"/>
  <c r="H333" i="76" a="1"/>
  <c r="H333" i="76" s="1"/>
  <c r="H332" i="76" a="1"/>
  <c r="H332" i="76" s="1"/>
  <c r="H331" i="76" a="1"/>
  <c r="H331" i="76" s="1"/>
  <c r="H330" i="76" a="1"/>
  <c r="H330" i="76" s="1"/>
  <c r="H329" i="76" a="1"/>
  <c r="H329" i="76" s="1"/>
  <c r="H328" i="76" a="1"/>
  <c r="H328" i="76" s="1"/>
  <c r="H327" i="76" a="1"/>
  <c r="H327" i="76" s="1"/>
  <c r="H326" i="76" a="1"/>
  <c r="H326" i="76" s="1"/>
  <c r="H325" i="76" a="1"/>
  <c r="H325" i="76" s="1"/>
  <c r="H324" i="76" a="1"/>
  <c r="H324" i="76" s="1"/>
  <c r="H323" i="76" a="1"/>
  <c r="H323" i="76" s="1"/>
  <c r="H322" i="76" a="1"/>
  <c r="H322" i="76" s="1"/>
  <c r="H321" i="76" a="1"/>
  <c r="H321" i="76" s="1"/>
  <c r="H320" i="76" a="1"/>
  <c r="H320" i="76" s="1"/>
  <c r="H319" i="76" a="1"/>
  <c r="H319" i="76" s="1"/>
  <c r="H318" i="76" a="1"/>
  <c r="H318" i="76" s="1"/>
  <c r="H317" i="76" a="1"/>
  <c r="H317" i="76" s="1"/>
  <c r="H316" i="76" a="1"/>
  <c r="H316" i="76" s="1"/>
  <c r="H315" i="76" a="1"/>
  <c r="H315" i="76" s="1"/>
  <c r="H314" i="76" a="1"/>
  <c r="H314" i="76" s="1"/>
  <c r="H313" i="76" a="1"/>
  <c r="H313" i="76" s="1"/>
  <c r="H312" i="76" a="1"/>
  <c r="H312" i="76" s="1"/>
  <c r="H311" i="76" a="1"/>
  <c r="H311" i="76" s="1"/>
  <c r="H310" i="76" a="1"/>
  <c r="H310" i="76" s="1"/>
  <c r="H309" i="76" a="1"/>
  <c r="H309" i="76" s="1"/>
  <c r="H308" i="76" a="1"/>
  <c r="H308" i="76" s="1"/>
  <c r="H307" i="76" a="1"/>
  <c r="H307" i="76" s="1"/>
  <c r="H306" i="76" a="1"/>
  <c r="H306" i="76" s="1"/>
  <c r="H305" i="76" a="1"/>
  <c r="H305" i="76" s="1"/>
  <c r="H304" i="76" a="1"/>
  <c r="H304" i="76" s="1"/>
  <c r="H303" i="76" a="1"/>
  <c r="H303" i="76" s="1"/>
  <c r="H302" i="76" a="1"/>
  <c r="H302" i="76" s="1"/>
  <c r="H301" i="76" a="1"/>
  <c r="H301" i="76" s="1"/>
  <c r="H300" i="76" a="1"/>
  <c r="H300" i="76" s="1"/>
  <c r="H299" i="76" a="1"/>
  <c r="H299" i="76" s="1"/>
  <c r="H298" i="76" a="1"/>
  <c r="H298" i="76" s="1"/>
  <c r="H297" i="76" a="1"/>
  <c r="H297" i="76" s="1"/>
  <c r="H296" i="76" a="1"/>
  <c r="H296" i="76" s="1"/>
  <c r="H295" i="76" a="1"/>
  <c r="H295" i="76" s="1"/>
  <c r="H294" i="76" a="1"/>
  <c r="H294" i="76" s="1"/>
  <c r="H293" i="76" a="1"/>
  <c r="H293" i="76" s="1"/>
  <c r="H292" i="76" a="1"/>
  <c r="H292" i="76" s="1"/>
  <c r="H291" i="76" a="1"/>
  <c r="H291" i="76" s="1"/>
  <c r="H290" i="76" a="1"/>
  <c r="H290" i="76" s="1"/>
  <c r="H289" i="76" a="1"/>
  <c r="H289" i="76" s="1"/>
  <c r="H288" i="76" a="1"/>
  <c r="H288" i="76" s="1"/>
  <c r="H287" i="76" a="1"/>
  <c r="H287" i="76" s="1"/>
  <c r="H286" i="76" a="1"/>
  <c r="H286" i="76" s="1"/>
  <c r="H285" i="76" a="1"/>
  <c r="H285" i="76" s="1"/>
  <c r="H284" i="76" a="1"/>
  <c r="H284" i="76" s="1"/>
  <c r="H283" i="76" a="1"/>
  <c r="H283" i="76" s="1"/>
  <c r="H282" i="76" a="1"/>
  <c r="H282" i="76" s="1"/>
  <c r="H281" i="76" a="1"/>
  <c r="H281" i="76" s="1"/>
  <c r="H280" i="76" a="1"/>
  <c r="H280" i="76" s="1"/>
  <c r="H279" i="76" a="1"/>
  <c r="H279" i="76" s="1"/>
  <c r="H278" i="76" a="1"/>
  <c r="H278" i="76" s="1"/>
  <c r="H277" i="76" a="1"/>
  <c r="H277" i="76" s="1"/>
  <c r="H276" i="76" a="1"/>
  <c r="H276" i="76" s="1"/>
  <c r="H275" i="76" a="1"/>
  <c r="H275" i="76" s="1"/>
  <c r="H274" i="76" a="1"/>
  <c r="H274" i="76" s="1"/>
  <c r="H273" i="76" a="1"/>
  <c r="H273" i="76" s="1"/>
  <c r="H272" i="76" a="1"/>
  <c r="H272" i="76" s="1"/>
  <c r="H271" i="76" a="1"/>
  <c r="H271" i="76" s="1"/>
  <c r="H270" i="76" a="1"/>
  <c r="H270" i="76" s="1"/>
  <c r="H269" i="76" a="1"/>
  <c r="H269" i="76" s="1"/>
  <c r="H268" i="76" a="1"/>
  <c r="H268" i="76" s="1"/>
  <c r="H267" i="76" a="1"/>
  <c r="H267" i="76" s="1"/>
  <c r="H266" i="76" a="1"/>
  <c r="H266" i="76" s="1"/>
  <c r="H265" i="76" a="1"/>
  <c r="H265" i="76" s="1"/>
  <c r="H264" i="76" a="1"/>
  <c r="H264" i="76" s="1"/>
  <c r="H263" i="76" a="1"/>
  <c r="H263" i="76" s="1"/>
  <c r="H262" i="76" a="1"/>
  <c r="H262" i="76" s="1"/>
  <c r="H261" i="76" a="1"/>
  <c r="H261" i="76" s="1"/>
  <c r="H260" i="76" a="1"/>
  <c r="H260" i="76" s="1"/>
  <c r="H259" i="76" a="1"/>
  <c r="H259" i="76" s="1"/>
  <c r="H258" i="76" a="1"/>
  <c r="H258" i="76" s="1"/>
  <c r="H257" i="76" a="1"/>
  <c r="H257" i="76" s="1"/>
  <c r="H256" i="76" a="1"/>
  <c r="H256" i="76" s="1"/>
  <c r="H255" i="76" a="1"/>
  <c r="H255" i="76" s="1"/>
  <c r="H254" i="76" a="1"/>
  <c r="H254" i="76" s="1"/>
  <c r="H253" i="76" a="1"/>
  <c r="H253" i="76" s="1"/>
  <c r="H252" i="76" a="1"/>
  <c r="H252" i="76" s="1"/>
  <c r="H251" i="76" a="1"/>
  <c r="H251" i="76" s="1"/>
  <c r="H250" i="76" a="1"/>
  <c r="H250" i="76" s="1"/>
  <c r="H249" i="76" a="1"/>
  <c r="H249" i="76" s="1"/>
  <c r="H248" i="76" a="1"/>
  <c r="H248" i="76" s="1"/>
  <c r="H247" i="76" a="1"/>
  <c r="H247" i="76" s="1"/>
  <c r="H246" i="76" a="1"/>
  <c r="H246" i="76" s="1"/>
  <c r="H245" i="76" a="1"/>
  <c r="H245" i="76" s="1"/>
  <c r="H244" i="76" a="1"/>
  <c r="H244" i="76" s="1"/>
  <c r="H243" i="76" a="1"/>
  <c r="H243" i="76" s="1"/>
  <c r="H242" i="76" a="1"/>
  <c r="H242" i="76" s="1"/>
  <c r="H241" i="76" a="1"/>
  <c r="H241" i="76" s="1"/>
  <c r="H240" i="76" a="1"/>
  <c r="H240" i="76" s="1"/>
  <c r="H239" i="76" a="1"/>
  <c r="H239" i="76" s="1"/>
  <c r="H238" i="76" a="1"/>
  <c r="H238" i="76" s="1"/>
  <c r="H237" i="76" a="1"/>
  <c r="H237" i="76" s="1"/>
  <c r="H236" i="76" a="1"/>
  <c r="H236" i="76" s="1"/>
  <c r="H235" i="76" a="1"/>
  <c r="H235" i="76" s="1"/>
  <c r="H234" i="76" a="1"/>
  <c r="H234" i="76" s="1"/>
  <c r="H233" i="76" a="1"/>
  <c r="H233" i="76" s="1"/>
  <c r="H232" i="76" a="1"/>
  <c r="H232" i="76" s="1"/>
  <c r="H231" i="76" a="1"/>
  <c r="H231" i="76" s="1"/>
  <c r="H230" i="76" a="1"/>
  <c r="H230" i="76" s="1"/>
  <c r="H229" i="76" a="1"/>
  <c r="H229" i="76" s="1"/>
  <c r="H228" i="76" a="1"/>
  <c r="H228" i="76" s="1"/>
  <c r="H227" i="76" a="1"/>
  <c r="H227" i="76" s="1"/>
  <c r="H226" i="76" a="1"/>
  <c r="H226" i="76" s="1"/>
  <c r="H225" i="76" a="1"/>
  <c r="H225" i="76" s="1"/>
  <c r="H224" i="76" a="1"/>
  <c r="H224" i="76" s="1"/>
  <c r="H223" i="76" a="1"/>
  <c r="H223" i="76" s="1"/>
  <c r="H222" i="76" a="1"/>
  <c r="H222" i="76" s="1"/>
  <c r="H221" i="76" a="1"/>
  <c r="H221" i="76" s="1"/>
  <c r="H220" i="76" a="1"/>
  <c r="H220" i="76" s="1"/>
  <c r="H219" i="76" a="1"/>
  <c r="H219" i="76" s="1"/>
  <c r="H218" i="76" a="1"/>
  <c r="H218" i="76" s="1"/>
  <c r="H217" i="76" a="1"/>
  <c r="H217" i="76" s="1"/>
  <c r="H216" i="76" a="1"/>
  <c r="H216" i="76" s="1"/>
  <c r="H215" i="76" a="1"/>
  <c r="H215" i="76" s="1"/>
  <c r="H214" i="76" a="1"/>
  <c r="H214" i="76" s="1"/>
  <c r="H213" i="76" a="1"/>
  <c r="H213" i="76" s="1"/>
  <c r="H212" i="76" a="1"/>
  <c r="H212" i="76" s="1"/>
  <c r="H211" i="76" a="1"/>
  <c r="H211" i="76" s="1"/>
  <c r="H210" i="76" a="1"/>
  <c r="H210" i="76" s="1"/>
  <c r="H209" i="76" a="1"/>
  <c r="H209" i="76" s="1"/>
  <c r="G501" i="76" a="1"/>
  <c r="G501" i="76" s="1"/>
  <c r="G500" i="76" a="1"/>
  <c r="G500" i="76" s="1"/>
  <c r="G499" i="76" a="1"/>
  <c r="G499" i="76" s="1"/>
  <c r="G498" i="76" a="1"/>
  <c r="G498" i="76" s="1"/>
  <c r="G497" i="76" a="1"/>
  <c r="G497" i="76" s="1"/>
  <c r="G496" i="76" a="1"/>
  <c r="G496" i="76" s="1"/>
  <c r="G495" i="76" a="1"/>
  <c r="G495" i="76" s="1"/>
  <c r="G494" i="76" a="1"/>
  <c r="G494" i="76" s="1"/>
  <c r="G493" i="76" a="1"/>
  <c r="G493" i="76" s="1"/>
  <c r="G492" i="76" a="1"/>
  <c r="G492" i="76" s="1"/>
  <c r="G491" i="76" a="1"/>
  <c r="G491" i="76" s="1"/>
  <c r="G490" i="76" a="1"/>
  <c r="G490" i="76" s="1"/>
  <c r="G489" i="76" a="1"/>
  <c r="G489" i="76" s="1"/>
  <c r="G488" i="76" a="1"/>
  <c r="G488" i="76" s="1"/>
  <c r="G487" i="76" a="1"/>
  <c r="G487" i="76" s="1"/>
  <c r="G486" i="76" a="1"/>
  <c r="G486" i="76" s="1"/>
  <c r="G485" i="76" a="1"/>
  <c r="G485" i="76" s="1"/>
  <c r="G484" i="76" a="1"/>
  <c r="G484" i="76" s="1"/>
  <c r="G483" i="76" a="1"/>
  <c r="G483" i="76" s="1"/>
  <c r="G482" i="76" a="1"/>
  <c r="G482" i="76" s="1"/>
  <c r="G481" i="76" a="1"/>
  <c r="G481" i="76" s="1"/>
  <c r="G480" i="76" a="1"/>
  <c r="G480" i="76" s="1"/>
  <c r="G479" i="76" a="1"/>
  <c r="G479" i="76" s="1"/>
  <c r="G478" i="76" a="1"/>
  <c r="G478" i="76" s="1"/>
  <c r="G477" i="76" a="1"/>
  <c r="G477" i="76" s="1"/>
  <c r="G476" i="76" a="1"/>
  <c r="G476" i="76" s="1"/>
  <c r="G475" i="76" a="1"/>
  <c r="G475" i="76" s="1"/>
  <c r="G474" i="76" a="1"/>
  <c r="G474" i="76" s="1"/>
  <c r="G473" i="76" a="1"/>
  <c r="G473" i="76" s="1"/>
  <c r="G472" i="76" a="1"/>
  <c r="G472" i="76" s="1"/>
  <c r="G471" i="76" a="1"/>
  <c r="G471" i="76" s="1"/>
  <c r="G470" i="76" a="1"/>
  <c r="G470" i="76" s="1"/>
  <c r="G469" i="76" a="1"/>
  <c r="G469" i="76" s="1"/>
  <c r="G468" i="76" a="1"/>
  <c r="G468" i="76" s="1"/>
  <c r="G467" i="76" a="1"/>
  <c r="G467" i="76" s="1"/>
  <c r="G466" i="76" a="1"/>
  <c r="G466" i="76" s="1"/>
  <c r="G465" i="76" a="1"/>
  <c r="G465" i="76" s="1"/>
  <c r="G464" i="76" a="1"/>
  <c r="G464" i="76" s="1"/>
  <c r="G463" i="76" a="1"/>
  <c r="G463" i="76" s="1"/>
  <c r="G462" i="76" a="1"/>
  <c r="G462" i="76" s="1"/>
  <c r="G461" i="76" a="1"/>
  <c r="G461" i="76" s="1"/>
  <c r="G460" i="76" a="1"/>
  <c r="G460" i="76" s="1"/>
  <c r="G459" i="76" a="1"/>
  <c r="G459" i="76" s="1"/>
  <c r="G458" i="76" a="1"/>
  <c r="G458" i="76" s="1"/>
  <c r="G457" i="76" a="1"/>
  <c r="G457" i="76" s="1"/>
  <c r="G456" i="76" a="1"/>
  <c r="G456" i="76" s="1"/>
  <c r="G455" i="76" a="1"/>
  <c r="G455" i="76" s="1"/>
  <c r="G454" i="76" a="1"/>
  <c r="G454" i="76" s="1"/>
  <c r="G453" i="76" a="1"/>
  <c r="G453" i="76" s="1"/>
  <c r="G452" i="76" a="1"/>
  <c r="G452" i="76" s="1"/>
  <c r="G451" i="76" a="1"/>
  <c r="G451" i="76" s="1"/>
  <c r="G450" i="76" a="1"/>
  <c r="G450" i="76" s="1"/>
  <c r="G449" i="76" a="1"/>
  <c r="G449" i="76" s="1"/>
  <c r="G448" i="76" a="1"/>
  <c r="G448" i="76" s="1"/>
  <c r="G447" i="76" a="1"/>
  <c r="G447" i="76" s="1"/>
  <c r="G446" i="76" a="1"/>
  <c r="G446" i="76" s="1"/>
  <c r="G445" i="76" a="1"/>
  <c r="G445" i="76" s="1"/>
  <c r="G444" i="76" a="1"/>
  <c r="G444" i="76" s="1"/>
  <c r="G443" i="76" a="1"/>
  <c r="G443" i="76" s="1"/>
  <c r="G442" i="76" a="1"/>
  <c r="G442" i="76" s="1"/>
  <c r="G441" i="76" a="1"/>
  <c r="G441" i="76" s="1"/>
  <c r="G440" i="76" a="1"/>
  <c r="G440" i="76" s="1"/>
  <c r="G439" i="76" a="1"/>
  <c r="G439" i="76" s="1"/>
  <c r="G438" i="76" a="1"/>
  <c r="G438" i="76" s="1"/>
  <c r="G437" i="76" a="1"/>
  <c r="G437" i="76" s="1"/>
  <c r="G436" i="76" a="1"/>
  <c r="G436" i="76" s="1"/>
  <c r="G435" i="76" a="1"/>
  <c r="G435" i="76" s="1"/>
  <c r="G434" i="76" a="1"/>
  <c r="G434" i="76" s="1"/>
  <c r="G433" i="76" a="1"/>
  <c r="G433" i="76" s="1"/>
  <c r="G432" i="76" a="1"/>
  <c r="G432" i="76" s="1"/>
  <c r="G431" i="76" a="1"/>
  <c r="G431" i="76" s="1"/>
  <c r="G430" i="76" a="1"/>
  <c r="G430" i="76" s="1"/>
  <c r="G429" i="76" a="1"/>
  <c r="G429" i="76" s="1"/>
  <c r="G428" i="76" a="1"/>
  <c r="G428" i="76" s="1"/>
  <c r="G427" i="76" a="1"/>
  <c r="G427" i="76" s="1"/>
  <c r="G426" i="76" a="1"/>
  <c r="G426" i="76" s="1"/>
  <c r="G425" i="76" a="1"/>
  <c r="G425" i="76" s="1"/>
  <c r="G424" i="76" a="1"/>
  <c r="G424" i="76" s="1"/>
  <c r="G423" i="76" a="1"/>
  <c r="G423" i="76" s="1"/>
  <c r="G422" i="76" a="1"/>
  <c r="G422" i="76" s="1"/>
  <c r="G421" i="76" a="1"/>
  <c r="G421" i="76" s="1"/>
  <c r="G420" i="76" a="1"/>
  <c r="G420" i="76" s="1"/>
  <c r="G419" i="76" a="1"/>
  <c r="G419" i="76" s="1"/>
  <c r="G418" i="76" a="1"/>
  <c r="G418" i="76" s="1"/>
  <c r="G417" i="76" a="1"/>
  <c r="G417" i="76" s="1"/>
  <c r="G416" i="76" a="1"/>
  <c r="G416" i="76" s="1"/>
  <c r="G415" i="76" a="1"/>
  <c r="G415" i="76" s="1"/>
  <c r="G414" i="76" a="1"/>
  <c r="G414" i="76" s="1"/>
  <c r="G413" i="76" a="1"/>
  <c r="G413" i="76" s="1"/>
  <c r="G412" i="76" a="1"/>
  <c r="G412" i="76" s="1"/>
  <c r="G411" i="76" a="1"/>
  <c r="G411" i="76" s="1"/>
  <c r="G410" i="76" a="1"/>
  <c r="G410" i="76" s="1"/>
  <c r="G409" i="76" a="1"/>
  <c r="G409" i="76" s="1"/>
  <c r="G408" i="76" a="1"/>
  <c r="G408" i="76" s="1"/>
  <c r="G407" i="76" a="1"/>
  <c r="G407" i="76" s="1"/>
  <c r="G406" i="76" a="1"/>
  <c r="G406" i="76" s="1"/>
  <c r="G405" i="76" a="1"/>
  <c r="G405" i="76" s="1"/>
  <c r="G404" i="76" a="1"/>
  <c r="G404" i="76" s="1"/>
  <c r="G403" i="76" a="1"/>
  <c r="G403" i="76" s="1"/>
  <c r="G402" i="76" a="1"/>
  <c r="G402" i="76" s="1"/>
  <c r="G401" i="76" a="1"/>
  <c r="G401" i="76" s="1"/>
  <c r="G400" i="76" a="1"/>
  <c r="G400" i="76" s="1"/>
  <c r="G399" i="76" a="1"/>
  <c r="G399" i="76" s="1"/>
  <c r="G398" i="76" a="1"/>
  <c r="G398" i="76" s="1"/>
  <c r="G397" i="76" a="1"/>
  <c r="G397" i="76" s="1"/>
  <c r="G396" i="76" a="1"/>
  <c r="G396" i="76" s="1"/>
  <c r="G395" i="76" a="1"/>
  <c r="G395" i="76" s="1"/>
  <c r="G394" i="76" a="1"/>
  <c r="G394" i="76" s="1"/>
  <c r="G393" i="76" a="1"/>
  <c r="G393" i="76" s="1"/>
  <c r="G392" i="76" a="1"/>
  <c r="G392" i="76" s="1"/>
  <c r="G391" i="76" a="1"/>
  <c r="G391" i="76" s="1"/>
  <c r="G390" i="76" a="1"/>
  <c r="G390" i="76" s="1"/>
  <c r="G389" i="76" a="1"/>
  <c r="G389" i="76" s="1"/>
  <c r="G388" i="76" a="1"/>
  <c r="G388" i="76" s="1"/>
  <c r="G387" i="76" a="1"/>
  <c r="G387" i="76" s="1"/>
  <c r="G386" i="76" a="1"/>
  <c r="G386" i="76" s="1"/>
  <c r="G385" i="76" a="1"/>
  <c r="G385" i="76" s="1"/>
  <c r="G384" i="76" a="1"/>
  <c r="G384" i="76" s="1"/>
  <c r="G383" i="76" a="1"/>
  <c r="G383" i="76" s="1"/>
  <c r="G382" i="76" a="1"/>
  <c r="G382" i="76" s="1"/>
  <c r="G381" i="76" a="1"/>
  <c r="G381" i="76" s="1"/>
  <c r="G380" i="76" a="1"/>
  <c r="G380" i="76" s="1"/>
  <c r="G379" i="76" a="1"/>
  <c r="G379" i="76" s="1"/>
  <c r="G378" i="76" a="1"/>
  <c r="G378" i="76" s="1"/>
  <c r="G377" i="76" a="1"/>
  <c r="G377" i="76" s="1"/>
  <c r="G376" i="76" a="1"/>
  <c r="G376" i="76" s="1"/>
  <c r="G375" i="76" a="1"/>
  <c r="G375" i="76" s="1"/>
  <c r="G374" i="76" a="1"/>
  <c r="G374" i="76" s="1"/>
  <c r="G373" i="76" a="1"/>
  <c r="G373" i="76" s="1"/>
  <c r="G372" i="76" a="1"/>
  <c r="G372" i="76" s="1"/>
  <c r="G371" i="76" a="1"/>
  <c r="G371" i="76" s="1"/>
  <c r="G370" i="76" a="1"/>
  <c r="G370" i="76" s="1"/>
  <c r="G369" i="76" a="1"/>
  <c r="G369" i="76" s="1"/>
  <c r="G368" i="76" a="1"/>
  <c r="G368" i="76" s="1"/>
  <c r="G367" i="76" a="1"/>
  <c r="G367" i="76" s="1"/>
  <c r="G366" i="76" a="1"/>
  <c r="G366" i="76" s="1"/>
  <c r="G365" i="76" a="1"/>
  <c r="G365" i="76" s="1"/>
  <c r="G364" i="76" a="1"/>
  <c r="G364" i="76" s="1"/>
  <c r="G363" i="76" a="1"/>
  <c r="G363" i="76" s="1"/>
  <c r="G362" i="76" a="1"/>
  <c r="G362" i="76" s="1"/>
  <c r="G361" i="76" a="1"/>
  <c r="G361" i="76" s="1"/>
  <c r="G360" i="76" a="1"/>
  <c r="G360" i="76" s="1"/>
  <c r="G359" i="76" a="1"/>
  <c r="G359" i="76" s="1"/>
  <c r="G358" i="76" a="1"/>
  <c r="G358" i="76" s="1"/>
  <c r="G357" i="76" a="1"/>
  <c r="G357" i="76" s="1"/>
  <c r="G356" i="76" a="1"/>
  <c r="G356" i="76" s="1"/>
  <c r="G355" i="76" a="1"/>
  <c r="G355" i="76" s="1"/>
  <c r="G354" i="76" a="1"/>
  <c r="G354" i="76" s="1"/>
  <c r="G353" i="76" a="1"/>
  <c r="G353" i="76" s="1"/>
  <c r="G352" i="76" a="1"/>
  <c r="G352" i="76" s="1"/>
  <c r="G351" i="76" a="1"/>
  <c r="G351" i="76" s="1"/>
  <c r="G350" i="76" a="1"/>
  <c r="G350" i="76" s="1"/>
  <c r="G349" i="76" a="1"/>
  <c r="G349" i="76" s="1"/>
  <c r="G348" i="76" a="1"/>
  <c r="G348" i="76" s="1"/>
  <c r="G347" i="76" a="1"/>
  <c r="G347" i="76" s="1"/>
  <c r="G346" i="76" a="1"/>
  <c r="G346" i="76" s="1"/>
  <c r="G345" i="76" a="1"/>
  <c r="G345" i="76" s="1"/>
  <c r="G344" i="76" a="1"/>
  <c r="G344" i="76" s="1"/>
  <c r="G343" i="76" a="1"/>
  <c r="G343" i="76" s="1"/>
  <c r="G342" i="76" a="1"/>
  <c r="G342" i="76" s="1"/>
  <c r="G341" i="76" a="1"/>
  <c r="G341" i="76" s="1"/>
  <c r="G340" i="76" a="1"/>
  <c r="G340" i="76" s="1"/>
  <c r="G339" i="76" a="1"/>
  <c r="G339" i="76" s="1"/>
  <c r="G338" i="76" a="1"/>
  <c r="G338" i="76" s="1"/>
  <c r="G337" i="76" a="1"/>
  <c r="G337" i="76" s="1"/>
  <c r="G336" i="76" a="1"/>
  <c r="G336" i="76" s="1"/>
  <c r="G335" i="76" a="1"/>
  <c r="G335" i="76" s="1"/>
  <c r="G334" i="76" a="1"/>
  <c r="G334" i="76" s="1"/>
  <c r="G333" i="76" a="1"/>
  <c r="G333" i="76" s="1"/>
  <c r="G332" i="76" a="1"/>
  <c r="G332" i="76" s="1"/>
  <c r="G331" i="76" a="1"/>
  <c r="G331" i="76" s="1"/>
  <c r="G330" i="76" a="1"/>
  <c r="G330" i="76" s="1"/>
  <c r="G329" i="76" a="1"/>
  <c r="G329" i="76" s="1"/>
  <c r="G328" i="76" a="1"/>
  <c r="G328" i="76" s="1"/>
  <c r="G327" i="76" a="1"/>
  <c r="G327" i="76" s="1"/>
  <c r="G326" i="76" a="1"/>
  <c r="G326" i="76" s="1"/>
  <c r="G325" i="76" a="1"/>
  <c r="G325" i="76" s="1"/>
  <c r="G324" i="76" a="1"/>
  <c r="G324" i="76" s="1"/>
  <c r="G323" i="76" a="1"/>
  <c r="G323" i="76" s="1"/>
  <c r="G322" i="76" a="1"/>
  <c r="G322" i="76" s="1"/>
  <c r="G321" i="76" a="1"/>
  <c r="G321" i="76" s="1"/>
  <c r="G320" i="76" a="1"/>
  <c r="G320" i="76" s="1"/>
  <c r="G319" i="76" a="1"/>
  <c r="G319" i="76" s="1"/>
  <c r="G318" i="76" a="1"/>
  <c r="G318" i="76" s="1"/>
  <c r="G317" i="76" a="1"/>
  <c r="G317" i="76" s="1"/>
  <c r="G316" i="76" a="1"/>
  <c r="G316" i="76" s="1"/>
  <c r="G315" i="76" a="1"/>
  <c r="G315" i="76" s="1"/>
  <c r="G314" i="76" a="1"/>
  <c r="G314" i="76" s="1"/>
  <c r="G313" i="76" a="1"/>
  <c r="G313" i="76" s="1"/>
  <c r="G312" i="76" a="1"/>
  <c r="G312" i="76" s="1"/>
  <c r="G311" i="76" a="1"/>
  <c r="G311" i="76" s="1"/>
  <c r="G310" i="76" a="1"/>
  <c r="G310" i="76" s="1"/>
  <c r="G309" i="76" a="1"/>
  <c r="G309" i="76" s="1"/>
  <c r="G308" i="76" a="1"/>
  <c r="G308" i="76" s="1"/>
  <c r="G307" i="76" a="1"/>
  <c r="G307" i="76" s="1"/>
  <c r="G306" i="76" a="1"/>
  <c r="G306" i="76" s="1"/>
  <c r="G305" i="76" a="1"/>
  <c r="G305" i="76" s="1"/>
  <c r="G304" i="76" a="1"/>
  <c r="G304" i="76" s="1"/>
  <c r="G303" i="76" a="1"/>
  <c r="G303" i="76" s="1"/>
  <c r="G302" i="76" a="1"/>
  <c r="G302" i="76" s="1"/>
  <c r="G301" i="76" a="1"/>
  <c r="G301" i="76" s="1"/>
  <c r="G300" i="76" a="1"/>
  <c r="G300" i="76" s="1"/>
  <c r="G299" i="76" a="1"/>
  <c r="G299" i="76" s="1"/>
  <c r="G298" i="76" a="1"/>
  <c r="G298" i="76" s="1"/>
  <c r="G297" i="76" a="1"/>
  <c r="G297" i="76" s="1"/>
  <c r="G296" i="76" a="1"/>
  <c r="G296" i="76" s="1"/>
  <c r="G295" i="76" a="1"/>
  <c r="G295" i="76" s="1"/>
  <c r="G294" i="76" a="1"/>
  <c r="G294" i="76" s="1"/>
  <c r="G293" i="76" a="1"/>
  <c r="G293" i="76" s="1"/>
  <c r="G292" i="76" a="1"/>
  <c r="G292" i="76" s="1"/>
  <c r="G291" i="76" a="1"/>
  <c r="G291" i="76" s="1"/>
  <c r="G290" i="76" a="1"/>
  <c r="G290" i="76" s="1"/>
  <c r="G289" i="76" a="1"/>
  <c r="G289" i="76" s="1"/>
  <c r="G288" i="76" a="1"/>
  <c r="G288" i="76" s="1"/>
  <c r="G287" i="76" a="1"/>
  <c r="G287" i="76" s="1"/>
  <c r="G286" i="76" a="1"/>
  <c r="G286" i="76" s="1"/>
  <c r="G285" i="76" a="1"/>
  <c r="G285" i="76" s="1"/>
  <c r="G284" i="76" a="1"/>
  <c r="G284" i="76" s="1"/>
  <c r="G283" i="76" a="1"/>
  <c r="G283" i="76" s="1"/>
  <c r="G282" i="76" a="1"/>
  <c r="G282" i="76" s="1"/>
  <c r="G281" i="76" a="1"/>
  <c r="G281" i="76" s="1"/>
  <c r="G280" i="76" a="1"/>
  <c r="G280" i="76" s="1"/>
  <c r="G279" i="76" a="1"/>
  <c r="G279" i="76" s="1"/>
  <c r="G278" i="76" a="1"/>
  <c r="G278" i="76" s="1"/>
  <c r="G277" i="76" a="1"/>
  <c r="G277" i="76" s="1"/>
  <c r="G276" i="76" a="1"/>
  <c r="G276" i="76" s="1"/>
  <c r="G275" i="76" a="1"/>
  <c r="G275" i="76" s="1"/>
  <c r="G274" i="76" a="1"/>
  <c r="G274" i="76" s="1"/>
  <c r="G273" i="76" a="1"/>
  <c r="G273" i="76" s="1"/>
  <c r="G272" i="76" a="1"/>
  <c r="G272" i="76" s="1"/>
  <c r="G271" i="76" a="1"/>
  <c r="G271" i="76" s="1"/>
  <c r="G270" i="76" a="1"/>
  <c r="G270" i="76" s="1"/>
  <c r="G269" i="76" a="1"/>
  <c r="G269" i="76" s="1"/>
  <c r="G268" i="76" a="1"/>
  <c r="G268" i="76" s="1"/>
  <c r="G267" i="76" a="1"/>
  <c r="G267" i="76" s="1"/>
  <c r="G266" i="76" a="1"/>
  <c r="G266" i="76" s="1"/>
  <c r="G265" i="76" a="1"/>
  <c r="G265" i="76" s="1"/>
  <c r="G264" i="76" a="1"/>
  <c r="G264" i="76" s="1"/>
  <c r="G263" i="76" a="1"/>
  <c r="G263" i="76" s="1"/>
  <c r="G262" i="76" a="1"/>
  <c r="G262" i="76" s="1"/>
  <c r="G261" i="76" a="1"/>
  <c r="G261" i="76" s="1"/>
  <c r="G260" i="76" a="1"/>
  <c r="G260" i="76" s="1"/>
  <c r="G259" i="76" a="1"/>
  <c r="G259" i="76" s="1"/>
  <c r="G258" i="76" a="1"/>
  <c r="G258" i="76" s="1"/>
  <c r="G257" i="76" a="1"/>
  <c r="G257" i="76" s="1"/>
  <c r="G256" i="76" a="1"/>
  <c r="G256" i="76" s="1"/>
  <c r="G255" i="76" a="1"/>
  <c r="G255" i="76" s="1"/>
  <c r="G254" i="76" a="1"/>
  <c r="G254" i="76" s="1"/>
  <c r="G253" i="76" a="1"/>
  <c r="G253" i="76" s="1"/>
  <c r="G252" i="76" a="1"/>
  <c r="G252" i="76" s="1"/>
  <c r="G251" i="76" a="1"/>
  <c r="G251" i="76" s="1"/>
  <c r="G250" i="76" a="1"/>
  <c r="G250" i="76" s="1"/>
  <c r="G249" i="76" a="1"/>
  <c r="G249" i="76" s="1"/>
  <c r="G248" i="76" a="1"/>
  <c r="G248" i="76" s="1"/>
  <c r="G247" i="76" a="1"/>
  <c r="G247" i="76" s="1"/>
  <c r="G246" i="76" a="1"/>
  <c r="G246" i="76" s="1"/>
  <c r="G245" i="76" a="1"/>
  <c r="G245" i="76" s="1"/>
  <c r="G244" i="76" a="1"/>
  <c r="G244" i="76" s="1"/>
  <c r="G243" i="76" a="1"/>
  <c r="G243" i="76" s="1"/>
  <c r="G242" i="76" a="1"/>
  <c r="G242" i="76" s="1"/>
  <c r="G241" i="76" a="1"/>
  <c r="G241" i="76" s="1"/>
  <c r="G240" i="76" a="1"/>
  <c r="G240" i="76" s="1"/>
  <c r="G239" i="76" a="1"/>
  <c r="G239" i="76" s="1"/>
  <c r="G238" i="76" a="1"/>
  <c r="G238" i="76" s="1"/>
  <c r="G237" i="76" a="1"/>
  <c r="G237" i="76" s="1"/>
  <c r="G236" i="76" a="1"/>
  <c r="G236" i="76" s="1"/>
  <c r="D501" i="76" a="1"/>
  <c r="D501" i="76" s="1"/>
  <c r="D500" i="76" a="1"/>
  <c r="D500" i="76" s="1"/>
  <c r="D499" i="76" a="1"/>
  <c r="D499" i="76" s="1"/>
  <c r="D498" i="76" a="1"/>
  <c r="D498" i="76" s="1"/>
  <c r="D497" i="76" a="1"/>
  <c r="D497" i="76" s="1"/>
  <c r="D496" i="76" a="1"/>
  <c r="D496" i="76" s="1"/>
  <c r="D495" i="76" a="1"/>
  <c r="D495" i="76" s="1"/>
  <c r="D494" i="76" a="1"/>
  <c r="D494" i="76" s="1"/>
  <c r="D493" i="76" a="1"/>
  <c r="D493" i="76" s="1"/>
  <c r="D492" i="76" a="1"/>
  <c r="D492" i="76" s="1"/>
  <c r="D491" i="76" a="1"/>
  <c r="D491" i="76" s="1"/>
  <c r="D490" i="76" a="1"/>
  <c r="D490" i="76" s="1"/>
  <c r="D489" i="76" a="1"/>
  <c r="D489" i="76" s="1"/>
  <c r="D488" i="76" a="1"/>
  <c r="D488" i="76" s="1"/>
  <c r="D487" i="76" a="1"/>
  <c r="D487" i="76" s="1"/>
  <c r="D486" i="76" a="1"/>
  <c r="D486" i="76" s="1"/>
  <c r="D485" i="76" a="1"/>
  <c r="D485" i="76" s="1"/>
  <c r="D484" i="76" a="1"/>
  <c r="D484" i="76" s="1"/>
  <c r="D483" i="76" a="1"/>
  <c r="D483" i="76" s="1"/>
  <c r="D482" i="76" a="1"/>
  <c r="D482" i="76" s="1"/>
  <c r="D481" i="76" a="1"/>
  <c r="D481" i="76" s="1"/>
  <c r="D480" i="76" a="1"/>
  <c r="D480" i="76" s="1"/>
  <c r="D479" i="76" a="1"/>
  <c r="D479" i="76" s="1"/>
  <c r="D478" i="76" a="1"/>
  <c r="D478" i="76" s="1"/>
  <c r="D477" i="76" a="1"/>
  <c r="D477" i="76" s="1"/>
  <c r="D476" i="76" a="1"/>
  <c r="D476" i="76" s="1"/>
  <c r="D475" i="76" a="1"/>
  <c r="D475" i="76" s="1"/>
  <c r="D474" i="76" a="1"/>
  <c r="D474" i="76" s="1"/>
  <c r="D473" i="76" a="1"/>
  <c r="D473" i="76" s="1"/>
  <c r="D472" i="76" a="1"/>
  <c r="D472" i="76" s="1"/>
  <c r="D471" i="76" a="1"/>
  <c r="D471" i="76" s="1"/>
  <c r="D470" i="76" a="1"/>
  <c r="D470" i="76" s="1"/>
  <c r="D469" i="76" a="1"/>
  <c r="D469" i="76" s="1"/>
  <c r="D468" i="76" a="1"/>
  <c r="D468" i="76" s="1"/>
  <c r="D467" i="76" a="1"/>
  <c r="D467" i="76" s="1"/>
  <c r="D466" i="76" a="1"/>
  <c r="D466" i="76" s="1"/>
  <c r="D465" i="76" a="1"/>
  <c r="D465" i="76" s="1"/>
  <c r="D464" i="76" a="1"/>
  <c r="D464" i="76" s="1"/>
  <c r="D463" i="76" a="1"/>
  <c r="D463" i="76" s="1"/>
  <c r="D462" i="76" a="1"/>
  <c r="D462" i="76" s="1"/>
  <c r="D461" i="76" a="1"/>
  <c r="D461" i="76" s="1"/>
  <c r="D460" i="76" a="1"/>
  <c r="D460" i="76" s="1"/>
  <c r="D459" i="76" a="1"/>
  <c r="D459" i="76" s="1"/>
  <c r="D458" i="76" a="1"/>
  <c r="D458" i="76" s="1"/>
  <c r="D457" i="76" a="1"/>
  <c r="D457" i="76" s="1"/>
  <c r="D456" i="76" a="1"/>
  <c r="D456" i="76" s="1"/>
  <c r="D455" i="76" a="1"/>
  <c r="D455" i="76" s="1"/>
  <c r="D454" i="76" a="1"/>
  <c r="D454" i="76" s="1"/>
  <c r="D453" i="76" a="1"/>
  <c r="D453" i="76" s="1"/>
  <c r="D452" i="76" a="1"/>
  <c r="D452" i="76" s="1"/>
  <c r="D451" i="76" a="1"/>
  <c r="D451" i="76" s="1"/>
  <c r="D450" i="76" a="1"/>
  <c r="D450" i="76" s="1"/>
  <c r="D449" i="76" a="1"/>
  <c r="D449" i="76" s="1"/>
  <c r="D448" i="76" a="1"/>
  <c r="D448" i="76" s="1"/>
  <c r="D447" i="76" a="1"/>
  <c r="D447" i="76" s="1"/>
  <c r="D446" i="76" a="1"/>
  <c r="D446" i="76" s="1"/>
  <c r="D445" i="76" a="1"/>
  <c r="D445" i="76" s="1"/>
  <c r="D444" i="76" a="1"/>
  <c r="D444" i="76" s="1"/>
  <c r="D443" i="76" a="1"/>
  <c r="D443" i="76" s="1"/>
  <c r="D442" i="76" a="1"/>
  <c r="D442" i="76" s="1"/>
  <c r="D441" i="76" a="1"/>
  <c r="D441" i="76" s="1"/>
  <c r="D440" i="76" a="1"/>
  <c r="D440" i="76" s="1"/>
  <c r="D439" i="76" a="1"/>
  <c r="D439" i="76" s="1"/>
  <c r="D438" i="76" a="1"/>
  <c r="D438" i="76" s="1"/>
  <c r="D437" i="76" a="1"/>
  <c r="D437" i="76" s="1"/>
  <c r="D436" i="76" a="1"/>
  <c r="D436" i="76" s="1"/>
  <c r="D435" i="76" a="1"/>
  <c r="D435" i="76" s="1"/>
  <c r="D434" i="76" a="1"/>
  <c r="D434" i="76" s="1"/>
  <c r="D433" i="76" a="1"/>
  <c r="D433" i="76" s="1"/>
  <c r="D432" i="76" a="1"/>
  <c r="D432" i="76" s="1"/>
  <c r="D431" i="76" a="1"/>
  <c r="D431" i="76" s="1"/>
  <c r="D430" i="76" a="1"/>
  <c r="D430" i="76" s="1"/>
  <c r="D429" i="76" a="1"/>
  <c r="D429" i="76" s="1"/>
  <c r="D428" i="76" a="1"/>
  <c r="D428" i="76" s="1"/>
  <c r="D427" i="76" a="1"/>
  <c r="D427" i="76" s="1"/>
  <c r="D426" i="76" a="1"/>
  <c r="D426" i="76" s="1"/>
  <c r="D425" i="76" a="1"/>
  <c r="D425" i="76" s="1"/>
  <c r="D424" i="76" a="1"/>
  <c r="D424" i="76" s="1"/>
  <c r="D423" i="76" a="1"/>
  <c r="D423" i="76" s="1"/>
  <c r="D422" i="76" a="1"/>
  <c r="D422" i="76" s="1"/>
  <c r="D421" i="76" a="1"/>
  <c r="D421" i="76" s="1"/>
  <c r="D420" i="76" a="1"/>
  <c r="D420" i="76" s="1"/>
  <c r="D419" i="76" a="1"/>
  <c r="D419" i="76" s="1"/>
  <c r="D418" i="76" a="1"/>
  <c r="D418" i="76" s="1"/>
  <c r="D417" i="76" a="1"/>
  <c r="D417" i="76" s="1"/>
  <c r="D416" i="76" a="1"/>
  <c r="D416" i="76" s="1"/>
  <c r="D415" i="76" a="1"/>
  <c r="D415" i="76" s="1"/>
  <c r="D414" i="76" a="1"/>
  <c r="D414" i="76" s="1"/>
  <c r="D413" i="76" a="1"/>
  <c r="D413" i="76" s="1"/>
  <c r="D412" i="76" a="1"/>
  <c r="D412" i="76" s="1"/>
  <c r="D411" i="76" a="1"/>
  <c r="D411" i="76" s="1"/>
  <c r="D410" i="76" a="1"/>
  <c r="D410" i="76" s="1"/>
  <c r="D409" i="76" a="1"/>
  <c r="D409" i="76" s="1"/>
  <c r="D408" i="76" a="1"/>
  <c r="D408" i="76" s="1"/>
  <c r="D407" i="76" a="1"/>
  <c r="D407" i="76" s="1"/>
  <c r="D406" i="76" a="1"/>
  <c r="D406" i="76" s="1"/>
  <c r="D405" i="76" a="1"/>
  <c r="D405" i="76" s="1"/>
  <c r="D404" i="76" a="1"/>
  <c r="D404" i="76" s="1"/>
  <c r="D403" i="76" a="1"/>
  <c r="D403" i="76" s="1"/>
  <c r="D402" i="76" a="1"/>
  <c r="D402" i="76" s="1"/>
  <c r="D401" i="76" a="1"/>
  <c r="D401" i="76" s="1"/>
  <c r="D400" i="76" a="1"/>
  <c r="D400" i="76" s="1"/>
  <c r="D399" i="76" a="1"/>
  <c r="D399" i="76" s="1"/>
  <c r="D398" i="76" a="1"/>
  <c r="D398" i="76" s="1"/>
  <c r="D397" i="76" a="1"/>
  <c r="D397" i="76" s="1"/>
  <c r="D396" i="76" a="1"/>
  <c r="D396" i="76" s="1"/>
  <c r="D395" i="76" a="1"/>
  <c r="D395" i="76" s="1"/>
  <c r="D394" i="76" a="1"/>
  <c r="D394" i="76" s="1"/>
  <c r="D393" i="76" a="1"/>
  <c r="D393" i="76" s="1"/>
  <c r="D392" i="76" a="1"/>
  <c r="D392" i="76" s="1"/>
  <c r="D391" i="76" a="1"/>
  <c r="D391" i="76" s="1"/>
  <c r="D390" i="76" a="1"/>
  <c r="D390" i="76" s="1"/>
  <c r="D389" i="76" a="1"/>
  <c r="D389" i="76" s="1"/>
  <c r="D388" i="76" a="1"/>
  <c r="D388" i="76" s="1"/>
  <c r="D387" i="76" a="1"/>
  <c r="D387" i="76" s="1"/>
  <c r="D386" i="76" a="1"/>
  <c r="D386" i="76" s="1"/>
  <c r="D385" i="76" a="1"/>
  <c r="D385" i="76" s="1"/>
  <c r="D384" i="76" a="1"/>
  <c r="D384" i="76" s="1"/>
  <c r="D383" i="76" a="1"/>
  <c r="D383" i="76" s="1"/>
  <c r="D382" i="76" a="1"/>
  <c r="D382" i="76" s="1"/>
  <c r="D381" i="76" a="1"/>
  <c r="D381" i="76" s="1"/>
  <c r="D380" i="76" a="1"/>
  <c r="D380" i="76" s="1"/>
  <c r="D379" i="76" a="1"/>
  <c r="D379" i="76" s="1"/>
  <c r="D378" i="76" a="1"/>
  <c r="D378" i="76" s="1"/>
  <c r="D377" i="76" a="1"/>
  <c r="D377" i="76" s="1"/>
  <c r="D376" i="76" a="1"/>
  <c r="D376" i="76" s="1"/>
  <c r="D375" i="76" a="1"/>
  <c r="D375" i="76" s="1"/>
  <c r="D374" i="76" a="1"/>
  <c r="D374" i="76" s="1"/>
  <c r="D373" i="76" a="1"/>
  <c r="D373" i="76" s="1"/>
  <c r="D372" i="76" a="1"/>
  <c r="D372" i="76" s="1"/>
  <c r="D371" i="76" a="1"/>
  <c r="D371" i="76" s="1"/>
  <c r="D370" i="76" a="1"/>
  <c r="D370" i="76" s="1"/>
  <c r="D369" i="76" a="1"/>
  <c r="D369" i="76" s="1"/>
  <c r="D368" i="76" a="1"/>
  <c r="D368" i="76" s="1"/>
  <c r="D367" i="76" a="1"/>
  <c r="D367" i="76" s="1"/>
  <c r="D366" i="76" a="1"/>
  <c r="D366" i="76" s="1"/>
  <c r="D365" i="76" a="1"/>
  <c r="D365" i="76" s="1"/>
  <c r="D364" i="76" a="1"/>
  <c r="D364" i="76" s="1"/>
  <c r="D363" i="76" a="1"/>
  <c r="D363" i="76" s="1"/>
  <c r="D362" i="76" a="1"/>
  <c r="D362" i="76" s="1"/>
  <c r="D361" i="76" a="1"/>
  <c r="D361" i="76" s="1"/>
  <c r="D360" i="76" a="1"/>
  <c r="D360" i="76" s="1"/>
  <c r="D359" i="76" a="1"/>
  <c r="D359" i="76" s="1"/>
  <c r="D358" i="76" a="1"/>
  <c r="D358" i="76" s="1"/>
  <c r="D357" i="76" a="1"/>
  <c r="D357" i="76" s="1"/>
  <c r="D356" i="76" a="1"/>
  <c r="D356" i="76" s="1"/>
  <c r="D355" i="76" a="1"/>
  <c r="D355" i="76" s="1"/>
  <c r="D354" i="76" a="1"/>
  <c r="D354" i="76" s="1"/>
  <c r="D353" i="76" a="1"/>
  <c r="D353" i="76" s="1"/>
  <c r="D352" i="76" a="1"/>
  <c r="D352" i="76" s="1"/>
  <c r="D351" i="76" a="1"/>
  <c r="D351" i="76" s="1"/>
  <c r="D350" i="76" a="1"/>
  <c r="D350" i="76" s="1"/>
  <c r="D349" i="76" a="1"/>
  <c r="D349" i="76" s="1"/>
  <c r="D348" i="76" a="1"/>
  <c r="D348" i="76" s="1"/>
  <c r="D347" i="76" a="1"/>
  <c r="D347" i="76" s="1"/>
  <c r="D346" i="76" a="1"/>
  <c r="D346" i="76" s="1"/>
  <c r="D345" i="76" a="1"/>
  <c r="D345" i="76" s="1"/>
  <c r="D344" i="76" a="1"/>
  <c r="D344" i="76" s="1"/>
  <c r="D343" i="76" a="1"/>
  <c r="D343" i="76" s="1"/>
  <c r="D342" i="76" a="1"/>
  <c r="D342" i="76" s="1"/>
  <c r="D341" i="76" a="1"/>
  <c r="D341" i="76" s="1"/>
  <c r="D340" i="76" a="1"/>
  <c r="D340" i="76" s="1"/>
  <c r="D339" i="76" a="1"/>
  <c r="D339" i="76" s="1"/>
  <c r="D338" i="76" a="1"/>
  <c r="D338" i="76" s="1"/>
  <c r="D337" i="76" a="1"/>
  <c r="D337" i="76" s="1"/>
  <c r="D336" i="76" a="1"/>
  <c r="D336" i="76" s="1"/>
  <c r="D335" i="76" a="1"/>
  <c r="D335" i="76" s="1"/>
  <c r="D334" i="76" a="1"/>
  <c r="D334" i="76" s="1"/>
  <c r="D333" i="76" a="1"/>
  <c r="D333" i="76" s="1"/>
  <c r="D332" i="76" a="1"/>
  <c r="D332" i="76" s="1"/>
  <c r="D331" i="76" a="1"/>
  <c r="D331" i="76" s="1"/>
  <c r="D330" i="76" a="1"/>
  <c r="D330" i="76" s="1"/>
  <c r="D329" i="76" a="1"/>
  <c r="D329" i="76" s="1"/>
  <c r="D328" i="76" a="1"/>
  <c r="D328" i="76" s="1"/>
  <c r="D327" i="76" a="1"/>
  <c r="D327" i="76" s="1"/>
  <c r="D326" i="76" a="1"/>
  <c r="D326" i="76" s="1"/>
  <c r="D325" i="76" a="1"/>
  <c r="D325" i="76" s="1"/>
  <c r="D324" i="76" a="1"/>
  <c r="D324" i="76" s="1"/>
  <c r="D323" i="76" a="1"/>
  <c r="D323" i="76" s="1"/>
  <c r="D322" i="76" a="1"/>
  <c r="D322" i="76" s="1"/>
  <c r="D321" i="76" a="1"/>
  <c r="D321" i="76" s="1"/>
  <c r="D320" i="76" a="1"/>
  <c r="D320" i="76" s="1"/>
  <c r="D319" i="76" a="1"/>
  <c r="D319" i="76" s="1"/>
  <c r="D318" i="76" a="1"/>
  <c r="D318" i="76" s="1"/>
  <c r="D317" i="76" a="1"/>
  <c r="D317" i="76" s="1"/>
  <c r="D316" i="76" a="1"/>
  <c r="D316" i="76" s="1"/>
  <c r="D315" i="76" a="1"/>
  <c r="D315" i="76" s="1"/>
  <c r="D314" i="76" a="1"/>
  <c r="D314" i="76" s="1"/>
  <c r="D313" i="76" a="1"/>
  <c r="D313" i="76" s="1"/>
  <c r="D312" i="76" a="1"/>
  <c r="D312" i="76" s="1"/>
  <c r="D311" i="76" a="1"/>
  <c r="D311" i="76" s="1"/>
  <c r="D310" i="76" a="1"/>
  <c r="D310" i="76" s="1"/>
  <c r="D309" i="76" a="1"/>
  <c r="D309" i="76" s="1"/>
  <c r="D308" i="76" a="1"/>
  <c r="D308" i="76" s="1"/>
  <c r="D307" i="76" a="1"/>
  <c r="D307" i="76" s="1"/>
  <c r="D306" i="76" a="1"/>
  <c r="D306" i="76" s="1"/>
  <c r="D305" i="76" a="1"/>
  <c r="D305" i="76" s="1"/>
  <c r="D304" i="76" a="1"/>
  <c r="D304" i="76" s="1"/>
  <c r="D303" i="76" a="1"/>
  <c r="D303" i="76" s="1"/>
  <c r="D302" i="76" a="1"/>
  <c r="D302" i="76" s="1"/>
  <c r="D301" i="76" a="1"/>
  <c r="D301" i="76" s="1"/>
  <c r="D300" i="76" a="1"/>
  <c r="D300" i="76" s="1"/>
  <c r="D299" i="76" a="1"/>
  <c r="D299" i="76" s="1"/>
  <c r="D298" i="76" a="1"/>
  <c r="D298" i="76" s="1"/>
  <c r="D297" i="76" a="1"/>
  <c r="D297" i="76" s="1"/>
  <c r="D296" i="76" a="1"/>
  <c r="D296" i="76" s="1"/>
  <c r="D295" i="76" a="1"/>
  <c r="D295" i="76" s="1"/>
  <c r="D294" i="76" a="1"/>
  <c r="D294" i="76" s="1"/>
  <c r="D293" i="76" a="1"/>
  <c r="D293" i="76" s="1"/>
  <c r="D292" i="76" a="1"/>
  <c r="D292" i="76" s="1"/>
  <c r="D291" i="76" a="1"/>
  <c r="D291" i="76" s="1"/>
  <c r="D290" i="76" a="1"/>
  <c r="D290" i="76" s="1"/>
  <c r="D289" i="76" a="1"/>
  <c r="D289" i="76" s="1"/>
  <c r="D288" i="76" a="1"/>
  <c r="D288" i="76" s="1"/>
  <c r="D287" i="76" a="1"/>
  <c r="D287" i="76" s="1"/>
  <c r="D286" i="76" a="1"/>
  <c r="D286" i="76" s="1"/>
  <c r="D285" i="76" a="1"/>
  <c r="D285" i="76" s="1"/>
  <c r="D284" i="76" a="1"/>
  <c r="D284" i="76" s="1"/>
  <c r="D283" i="76" a="1"/>
  <c r="D283" i="76" s="1"/>
  <c r="D282" i="76" a="1"/>
  <c r="D282" i="76" s="1"/>
  <c r="D281" i="76" a="1"/>
  <c r="D281" i="76" s="1"/>
  <c r="D280" i="76" a="1"/>
  <c r="D280" i="76" s="1"/>
  <c r="D279" i="76" a="1"/>
  <c r="D279" i="76" s="1"/>
  <c r="D278" i="76" a="1"/>
  <c r="D278" i="76" s="1"/>
  <c r="D277" i="76" a="1"/>
  <c r="D277" i="76" s="1"/>
  <c r="D276" i="76" a="1"/>
  <c r="D276" i="76" s="1"/>
  <c r="D275" i="76" a="1"/>
  <c r="D275" i="76" s="1"/>
  <c r="D274" i="76" a="1"/>
  <c r="D274" i="76" s="1"/>
  <c r="D273" i="76" a="1"/>
  <c r="D273" i="76" s="1"/>
  <c r="D272" i="76" a="1"/>
  <c r="D272" i="76" s="1"/>
  <c r="D271" i="76" a="1"/>
  <c r="D271" i="76" s="1"/>
  <c r="D270" i="76" a="1"/>
  <c r="D270" i="76" s="1"/>
  <c r="D269" i="76" a="1"/>
  <c r="D269" i="76" s="1"/>
  <c r="D268" i="76" a="1"/>
  <c r="D268" i="76" s="1"/>
  <c r="D267" i="76" a="1"/>
  <c r="D267" i="76" s="1"/>
  <c r="D266" i="76" a="1"/>
  <c r="D266" i="76" s="1"/>
  <c r="D265" i="76" a="1"/>
  <c r="D265" i="76" s="1"/>
  <c r="D264" i="76" a="1"/>
  <c r="D264" i="76" s="1"/>
  <c r="D263" i="76" a="1"/>
  <c r="D263" i="76" s="1"/>
  <c r="D262" i="76" a="1"/>
  <c r="D262" i="76" s="1"/>
  <c r="D261" i="76" a="1"/>
  <c r="D261" i="76" s="1"/>
  <c r="D260" i="76" a="1"/>
  <c r="D260" i="76" s="1"/>
  <c r="D259" i="76" a="1"/>
  <c r="D259" i="76" s="1"/>
  <c r="D258" i="76" a="1"/>
  <c r="D258" i="76" s="1"/>
  <c r="D257" i="76" a="1"/>
  <c r="D257" i="76" s="1"/>
  <c r="D256" i="76" a="1"/>
  <c r="D256" i="76" s="1"/>
  <c r="D255" i="76" a="1"/>
  <c r="D255" i="76" s="1"/>
  <c r="D254" i="76" a="1"/>
  <c r="D254" i="76" s="1"/>
  <c r="D253" i="76" a="1"/>
  <c r="D253" i="76" s="1"/>
  <c r="D252" i="76" a="1"/>
  <c r="D252" i="76" s="1"/>
  <c r="D251" i="76" a="1"/>
  <c r="D251" i="76" s="1"/>
  <c r="D250" i="76" a="1"/>
  <c r="D250" i="76" s="1"/>
  <c r="D249" i="76" a="1"/>
  <c r="D249" i="76" s="1"/>
  <c r="D248" i="76" a="1"/>
  <c r="D248" i="76" s="1"/>
  <c r="D247" i="76" a="1"/>
  <c r="D247" i="76" s="1"/>
  <c r="D246" i="76" a="1"/>
  <c r="D246" i="76" s="1"/>
  <c r="D245" i="76" a="1"/>
  <c r="D245" i="76" s="1"/>
  <c r="D244" i="76" a="1"/>
  <c r="D244" i="76" s="1"/>
  <c r="D243" i="76" a="1"/>
  <c r="D243" i="76" s="1"/>
  <c r="D242" i="76" a="1"/>
  <c r="D242" i="76" s="1"/>
  <c r="D241" i="76" a="1"/>
  <c r="D241" i="76" s="1"/>
  <c r="D240" i="76" a="1"/>
  <c r="D240" i="76" s="1"/>
  <c r="D239" i="76" a="1"/>
  <c r="D239" i="76" s="1"/>
  <c r="D238" i="76" a="1"/>
  <c r="D238" i="76" s="1"/>
  <c r="D237" i="76" a="1"/>
  <c r="D237" i="76" s="1"/>
  <c r="D236" i="76" a="1"/>
  <c r="D236" i="76" s="1"/>
  <c r="B501" i="76" a="1"/>
  <c r="B501" i="76" s="1"/>
  <c r="B500" i="76" a="1"/>
  <c r="B500" i="76" s="1"/>
  <c r="B499" i="76" a="1"/>
  <c r="B499" i="76" s="1"/>
  <c r="B498" i="76" a="1"/>
  <c r="B498" i="76" s="1"/>
  <c r="B497" i="76" a="1"/>
  <c r="B497" i="76" s="1"/>
  <c r="B496" i="76" a="1"/>
  <c r="B496" i="76" s="1"/>
  <c r="B495" i="76" a="1"/>
  <c r="B495" i="76" s="1"/>
  <c r="B494" i="76" a="1"/>
  <c r="B494" i="76" s="1"/>
  <c r="B493" i="76" a="1"/>
  <c r="B493" i="76" s="1"/>
  <c r="B492" i="76" a="1"/>
  <c r="B492" i="76" s="1"/>
  <c r="B491" i="76" a="1"/>
  <c r="B491" i="76" s="1"/>
  <c r="B490" i="76" a="1"/>
  <c r="B490" i="76" s="1"/>
  <c r="B489" i="76" a="1"/>
  <c r="B489" i="76" s="1"/>
  <c r="B488" i="76" a="1"/>
  <c r="B488" i="76" s="1"/>
  <c r="B487" i="76" a="1"/>
  <c r="B487" i="76" s="1"/>
  <c r="B486" i="76" a="1"/>
  <c r="B486" i="76" s="1"/>
  <c r="B485" i="76" a="1"/>
  <c r="B485" i="76" s="1"/>
  <c r="B484" i="76" a="1"/>
  <c r="B484" i="76" s="1"/>
  <c r="B483" i="76" a="1"/>
  <c r="B483" i="76" s="1"/>
  <c r="B482" i="76" a="1"/>
  <c r="B482" i="76" s="1"/>
  <c r="B481" i="76" a="1"/>
  <c r="B481" i="76" s="1"/>
  <c r="B480" i="76" a="1"/>
  <c r="B480" i="76" s="1"/>
  <c r="B479" i="76" a="1"/>
  <c r="B479" i="76" s="1"/>
  <c r="B478" i="76" a="1"/>
  <c r="B478" i="76" s="1"/>
  <c r="B477" i="76" a="1"/>
  <c r="B477" i="76" s="1"/>
  <c r="B476" i="76" a="1"/>
  <c r="B476" i="76" s="1"/>
  <c r="B475" i="76" a="1"/>
  <c r="B475" i="76" s="1"/>
  <c r="B474" i="76" a="1"/>
  <c r="B474" i="76" s="1"/>
  <c r="B473" i="76" a="1"/>
  <c r="B473" i="76" s="1"/>
  <c r="B472" i="76" a="1"/>
  <c r="B472" i="76" s="1"/>
  <c r="B471" i="76" a="1"/>
  <c r="B471" i="76" s="1"/>
  <c r="B470" i="76" a="1"/>
  <c r="B470" i="76" s="1"/>
  <c r="B469" i="76" a="1"/>
  <c r="B469" i="76" s="1"/>
  <c r="B468" i="76" a="1"/>
  <c r="B468" i="76" s="1"/>
  <c r="B467" i="76" a="1"/>
  <c r="B467" i="76" s="1"/>
  <c r="B466" i="76" a="1"/>
  <c r="B466" i="76" s="1"/>
  <c r="B465" i="76" a="1"/>
  <c r="B465" i="76" s="1"/>
  <c r="B464" i="76" a="1"/>
  <c r="B464" i="76" s="1"/>
  <c r="B463" i="76" a="1"/>
  <c r="B463" i="76" s="1"/>
  <c r="B462" i="76" a="1"/>
  <c r="B462" i="76" s="1"/>
  <c r="B461" i="76" a="1"/>
  <c r="B461" i="76" s="1"/>
  <c r="B460" i="76" a="1"/>
  <c r="B460" i="76" s="1"/>
  <c r="B459" i="76" a="1"/>
  <c r="B459" i="76" s="1"/>
  <c r="B458" i="76" a="1"/>
  <c r="B458" i="76" s="1"/>
  <c r="B457" i="76" a="1"/>
  <c r="B457" i="76" s="1"/>
  <c r="B456" i="76" a="1"/>
  <c r="B456" i="76" s="1"/>
  <c r="B455" i="76" a="1"/>
  <c r="B455" i="76" s="1"/>
  <c r="B454" i="76" a="1"/>
  <c r="B454" i="76" s="1"/>
  <c r="B453" i="76" a="1"/>
  <c r="B453" i="76" s="1"/>
  <c r="B452" i="76" a="1"/>
  <c r="B452" i="76" s="1"/>
  <c r="B451" i="76" a="1"/>
  <c r="B451" i="76" s="1"/>
  <c r="B450" i="76" a="1"/>
  <c r="B450" i="76" s="1"/>
  <c r="B449" i="76" a="1"/>
  <c r="B449" i="76" s="1"/>
  <c r="B448" i="76" a="1"/>
  <c r="B448" i="76" s="1"/>
  <c r="B447" i="76" a="1"/>
  <c r="B447" i="76" s="1"/>
  <c r="B446" i="76" a="1"/>
  <c r="B446" i="76" s="1"/>
  <c r="B445" i="76" a="1"/>
  <c r="B445" i="76" s="1"/>
  <c r="B444" i="76" a="1"/>
  <c r="B444" i="76" s="1"/>
  <c r="B443" i="76" a="1"/>
  <c r="B443" i="76" s="1"/>
  <c r="B442" i="76" a="1"/>
  <c r="B442" i="76" s="1"/>
  <c r="B441" i="76" a="1"/>
  <c r="B441" i="76" s="1"/>
  <c r="B440" i="76" a="1"/>
  <c r="B440" i="76" s="1"/>
  <c r="B439" i="76" a="1"/>
  <c r="B439" i="76" s="1"/>
  <c r="B438" i="76" a="1"/>
  <c r="B438" i="76" s="1"/>
  <c r="B437" i="76" a="1"/>
  <c r="B437" i="76" s="1"/>
  <c r="B436" i="76" a="1"/>
  <c r="B436" i="76" s="1"/>
  <c r="B435" i="76" a="1"/>
  <c r="B435" i="76" s="1"/>
  <c r="B434" i="76" a="1"/>
  <c r="B434" i="76" s="1"/>
  <c r="B433" i="76" a="1"/>
  <c r="B433" i="76" s="1"/>
  <c r="B432" i="76" a="1"/>
  <c r="B432" i="76" s="1"/>
  <c r="B431" i="76" a="1"/>
  <c r="B431" i="76" s="1"/>
  <c r="B430" i="76" a="1"/>
  <c r="B430" i="76" s="1"/>
  <c r="B429" i="76" a="1"/>
  <c r="B429" i="76" s="1"/>
  <c r="B428" i="76" a="1"/>
  <c r="B428" i="76" s="1"/>
  <c r="B427" i="76" a="1"/>
  <c r="B427" i="76" s="1"/>
  <c r="B426" i="76" a="1"/>
  <c r="B426" i="76" s="1"/>
  <c r="B425" i="76" a="1"/>
  <c r="B425" i="76" s="1"/>
  <c r="B424" i="76" a="1"/>
  <c r="B424" i="76" s="1"/>
  <c r="B423" i="76" a="1"/>
  <c r="B423" i="76" s="1"/>
  <c r="B422" i="76" a="1"/>
  <c r="B422" i="76" s="1"/>
  <c r="B421" i="76" a="1"/>
  <c r="B421" i="76" s="1"/>
  <c r="B420" i="76" a="1"/>
  <c r="B420" i="76" s="1"/>
  <c r="B419" i="76" a="1"/>
  <c r="B419" i="76" s="1"/>
  <c r="B418" i="76" a="1"/>
  <c r="B418" i="76" s="1"/>
  <c r="B417" i="76" a="1"/>
  <c r="B417" i="76" s="1"/>
  <c r="B416" i="76" a="1"/>
  <c r="B416" i="76" s="1"/>
  <c r="B415" i="76" a="1"/>
  <c r="B415" i="76" s="1"/>
  <c r="B414" i="76" a="1"/>
  <c r="B414" i="76" s="1"/>
  <c r="B413" i="76" a="1"/>
  <c r="B413" i="76" s="1"/>
  <c r="B412" i="76" a="1"/>
  <c r="B412" i="76" s="1"/>
  <c r="B411" i="76" a="1"/>
  <c r="B411" i="76" s="1"/>
  <c r="B410" i="76" a="1"/>
  <c r="B410" i="76" s="1"/>
  <c r="B409" i="76" a="1"/>
  <c r="B409" i="76" s="1"/>
  <c r="B408" i="76" a="1"/>
  <c r="B408" i="76" s="1"/>
  <c r="B407" i="76" a="1"/>
  <c r="B407" i="76" s="1"/>
  <c r="B406" i="76" a="1"/>
  <c r="B406" i="76" s="1"/>
  <c r="B405" i="76" a="1"/>
  <c r="B405" i="76" s="1"/>
  <c r="B404" i="76" a="1"/>
  <c r="B404" i="76" s="1"/>
  <c r="B403" i="76" a="1"/>
  <c r="B403" i="76" s="1"/>
  <c r="B402" i="76" a="1"/>
  <c r="B402" i="76" s="1"/>
  <c r="B401" i="76" a="1"/>
  <c r="B401" i="76" s="1"/>
  <c r="B400" i="76" a="1"/>
  <c r="B400" i="76" s="1"/>
  <c r="B399" i="76" a="1"/>
  <c r="B399" i="76" s="1"/>
  <c r="B398" i="76" a="1"/>
  <c r="B398" i="76" s="1"/>
  <c r="B397" i="76" a="1"/>
  <c r="B397" i="76" s="1"/>
  <c r="B396" i="76" a="1"/>
  <c r="B396" i="76" s="1"/>
  <c r="B395" i="76" a="1"/>
  <c r="B395" i="76" s="1"/>
  <c r="B394" i="76" a="1"/>
  <c r="B394" i="76" s="1"/>
  <c r="B393" i="76" a="1"/>
  <c r="B393" i="76" s="1"/>
  <c r="B392" i="76" a="1"/>
  <c r="B392" i="76" s="1"/>
  <c r="B391" i="76" a="1"/>
  <c r="B391" i="76" s="1"/>
  <c r="B390" i="76" a="1"/>
  <c r="B390" i="76" s="1"/>
  <c r="B389" i="76" a="1"/>
  <c r="B389" i="76" s="1"/>
  <c r="B388" i="76" a="1"/>
  <c r="B388" i="76" s="1"/>
  <c r="B387" i="76" a="1"/>
  <c r="B387" i="76" s="1"/>
  <c r="B386" i="76" a="1"/>
  <c r="B386" i="76" s="1"/>
  <c r="B385" i="76" a="1"/>
  <c r="B385" i="76" s="1"/>
  <c r="B384" i="76" a="1"/>
  <c r="B384" i="76" s="1"/>
  <c r="B383" i="76" a="1"/>
  <c r="B383" i="76" s="1"/>
  <c r="B382" i="76" a="1"/>
  <c r="B382" i="76" s="1"/>
  <c r="B381" i="76" a="1"/>
  <c r="B381" i="76" s="1"/>
  <c r="B380" i="76" a="1"/>
  <c r="B380" i="76" s="1"/>
  <c r="B379" i="76" a="1"/>
  <c r="B379" i="76" s="1"/>
  <c r="B378" i="76" a="1"/>
  <c r="B378" i="76" s="1"/>
  <c r="B377" i="76" a="1"/>
  <c r="B377" i="76" s="1"/>
  <c r="B376" i="76" a="1"/>
  <c r="B376" i="76" s="1"/>
  <c r="B375" i="76" a="1"/>
  <c r="B375" i="76" s="1"/>
  <c r="B374" i="76" a="1"/>
  <c r="B374" i="76" s="1"/>
  <c r="B373" i="76" a="1"/>
  <c r="B373" i="76" s="1"/>
  <c r="B372" i="76" a="1"/>
  <c r="B372" i="76" s="1"/>
  <c r="B371" i="76" a="1"/>
  <c r="B371" i="76" s="1"/>
  <c r="B370" i="76" a="1"/>
  <c r="B370" i="76" s="1"/>
  <c r="B369" i="76" a="1"/>
  <c r="B369" i="76" s="1"/>
  <c r="B368" i="76" a="1"/>
  <c r="B368" i="76" s="1"/>
  <c r="B367" i="76" a="1"/>
  <c r="B367" i="76" s="1"/>
  <c r="B366" i="76" a="1"/>
  <c r="B366" i="76" s="1"/>
  <c r="B365" i="76" a="1"/>
  <c r="B365" i="76" s="1"/>
  <c r="B364" i="76" a="1"/>
  <c r="B364" i="76" s="1"/>
  <c r="B363" i="76" a="1"/>
  <c r="B363" i="76" s="1"/>
  <c r="B362" i="76" a="1"/>
  <c r="B362" i="76" s="1"/>
  <c r="B361" i="76" a="1"/>
  <c r="B361" i="76" s="1"/>
  <c r="B360" i="76" a="1"/>
  <c r="B360" i="76" s="1"/>
  <c r="B359" i="76" a="1"/>
  <c r="B359" i="76" s="1"/>
  <c r="B358" i="76" a="1"/>
  <c r="B358" i="76" s="1"/>
  <c r="B357" i="76" a="1"/>
  <c r="B357" i="76" s="1"/>
  <c r="B356" i="76" a="1"/>
  <c r="B356" i="76" s="1"/>
  <c r="B355" i="76" a="1"/>
  <c r="B355" i="76" s="1"/>
  <c r="B354" i="76" a="1"/>
  <c r="B354" i="76" s="1"/>
  <c r="B353" i="76" a="1"/>
  <c r="B353" i="76" s="1"/>
  <c r="B352" i="76" a="1"/>
  <c r="B352" i="76" s="1"/>
  <c r="B351" i="76" a="1"/>
  <c r="B351" i="76" s="1"/>
  <c r="B350" i="76" a="1"/>
  <c r="B350" i="76" s="1"/>
  <c r="B349" i="76" a="1"/>
  <c r="B349" i="76" s="1"/>
  <c r="B348" i="76" a="1"/>
  <c r="B348" i="76" s="1"/>
  <c r="B347" i="76" a="1"/>
  <c r="B347" i="76" s="1"/>
  <c r="B346" i="76" a="1"/>
  <c r="B346" i="76" s="1"/>
  <c r="B345" i="76" a="1"/>
  <c r="B345" i="76" s="1"/>
  <c r="B344" i="76" a="1"/>
  <c r="B344" i="76" s="1"/>
  <c r="B343" i="76" a="1"/>
  <c r="B343" i="76" s="1"/>
  <c r="B342" i="76" a="1"/>
  <c r="B342" i="76" s="1"/>
  <c r="B341" i="76" a="1"/>
  <c r="B341" i="76" s="1"/>
  <c r="B340" i="76" a="1"/>
  <c r="B340" i="76" s="1"/>
  <c r="B339" i="76" a="1"/>
  <c r="B339" i="76" s="1"/>
  <c r="B338" i="76" a="1"/>
  <c r="B338" i="76" s="1"/>
  <c r="B337" i="76" a="1"/>
  <c r="B337" i="76" s="1"/>
  <c r="B336" i="76" a="1"/>
  <c r="B336" i="76" s="1"/>
  <c r="B335" i="76" a="1"/>
  <c r="B335" i="76" s="1"/>
  <c r="B334" i="76" a="1"/>
  <c r="B334" i="76" s="1"/>
  <c r="B333" i="76" a="1"/>
  <c r="B333" i="76" s="1"/>
  <c r="B332" i="76" a="1"/>
  <c r="B332" i="76" s="1"/>
  <c r="B331" i="76" a="1"/>
  <c r="B331" i="76" s="1"/>
  <c r="B330" i="76" a="1"/>
  <c r="B330" i="76" s="1"/>
  <c r="B329" i="76" a="1"/>
  <c r="B329" i="76" s="1"/>
  <c r="B328" i="76" a="1"/>
  <c r="B328" i="76" s="1"/>
  <c r="B327" i="76" a="1"/>
  <c r="B327" i="76" s="1"/>
  <c r="B326" i="76" a="1"/>
  <c r="B326" i="76" s="1"/>
  <c r="B325" i="76" a="1"/>
  <c r="B325" i="76" s="1"/>
  <c r="B324" i="76" a="1"/>
  <c r="B324" i="76" s="1"/>
  <c r="B323" i="76" a="1"/>
  <c r="B323" i="76" s="1"/>
  <c r="B322" i="76" a="1"/>
  <c r="B322" i="76" s="1"/>
  <c r="B321" i="76" a="1"/>
  <c r="B321" i="76" s="1"/>
  <c r="B320" i="76" a="1"/>
  <c r="B320" i="76" s="1"/>
  <c r="B319" i="76" a="1"/>
  <c r="B319" i="76" s="1"/>
  <c r="B318" i="76" a="1"/>
  <c r="B318" i="76" s="1"/>
  <c r="B317" i="76" a="1"/>
  <c r="B317" i="76" s="1"/>
  <c r="B316" i="76" a="1"/>
  <c r="B316" i="76" s="1"/>
  <c r="B315" i="76" a="1"/>
  <c r="B315" i="76" s="1"/>
  <c r="B314" i="76" a="1"/>
  <c r="B314" i="76" s="1"/>
  <c r="B313" i="76" a="1"/>
  <c r="B313" i="76" s="1"/>
  <c r="B312" i="76" a="1"/>
  <c r="B312" i="76" s="1"/>
  <c r="B311" i="76" a="1"/>
  <c r="B311" i="76" s="1"/>
  <c r="B310" i="76" a="1"/>
  <c r="B310" i="76" s="1"/>
  <c r="B309" i="76" a="1"/>
  <c r="B309" i="76" s="1"/>
  <c r="B308" i="76" a="1"/>
  <c r="B308" i="76" s="1"/>
  <c r="B307" i="76" a="1"/>
  <c r="B307" i="76" s="1"/>
  <c r="B306" i="76" a="1"/>
  <c r="B306" i="76" s="1"/>
  <c r="B305" i="76" a="1"/>
  <c r="B305" i="76" s="1"/>
  <c r="B304" i="76" a="1"/>
  <c r="B304" i="76" s="1"/>
  <c r="B303" i="76" a="1"/>
  <c r="B303" i="76" s="1"/>
  <c r="B302" i="76" a="1"/>
  <c r="B302" i="76" s="1"/>
  <c r="B301" i="76" a="1"/>
  <c r="B301" i="76" s="1"/>
  <c r="B300" i="76" a="1"/>
  <c r="B300" i="76" s="1"/>
  <c r="B299" i="76" a="1"/>
  <c r="B299" i="76" s="1"/>
  <c r="B298" i="76" a="1"/>
  <c r="B298" i="76" s="1"/>
  <c r="B297" i="76" a="1"/>
  <c r="B297" i="76" s="1"/>
  <c r="B296" i="76" a="1"/>
  <c r="B296" i="76" s="1"/>
  <c r="B295" i="76" a="1"/>
  <c r="B295" i="76" s="1"/>
  <c r="B294" i="76" a="1"/>
  <c r="B294" i="76" s="1"/>
  <c r="B293" i="76" a="1"/>
  <c r="B293" i="76" s="1"/>
  <c r="B292" i="76" a="1"/>
  <c r="B292" i="76" s="1"/>
  <c r="B291" i="76" a="1"/>
  <c r="B291" i="76" s="1"/>
  <c r="B290" i="76" a="1"/>
  <c r="B290" i="76" s="1"/>
  <c r="B289" i="76" a="1"/>
  <c r="B289" i="76" s="1"/>
  <c r="B288" i="76" a="1"/>
  <c r="B288" i="76" s="1"/>
  <c r="B287" i="76" a="1"/>
  <c r="B287" i="76" s="1"/>
  <c r="B286" i="76" a="1"/>
  <c r="B286" i="76" s="1"/>
  <c r="B285" i="76" a="1"/>
  <c r="B285" i="76" s="1"/>
  <c r="B284" i="76" a="1"/>
  <c r="B284" i="76" s="1"/>
  <c r="B283" i="76" a="1"/>
  <c r="B283" i="76" s="1"/>
  <c r="B282" i="76" a="1"/>
  <c r="B282" i="76" s="1"/>
  <c r="B281" i="76" a="1"/>
  <c r="B281" i="76" s="1"/>
  <c r="B280" i="76" a="1"/>
  <c r="B280" i="76" s="1"/>
  <c r="B279" i="76" a="1"/>
  <c r="B279" i="76" s="1"/>
  <c r="B278" i="76" a="1"/>
  <c r="B278" i="76" s="1"/>
  <c r="B277" i="76" a="1"/>
  <c r="B277" i="76" s="1"/>
  <c r="B276" i="76" a="1"/>
  <c r="B276" i="76" s="1"/>
  <c r="B275" i="76" a="1"/>
  <c r="B275" i="76" s="1"/>
  <c r="B274" i="76" a="1"/>
  <c r="B274" i="76" s="1"/>
  <c r="B273" i="76" a="1"/>
  <c r="B273" i="76" s="1"/>
  <c r="B272" i="76" a="1"/>
  <c r="B272" i="76" s="1"/>
  <c r="B271" i="76" a="1"/>
  <c r="B271" i="76" s="1"/>
  <c r="B270" i="76" a="1"/>
  <c r="B270" i="76" s="1"/>
  <c r="B269" i="76" a="1"/>
  <c r="B269" i="76" s="1"/>
  <c r="B268" i="76" a="1"/>
  <c r="B268" i="76" s="1"/>
  <c r="B267" i="76" a="1"/>
  <c r="B267" i="76" s="1"/>
  <c r="B266" i="76" a="1"/>
  <c r="B266" i="76" s="1"/>
  <c r="B265" i="76" a="1"/>
  <c r="B265" i="76" s="1"/>
  <c r="B264" i="76" a="1"/>
  <c r="B264" i="76" s="1"/>
  <c r="B263" i="76" a="1"/>
  <c r="B263" i="76" s="1"/>
  <c r="B262" i="76" a="1"/>
  <c r="B262" i="76" s="1"/>
  <c r="B261" i="76" a="1"/>
  <c r="B261" i="76" s="1"/>
  <c r="B260" i="76" a="1"/>
  <c r="B260" i="76" s="1"/>
  <c r="B259" i="76" a="1"/>
  <c r="B259" i="76" s="1"/>
  <c r="B258" i="76" a="1"/>
  <c r="B258" i="76" s="1"/>
  <c r="B257" i="76" a="1"/>
  <c r="B257" i="76" s="1"/>
  <c r="B256" i="76" a="1"/>
  <c r="B256" i="76" s="1"/>
  <c r="B255" i="76" a="1"/>
  <c r="B255" i="76" s="1"/>
  <c r="B254" i="76" a="1"/>
  <c r="B254" i="76" s="1"/>
  <c r="B253" i="76" a="1"/>
  <c r="B253" i="76" s="1"/>
  <c r="B252" i="76" a="1"/>
  <c r="B252" i="76" s="1"/>
  <c r="B251" i="76" a="1"/>
  <c r="B251" i="76" s="1"/>
  <c r="B250" i="76" a="1"/>
  <c r="B250" i="76" s="1"/>
  <c r="B249" i="76" a="1"/>
  <c r="B249" i="76" s="1"/>
  <c r="B248" i="76" a="1"/>
  <c r="B248" i="76" s="1"/>
  <c r="B247" i="76" a="1"/>
  <c r="B247" i="76" s="1"/>
  <c r="B246" i="76" a="1"/>
  <c r="B246" i="76" s="1"/>
  <c r="B245" i="76" a="1"/>
  <c r="B245" i="76" s="1"/>
  <c r="B244" i="76" a="1"/>
  <c r="B244" i="76" s="1"/>
  <c r="B243" i="76" a="1"/>
  <c r="B243" i="76" s="1"/>
  <c r="B242" i="76" a="1"/>
  <c r="B242" i="76" s="1"/>
  <c r="B241" i="76" a="1"/>
  <c r="B241" i="76" s="1"/>
  <c r="B240" i="76" a="1"/>
  <c r="B240" i="76" s="1"/>
  <c r="B239" i="76" a="1"/>
  <c r="B239" i="76" s="1"/>
  <c r="B238" i="76" a="1"/>
  <c r="B238" i="76" s="1"/>
  <c r="B237" i="76" a="1"/>
  <c r="B237" i="76" s="1"/>
  <c r="B236" i="76" a="1"/>
  <c r="B236" i="76" s="1"/>
  <c r="G235" i="76" a="1"/>
  <c r="G235" i="76" s="1"/>
  <c r="D235" i="76" a="1"/>
  <c r="D235" i="76" s="1"/>
  <c r="B235" i="76" a="1"/>
  <c r="B235" i="76" s="1"/>
  <c r="G234" i="76" a="1"/>
  <c r="G234" i="76" s="1"/>
  <c r="D234" i="76" a="1"/>
  <c r="D234" i="76" s="1"/>
  <c r="B234" i="76" a="1"/>
  <c r="B234" i="76" s="1"/>
  <c r="G233" i="76" a="1"/>
  <c r="G233" i="76" s="1"/>
  <c r="D233" i="76" a="1"/>
  <c r="D233" i="76" s="1"/>
  <c r="B233" i="76" a="1"/>
  <c r="B233" i="76" s="1"/>
  <c r="G232" i="76" a="1"/>
  <c r="G232" i="76" s="1"/>
  <c r="D232" i="76" a="1"/>
  <c r="D232" i="76" s="1"/>
  <c r="B232" i="76" a="1"/>
  <c r="B232" i="76" s="1"/>
  <c r="G231" i="76" a="1"/>
  <c r="G231" i="76" s="1"/>
  <c r="D231" i="76" a="1"/>
  <c r="D231" i="76" s="1"/>
  <c r="B231" i="76" a="1"/>
  <c r="B231" i="76" s="1"/>
  <c r="G230" i="76" a="1"/>
  <c r="G230" i="76" s="1"/>
  <c r="D230" i="76" a="1"/>
  <c r="D230" i="76" s="1"/>
  <c r="B230" i="76" a="1"/>
  <c r="B230" i="76" s="1"/>
  <c r="G229" i="76" a="1"/>
  <c r="G229" i="76" s="1"/>
  <c r="D229" i="76" a="1"/>
  <c r="D229" i="76" s="1"/>
  <c r="B229" i="76" a="1"/>
  <c r="B229" i="76" s="1"/>
  <c r="G228" i="76" a="1"/>
  <c r="G228" i="76" s="1"/>
  <c r="D228" i="76" a="1"/>
  <c r="D228" i="76" s="1"/>
  <c r="B228" i="76" a="1"/>
  <c r="B228" i="76" s="1"/>
  <c r="G227" i="76" a="1"/>
  <c r="G227" i="76" s="1"/>
  <c r="D227" i="76" a="1"/>
  <c r="D227" i="76" s="1"/>
  <c r="B227" i="76" a="1"/>
  <c r="B227" i="76" s="1"/>
  <c r="G226" i="76" a="1"/>
  <c r="G226" i="76" s="1"/>
  <c r="D226" i="76" a="1"/>
  <c r="D226" i="76" s="1"/>
  <c r="B226" i="76" a="1"/>
  <c r="B226" i="76" s="1"/>
  <c r="G225" i="76" a="1"/>
  <c r="G225" i="76" s="1"/>
  <c r="D225" i="76" a="1"/>
  <c r="D225" i="76" s="1"/>
  <c r="B225" i="76" a="1"/>
  <c r="B225" i="76" s="1"/>
  <c r="G224" i="76" a="1"/>
  <c r="G224" i="76" s="1"/>
  <c r="D224" i="76" a="1"/>
  <c r="D224" i="76" s="1"/>
  <c r="B224" i="76" a="1"/>
  <c r="B224" i="76" s="1"/>
  <c r="G223" i="76" a="1"/>
  <c r="G223" i="76" s="1"/>
  <c r="D223" i="76" a="1"/>
  <c r="D223" i="76" s="1"/>
  <c r="B223" i="76" a="1"/>
  <c r="B223" i="76" s="1"/>
  <c r="G222" i="76" a="1"/>
  <c r="G222" i="76" s="1"/>
  <c r="D222" i="76" a="1"/>
  <c r="D222" i="76" s="1"/>
  <c r="B222" i="76" a="1"/>
  <c r="B222" i="76" s="1"/>
  <c r="G221" i="76" a="1"/>
  <c r="G221" i="76" s="1"/>
  <c r="D221" i="76" a="1"/>
  <c r="D221" i="76" s="1"/>
  <c r="B221" i="76" a="1"/>
  <c r="B221" i="76" s="1"/>
  <c r="G220" i="76" a="1"/>
  <c r="G220" i="76" s="1"/>
  <c r="D220" i="76" a="1"/>
  <c r="D220" i="76" s="1"/>
  <c r="B220" i="76" a="1"/>
  <c r="B220" i="76" s="1"/>
  <c r="G219" i="76" a="1"/>
  <c r="G219" i="76" s="1"/>
  <c r="D219" i="76" a="1"/>
  <c r="D219" i="76" s="1"/>
  <c r="B219" i="76" a="1"/>
  <c r="B219" i="76" s="1"/>
  <c r="G218" i="76" a="1"/>
  <c r="G218" i="76" s="1"/>
  <c r="D218" i="76" a="1"/>
  <c r="D218" i="76" s="1"/>
  <c r="B218" i="76" a="1"/>
  <c r="B218" i="76" s="1"/>
  <c r="G217" i="76" a="1"/>
  <c r="G217" i="76" s="1"/>
  <c r="D217" i="76" a="1"/>
  <c r="D217" i="76" s="1"/>
  <c r="B217" i="76" a="1"/>
  <c r="B217" i="76" s="1"/>
  <c r="G216" i="76" a="1"/>
  <c r="G216" i="76" s="1"/>
  <c r="D216" i="76" a="1"/>
  <c r="D216" i="76" s="1"/>
  <c r="B216" i="76" a="1"/>
  <c r="B216" i="76" s="1"/>
  <c r="G215" i="76" a="1"/>
  <c r="G215" i="76" s="1"/>
  <c r="D215" i="76" a="1"/>
  <c r="D215" i="76" s="1"/>
  <c r="B215" i="76" a="1"/>
  <c r="B215" i="76" s="1"/>
  <c r="G214" i="76" a="1"/>
  <c r="G214" i="76" s="1"/>
  <c r="D214" i="76" a="1"/>
  <c r="D214" i="76" s="1"/>
  <c r="B214" i="76" a="1"/>
  <c r="B214" i="76" s="1"/>
  <c r="G213" i="76" a="1"/>
  <c r="G213" i="76" s="1"/>
  <c r="D213" i="76" a="1"/>
  <c r="D213" i="76" s="1"/>
  <c r="B213" i="76" a="1"/>
  <c r="B213" i="76" s="1"/>
  <c r="G212" i="76" a="1"/>
  <c r="G212" i="76" s="1"/>
  <c r="D212" i="76" a="1"/>
  <c r="D212" i="76" s="1"/>
  <c r="B212" i="76" a="1"/>
  <c r="B212" i="76" s="1"/>
  <c r="G211" i="76" a="1"/>
  <c r="G211" i="76" s="1"/>
  <c r="D211" i="76" a="1"/>
  <c r="D211" i="76" s="1"/>
  <c r="B211" i="76" a="1"/>
  <c r="B211" i="76" s="1"/>
  <c r="G210" i="76" a="1"/>
  <c r="G210" i="76" s="1"/>
  <c r="D210" i="76" a="1"/>
  <c r="D210" i="76" s="1"/>
  <c r="B210" i="76" a="1"/>
  <c r="B210" i="76" s="1"/>
  <c r="G209" i="76" a="1"/>
  <c r="G209" i="76" s="1"/>
  <c r="D209" i="76" a="1"/>
  <c r="D209" i="76" s="1"/>
  <c r="B209" i="76" a="1"/>
  <c r="B209" i="76" s="1"/>
  <c r="G208" i="76" a="1"/>
  <c r="G208" i="76" s="1"/>
  <c r="D208" i="76" a="1"/>
  <c r="D208" i="76" s="1"/>
  <c r="B208" i="76" a="1"/>
  <c r="B208" i="76" s="1"/>
  <c r="G207" i="76" a="1"/>
  <c r="G207" i="76" s="1"/>
  <c r="D207" i="76" a="1"/>
  <c r="D207" i="76" s="1"/>
  <c r="B207" i="76" a="1"/>
  <c r="B207" i="76" s="1"/>
  <c r="G206" i="76" a="1"/>
  <c r="G206" i="76" s="1"/>
  <c r="D206" i="76" a="1"/>
  <c r="D206" i="76" s="1"/>
  <c r="B206" i="76" a="1"/>
  <c r="B206" i="76" s="1"/>
  <c r="G205" i="76" a="1"/>
  <c r="G205" i="76" s="1"/>
  <c r="D205" i="76" a="1"/>
  <c r="D205" i="76" s="1"/>
  <c r="B205" i="76" a="1"/>
  <c r="B205" i="76" s="1"/>
  <c r="G204" i="76" a="1"/>
  <c r="G204" i="76" s="1"/>
  <c r="D204" i="76" a="1"/>
  <c r="D204" i="76" s="1"/>
  <c r="B204" i="76" a="1"/>
  <c r="B204" i="76" s="1"/>
  <c r="G203" i="76" a="1"/>
  <c r="G203" i="76" s="1"/>
  <c r="D203" i="76" a="1"/>
  <c r="D203" i="76" s="1"/>
  <c r="B203" i="76" a="1"/>
  <c r="B203" i="76" s="1"/>
  <c r="G202" i="76" a="1"/>
  <c r="G202" i="76" s="1"/>
  <c r="D202" i="76" a="1"/>
  <c r="D202" i="76" s="1"/>
  <c r="B202" i="76" a="1"/>
  <c r="B202" i="76" s="1"/>
  <c r="G201" i="76" a="1"/>
  <c r="G201" i="76" s="1"/>
  <c r="D201" i="76" a="1"/>
  <c r="D201" i="76" s="1"/>
  <c r="B201" i="76" a="1"/>
  <c r="B201" i="76" s="1"/>
  <c r="G200" i="76" a="1"/>
  <c r="G200" i="76" s="1"/>
  <c r="D200" i="76" a="1"/>
  <c r="D200" i="76" s="1"/>
  <c r="B200" i="76" a="1"/>
  <c r="B200" i="76" s="1"/>
  <c r="G199" i="76" a="1"/>
  <c r="G199" i="76" s="1"/>
  <c r="D199" i="76" a="1"/>
  <c r="D199" i="76" s="1"/>
  <c r="B199" i="76" a="1"/>
  <c r="B199" i="76" s="1"/>
  <c r="G198" i="76" a="1"/>
  <c r="G198" i="76" s="1"/>
  <c r="D198" i="76" a="1"/>
  <c r="D198" i="76" s="1"/>
  <c r="B198" i="76" a="1"/>
  <c r="B198" i="76" s="1"/>
  <c r="G197" i="76" a="1"/>
  <c r="G197" i="76" s="1"/>
  <c r="D197" i="76" a="1"/>
  <c r="D197" i="76" s="1"/>
  <c r="B197" i="76" a="1"/>
  <c r="B197" i="76" s="1"/>
  <c r="G196" i="76" a="1"/>
  <c r="G196" i="76" s="1"/>
  <c r="D196" i="76" a="1"/>
  <c r="D196" i="76" s="1"/>
  <c r="B196" i="76" a="1"/>
  <c r="B196" i="76" s="1"/>
  <c r="G195" i="76" a="1"/>
  <c r="G195" i="76" s="1"/>
  <c r="D195" i="76" a="1"/>
  <c r="D195" i="76" s="1"/>
  <c r="B195" i="76" a="1"/>
  <c r="B195" i="76" s="1"/>
  <c r="G194" i="76" a="1"/>
  <c r="G194" i="76" s="1"/>
  <c r="D194" i="76" a="1"/>
  <c r="D194" i="76" s="1"/>
  <c r="B194" i="76" a="1"/>
  <c r="B194" i="76" s="1"/>
  <c r="G193" i="76" a="1"/>
  <c r="G193" i="76" s="1"/>
  <c r="D193" i="76" a="1"/>
  <c r="D193" i="76" s="1"/>
  <c r="B193" i="76" a="1"/>
  <c r="B193" i="76" s="1"/>
  <c r="G192" i="76" a="1"/>
  <c r="G192" i="76" s="1"/>
  <c r="D192" i="76" a="1"/>
  <c r="D192" i="76" s="1"/>
  <c r="B192" i="76" a="1"/>
  <c r="B192" i="76" s="1"/>
  <c r="G191" i="76" a="1"/>
  <c r="G191" i="76" s="1"/>
  <c r="D191" i="76" a="1"/>
  <c r="D191" i="76" s="1"/>
  <c r="B191" i="76" a="1"/>
  <c r="B191" i="76" s="1"/>
  <c r="G190" i="76" a="1"/>
  <c r="G190" i="76" s="1"/>
  <c r="D190" i="76" a="1"/>
  <c r="D190" i="76" s="1"/>
  <c r="B190" i="76" a="1"/>
  <c r="B190" i="76" s="1"/>
  <c r="G189" i="76" a="1"/>
  <c r="G189" i="76" s="1"/>
  <c r="D189" i="76" a="1"/>
  <c r="D189" i="76" s="1"/>
  <c r="B189" i="76" a="1"/>
  <c r="B189" i="76" s="1"/>
  <c r="G188" i="76" a="1"/>
  <c r="G188" i="76" s="1"/>
  <c r="D188" i="76" a="1"/>
  <c r="D188" i="76" s="1"/>
  <c r="B188" i="76" a="1"/>
  <c r="B188" i="76" s="1"/>
  <c r="G187" i="76" a="1"/>
  <c r="G187" i="76" s="1"/>
  <c r="D187" i="76" a="1"/>
  <c r="D187" i="76" s="1"/>
  <c r="B187" i="76" a="1"/>
  <c r="B187" i="76" s="1"/>
  <c r="G186" i="76" a="1"/>
  <c r="G186" i="76" s="1"/>
  <c r="D186" i="76" a="1"/>
  <c r="D186" i="76" s="1"/>
  <c r="B186" i="76" a="1"/>
  <c r="B186" i="76" s="1"/>
  <c r="G185" i="76" a="1"/>
  <c r="G185" i="76" s="1"/>
  <c r="D185" i="76" a="1"/>
  <c r="D185" i="76" s="1"/>
  <c r="B185" i="76" a="1"/>
  <c r="B185" i="76" s="1"/>
  <c r="G184" i="76" a="1"/>
  <c r="G184" i="76" s="1"/>
  <c r="D184" i="76" a="1"/>
  <c r="D184" i="76" s="1"/>
  <c r="B184" i="76" a="1"/>
  <c r="B184" i="76" s="1"/>
  <c r="G183" i="76" a="1"/>
  <c r="G183" i="76" s="1"/>
  <c r="D183" i="76" a="1"/>
  <c r="D183" i="76" s="1"/>
  <c r="B183" i="76" a="1"/>
  <c r="B183" i="76" s="1"/>
  <c r="G182" i="76" a="1"/>
  <c r="G182" i="76" s="1"/>
  <c r="D182" i="76" a="1"/>
  <c r="D182" i="76" s="1"/>
  <c r="B182" i="76" a="1"/>
  <c r="B182" i="76" s="1"/>
  <c r="G181" i="76" a="1"/>
  <c r="G181" i="76" s="1"/>
  <c r="D181" i="76" a="1"/>
  <c r="D181" i="76" s="1"/>
  <c r="B181" i="76" a="1"/>
  <c r="B181" i="76" s="1"/>
  <c r="G180" i="76" a="1"/>
  <c r="G180" i="76" s="1"/>
  <c r="D180" i="76" a="1"/>
  <c r="D180" i="76" s="1"/>
  <c r="B180" i="76" a="1"/>
  <c r="B180" i="76" s="1"/>
  <c r="G179" i="76" a="1"/>
  <c r="G179" i="76" s="1"/>
  <c r="D179" i="76" a="1"/>
  <c r="D179" i="76" s="1"/>
  <c r="B179" i="76" a="1"/>
  <c r="B179" i="76" s="1"/>
  <c r="G178" i="76" a="1"/>
  <c r="G178" i="76" s="1"/>
  <c r="D178" i="76" a="1"/>
  <c r="D178" i="76" s="1"/>
  <c r="B178" i="76" a="1"/>
  <c r="B178" i="76" s="1"/>
  <c r="G177" i="76" a="1"/>
  <c r="G177" i="76" s="1"/>
  <c r="D177" i="76" a="1"/>
  <c r="D177" i="76" s="1"/>
  <c r="B177" i="76" a="1"/>
  <c r="B177" i="76" s="1"/>
  <c r="G176" i="76" a="1"/>
  <c r="G176" i="76" s="1"/>
  <c r="D176" i="76" a="1"/>
  <c r="D176" i="76" s="1"/>
  <c r="B176" i="76" a="1"/>
  <c r="B176" i="76" s="1"/>
  <c r="G175" i="76" a="1"/>
  <c r="G175" i="76" s="1"/>
  <c r="D175" i="76" a="1"/>
  <c r="D175" i="76" s="1"/>
  <c r="B175" i="76" a="1"/>
  <c r="B175" i="76" s="1"/>
  <c r="G174" i="76" a="1"/>
  <c r="G174" i="76" s="1"/>
  <c r="D174" i="76" a="1"/>
  <c r="D174" i="76" s="1"/>
  <c r="B174" i="76" a="1"/>
  <c r="B174" i="76" s="1"/>
  <c r="G173" i="76" a="1"/>
  <c r="G173" i="76" s="1"/>
  <c r="D173" i="76" a="1"/>
  <c r="D173" i="76" s="1"/>
  <c r="B173" i="76" a="1"/>
  <c r="B173" i="76" s="1"/>
  <c r="G172" i="76" a="1"/>
  <c r="G172" i="76" s="1"/>
  <c r="D172" i="76" a="1"/>
  <c r="D172" i="76" s="1"/>
  <c r="B172" i="76" a="1"/>
  <c r="B172" i="76" s="1"/>
  <c r="G171" i="76" a="1"/>
  <c r="G171" i="76" s="1"/>
  <c r="D171" i="76" a="1"/>
  <c r="D171" i="76" s="1"/>
  <c r="B171" i="76" a="1"/>
  <c r="B171" i="76" s="1"/>
  <c r="D170" i="76" a="1"/>
  <c r="D170" i="76" s="1"/>
  <c r="B170" i="76" a="1"/>
  <c r="B170" i="76" s="1"/>
  <c r="G169" i="76" a="1"/>
  <c r="G169" i="76" s="1"/>
  <c r="D169" i="76" a="1"/>
  <c r="D169" i="76" s="1"/>
  <c r="B169" i="76" a="1"/>
  <c r="B169" i="76" s="1"/>
  <c r="G168" i="76" a="1"/>
  <c r="G168" i="76" s="1"/>
  <c r="D168" i="76" a="1"/>
  <c r="D168" i="76" s="1"/>
  <c r="B168" i="76" a="1"/>
  <c r="B168" i="76" s="1"/>
  <c r="G167" i="76" a="1"/>
  <c r="G167" i="76" s="1"/>
  <c r="D167" i="76" a="1"/>
  <c r="D167" i="76" s="1"/>
  <c r="B167" i="76" a="1"/>
  <c r="B167" i="76" s="1"/>
  <c r="G166" i="76" a="1"/>
  <c r="G166" i="76" s="1"/>
  <c r="D166" i="76" a="1"/>
  <c r="D166" i="76" s="1"/>
  <c r="B166" i="76" a="1"/>
  <c r="B166" i="76" s="1"/>
  <c r="G165" i="76" a="1"/>
  <c r="G165" i="76" s="1"/>
  <c r="D165" i="76" a="1"/>
  <c r="D165" i="76" s="1"/>
  <c r="B165" i="76" a="1"/>
  <c r="B165" i="76" s="1"/>
  <c r="G164" i="76" a="1"/>
  <c r="G164" i="76" s="1"/>
  <c r="D164" i="76" a="1"/>
  <c r="D164" i="76" s="1"/>
  <c r="B164" i="76" a="1"/>
  <c r="B164" i="76" s="1"/>
  <c r="G163" i="76" a="1"/>
  <c r="G163" i="76" s="1"/>
  <c r="D163" i="76" a="1"/>
  <c r="D163" i="76" s="1"/>
  <c r="B163" i="76" a="1"/>
  <c r="B163" i="76" s="1"/>
  <c r="G162" i="76" a="1"/>
  <c r="G162" i="76" s="1"/>
  <c r="D162" i="76" a="1"/>
  <c r="D162" i="76" s="1"/>
  <c r="B162" i="76" a="1"/>
  <c r="B162" i="76" s="1"/>
  <c r="G161" i="76" a="1"/>
  <c r="G161" i="76" s="1"/>
  <c r="D161" i="76" a="1"/>
  <c r="D161" i="76" s="1"/>
  <c r="B161" i="76" a="1"/>
  <c r="B161" i="76" s="1"/>
  <c r="G160" i="76" a="1"/>
  <c r="G160" i="76" s="1"/>
  <c r="D160" i="76" a="1"/>
  <c r="D160" i="76" s="1"/>
  <c r="B160" i="76" a="1"/>
  <c r="B160" i="76" s="1"/>
  <c r="G159" i="76" a="1"/>
  <c r="G159" i="76" s="1"/>
  <c r="D159" i="76" a="1"/>
  <c r="D159" i="76" s="1"/>
  <c r="B159" i="76" a="1"/>
  <c r="B159" i="76" s="1"/>
  <c r="G158" i="76" a="1"/>
  <c r="G158" i="76" s="1"/>
  <c r="D158" i="76" a="1"/>
  <c r="D158" i="76" s="1"/>
  <c r="B158" i="76" a="1"/>
  <c r="B158" i="76" s="1"/>
  <c r="G157" i="76" a="1"/>
  <c r="G157" i="76" s="1"/>
  <c r="D157" i="76" a="1"/>
  <c r="D157" i="76" s="1"/>
  <c r="B157" i="76" a="1"/>
  <c r="B157" i="76" s="1"/>
  <c r="G156" i="76" a="1"/>
  <c r="G156" i="76" s="1"/>
  <c r="D156" i="76" a="1"/>
  <c r="D156" i="76" s="1"/>
  <c r="B156" i="76" a="1"/>
  <c r="B156" i="76" s="1"/>
  <c r="G155" i="76" a="1"/>
  <c r="G155" i="76" s="1"/>
  <c r="D155" i="76" a="1"/>
  <c r="D155" i="76" s="1"/>
  <c r="B155" i="76" a="1"/>
  <c r="B155" i="76" s="1"/>
  <c r="G154" i="76" a="1"/>
  <c r="G154" i="76" s="1"/>
  <c r="D154" i="76" a="1"/>
  <c r="D154" i="76" s="1"/>
  <c r="B154" i="76" a="1"/>
  <c r="B154" i="76" s="1"/>
  <c r="G153" i="76" a="1"/>
  <c r="G153" i="76" s="1"/>
  <c r="D153" i="76" a="1"/>
  <c r="D153" i="76" s="1"/>
  <c r="B153" i="76" a="1"/>
  <c r="B153" i="76" s="1"/>
  <c r="G152" i="76" a="1"/>
  <c r="G152" i="76" s="1"/>
  <c r="D152" i="76" a="1"/>
  <c r="D152" i="76" s="1"/>
  <c r="B152" i="76" a="1"/>
  <c r="B152" i="76" s="1"/>
  <c r="G151" i="76" a="1"/>
  <c r="G151" i="76" s="1"/>
  <c r="D151" i="76" a="1"/>
  <c r="D151" i="76" s="1"/>
  <c r="B151" i="76" a="1"/>
  <c r="B151" i="76" s="1"/>
  <c r="G150" i="76" a="1"/>
  <c r="G150" i="76" s="1"/>
  <c r="D150" i="76" a="1"/>
  <c r="D150" i="76" s="1"/>
  <c r="B150" i="76" a="1"/>
  <c r="B150" i="76" s="1"/>
  <c r="G149" i="76" a="1"/>
  <c r="G149" i="76" s="1"/>
  <c r="D149" i="76" a="1"/>
  <c r="D149" i="76" s="1"/>
  <c r="B149" i="76" a="1"/>
  <c r="B149" i="76" s="1"/>
  <c r="G148" i="76" a="1"/>
  <c r="G148" i="76" s="1"/>
  <c r="D148" i="76" a="1"/>
  <c r="D148" i="76" s="1"/>
  <c r="B148" i="76" a="1"/>
  <c r="B148" i="76" s="1"/>
  <c r="G147" i="76" a="1"/>
  <c r="G147" i="76" s="1"/>
  <c r="D147" i="76" a="1"/>
  <c r="D147" i="76" s="1"/>
  <c r="B147" i="76" a="1"/>
  <c r="B147" i="76" s="1"/>
  <c r="G146" i="76" a="1"/>
  <c r="G146" i="76" s="1"/>
  <c r="D146" i="76" a="1"/>
  <c r="D146" i="76" s="1"/>
  <c r="B146" i="76" a="1"/>
  <c r="B146" i="76" s="1"/>
  <c r="G145" i="76" a="1"/>
  <c r="G145" i="76" s="1"/>
  <c r="D145" i="76" a="1"/>
  <c r="D145" i="76" s="1"/>
  <c r="B145" i="76" a="1"/>
  <c r="B145" i="76" s="1"/>
  <c r="G144" i="76" a="1"/>
  <c r="G144" i="76" s="1"/>
  <c r="D144" i="76" a="1"/>
  <c r="D144" i="76" s="1"/>
  <c r="B144" i="76" a="1"/>
  <c r="B144" i="76" s="1"/>
  <c r="G143" i="76" a="1"/>
  <c r="G143" i="76" s="1"/>
  <c r="D143" i="76" a="1"/>
  <c r="D143" i="76" s="1"/>
  <c r="B143" i="76" a="1"/>
  <c r="B143" i="76" s="1"/>
  <c r="G142" i="76" a="1"/>
  <c r="G142" i="76" s="1"/>
  <c r="D142" i="76" a="1"/>
  <c r="D142" i="76" s="1"/>
  <c r="B142" i="76" a="1"/>
  <c r="B142" i="76" s="1"/>
  <c r="G141" i="76" a="1"/>
  <c r="G141" i="76" s="1"/>
  <c r="D141" i="76" a="1"/>
  <c r="D141" i="76" s="1"/>
  <c r="B141" i="76" a="1"/>
  <c r="B141" i="76" s="1"/>
  <c r="G140" i="76" a="1"/>
  <c r="G140" i="76" s="1"/>
  <c r="D140" i="76" a="1"/>
  <c r="D140" i="76" s="1"/>
  <c r="B140" i="76" a="1"/>
  <c r="B140" i="76" s="1"/>
  <c r="G139" i="76" a="1"/>
  <c r="G139" i="76" s="1"/>
  <c r="D139" i="76" a="1"/>
  <c r="D139" i="76" s="1"/>
  <c r="B139" i="76" a="1"/>
  <c r="B139" i="76" s="1"/>
  <c r="G138" i="76" a="1"/>
  <c r="G138" i="76" s="1"/>
  <c r="D138" i="76" a="1"/>
  <c r="D138" i="76" s="1"/>
  <c r="B138" i="76" a="1"/>
  <c r="B138" i="76" s="1"/>
  <c r="G137" i="76" a="1"/>
  <c r="G137" i="76" s="1"/>
  <c r="D137" i="76" a="1"/>
  <c r="D137" i="76" s="1"/>
  <c r="B137" i="76" a="1"/>
  <c r="B137" i="76" s="1"/>
  <c r="G136" i="76" a="1"/>
  <c r="G136" i="76" s="1"/>
  <c r="D136" i="76" a="1"/>
  <c r="D136" i="76" s="1"/>
  <c r="B136" i="76" a="1"/>
  <c r="B136" i="76" s="1"/>
  <c r="G135" i="76" a="1"/>
  <c r="G135" i="76" s="1"/>
  <c r="D135" i="76" a="1"/>
  <c r="D135" i="76" s="1"/>
  <c r="B135" i="76" a="1"/>
  <c r="B135" i="76" s="1"/>
  <c r="G134" i="76" a="1"/>
  <c r="G134" i="76" s="1"/>
  <c r="D134" i="76" a="1"/>
  <c r="D134" i="76" s="1"/>
  <c r="B134" i="76" a="1"/>
  <c r="B134" i="76" s="1"/>
  <c r="G133" i="76" a="1"/>
  <c r="G133" i="76" s="1"/>
  <c r="D133" i="76" a="1"/>
  <c r="D133" i="76" s="1"/>
  <c r="B133" i="76" a="1"/>
  <c r="B133" i="76" s="1"/>
  <c r="G132" i="76" a="1"/>
  <c r="G132" i="76" s="1"/>
  <c r="D132" i="76" a="1"/>
  <c r="D132" i="76" s="1"/>
  <c r="B132" i="76" a="1"/>
  <c r="B132" i="76" s="1"/>
  <c r="G131" i="76" a="1"/>
  <c r="G131" i="76" s="1"/>
  <c r="D131" i="76" a="1"/>
  <c r="D131" i="76" s="1"/>
  <c r="B131" i="76" a="1"/>
  <c r="B131" i="76" s="1"/>
  <c r="G130" i="76" a="1"/>
  <c r="G130" i="76" s="1"/>
  <c r="D130" i="76" a="1"/>
  <c r="D130" i="76" s="1"/>
  <c r="B130" i="76" a="1"/>
  <c r="B130" i="76" s="1"/>
  <c r="G129" i="76" a="1"/>
  <c r="G129" i="76" s="1"/>
  <c r="D129" i="76" a="1"/>
  <c r="D129" i="76" s="1"/>
  <c r="B129" i="76" a="1"/>
  <c r="B129" i="76" s="1"/>
  <c r="G128" i="76" a="1"/>
  <c r="G128" i="76" s="1"/>
  <c r="D128" i="76" a="1"/>
  <c r="D128" i="76" s="1"/>
  <c r="B128" i="76" a="1"/>
  <c r="B128" i="76" s="1"/>
  <c r="G127" i="76" a="1"/>
  <c r="G127" i="76" s="1"/>
  <c r="D127" i="76" a="1"/>
  <c r="D127" i="76" s="1"/>
  <c r="B127" i="76" a="1"/>
  <c r="B127" i="76" s="1"/>
  <c r="G126" i="76" a="1"/>
  <c r="G126" i="76" s="1"/>
  <c r="D126" i="76" a="1"/>
  <c r="D126" i="76" s="1"/>
  <c r="B126" i="76" a="1"/>
  <c r="B126" i="76" s="1"/>
  <c r="G125" i="76" a="1"/>
  <c r="G125" i="76" s="1"/>
  <c r="D125" i="76" a="1"/>
  <c r="D125" i="76" s="1"/>
  <c r="B125" i="76" a="1"/>
  <c r="B125" i="76" s="1"/>
  <c r="G124" i="76" a="1"/>
  <c r="G124" i="76" s="1"/>
  <c r="D124" i="76" a="1"/>
  <c r="D124" i="76" s="1"/>
  <c r="B124" i="76" a="1"/>
  <c r="B124" i="76" s="1"/>
  <c r="G123" i="76" a="1"/>
  <c r="G123" i="76" s="1"/>
  <c r="D123" i="76" a="1"/>
  <c r="D123" i="76" s="1"/>
  <c r="B123" i="76" a="1"/>
  <c r="B123" i="76" s="1"/>
  <c r="G122" i="76" a="1"/>
  <c r="G122" i="76" s="1"/>
  <c r="D122" i="76" a="1"/>
  <c r="D122" i="76" s="1"/>
  <c r="B122" i="76" a="1"/>
  <c r="B122" i="76" s="1"/>
  <c r="G121" i="76" a="1"/>
  <c r="G121" i="76" s="1"/>
  <c r="D121" i="76" a="1"/>
  <c r="D121" i="76" s="1"/>
  <c r="B121" i="76" a="1"/>
  <c r="B121" i="76" s="1"/>
  <c r="G120" i="76" a="1"/>
  <c r="G120" i="76" s="1"/>
  <c r="D120" i="76" a="1"/>
  <c r="D120" i="76" s="1"/>
  <c r="B120" i="76" a="1"/>
  <c r="B120" i="76" s="1"/>
  <c r="G119" i="76" a="1"/>
  <c r="G119" i="76" s="1"/>
  <c r="D119" i="76" a="1"/>
  <c r="D119" i="76" s="1"/>
  <c r="B119" i="76" a="1"/>
  <c r="B119" i="76" s="1"/>
  <c r="G118" i="76" a="1"/>
  <c r="G118" i="76" s="1"/>
  <c r="D118" i="76" a="1"/>
  <c r="D118" i="76" s="1"/>
  <c r="B118" i="76" a="1"/>
  <c r="B118" i="76" s="1"/>
  <c r="G117" i="76" a="1"/>
  <c r="G117" i="76" s="1"/>
  <c r="D117" i="76" a="1"/>
  <c r="D117" i="76" s="1"/>
  <c r="B117" i="76" a="1"/>
  <c r="B117" i="76" s="1"/>
  <c r="G116" i="76" a="1"/>
  <c r="G116" i="76" s="1"/>
  <c r="D116" i="76" a="1"/>
  <c r="D116" i="76" s="1"/>
  <c r="B116" i="76" a="1"/>
  <c r="B116" i="76" s="1"/>
  <c r="G115" i="76" a="1"/>
  <c r="G115" i="76" s="1"/>
  <c r="D115" i="76" a="1"/>
  <c r="D115" i="76" s="1"/>
  <c r="B115" i="76" a="1"/>
  <c r="B115" i="76" s="1"/>
  <c r="G114" i="76" a="1"/>
  <c r="G114" i="76" s="1"/>
  <c r="D114" i="76" a="1"/>
  <c r="D114" i="76" s="1"/>
  <c r="B114" i="76" a="1"/>
  <c r="B114" i="76" s="1"/>
  <c r="G113" i="76" a="1"/>
  <c r="G113" i="76" s="1"/>
  <c r="D113" i="76" a="1"/>
  <c r="D113" i="76" s="1"/>
  <c r="B113" i="76" a="1"/>
  <c r="B113" i="76" s="1"/>
  <c r="G112" i="76" a="1"/>
  <c r="G112" i="76" s="1"/>
  <c r="D112" i="76" a="1"/>
  <c r="D112" i="76" s="1"/>
  <c r="B112" i="76" a="1"/>
  <c r="B112" i="76" s="1"/>
  <c r="G111" i="76" a="1"/>
  <c r="G111" i="76" s="1"/>
  <c r="D111" i="76" a="1"/>
  <c r="D111" i="76" s="1"/>
  <c r="B111" i="76" a="1"/>
  <c r="B111" i="76" s="1"/>
  <c r="G110" i="76" a="1"/>
  <c r="G110" i="76" s="1"/>
  <c r="D110" i="76" a="1"/>
  <c r="D110" i="76" s="1"/>
  <c r="B110" i="76" a="1"/>
  <c r="B110" i="76" s="1"/>
  <c r="G109" i="76" a="1"/>
  <c r="G109" i="76" s="1"/>
  <c r="D109" i="76" a="1"/>
  <c r="D109" i="76" s="1"/>
  <c r="B109" i="76" a="1"/>
  <c r="B109" i="76" s="1"/>
  <c r="G108" i="76" a="1"/>
  <c r="G108" i="76" s="1"/>
  <c r="D108" i="76" a="1"/>
  <c r="D108" i="76" s="1"/>
  <c r="B108" i="76" a="1"/>
  <c r="B108" i="76" s="1"/>
  <c r="G107" i="76" a="1"/>
  <c r="G107" i="76" s="1"/>
  <c r="D107" i="76" a="1"/>
  <c r="D107" i="76" s="1"/>
  <c r="B107" i="76" a="1"/>
  <c r="B107" i="76" s="1"/>
  <c r="G106" i="76" a="1"/>
  <c r="G106" i="76" s="1"/>
  <c r="D106" i="76" a="1"/>
  <c r="D106" i="76" s="1"/>
  <c r="B106" i="76" a="1"/>
  <c r="B106" i="76" s="1"/>
  <c r="G105" i="76" a="1"/>
  <c r="G105" i="76" s="1"/>
  <c r="D105" i="76" a="1"/>
  <c r="D105" i="76" s="1"/>
  <c r="B105" i="76" a="1"/>
  <c r="B105" i="76" s="1"/>
  <c r="G104" i="76" a="1"/>
  <c r="G104" i="76" s="1"/>
  <c r="D104" i="76" a="1"/>
  <c r="D104" i="76" s="1"/>
  <c r="B104" i="76" a="1"/>
  <c r="B104" i="76" s="1"/>
  <c r="G103" i="76" a="1"/>
  <c r="G103" i="76" s="1"/>
  <c r="D103" i="76" a="1"/>
  <c r="D103" i="76" s="1"/>
  <c r="B103" i="76" a="1"/>
  <c r="B103" i="76" s="1"/>
  <c r="G102" i="76" a="1"/>
  <c r="G102" i="76" s="1"/>
  <c r="D102" i="76" a="1"/>
  <c r="D102" i="76" s="1"/>
  <c r="B102" i="76" a="1"/>
  <c r="B102" i="76" s="1"/>
  <c r="G101" i="76" a="1"/>
  <c r="G101" i="76" s="1"/>
  <c r="D101" i="76" a="1"/>
  <c r="D101" i="76" s="1"/>
  <c r="B101" i="76" a="1"/>
  <c r="B101" i="76" s="1"/>
  <c r="G100" i="76" a="1"/>
  <c r="G100" i="76" s="1"/>
  <c r="D100" i="76" a="1"/>
  <c r="D100" i="76" s="1"/>
  <c r="B100" i="76" a="1"/>
  <c r="B100" i="76" s="1"/>
  <c r="G99" i="76" a="1"/>
  <c r="G99" i="76" s="1"/>
  <c r="D99" i="76" a="1"/>
  <c r="D99" i="76" s="1"/>
  <c r="B99" i="76" a="1"/>
  <c r="B99" i="76" s="1"/>
  <c r="G98" i="76" a="1"/>
  <c r="G98" i="76" s="1"/>
  <c r="D98" i="76" a="1"/>
  <c r="D98" i="76" s="1"/>
  <c r="B98" i="76" a="1"/>
  <c r="B98" i="76" s="1"/>
  <c r="G97" i="76" a="1"/>
  <c r="G97" i="76" s="1"/>
  <c r="D97" i="76" a="1"/>
  <c r="D97" i="76" s="1"/>
  <c r="B97" i="76" a="1"/>
  <c r="B97" i="76" s="1"/>
  <c r="G96" i="76" a="1"/>
  <c r="G96" i="76" s="1"/>
  <c r="D96" i="76" a="1"/>
  <c r="D96" i="76" s="1"/>
  <c r="B96" i="76" a="1"/>
  <c r="B96" i="76" s="1"/>
  <c r="G95" i="76" a="1"/>
  <c r="G95" i="76" s="1"/>
  <c r="D95" i="76" a="1"/>
  <c r="D95" i="76" s="1"/>
  <c r="B95" i="76" a="1"/>
  <c r="B95" i="76" s="1"/>
  <c r="G94" i="76" a="1"/>
  <c r="G94" i="76" s="1"/>
  <c r="D94" i="76" a="1"/>
  <c r="D94" i="76" s="1"/>
  <c r="B94" i="76" a="1"/>
  <c r="B94" i="76" s="1"/>
  <c r="G93" i="76" a="1"/>
  <c r="G93" i="76" s="1"/>
  <c r="D93" i="76" a="1"/>
  <c r="D93" i="76" s="1"/>
  <c r="B93" i="76" a="1"/>
  <c r="B93" i="76" s="1"/>
  <c r="G92" i="76" a="1"/>
  <c r="G92" i="76" s="1"/>
  <c r="D92" i="76" a="1"/>
  <c r="D92" i="76" s="1"/>
  <c r="B92" i="76" a="1"/>
  <c r="B92" i="76" s="1"/>
  <c r="G91" i="76" a="1"/>
  <c r="G91" i="76" s="1"/>
  <c r="D91" i="76" a="1"/>
  <c r="D91" i="76" s="1"/>
  <c r="B91" i="76" a="1"/>
  <c r="B91" i="76" s="1"/>
  <c r="G90" i="76" a="1"/>
  <c r="G90" i="76" s="1"/>
  <c r="D90" i="76" a="1"/>
  <c r="D90" i="76" s="1"/>
  <c r="B90" i="76" a="1"/>
  <c r="B90" i="76" s="1"/>
  <c r="G89" i="76" a="1"/>
  <c r="G89" i="76" s="1"/>
  <c r="D89" i="76" a="1"/>
  <c r="D89" i="76" s="1"/>
  <c r="B89" i="76" a="1"/>
  <c r="B89" i="76" s="1"/>
  <c r="G88" i="76" a="1"/>
  <c r="G88" i="76" s="1"/>
  <c r="D88" i="76" a="1"/>
  <c r="D88" i="76" s="1"/>
  <c r="B88" i="76" a="1"/>
  <c r="B88" i="76" s="1"/>
  <c r="G87" i="76" a="1"/>
  <c r="G87" i="76" s="1"/>
  <c r="D87" i="76" a="1"/>
  <c r="D87" i="76" s="1"/>
  <c r="B87" i="76" a="1"/>
  <c r="B87" i="76" s="1"/>
  <c r="G86" i="76" a="1"/>
  <c r="G86" i="76" s="1"/>
  <c r="D86" i="76" a="1"/>
  <c r="D86" i="76" s="1"/>
  <c r="B86" i="76" a="1"/>
  <c r="B86" i="76" s="1"/>
  <c r="G85" i="76" a="1"/>
  <c r="G85" i="76" s="1"/>
  <c r="D85" i="76" a="1"/>
  <c r="D85" i="76" s="1"/>
  <c r="B85" i="76" a="1"/>
  <c r="B85" i="76" s="1"/>
  <c r="G84" i="76" a="1"/>
  <c r="G84" i="76" s="1"/>
  <c r="D84" i="76" a="1"/>
  <c r="D84" i="76" s="1"/>
  <c r="B84" i="76" a="1"/>
  <c r="B84" i="76" s="1"/>
  <c r="G83" i="76" a="1"/>
  <c r="G83" i="76" s="1"/>
  <c r="D83" i="76" a="1"/>
  <c r="D83" i="76" s="1"/>
  <c r="B83" i="76" a="1"/>
  <c r="B83" i="76" s="1"/>
  <c r="G82" i="76" a="1"/>
  <c r="G82" i="76" s="1"/>
  <c r="D82" i="76" a="1"/>
  <c r="D82" i="76" s="1"/>
  <c r="B82" i="76" a="1"/>
  <c r="B82" i="76" s="1"/>
  <c r="G81" i="76" a="1"/>
  <c r="G81" i="76" s="1"/>
  <c r="D81" i="76" a="1"/>
  <c r="D81" i="76" s="1"/>
  <c r="B81" i="76" a="1"/>
  <c r="B81" i="76" s="1"/>
  <c r="G80" i="76" a="1"/>
  <c r="G80" i="76" s="1"/>
  <c r="D80" i="76" a="1"/>
  <c r="D80" i="76" s="1"/>
  <c r="B80" i="76" a="1"/>
  <c r="B80" i="76" s="1"/>
  <c r="G79" i="76" a="1"/>
  <c r="G79" i="76" s="1"/>
  <c r="D79" i="76" a="1"/>
  <c r="D79" i="76" s="1"/>
  <c r="B79" i="76" a="1"/>
  <c r="B79" i="76" s="1"/>
  <c r="G78" i="76" a="1"/>
  <c r="G78" i="76" s="1"/>
  <c r="D78" i="76" a="1"/>
  <c r="D78" i="76" s="1"/>
  <c r="B78" i="76" a="1"/>
  <c r="B78" i="76" s="1"/>
  <c r="G77" i="76" a="1"/>
  <c r="G77" i="76" s="1"/>
  <c r="D77" i="76" a="1"/>
  <c r="D77" i="76" s="1"/>
  <c r="B77" i="76" a="1"/>
  <c r="B77" i="76" s="1"/>
  <c r="G76" i="76" a="1"/>
  <c r="G76" i="76" s="1"/>
  <c r="D76" i="76" a="1"/>
  <c r="D76" i="76" s="1"/>
  <c r="B76" i="76" a="1"/>
  <c r="B76" i="76" s="1"/>
  <c r="G75" i="76" a="1"/>
  <c r="G75" i="76" s="1"/>
  <c r="D75" i="76" a="1"/>
  <c r="D75" i="76" s="1"/>
  <c r="B75" i="76" a="1"/>
  <c r="B75" i="76" s="1"/>
  <c r="G74" i="76" a="1"/>
  <c r="G74" i="76" s="1"/>
  <c r="D74" i="76" a="1"/>
  <c r="D74" i="76" s="1"/>
  <c r="B74" i="76" a="1"/>
  <c r="B74" i="76" s="1"/>
  <c r="G73" i="76" a="1"/>
  <c r="G73" i="76" s="1"/>
  <c r="D73" i="76" a="1"/>
  <c r="D73" i="76" s="1"/>
  <c r="B73" i="76" a="1"/>
  <c r="B73" i="76" s="1"/>
  <c r="G72" i="76" a="1"/>
  <c r="G72" i="76" s="1"/>
  <c r="D72" i="76" a="1"/>
  <c r="D72" i="76" s="1"/>
  <c r="B72" i="76" a="1"/>
  <c r="B72" i="76" s="1"/>
  <c r="G71" i="76" a="1"/>
  <c r="G71" i="76" s="1"/>
  <c r="D71" i="76" a="1"/>
  <c r="D71" i="76" s="1"/>
  <c r="B71" i="76" a="1"/>
  <c r="B71" i="76" s="1"/>
  <c r="G70" i="76" a="1"/>
  <c r="G70" i="76" s="1"/>
  <c r="D70" i="76" a="1"/>
  <c r="D70" i="76" s="1"/>
  <c r="B70" i="76" a="1"/>
  <c r="B70" i="76" s="1"/>
  <c r="G69" i="76" a="1"/>
  <c r="G69" i="76" s="1"/>
  <c r="D69" i="76" a="1"/>
  <c r="D69" i="76" s="1"/>
  <c r="B69" i="76" a="1"/>
  <c r="B69" i="76" s="1"/>
  <c r="G68" i="76" a="1"/>
  <c r="G68" i="76" s="1"/>
  <c r="D68" i="76" a="1"/>
  <c r="D68" i="76" s="1"/>
  <c r="B68" i="76" a="1"/>
  <c r="B68" i="76" s="1"/>
  <c r="G67" i="76" a="1"/>
  <c r="G67" i="76" s="1"/>
  <c r="D67" i="76" a="1"/>
  <c r="D67" i="76" s="1"/>
  <c r="B67" i="76" a="1"/>
  <c r="B67" i="76" s="1"/>
  <c r="G66" i="76" a="1"/>
  <c r="G66" i="76" s="1"/>
  <c r="D66" i="76" a="1"/>
  <c r="D66" i="76" s="1"/>
  <c r="B66" i="76" a="1"/>
  <c r="B66" i="76" s="1"/>
  <c r="G65" i="76" a="1"/>
  <c r="G65" i="76" s="1"/>
  <c r="D65" i="76" a="1"/>
  <c r="D65" i="76" s="1"/>
  <c r="B65" i="76" a="1"/>
  <c r="B65" i="76" s="1"/>
  <c r="G64" i="76" a="1"/>
  <c r="G64" i="76" s="1"/>
  <c r="D64" i="76" a="1"/>
  <c r="D64" i="76" s="1"/>
  <c r="B64" i="76" a="1"/>
  <c r="B64" i="76" s="1"/>
  <c r="G63" i="76" a="1"/>
  <c r="G63" i="76" s="1"/>
  <c r="D63" i="76" a="1"/>
  <c r="D63" i="76" s="1"/>
  <c r="B63" i="76" a="1"/>
  <c r="B63" i="76" s="1"/>
  <c r="G62" i="76" a="1"/>
  <c r="G62" i="76" s="1"/>
  <c r="D62" i="76" a="1"/>
  <c r="D62" i="76" s="1"/>
  <c r="B62" i="76" a="1"/>
  <c r="B62" i="76" s="1"/>
  <c r="G61" i="76" a="1"/>
  <c r="G61" i="76" s="1"/>
  <c r="D61" i="76" a="1"/>
  <c r="D61" i="76" s="1"/>
  <c r="B61" i="76" a="1"/>
  <c r="B61" i="76" s="1"/>
  <c r="G60" i="76" a="1"/>
  <c r="G60" i="76" s="1"/>
  <c r="D60" i="76" a="1"/>
  <c r="D60" i="76" s="1"/>
  <c r="B60" i="76" a="1"/>
  <c r="B60" i="76" s="1"/>
  <c r="G59" i="76" a="1"/>
  <c r="G59" i="76" s="1"/>
  <c r="D59" i="76" a="1"/>
  <c r="D59" i="76" s="1"/>
  <c r="B59" i="76" a="1"/>
  <c r="B59" i="76" s="1"/>
  <c r="G58" i="76" a="1"/>
  <c r="G58" i="76" s="1"/>
  <c r="D58" i="76" a="1"/>
  <c r="D58" i="76" s="1"/>
  <c r="B58" i="76" a="1"/>
  <c r="B58" i="76" s="1"/>
  <c r="G57" i="76" a="1"/>
  <c r="G57" i="76" s="1"/>
  <c r="D57" i="76" a="1"/>
  <c r="D57" i="76" s="1"/>
  <c r="B57" i="76" a="1"/>
  <c r="B57" i="76" s="1"/>
  <c r="G56" i="76" a="1"/>
  <c r="G56" i="76" s="1"/>
  <c r="D56" i="76" a="1"/>
  <c r="D56" i="76" s="1"/>
  <c r="B56" i="76" a="1"/>
  <c r="B56" i="76" s="1"/>
  <c r="G55" i="76" a="1"/>
  <c r="G55" i="76" s="1"/>
  <c r="D55" i="76" a="1"/>
  <c r="D55" i="76" s="1"/>
  <c r="B55" i="76" a="1"/>
  <c r="B55" i="76" s="1"/>
  <c r="G54" i="76" a="1"/>
  <c r="G54" i="76" s="1"/>
  <c r="D54" i="76" a="1"/>
  <c r="D54" i="76" s="1"/>
  <c r="B54" i="76" a="1"/>
  <c r="B54" i="76" s="1"/>
  <c r="G53" i="76" a="1"/>
  <c r="G53" i="76" s="1"/>
  <c r="D53" i="76" a="1"/>
  <c r="D53" i="76" s="1"/>
  <c r="B53" i="76" a="1"/>
  <c r="B53" i="76" s="1"/>
  <c r="G52" i="76" a="1"/>
  <c r="G52" i="76" s="1"/>
  <c r="D52" i="76" a="1"/>
  <c r="D52" i="76" s="1"/>
  <c r="B52" i="76" a="1"/>
  <c r="B52" i="76" s="1"/>
  <c r="G51" i="76" a="1"/>
  <c r="G51" i="76" s="1"/>
  <c r="D51" i="76" a="1"/>
  <c r="D51" i="76" s="1"/>
  <c r="B51" i="76" a="1"/>
  <c r="B51" i="76" s="1"/>
  <c r="G50" i="76" a="1"/>
  <c r="G50" i="76" s="1"/>
  <c r="D50" i="76" a="1"/>
  <c r="D50" i="76" s="1"/>
  <c r="B50" i="76" a="1"/>
  <c r="B50" i="76" s="1"/>
  <c r="G49" i="76" a="1"/>
  <c r="G49" i="76" s="1"/>
  <c r="D49" i="76" a="1"/>
  <c r="D49" i="76" s="1"/>
  <c r="B49" i="76" a="1"/>
  <c r="B49" i="76" s="1"/>
  <c r="G48" i="76" a="1"/>
  <c r="G48" i="76" s="1"/>
  <c r="D48" i="76" a="1"/>
  <c r="D48" i="76" s="1"/>
  <c r="B48" i="76" a="1"/>
  <c r="B48" i="76" s="1"/>
  <c r="G47" i="76" a="1"/>
  <c r="G47" i="76" s="1"/>
  <c r="D47" i="76" a="1"/>
  <c r="D47" i="76" s="1"/>
  <c r="B47" i="76" a="1"/>
  <c r="B47" i="76" s="1"/>
  <c r="G46" i="76" a="1"/>
  <c r="G46" i="76" s="1"/>
  <c r="D46" i="76" a="1"/>
  <c r="D46" i="76" s="1"/>
  <c r="B46" i="76" a="1"/>
  <c r="B46" i="76" s="1"/>
  <c r="G45" i="76" a="1"/>
  <c r="G45" i="76" s="1"/>
  <c r="D45" i="76" a="1"/>
  <c r="D45" i="76" s="1"/>
  <c r="B45" i="76" a="1"/>
  <c r="B45" i="76" s="1"/>
  <c r="G44" i="76" a="1"/>
  <c r="G44" i="76" s="1"/>
  <c r="D44" i="76" a="1"/>
  <c r="D44" i="76" s="1"/>
  <c r="B44" i="76" a="1"/>
  <c r="B44" i="76" s="1"/>
  <c r="G43" i="76" a="1"/>
  <c r="G43" i="76" s="1"/>
  <c r="D43" i="76" a="1"/>
  <c r="D43" i="76" s="1"/>
  <c r="B43" i="76" a="1"/>
  <c r="B43" i="76" s="1"/>
  <c r="G42" i="76" a="1"/>
  <c r="G42" i="76" s="1"/>
  <c r="D42" i="76" a="1"/>
  <c r="D42" i="76" s="1"/>
  <c r="B42" i="76" a="1"/>
  <c r="B42" i="76" s="1"/>
  <c r="G41" i="76" a="1"/>
  <c r="G41" i="76" s="1"/>
  <c r="D41" i="76" a="1"/>
  <c r="D41" i="76" s="1"/>
  <c r="B41" i="76" a="1"/>
  <c r="B41" i="76" s="1"/>
  <c r="G40" i="76" a="1"/>
  <c r="G40" i="76" s="1"/>
  <c r="D40" i="76" a="1"/>
  <c r="D40" i="76" s="1"/>
  <c r="B40" i="76" a="1"/>
  <c r="B40" i="76" s="1"/>
  <c r="G39" i="76" a="1"/>
  <c r="G39" i="76" s="1"/>
  <c r="D39" i="76" a="1"/>
  <c r="D39" i="76" s="1"/>
  <c r="B39" i="76" a="1"/>
  <c r="B39" i="76" s="1"/>
  <c r="G38" i="76" a="1"/>
  <c r="G38" i="76" s="1"/>
  <c r="D38" i="76" a="1"/>
  <c r="D38" i="76" s="1"/>
  <c r="B38" i="76" a="1"/>
  <c r="B38" i="76" s="1"/>
  <c r="G37" i="76" a="1"/>
  <c r="G37" i="76" s="1"/>
  <c r="D37" i="76" a="1"/>
  <c r="D37" i="76" s="1"/>
  <c r="B37" i="76" a="1"/>
  <c r="B37" i="76" s="1"/>
  <c r="G36" i="76" a="1"/>
  <c r="G36" i="76" s="1"/>
  <c r="D36" i="76" a="1"/>
  <c r="D36" i="76" s="1"/>
  <c r="G35" i="76" a="1"/>
  <c r="G35" i="76" s="1"/>
  <c r="D35" i="76" a="1"/>
  <c r="D35" i="76" s="1"/>
  <c r="B35" i="76" a="1"/>
  <c r="B35" i="76" s="1"/>
  <c r="G34" i="76" a="1"/>
  <c r="G34" i="76" s="1"/>
  <c r="D34" i="76" a="1"/>
  <c r="D34" i="76" s="1"/>
  <c r="B34" i="76" a="1"/>
  <c r="B34" i="76" s="1"/>
  <c r="G33" i="76" a="1"/>
  <c r="G33" i="76" s="1"/>
  <c r="D33" i="76" a="1"/>
  <c r="D33" i="76" s="1"/>
  <c r="B33" i="76" a="1"/>
  <c r="B33" i="76" s="1"/>
  <c r="G32" i="76" a="1"/>
  <c r="G32" i="76" s="1"/>
  <c r="D32" i="76" a="1"/>
  <c r="D32" i="76" s="1"/>
  <c r="B32" i="76" a="1"/>
  <c r="B32" i="76" s="1"/>
  <c r="G31" i="76" a="1"/>
  <c r="G31" i="76" s="1"/>
  <c r="D31" i="76" a="1"/>
  <c r="D31" i="76" s="1"/>
  <c r="B31" i="76" a="1"/>
  <c r="B31" i="76" s="1"/>
  <c r="G30" i="76" a="1"/>
  <c r="G30" i="76" s="1"/>
  <c r="D30" i="76" a="1"/>
  <c r="D30" i="76" s="1"/>
  <c r="B30" i="76" a="1"/>
  <c r="B30" i="76" s="1"/>
  <c r="G29" i="76" a="1"/>
  <c r="G29" i="76" s="1"/>
  <c r="D29" i="76" a="1"/>
  <c r="D29" i="76" s="1"/>
  <c r="B29" i="76" a="1"/>
  <c r="B29" i="76" s="1"/>
  <c r="G28" i="76" a="1"/>
  <c r="G28" i="76" s="1"/>
  <c r="D28" i="76" a="1"/>
  <c r="D28" i="76" s="1"/>
  <c r="B28" i="76" a="1"/>
  <c r="B28" i="76" s="1"/>
  <c r="G27" i="76" a="1"/>
  <c r="G27" i="76" s="1"/>
  <c r="D27" i="76" a="1"/>
  <c r="D27" i="76" s="1"/>
  <c r="B27" i="76" a="1"/>
  <c r="B27" i="76" s="1"/>
  <c r="G26" i="76" a="1"/>
  <c r="G26" i="76" s="1"/>
  <c r="D26" i="76" a="1"/>
  <c r="D26" i="76" s="1"/>
  <c r="B26" i="76" a="1"/>
  <c r="B26" i="76" s="1"/>
  <c r="G25" i="76" a="1"/>
  <c r="G25" i="76" s="1"/>
  <c r="D25" i="76" a="1"/>
  <c r="D25" i="76" s="1"/>
  <c r="B25" i="76" a="1"/>
  <c r="B25" i="76" s="1"/>
  <c r="G24" i="76" a="1"/>
  <c r="G24" i="76" s="1"/>
  <c r="D24" i="76" a="1"/>
  <c r="D24" i="76" s="1"/>
  <c r="B24" i="76" a="1"/>
  <c r="B24" i="76" s="1"/>
  <c r="G23" i="76" a="1"/>
  <c r="G23" i="76" s="1"/>
  <c r="D23" i="76" a="1"/>
  <c r="D23" i="76" s="1"/>
  <c r="B23" i="76" a="1"/>
  <c r="B23" i="76" s="1"/>
  <c r="G22" i="76" a="1"/>
  <c r="G22" i="76" s="1"/>
  <c r="D22" i="76" a="1"/>
  <c r="D22" i="76" s="1"/>
  <c r="B22" i="76" a="1"/>
  <c r="B22" i="76" s="1"/>
  <c r="G21" i="76" a="1"/>
  <c r="G21" i="76" s="1"/>
  <c r="D21" i="76" a="1"/>
  <c r="D21" i="76" s="1"/>
  <c r="B21" i="76" a="1"/>
  <c r="B21" i="76" s="1"/>
  <c r="G20" i="76" a="1"/>
  <c r="G20" i="76" s="1"/>
  <c r="D20" i="76" a="1"/>
  <c r="D20" i="76" s="1"/>
  <c r="B20" i="76" a="1"/>
  <c r="B20" i="76" s="1"/>
  <c r="G19" i="76" a="1"/>
  <c r="G19" i="76" s="1"/>
  <c r="D19" i="76" a="1"/>
  <c r="D19" i="76" s="1"/>
  <c r="B19" i="76" a="1"/>
  <c r="B19" i="76" s="1"/>
  <c r="G18" i="76" a="1"/>
  <c r="G18" i="76" s="1"/>
  <c r="D18" i="76" a="1"/>
  <c r="D18" i="76" s="1"/>
  <c r="B18" i="76" a="1"/>
  <c r="B18" i="76" s="1"/>
  <c r="G17" i="76" a="1"/>
  <c r="G17" i="76" s="1"/>
  <c r="D17" i="76" a="1"/>
  <c r="D17" i="76" s="1"/>
  <c r="B17" i="76" a="1"/>
  <c r="B17" i="76" s="1"/>
  <c r="G16" i="76" a="1"/>
  <c r="G16" i="76" s="1"/>
  <c r="D16" i="76" a="1"/>
  <c r="D16" i="76" s="1"/>
  <c r="B16" i="76" a="1"/>
  <c r="B16" i="76" s="1"/>
  <c r="G15" i="76" a="1"/>
  <c r="G15" i="76" s="1"/>
  <c r="D15" i="76" a="1"/>
  <c r="D15" i="76" s="1"/>
  <c r="B15" i="76" a="1"/>
  <c r="B15" i="76" s="1"/>
  <c r="G14" i="76" a="1"/>
  <c r="G14" i="76" s="1"/>
  <c r="D14" i="76" a="1"/>
  <c r="D14" i="76" s="1"/>
  <c r="B14" i="76" a="1"/>
  <c r="B14" i="76" s="1"/>
  <c r="G13" i="76" a="1"/>
  <c r="G13" i="76" s="1"/>
  <c r="D13" i="76" a="1"/>
  <c r="D13" i="76" s="1"/>
  <c r="B13" i="76" a="1"/>
  <c r="B13" i="76" s="1"/>
  <c r="G12" i="76" a="1"/>
  <c r="G12" i="76" s="1"/>
  <c r="D12" i="76" a="1"/>
  <c r="D12" i="76" s="1"/>
  <c r="B12" i="76" a="1"/>
  <c r="B12" i="76" s="1"/>
  <c r="G11" i="76" a="1"/>
  <c r="G11" i="76" s="1"/>
  <c r="D11" i="76" a="1"/>
  <c r="D11" i="76" s="1"/>
  <c r="B11" i="76" a="1"/>
  <c r="B11" i="76" s="1"/>
  <c r="G10" i="76" a="1"/>
  <c r="G10" i="76" s="1"/>
  <c r="D10" i="76" a="1"/>
  <c r="D10" i="76" s="1"/>
  <c r="B10" i="76" a="1"/>
  <c r="B10" i="76" s="1"/>
  <c r="G9" i="76" a="1"/>
  <c r="G9" i="76" s="1"/>
  <c r="D9" i="76" a="1"/>
  <c r="D9" i="76" s="1"/>
  <c r="B9" i="76" a="1"/>
  <c r="B9" i="76" s="1"/>
  <c r="G8" i="76" a="1"/>
  <c r="G8" i="76" s="1"/>
  <c r="D8" i="76" a="1"/>
  <c r="D8" i="76" s="1"/>
  <c r="B8" i="76" a="1"/>
  <c r="B8" i="76" s="1"/>
  <c r="G7" i="76" a="1"/>
  <c r="G7" i="76" s="1"/>
  <c r="D7" i="76" a="1"/>
  <c r="D7" i="76" s="1"/>
  <c r="B7" i="76" a="1"/>
  <c r="B7" i="76" s="1"/>
  <c r="G6" i="76" a="1"/>
  <c r="G6" i="76" s="1"/>
  <c r="D6" i="76" a="1"/>
  <c r="D6" i="76" s="1"/>
  <c r="B6" i="76" a="1"/>
  <c r="B6" i="76" s="1"/>
  <c r="G5" i="76" a="1"/>
  <c r="G5" i="76" s="1"/>
  <c r="D5" i="76" a="1"/>
  <c r="D5" i="76" s="1"/>
  <c r="B5" i="76" a="1"/>
  <c r="B5" i="76" s="1"/>
  <c r="G4" i="76" a="1"/>
  <c r="G4" i="76" s="1"/>
  <c r="B4" i="76" a="1"/>
  <c r="B4" i="76" s="1"/>
  <c r="G3" i="76" a="1"/>
  <c r="G3" i="76" s="1"/>
  <c r="D37" i="57" a="1"/>
  <c r="D37" i="57" s="1"/>
  <c r="D36" i="57" a="1"/>
  <c r="D36" i="57" s="1"/>
  <c r="D35" i="57" a="1"/>
  <c r="D35" i="57" s="1"/>
  <c r="D34" i="57" a="1"/>
  <c r="D34" i="57" s="1"/>
  <c r="D33" i="57" a="1"/>
  <c r="D33" i="57" s="1"/>
  <c r="D32" i="57" a="1"/>
  <c r="D32" i="57" s="1"/>
  <c r="D31" i="57" a="1"/>
  <c r="D31" i="57" s="1"/>
  <c r="D30" i="57" a="1"/>
  <c r="D30" i="57" s="1"/>
  <c r="D29" i="57" a="1"/>
  <c r="D29" i="57" s="1"/>
  <c r="D27" i="57" a="1"/>
  <c r="D27" i="57" s="1"/>
  <c r="M45" i="57"/>
  <c r="O45" i="57" s="1"/>
  <c r="O24" i="57"/>
  <c r="N26" i="57" s="1"/>
  <c r="K28" i="57"/>
  <c r="K29" i="57"/>
  <c r="K31" i="57"/>
  <c r="K32" i="57"/>
  <c r="K34" i="57"/>
  <c r="K35" i="57"/>
  <c r="K36" i="57"/>
  <c r="K37" i="57"/>
  <c r="K38" i="57"/>
  <c r="CX137" i="1"/>
  <c r="CD137" i="1"/>
  <c r="P112" i="78"/>
  <c r="R112" i="78" s="1"/>
  <c r="S112" i="78" s="1"/>
  <c r="CA137" i="1"/>
  <c r="C385" i="2"/>
  <c r="BS137" i="1"/>
  <c r="BR137" i="1"/>
  <c r="BH137" i="1"/>
  <c r="BI137" i="1" s="1"/>
  <c r="AZ137" i="1"/>
  <c r="AY137" i="1"/>
  <c r="AX137" i="1"/>
  <c r="AW137" i="1"/>
  <c r="AV137" i="1"/>
  <c r="AU137" i="1"/>
  <c r="BH62" i="1"/>
  <c r="BI62" i="1" s="1"/>
  <c r="BH11" i="1"/>
  <c r="BI11" i="1" s="1"/>
  <c r="CD13" i="1"/>
  <c r="CD14" i="1"/>
  <c r="CD15" i="1"/>
  <c r="CD16" i="1"/>
  <c r="CD17" i="1"/>
  <c r="CD18" i="1"/>
  <c r="CD19" i="1"/>
  <c r="CD20" i="1"/>
  <c r="CD21" i="1"/>
  <c r="CD68" i="1"/>
  <c r="CD22" i="1"/>
  <c r="CD23" i="1"/>
  <c r="CD24" i="1"/>
  <c r="CD32" i="1"/>
  <c r="CD26" i="1"/>
  <c r="CD33" i="1"/>
  <c r="CD34" i="1"/>
  <c r="CD27" i="1"/>
  <c r="CD28" i="1"/>
  <c r="CD29" i="1"/>
  <c r="CD30" i="1"/>
  <c r="CD25" i="1"/>
  <c r="CD31" i="1"/>
  <c r="CD35" i="1"/>
  <c r="CD36" i="1"/>
  <c r="CD37" i="1"/>
  <c r="CD38" i="1"/>
  <c r="CD39" i="1"/>
  <c r="CD78" i="1"/>
  <c r="CD49" i="1"/>
  <c r="CD41" i="1"/>
  <c r="CD42" i="1"/>
  <c r="CD43" i="1"/>
  <c r="CD6" i="1"/>
  <c r="CD46" i="1"/>
  <c r="CD40" i="1"/>
  <c r="CD44" i="1"/>
  <c r="CD45" i="1"/>
  <c r="CD47" i="1"/>
  <c r="CD48" i="1"/>
  <c r="CD120" i="1"/>
  <c r="CD7" i="1"/>
  <c r="CD50" i="1"/>
  <c r="CD51" i="1"/>
  <c r="CD52" i="1"/>
  <c r="CD53" i="1"/>
  <c r="CD58" i="1"/>
  <c r="CD54" i="1"/>
  <c r="CD55" i="1"/>
  <c r="CD56" i="1"/>
  <c r="CD57" i="1"/>
  <c r="CD106" i="1"/>
  <c r="CD59" i="1"/>
  <c r="CD60" i="1"/>
  <c r="CD61" i="1"/>
  <c r="CD70" i="1"/>
  <c r="CD62" i="1"/>
  <c r="CD63" i="1"/>
  <c r="CD64" i="1"/>
  <c r="CD65" i="1"/>
  <c r="CD66" i="1"/>
  <c r="CD67" i="1"/>
  <c r="CD86" i="1"/>
  <c r="CD69" i="1"/>
  <c r="CD128" i="1"/>
  <c r="CD129" i="1"/>
  <c r="CD71" i="1"/>
  <c r="CD79" i="1"/>
  <c r="CD80" i="1"/>
  <c r="CD81" i="1"/>
  <c r="CD82" i="1"/>
  <c r="CD83" i="1"/>
  <c r="CD84" i="1"/>
  <c r="CD85" i="1"/>
  <c r="CD72" i="1"/>
  <c r="CD73" i="1"/>
  <c r="CD74" i="1"/>
  <c r="CD75" i="1"/>
  <c r="CD130" i="1"/>
  <c r="CD76" i="1"/>
  <c r="CD77" i="1"/>
  <c r="CD87" i="1"/>
  <c r="CD89" i="1"/>
  <c r="CD90" i="1"/>
  <c r="CD88" i="1"/>
  <c r="CD91" i="1"/>
  <c r="CD92" i="1"/>
  <c r="CD93" i="1"/>
  <c r="CD94" i="1"/>
  <c r="CD95" i="1"/>
  <c r="CD96" i="1"/>
  <c r="CD97" i="1"/>
  <c r="CD98" i="1"/>
  <c r="CD99" i="1"/>
  <c r="CD100" i="1"/>
  <c r="CD101" i="1"/>
  <c r="CD103" i="1"/>
  <c r="CD102" i="1"/>
  <c r="CD105" i="1"/>
  <c r="CD107" i="1"/>
  <c r="CD108" i="1"/>
  <c r="CD104" i="1"/>
  <c r="CD109" i="1"/>
  <c r="CD110" i="1"/>
  <c r="CD111" i="1"/>
  <c r="CD112" i="1"/>
  <c r="CD113" i="1"/>
  <c r="CD114" i="1"/>
  <c r="CD115" i="1"/>
  <c r="CD116" i="1"/>
  <c r="CD117" i="1"/>
  <c r="CD118" i="1"/>
  <c r="CD119" i="1"/>
  <c r="CD131" i="1"/>
  <c r="CD121" i="1"/>
  <c r="CD122" i="1"/>
  <c r="CD123" i="1"/>
  <c r="CD124" i="1"/>
  <c r="CD125" i="1"/>
  <c r="CD132" i="1"/>
  <c r="CD126" i="1"/>
  <c r="CD127" i="1"/>
  <c r="CD133" i="1"/>
  <c r="CD158" i="1"/>
  <c r="CD134" i="1"/>
  <c r="CD135" i="1"/>
  <c r="CD136" i="1"/>
  <c r="CD138" i="1"/>
  <c r="CD139" i="1"/>
  <c r="CD140" i="1"/>
  <c r="CD141" i="1"/>
  <c r="CD8" i="1"/>
  <c r="CD142" i="1"/>
  <c r="CD143" i="1"/>
  <c r="CD144" i="1"/>
  <c r="CD145" i="1"/>
  <c r="CD146" i="1"/>
  <c r="CD147" i="1"/>
  <c r="CD148" i="1"/>
  <c r="CD149" i="1"/>
  <c r="CD150" i="1"/>
  <c r="CD151" i="1"/>
  <c r="CD152" i="1"/>
  <c r="CD159" i="1"/>
  <c r="CD153" i="1"/>
  <c r="CD154" i="1"/>
  <c r="CD160" i="1"/>
  <c r="CD161" i="1"/>
  <c r="CD156" i="1"/>
  <c r="CD157" i="1"/>
  <c r="CD165" i="1"/>
  <c r="CD162" i="1"/>
  <c r="CD9" i="1"/>
  <c r="CD163" i="1"/>
  <c r="CD164" i="1"/>
  <c r="CD166" i="1"/>
  <c r="CD167" i="1"/>
  <c r="CD168" i="1"/>
  <c r="CD169" i="1"/>
  <c r="CD170" i="1"/>
  <c r="CD10" i="1"/>
  <c r="CD171" i="1"/>
  <c r="CD172" i="1"/>
  <c r="CD173" i="1"/>
  <c r="CD174" i="1"/>
  <c r="CD175" i="1"/>
  <c r="CD176" i="1"/>
  <c r="CD177" i="1"/>
  <c r="CD178" i="1"/>
  <c r="CD179" i="1"/>
  <c r="CD180" i="1"/>
  <c r="CD181" i="1"/>
  <c r="CD182" i="1"/>
  <c r="CD183" i="1"/>
  <c r="AU11" i="1"/>
  <c r="AY12" i="1"/>
  <c r="CX11" i="1"/>
  <c r="CX12" i="1"/>
  <c r="CX13" i="1"/>
  <c r="CX14" i="1"/>
  <c r="CX15" i="1"/>
  <c r="CX16" i="1"/>
  <c r="CX17" i="1"/>
  <c r="CX18" i="1"/>
  <c r="CX19" i="1"/>
  <c r="CX20" i="1"/>
  <c r="CX21" i="1"/>
  <c r="CX68" i="1"/>
  <c r="CX22" i="1"/>
  <c r="CX23" i="1"/>
  <c r="CX24" i="1"/>
  <c r="CX32" i="1"/>
  <c r="CX26" i="1"/>
  <c r="CX33" i="1"/>
  <c r="CX34" i="1"/>
  <c r="CX27" i="1"/>
  <c r="CX28" i="1"/>
  <c r="CX29" i="1"/>
  <c r="CX30" i="1"/>
  <c r="CX25" i="1"/>
  <c r="CX31" i="1"/>
  <c r="CX35" i="1"/>
  <c r="CX36" i="1"/>
  <c r="CX37" i="1"/>
  <c r="CX38" i="1"/>
  <c r="CX39" i="1"/>
  <c r="CX78" i="1"/>
  <c r="CX49" i="1"/>
  <c r="CX41" i="1"/>
  <c r="CX42" i="1"/>
  <c r="CX43" i="1"/>
  <c r="CX6" i="1"/>
  <c r="CX46" i="1"/>
  <c r="CX40" i="1"/>
  <c r="CX44" i="1"/>
  <c r="CX45" i="1"/>
  <c r="CX47" i="1"/>
  <c r="CX48" i="1"/>
  <c r="CX120" i="1"/>
  <c r="CX7" i="1"/>
  <c r="CX50" i="1"/>
  <c r="CX51" i="1"/>
  <c r="CX52" i="1"/>
  <c r="CX53" i="1"/>
  <c r="CX58" i="1"/>
  <c r="CX54" i="1"/>
  <c r="CX55" i="1"/>
  <c r="CX56" i="1"/>
  <c r="CX57" i="1"/>
  <c r="CX106" i="1"/>
  <c r="CX59" i="1"/>
  <c r="CX60" i="1"/>
  <c r="CX61" i="1"/>
  <c r="CX70" i="1"/>
  <c r="CX62" i="1"/>
  <c r="CX63" i="1"/>
  <c r="CX64" i="1"/>
  <c r="CX65" i="1"/>
  <c r="CX66" i="1"/>
  <c r="CX67" i="1"/>
  <c r="CX86" i="1"/>
  <c r="CX69" i="1"/>
  <c r="CX128" i="1"/>
  <c r="CX129" i="1"/>
  <c r="CX71" i="1"/>
  <c r="CX79" i="1"/>
  <c r="CX80" i="1"/>
  <c r="CX81" i="1"/>
  <c r="CX82" i="1"/>
  <c r="CX83" i="1"/>
  <c r="CX84" i="1"/>
  <c r="CX85" i="1"/>
  <c r="CX72" i="1"/>
  <c r="CX73" i="1"/>
  <c r="CX74" i="1"/>
  <c r="CX75" i="1"/>
  <c r="CX130" i="1"/>
  <c r="CX76" i="1"/>
  <c r="CX77" i="1"/>
  <c r="CX87" i="1"/>
  <c r="CX89" i="1"/>
  <c r="CX90" i="1"/>
  <c r="CX88" i="1"/>
  <c r="CX91" i="1"/>
  <c r="CX92" i="1"/>
  <c r="CX93" i="1"/>
  <c r="CX94" i="1"/>
  <c r="CX95" i="1"/>
  <c r="CX96" i="1"/>
  <c r="CX97" i="1"/>
  <c r="CX98" i="1"/>
  <c r="CX99" i="1"/>
  <c r="CX100" i="1"/>
  <c r="CX101" i="1"/>
  <c r="CX103" i="1"/>
  <c r="CX102" i="1"/>
  <c r="CX105" i="1"/>
  <c r="CX107" i="1"/>
  <c r="CX108" i="1"/>
  <c r="CX104" i="1"/>
  <c r="CX109" i="1"/>
  <c r="CX110" i="1"/>
  <c r="CX111" i="1"/>
  <c r="CX112" i="1"/>
  <c r="CX113" i="1"/>
  <c r="CX114" i="1"/>
  <c r="CX115" i="1"/>
  <c r="CX116" i="1"/>
  <c r="CX117" i="1"/>
  <c r="CX118" i="1"/>
  <c r="CX119" i="1"/>
  <c r="CX131" i="1"/>
  <c r="CX121" i="1"/>
  <c r="CX122" i="1"/>
  <c r="CX123" i="1"/>
  <c r="CX124" i="1"/>
  <c r="CX125" i="1"/>
  <c r="CX132" i="1"/>
  <c r="CX126" i="1"/>
  <c r="CX127" i="1"/>
  <c r="CX133" i="1"/>
  <c r="CX158" i="1"/>
  <c r="CX134" i="1"/>
  <c r="CX135" i="1"/>
  <c r="CX136" i="1"/>
  <c r="CX138" i="1"/>
  <c r="CX139" i="1"/>
  <c r="CX140" i="1"/>
  <c r="CX141" i="1"/>
  <c r="CX8" i="1"/>
  <c r="CX142" i="1"/>
  <c r="CX143" i="1"/>
  <c r="CX144" i="1"/>
  <c r="CX145" i="1"/>
  <c r="CX146" i="1"/>
  <c r="CX147" i="1"/>
  <c r="CX148" i="1"/>
  <c r="CX149" i="1"/>
  <c r="CX150" i="1"/>
  <c r="CX151" i="1"/>
  <c r="CX152" i="1"/>
  <c r="CX159" i="1"/>
  <c r="CX153" i="1"/>
  <c r="CX154" i="1"/>
  <c r="CX160" i="1"/>
  <c r="CX161" i="1"/>
  <c r="CX156" i="1"/>
  <c r="CX157" i="1"/>
  <c r="CX165" i="1"/>
  <c r="CX162" i="1"/>
  <c r="CX9" i="1"/>
  <c r="CX163" i="1"/>
  <c r="CX164" i="1"/>
  <c r="CX166" i="1"/>
  <c r="CX167" i="1"/>
  <c r="CX168" i="1"/>
  <c r="CX169" i="1"/>
  <c r="CX170" i="1"/>
  <c r="CX10" i="1"/>
  <c r="CX171" i="1"/>
  <c r="CX172" i="1"/>
  <c r="CX173" i="1"/>
  <c r="CX174" i="1"/>
  <c r="CX175" i="1"/>
  <c r="CX176" i="1"/>
  <c r="CX177" i="1"/>
  <c r="CX178" i="1"/>
  <c r="CX179" i="1"/>
  <c r="CX180" i="1"/>
  <c r="CX181" i="1"/>
  <c r="CX182" i="1"/>
  <c r="CX183" i="1"/>
  <c r="CG180" i="1"/>
  <c r="CG11" i="1"/>
  <c r="CG19" i="1"/>
  <c r="CG31" i="1"/>
  <c r="CG35" i="1"/>
  <c r="CG37" i="1"/>
  <c r="CG78" i="1"/>
  <c r="CG43" i="1"/>
  <c r="CG120" i="1"/>
  <c r="CG55" i="1"/>
  <c r="CG56" i="1"/>
  <c r="CG65" i="1"/>
  <c r="CG86" i="1"/>
  <c r="CG69" i="1"/>
  <c r="CG71" i="1"/>
  <c r="CG76" i="1"/>
  <c r="CG77" i="1"/>
  <c r="CG93" i="1"/>
  <c r="CG99" i="1"/>
  <c r="CG100" i="1"/>
  <c r="CG108" i="1"/>
  <c r="CG113" i="1"/>
  <c r="CG114" i="1"/>
  <c r="CG127" i="1"/>
  <c r="CG138" i="1"/>
  <c r="CG148" i="1"/>
  <c r="CG149" i="1"/>
  <c r="CG151" i="1"/>
  <c r="CG154" i="1"/>
  <c r="CG182" i="1"/>
  <c r="CG183" i="1"/>
  <c r="K30" i="57"/>
  <c r="K33" i="57"/>
  <c r="K27" i="57"/>
  <c r="CG136" i="1"/>
  <c r="CG134" i="1"/>
  <c r="CG119" i="1"/>
  <c r="CG90" i="1"/>
  <c r="CG129" i="1"/>
  <c r="CG53" i="1"/>
  <c r="CG47" i="1"/>
  <c r="CG42" i="1"/>
  <c r="AU182" i="1"/>
  <c r="AU183" i="1"/>
  <c r="AV182" i="1"/>
  <c r="AV183" i="1"/>
  <c r="AW182" i="1"/>
  <c r="AW183" i="1"/>
  <c r="AX182" i="1"/>
  <c r="AX183" i="1"/>
  <c r="AY182" i="1"/>
  <c r="AY183" i="1"/>
  <c r="AZ182" i="1"/>
  <c r="AZ183" i="1"/>
  <c r="BH182" i="1"/>
  <c r="BI182" i="1" s="1"/>
  <c r="BH183" i="1"/>
  <c r="BI183" i="1" s="1"/>
  <c r="BR182" i="1"/>
  <c r="BR183" i="1"/>
  <c r="CA182" i="1"/>
  <c r="CA183" i="1"/>
  <c r="CJ182" i="1"/>
  <c r="CJ183" i="1"/>
  <c r="AU171" i="1"/>
  <c r="AU172" i="1"/>
  <c r="AU173" i="1"/>
  <c r="AU174" i="1"/>
  <c r="AU175" i="1"/>
  <c r="AU176" i="1"/>
  <c r="AU177" i="1"/>
  <c r="AU178" i="1"/>
  <c r="AU179" i="1"/>
  <c r="AU180" i="1"/>
  <c r="AU181" i="1"/>
  <c r="AV171" i="1"/>
  <c r="AV172" i="1"/>
  <c r="AV173" i="1"/>
  <c r="AV174" i="1"/>
  <c r="AV175" i="1"/>
  <c r="AV176" i="1"/>
  <c r="AV177" i="1"/>
  <c r="AV178" i="1"/>
  <c r="AV179" i="1"/>
  <c r="AV180" i="1"/>
  <c r="AV181" i="1"/>
  <c r="AW171" i="1"/>
  <c r="AW172" i="1"/>
  <c r="AW173" i="1"/>
  <c r="AW174" i="1"/>
  <c r="AW175" i="1"/>
  <c r="AW176" i="1"/>
  <c r="AW177" i="1"/>
  <c r="AW178" i="1"/>
  <c r="AW179" i="1"/>
  <c r="AW180" i="1"/>
  <c r="AW181" i="1"/>
  <c r="AX171" i="1"/>
  <c r="AX172" i="1"/>
  <c r="AX173" i="1"/>
  <c r="AX174" i="1"/>
  <c r="AX175" i="1"/>
  <c r="AX176" i="1"/>
  <c r="AX177" i="1"/>
  <c r="AX178" i="1"/>
  <c r="AX179" i="1"/>
  <c r="AX180" i="1"/>
  <c r="AX181" i="1"/>
  <c r="AY171" i="1"/>
  <c r="AY172" i="1"/>
  <c r="AY173" i="1"/>
  <c r="AY174" i="1"/>
  <c r="AY175" i="1"/>
  <c r="AY176" i="1"/>
  <c r="AY177" i="1"/>
  <c r="AY178" i="1"/>
  <c r="AY179" i="1"/>
  <c r="AY180" i="1"/>
  <c r="AY181" i="1"/>
  <c r="AZ171" i="1"/>
  <c r="AZ172" i="1"/>
  <c r="AZ173" i="1"/>
  <c r="AZ174" i="1"/>
  <c r="AZ175" i="1"/>
  <c r="AZ176" i="1"/>
  <c r="AZ177" i="1"/>
  <c r="AZ178" i="1"/>
  <c r="AZ179" i="1"/>
  <c r="AZ180" i="1"/>
  <c r="AZ181" i="1"/>
  <c r="BH171" i="1"/>
  <c r="BI171" i="1" s="1"/>
  <c r="BH172" i="1"/>
  <c r="BI172" i="1" s="1"/>
  <c r="BH173" i="1"/>
  <c r="BI173" i="1" s="1"/>
  <c r="BH174" i="1"/>
  <c r="BI174" i="1" s="1"/>
  <c r="BH175" i="1"/>
  <c r="BI175" i="1" s="1"/>
  <c r="BH176" i="1"/>
  <c r="BI176" i="1" s="1"/>
  <c r="BH177" i="1"/>
  <c r="BI177" i="1" s="1"/>
  <c r="BH178" i="1"/>
  <c r="BI178" i="1" s="1"/>
  <c r="BH179" i="1"/>
  <c r="BI179" i="1" s="1"/>
  <c r="BH180" i="1"/>
  <c r="BI180" i="1" s="1"/>
  <c r="BH181" i="1"/>
  <c r="BI181" i="1" s="1"/>
  <c r="BR171" i="1"/>
  <c r="BR172" i="1"/>
  <c r="BR173" i="1"/>
  <c r="BR174" i="1"/>
  <c r="BR175" i="1"/>
  <c r="BR176" i="1"/>
  <c r="BR177" i="1"/>
  <c r="BR178" i="1"/>
  <c r="BR179" i="1"/>
  <c r="BR180" i="1"/>
  <c r="BR181" i="1"/>
  <c r="BS176" i="1"/>
  <c r="BS178" i="1"/>
  <c r="BS180" i="1"/>
  <c r="CA171" i="1"/>
  <c r="CA172" i="1"/>
  <c r="CA173" i="1"/>
  <c r="CA174" i="1"/>
  <c r="CA175" i="1"/>
  <c r="CA176" i="1"/>
  <c r="CA177" i="1"/>
  <c r="CA178" i="1"/>
  <c r="CA179" i="1"/>
  <c r="CA180" i="1"/>
  <c r="CA181" i="1"/>
  <c r="P143" i="78"/>
  <c r="R143" i="78" s="1"/>
  <c r="S143" i="78" s="1"/>
  <c r="P144" i="78"/>
  <c r="R144" i="78" s="1"/>
  <c r="S144" i="78" s="1"/>
  <c r="P145" i="78"/>
  <c r="R145" i="78" s="1"/>
  <c r="S145" i="78" s="1"/>
  <c r="P146" i="78"/>
  <c r="R146" i="78" s="1"/>
  <c r="S146" i="78" s="1"/>
  <c r="P147" i="78"/>
  <c r="R147" i="78" s="1"/>
  <c r="S147" i="78" s="1"/>
  <c r="P150" i="78"/>
  <c r="R150" i="78" s="1"/>
  <c r="S150" i="78" s="1"/>
  <c r="P151" i="78"/>
  <c r="R151" i="78" s="1"/>
  <c r="S151" i="78" s="1"/>
  <c r="CJ180" i="1"/>
  <c r="P152" i="78"/>
  <c r="R152" i="78" s="1"/>
  <c r="S152" i="78" s="1"/>
  <c r="G27" i="57"/>
  <c r="H27" i="57"/>
  <c r="G28" i="57"/>
  <c r="H28" i="57"/>
  <c r="G29" i="57"/>
  <c r="H29" i="57"/>
  <c r="G30" i="57"/>
  <c r="H30" i="57"/>
  <c r="G31" i="57"/>
  <c r="H31" i="57"/>
  <c r="G32" i="57"/>
  <c r="H32" i="57"/>
  <c r="G33" i="57"/>
  <c r="H33" i="57"/>
  <c r="G34" i="57"/>
  <c r="H34" i="57"/>
  <c r="G35" i="57"/>
  <c r="H35" i="57"/>
  <c r="G36" i="57"/>
  <c r="H36" i="57"/>
  <c r="G37" i="57"/>
  <c r="H37" i="57"/>
  <c r="G38" i="57"/>
  <c r="H38" i="57"/>
  <c r="G39" i="57"/>
  <c r="AU10" i="1"/>
  <c r="P39" i="57"/>
  <c r="Q39" i="57"/>
  <c r="D38" i="57" a="1"/>
  <c r="D38" i="57" s="1"/>
  <c r="N28" i="57"/>
  <c r="N30" i="57"/>
  <c r="N31" i="57"/>
  <c r="N32" i="57"/>
  <c r="N33" i="57"/>
  <c r="N34" i="57"/>
  <c r="N35" i="57"/>
  <c r="N36" i="57"/>
  <c r="N37" i="57"/>
  <c r="N38" i="57"/>
  <c r="M39" i="57"/>
  <c r="K39" i="57"/>
  <c r="J39" i="57"/>
  <c r="AU165" i="1"/>
  <c r="AU9" i="1"/>
  <c r="AU166" i="1"/>
  <c r="AU167" i="1"/>
  <c r="AU168" i="1"/>
  <c r="AU169" i="1"/>
  <c r="AU170" i="1"/>
  <c r="AV165" i="1"/>
  <c r="AV9" i="1"/>
  <c r="AV166" i="1"/>
  <c r="AV167" i="1"/>
  <c r="AV168" i="1"/>
  <c r="AV169" i="1"/>
  <c r="AV170" i="1"/>
  <c r="AV10" i="1"/>
  <c r="AW165" i="1"/>
  <c r="AW9" i="1"/>
  <c r="AW166" i="1"/>
  <c r="AW167" i="1"/>
  <c r="AW168" i="1"/>
  <c r="AW169" i="1"/>
  <c r="AW170" i="1"/>
  <c r="AW10" i="1"/>
  <c r="AX165" i="1"/>
  <c r="AX9" i="1"/>
  <c r="AX166" i="1"/>
  <c r="AX167" i="1"/>
  <c r="AX168" i="1"/>
  <c r="AX169" i="1"/>
  <c r="AX170" i="1"/>
  <c r="AX10" i="1"/>
  <c r="AY165" i="1"/>
  <c r="AY9" i="1"/>
  <c r="AY166" i="1"/>
  <c r="AY167" i="1"/>
  <c r="AY168" i="1"/>
  <c r="AY169" i="1"/>
  <c r="AY170" i="1"/>
  <c r="AY10" i="1"/>
  <c r="AZ165" i="1"/>
  <c r="AZ9" i="1"/>
  <c r="AZ166" i="1"/>
  <c r="AZ167" i="1"/>
  <c r="AZ168" i="1"/>
  <c r="AZ169" i="1"/>
  <c r="AZ170" i="1"/>
  <c r="AZ10" i="1"/>
  <c r="BH165" i="1"/>
  <c r="BI165" i="1" s="1"/>
  <c r="BH9" i="1"/>
  <c r="BI9" i="1" s="1"/>
  <c r="BH166" i="1"/>
  <c r="BI166" i="1" s="1"/>
  <c r="BH167" i="1"/>
  <c r="BI167" i="1" s="1"/>
  <c r="BH168" i="1"/>
  <c r="BI168" i="1" s="1"/>
  <c r="BH169" i="1"/>
  <c r="BI169" i="1" s="1"/>
  <c r="BH170" i="1"/>
  <c r="BI170" i="1" s="1"/>
  <c r="BH10" i="1"/>
  <c r="BI10" i="1" s="1"/>
  <c r="BQ9" i="1"/>
  <c r="BW9" i="1" s="1"/>
  <c r="BY9" i="1" s="1"/>
  <c r="BQ10" i="1"/>
  <c r="BW10" i="1" s="1"/>
  <c r="BY10" i="1" s="1"/>
  <c r="BR165" i="1"/>
  <c r="BR9" i="1"/>
  <c r="BR166" i="1"/>
  <c r="BR167" i="1"/>
  <c r="BR168" i="1"/>
  <c r="BR169" i="1"/>
  <c r="BR170" i="1"/>
  <c r="BR10" i="1"/>
  <c r="BS9" i="1"/>
  <c r="BS10" i="1"/>
  <c r="BX9" i="1"/>
  <c r="BX10" i="1"/>
  <c r="CA165" i="1"/>
  <c r="CA9" i="1"/>
  <c r="CA166" i="1"/>
  <c r="CA167" i="1"/>
  <c r="CA168" i="1"/>
  <c r="CA169" i="1"/>
  <c r="CA170" i="1"/>
  <c r="CA10" i="1"/>
  <c r="P135" i="78"/>
  <c r="R135" i="78" s="1"/>
  <c r="S135" i="78" s="1"/>
  <c r="P136" i="78"/>
  <c r="R136" i="78" s="1"/>
  <c r="S136" i="78" s="1"/>
  <c r="P137" i="78"/>
  <c r="R137" i="78" s="1"/>
  <c r="S137" i="78" s="1"/>
  <c r="P138" i="78"/>
  <c r="R138" i="78" s="1"/>
  <c r="S138" i="78" s="1"/>
  <c r="P139" i="78"/>
  <c r="R139" i="78" s="1"/>
  <c r="S139" i="78" s="1"/>
  <c r="P140" i="78"/>
  <c r="R140" i="78" s="1"/>
  <c r="S140" i="78" s="1"/>
  <c r="P141" i="78"/>
  <c r="R141" i="78" s="1"/>
  <c r="S141" i="78" s="1"/>
  <c r="P142" i="78"/>
  <c r="R142" i="78" s="1"/>
  <c r="S142" i="78" s="1"/>
  <c r="AU164" i="1"/>
  <c r="AV164" i="1"/>
  <c r="AW164" i="1"/>
  <c r="AX164" i="1"/>
  <c r="AY164" i="1"/>
  <c r="AZ164" i="1"/>
  <c r="BH164" i="1"/>
  <c r="BI164" i="1" s="1"/>
  <c r="BR164" i="1"/>
  <c r="CA164" i="1"/>
  <c r="P134" i="78"/>
  <c r="R134" i="78" s="1"/>
  <c r="S134" i="78" s="1"/>
  <c r="AU163" i="1"/>
  <c r="AV163" i="1"/>
  <c r="AW163" i="1"/>
  <c r="AX163" i="1"/>
  <c r="AY163" i="1"/>
  <c r="AZ163" i="1"/>
  <c r="BH163" i="1"/>
  <c r="BI163" i="1" s="1"/>
  <c r="BR163" i="1"/>
  <c r="CA163" i="1"/>
  <c r="P133" i="78"/>
  <c r="R133" i="78" s="1"/>
  <c r="S133" i="78" s="1"/>
  <c r="AU158" i="1"/>
  <c r="AU159" i="1"/>
  <c r="AU160" i="1"/>
  <c r="AU161" i="1"/>
  <c r="AU162" i="1"/>
  <c r="AV158" i="1"/>
  <c r="AV159" i="1"/>
  <c r="AV160" i="1"/>
  <c r="AV161" i="1"/>
  <c r="AV162" i="1"/>
  <c r="AW158" i="1"/>
  <c r="AW159" i="1"/>
  <c r="AW160" i="1"/>
  <c r="AW161" i="1"/>
  <c r="AW162" i="1"/>
  <c r="AX158" i="1"/>
  <c r="AX159" i="1"/>
  <c r="AX160" i="1"/>
  <c r="AX161" i="1"/>
  <c r="AX162" i="1"/>
  <c r="AY158" i="1"/>
  <c r="AY159" i="1"/>
  <c r="AY160" i="1"/>
  <c r="AY161" i="1"/>
  <c r="AY162" i="1"/>
  <c r="AZ158" i="1"/>
  <c r="AZ159" i="1"/>
  <c r="AZ160" i="1"/>
  <c r="AZ161" i="1"/>
  <c r="AZ162" i="1"/>
  <c r="BH158" i="1"/>
  <c r="BI158" i="1" s="1"/>
  <c r="BH159" i="1"/>
  <c r="BI159" i="1" s="1"/>
  <c r="BH160" i="1"/>
  <c r="BI160" i="1" s="1"/>
  <c r="BH161" i="1"/>
  <c r="BI161" i="1" s="1"/>
  <c r="BH162" i="1"/>
  <c r="BI162" i="1" s="1"/>
  <c r="BR158" i="1"/>
  <c r="BR159" i="1"/>
  <c r="BR160" i="1"/>
  <c r="BR161" i="1"/>
  <c r="BR162" i="1"/>
  <c r="BS160" i="1"/>
  <c r="BS161" i="1"/>
  <c r="CA158" i="1"/>
  <c r="CA159" i="1"/>
  <c r="CA160" i="1"/>
  <c r="CA161" i="1"/>
  <c r="CA162" i="1"/>
  <c r="P129" i="78"/>
  <c r="R129" i="78" s="1"/>
  <c r="S129" i="78" s="1"/>
  <c r="P130" i="78"/>
  <c r="R130" i="78" s="1"/>
  <c r="S130" i="78" s="1"/>
  <c r="P131" i="78"/>
  <c r="R131" i="78" s="1"/>
  <c r="S131" i="78" s="1"/>
  <c r="P132" i="78"/>
  <c r="R132" i="78" s="1"/>
  <c r="S132" i="78" s="1"/>
  <c r="CJ153" i="1"/>
  <c r="CJ154" i="1"/>
  <c r="P126" i="78"/>
  <c r="R126" i="78" s="1"/>
  <c r="S126" i="78" s="1"/>
  <c r="P127" i="78"/>
  <c r="R127" i="78" s="1"/>
  <c r="S127" i="78" s="1"/>
  <c r="CA153" i="1"/>
  <c r="CA154" i="1"/>
  <c r="CA156" i="1"/>
  <c r="CA157" i="1"/>
  <c r="BR153" i="1"/>
  <c r="BR154" i="1"/>
  <c r="BR156" i="1"/>
  <c r="BR157" i="1"/>
  <c r="BH153" i="1"/>
  <c r="BI153" i="1" s="1"/>
  <c r="BH154" i="1"/>
  <c r="BI154" i="1" s="1"/>
  <c r="BH156" i="1"/>
  <c r="BI156" i="1" s="1"/>
  <c r="BH157" i="1"/>
  <c r="BI157" i="1" s="1"/>
  <c r="AZ153" i="1"/>
  <c r="AZ154" i="1"/>
  <c r="AZ156" i="1"/>
  <c r="AZ157" i="1"/>
  <c r="AY153" i="1"/>
  <c r="AY154" i="1"/>
  <c r="AY156" i="1"/>
  <c r="AY157" i="1"/>
  <c r="AX153" i="1"/>
  <c r="AX154" i="1"/>
  <c r="AX156" i="1"/>
  <c r="AX157" i="1"/>
  <c r="AW153" i="1"/>
  <c r="AW154" i="1"/>
  <c r="AW156" i="1"/>
  <c r="AW157" i="1"/>
  <c r="AV153" i="1"/>
  <c r="AV154" i="1"/>
  <c r="AV156" i="1"/>
  <c r="AV157" i="1"/>
  <c r="AU153" i="1"/>
  <c r="AU154" i="1"/>
  <c r="AU156" i="1"/>
  <c r="AU157" i="1"/>
  <c r="P124" i="78"/>
  <c r="R124" i="78" s="1"/>
  <c r="S124" i="78" s="1"/>
  <c r="CA152" i="1"/>
  <c r="BR152" i="1"/>
  <c r="BH152" i="1"/>
  <c r="BI152" i="1" s="1"/>
  <c r="AZ152" i="1"/>
  <c r="AY152" i="1"/>
  <c r="AX152" i="1"/>
  <c r="AW152" i="1"/>
  <c r="AV152" i="1"/>
  <c r="AU152" i="1"/>
  <c r="AU151" i="1"/>
  <c r="AV151" i="1"/>
  <c r="AW151" i="1"/>
  <c r="AX151" i="1"/>
  <c r="AY151" i="1"/>
  <c r="AZ151" i="1"/>
  <c r="BH151" i="1"/>
  <c r="BI151" i="1" s="1"/>
  <c r="BR151" i="1"/>
  <c r="CA151" i="1"/>
  <c r="CJ151" i="1"/>
  <c r="P123" i="78"/>
  <c r="R123" i="78" s="1"/>
  <c r="S123" i="78" s="1"/>
  <c r="CA150" i="1"/>
  <c r="BR150" i="1"/>
  <c r="BH150" i="1"/>
  <c r="BI150" i="1" s="1"/>
  <c r="AZ150" i="1"/>
  <c r="AY150" i="1"/>
  <c r="AX150" i="1"/>
  <c r="AW150" i="1"/>
  <c r="AV150" i="1"/>
  <c r="AU150" i="1"/>
  <c r="CJ148" i="1"/>
  <c r="CJ149" i="1"/>
  <c r="CA148" i="1"/>
  <c r="CA149" i="1"/>
  <c r="BR148" i="1"/>
  <c r="BR149" i="1"/>
  <c r="BH148" i="1"/>
  <c r="BI148" i="1" s="1"/>
  <c r="BH149" i="1"/>
  <c r="BI149" i="1" s="1"/>
  <c r="AZ148" i="1"/>
  <c r="AZ149" i="1"/>
  <c r="AY148" i="1"/>
  <c r="AY149" i="1"/>
  <c r="AX148" i="1"/>
  <c r="AX149" i="1"/>
  <c r="AW148" i="1"/>
  <c r="AW149" i="1"/>
  <c r="AV148" i="1"/>
  <c r="AV149" i="1"/>
  <c r="AU148" i="1"/>
  <c r="AU149" i="1"/>
  <c r="P122" i="78"/>
  <c r="R122" i="78" s="1"/>
  <c r="S122" i="78" s="1"/>
  <c r="CA147" i="1"/>
  <c r="BR147" i="1"/>
  <c r="BH147" i="1"/>
  <c r="BI147" i="1" s="1"/>
  <c r="AZ147" i="1"/>
  <c r="AY147" i="1"/>
  <c r="AX147" i="1"/>
  <c r="AW147" i="1"/>
  <c r="AV147" i="1"/>
  <c r="AU147" i="1"/>
  <c r="AU146" i="1"/>
  <c r="AV146" i="1"/>
  <c r="AW146" i="1"/>
  <c r="AX146" i="1"/>
  <c r="AY146" i="1"/>
  <c r="AZ146" i="1"/>
  <c r="BH146" i="1"/>
  <c r="BI146" i="1" s="1"/>
  <c r="BR146" i="1"/>
  <c r="CA146" i="1"/>
  <c r="P121" i="78"/>
  <c r="R121" i="78" s="1"/>
  <c r="S121" i="78" s="1"/>
  <c r="AU138" i="1"/>
  <c r="AU139" i="1"/>
  <c r="AU140" i="1"/>
  <c r="AU141" i="1"/>
  <c r="AU8" i="1"/>
  <c r="AU142" i="1"/>
  <c r="AU143" i="1"/>
  <c r="AU144" i="1"/>
  <c r="AU145" i="1"/>
  <c r="AV138" i="1"/>
  <c r="AV139" i="1"/>
  <c r="AV140" i="1"/>
  <c r="AV141" i="1"/>
  <c r="AV8" i="1"/>
  <c r="AV142" i="1"/>
  <c r="AV143" i="1"/>
  <c r="AV144" i="1"/>
  <c r="AV145" i="1"/>
  <c r="AW138" i="1"/>
  <c r="AW139" i="1"/>
  <c r="AW140" i="1"/>
  <c r="AW141" i="1"/>
  <c r="AW8" i="1"/>
  <c r="AW142" i="1"/>
  <c r="AW143" i="1"/>
  <c r="AW144" i="1"/>
  <c r="AW145" i="1"/>
  <c r="AX138" i="1"/>
  <c r="AX139" i="1"/>
  <c r="AX140" i="1"/>
  <c r="AX141" i="1"/>
  <c r="AX8" i="1"/>
  <c r="AX142" i="1"/>
  <c r="AX143" i="1"/>
  <c r="AX144" i="1"/>
  <c r="AX145" i="1"/>
  <c r="AY138" i="1"/>
  <c r="AY139" i="1"/>
  <c r="AY140" i="1"/>
  <c r="AY141" i="1"/>
  <c r="AY8" i="1"/>
  <c r="AY142" i="1"/>
  <c r="AY143" i="1"/>
  <c r="AY144" i="1"/>
  <c r="AY145" i="1"/>
  <c r="AZ138" i="1"/>
  <c r="AZ139" i="1"/>
  <c r="AZ140" i="1"/>
  <c r="AZ141" i="1"/>
  <c r="AZ8" i="1"/>
  <c r="AZ142" i="1"/>
  <c r="AZ143" i="1"/>
  <c r="AZ144" i="1"/>
  <c r="AZ145" i="1"/>
  <c r="BH138" i="1"/>
  <c r="BI138" i="1" s="1"/>
  <c r="BH139" i="1"/>
  <c r="BI139" i="1" s="1"/>
  <c r="BH140" i="1"/>
  <c r="BI140" i="1" s="1"/>
  <c r="BH141" i="1"/>
  <c r="BI141" i="1" s="1"/>
  <c r="BH8" i="1"/>
  <c r="BI8" i="1" s="1"/>
  <c r="BH142" i="1"/>
  <c r="BI142" i="1" s="1"/>
  <c r="BH143" i="1"/>
  <c r="BI143" i="1" s="1"/>
  <c r="BH144" i="1"/>
  <c r="BI144" i="1" s="1"/>
  <c r="BH145" i="1"/>
  <c r="BI145" i="1" s="1"/>
  <c r="BR138" i="1"/>
  <c r="BR139" i="1"/>
  <c r="BR140" i="1"/>
  <c r="BR141" i="1"/>
  <c r="BR8" i="1"/>
  <c r="BR142" i="1"/>
  <c r="BR143" i="1"/>
  <c r="BR144" i="1"/>
  <c r="BR145" i="1"/>
  <c r="BS8" i="1"/>
  <c r="CA138" i="1"/>
  <c r="CA139" i="1"/>
  <c r="CA140" i="1"/>
  <c r="CA141" i="1"/>
  <c r="CA8" i="1"/>
  <c r="CA142" i="1"/>
  <c r="CA143" i="1"/>
  <c r="CA144" i="1"/>
  <c r="CA145" i="1"/>
  <c r="CJ138" i="1"/>
  <c r="P113" i="78"/>
  <c r="R113" i="78" s="1"/>
  <c r="S113" i="78" s="1"/>
  <c r="P114" i="78"/>
  <c r="R114" i="78" s="1"/>
  <c r="S114" i="78" s="1"/>
  <c r="P115" i="78"/>
  <c r="R115" i="78" s="1"/>
  <c r="S115" i="78" s="1"/>
  <c r="P116" i="78"/>
  <c r="R116" i="78" s="1"/>
  <c r="S116" i="78" s="1"/>
  <c r="P117" i="78"/>
  <c r="R117" i="78" s="1"/>
  <c r="S117" i="78" s="1"/>
  <c r="P118" i="78"/>
  <c r="R118" i="78" s="1"/>
  <c r="S118" i="78" s="1"/>
  <c r="P119" i="78"/>
  <c r="R119" i="78" s="1"/>
  <c r="S119" i="78" s="1"/>
  <c r="P120" i="78"/>
  <c r="R120" i="78" s="1"/>
  <c r="S120" i="78" s="1"/>
  <c r="P6" i="78"/>
  <c r="R6" i="78" s="1"/>
  <c r="S6" i="78" s="1"/>
  <c r="P7" i="78"/>
  <c r="R7" i="78" s="1"/>
  <c r="S7" i="78" s="1"/>
  <c r="P8" i="78"/>
  <c r="R8" i="78" s="1"/>
  <c r="S8" i="78" s="1"/>
  <c r="P9" i="78"/>
  <c r="R9" i="78" s="1"/>
  <c r="S9" i="78" s="1"/>
  <c r="P10" i="78"/>
  <c r="R10" i="78" s="1"/>
  <c r="S10" i="78" s="1"/>
  <c r="P11" i="78"/>
  <c r="R11" i="78" s="1"/>
  <c r="S11" i="78" s="1"/>
  <c r="P12" i="78"/>
  <c r="R12" i="78" s="1"/>
  <c r="S12" i="78" s="1"/>
  <c r="P13" i="78"/>
  <c r="R13" i="78" s="1"/>
  <c r="S13" i="78" s="1"/>
  <c r="P14" i="78"/>
  <c r="R14" i="78" s="1"/>
  <c r="S14" i="78" s="1"/>
  <c r="P15" i="78"/>
  <c r="R15" i="78" s="1"/>
  <c r="S15" i="78" s="1"/>
  <c r="P16" i="78"/>
  <c r="R16" i="78" s="1"/>
  <c r="S16" i="78" s="1"/>
  <c r="P17" i="78"/>
  <c r="R17" i="78" s="1"/>
  <c r="S17" i="78" s="1"/>
  <c r="P18" i="78"/>
  <c r="R18" i="78" s="1"/>
  <c r="S18" i="78" s="1"/>
  <c r="P19" i="78"/>
  <c r="R19" i="78" s="1"/>
  <c r="S19" i="78" s="1"/>
  <c r="P20" i="78"/>
  <c r="R20" i="78" s="1"/>
  <c r="S20" i="78" s="1"/>
  <c r="P21" i="78"/>
  <c r="R21" i="78" s="1"/>
  <c r="S21" i="78" s="1"/>
  <c r="P22" i="78"/>
  <c r="R22" i="78" s="1"/>
  <c r="S22" i="78" s="1"/>
  <c r="P23" i="78"/>
  <c r="R23" i="78" s="1"/>
  <c r="S23" i="78" s="1"/>
  <c r="P24" i="78"/>
  <c r="R24" i="78" s="1"/>
  <c r="S24" i="78" s="1"/>
  <c r="P25" i="78"/>
  <c r="R25" i="78" s="1"/>
  <c r="S25" i="78" s="1"/>
  <c r="P26" i="78"/>
  <c r="R26" i="78" s="1"/>
  <c r="S26" i="78" s="1"/>
  <c r="P27" i="78"/>
  <c r="R27" i="78" s="1"/>
  <c r="S27" i="78" s="1"/>
  <c r="P28" i="78"/>
  <c r="R28" i="78" s="1"/>
  <c r="S28" i="78" s="1"/>
  <c r="P29" i="78"/>
  <c r="R29" i="78" s="1"/>
  <c r="S29" i="78" s="1"/>
  <c r="CJ35" i="1"/>
  <c r="P30" i="78"/>
  <c r="R30" i="78" s="1"/>
  <c r="S30" i="78" s="1"/>
  <c r="P31" i="78"/>
  <c r="R31" i="78" s="1"/>
  <c r="S31" i="78" s="1"/>
  <c r="P32" i="78"/>
  <c r="R32" i="78" s="1"/>
  <c r="S32" i="78" s="1"/>
  <c r="P33" i="78"/>
  <c r="R33" i="78" s="1"/>
  <c r="S33" i="78" s="1"/>
  <c r="P34" i="78"/>
  <c r="R34" i="78" s="1"/>
  <c r="S34" i="78" s="1"/>
  <c r="P35" i="78"/>
  <c r="R35" i="78" s="1"/>
  <c r="S35" i="78" s="1"/>
  <c r="CJ42" i="1"/>
  <c r="CJ43" i="1"/>
  <c r="P36" i="78"/>
  <c r="R36" i="78" s="1"/>
  <c r="S36" i="78" s="1"/>
  <c r="P37" i="78"/>
  <c r="R37" i="78" s="1"/>
  <c r="S37" i="78" s="1"/>
  <c r="CJ6" i="1"/>
  <c r="P38" i="78"/>
  <c r="R38" i="78" s="1"/>
  <c r="S38" i="78" s="1"/>
  <c r="CJ47" i="1"/>
  <c r="P39" i="78"/>
  <c r="R39" i="78" s="1"/>
  <c r="S39" i="78" s="1"/>
  <c r="P40" i="78"/>
  <c r="R40" i="78" s="1"/>
  <c r="S40" i="78" s="1"/>
  <c r="P41" i="78"/>
  <c r="R41" i="78" s="1"/>
  <c r="S41" i="78" s="1"/>
  <c r="CJ7" i="1"/>
  <c r="P42" i="78"/>
  <c r="R42" i="78" s="1"/>
  <c r="S42" i="78" s="1"/>
  <c r="P43" i="78"/>
  <c r="R43" i="78" s="1"/>
  <c r="S43" i="78" s="1"/>
  <c r="P44" i="78"/>
  <c r="R44" i="78" s="1"/>
  <c r="S44" i="78" s="1"/>
  <c r="CJ53" i="1"/>
  <c r="P45" i="78"/>
  <c r="R45" i="78" s="1"/>
  <c r="S45" i="78" s="1"/>
  <c r="CJ55" i="1"/>
  <c r="CJ56" i="1"/>
  <c r="P46" i="78"/>
  <c r="R46" i="78" s="1"/>
  <c r="S46" i="78" s="1"/>
  <c r="P48" i="78"/>
  <c r="R48" i="78" s="1"/>
  <c r="S48" i="78" s="1"/>
  <c r="P49" i="78"/>
  <c r="R49" i="78" s="1"/>
  <c r="S49" i="78" s="1"/>
  <c r="P50" i="78"/>
  <c r="R50" i="78" s="1"/>
  <c r="S50" i="78" s="1"/>
  <c r="P51" i="78"/>
  <c r="R51" i="78" s="1"/>
  <c r="S51" i="78" s="1"/>
  <c r="P52" i="78"/>
  <c r="R52" i="78" s="1"/>
  <c r="S52" i="78" s="1"/>
  <c r="P53" i="78"/>
  <c r="R53" i="78" s="1"/>
  <c r="S53" i="78" s="1"/>
  <c r="CJ65" i="1"/>
  <c r="P54" i="78"/>
  <c r="R54" i="78" s="1"/>
  <c r="S54" i="78" s="1"/>
  <c r="P55" i="78"/>
  <c r="R55" i="78" s="1"/>
  <c r="S55" i="78" s="1"/>
  <c r="P56" i="78"/>
  <c r="R56" i="78" s="1"/>
  <c r="S56" i="78" s="1"/>
  <c r="CJ69" i="1"/>
  <c r="P57" i="78"/>
  <c r="R57" i="78" s="1"/>
  <c r="S57" i="78" s="1"/>
  <c r="P58" i="78"/>
  <c r="R58" i="78" s="1"/>
  <c r="S58" i="78" s="1"/>
  <c r="P59" i="78"/>
  <c r="R59" i="78" s="1"/>
  <c r="S59" i="78" s="1"/>
  <c r="P60" i="78"/>
  <c r="R60" i="78" s="1"/>
  <c r="S60" i="78" s="1"/>
  <c r="P61" i="78"/>
  <c r="R61" i="78" s="1"/>
  <c r="S61" i="78" s="1"/>
  <c r="P62" i="78"/>
  <c r="R62" i="78" s="1"/>
  <c r="S62" i="78" s="1"/>
  <c r="CJ76" i="1"/>
  <c r="CJ77" i="1"/>
  <c r="P63" i="78"/>
  <c r="R63" i="78" s="1"/>
  <c r="S63" i="78" s="1"/>
  <c r="P64" i="78"/>
  <c r="R64" i="78" s="1"/>
  <c r="S64" i="78" s="1"/>
  <c r="P65" i="78"/>
  <c r="R65" i="78" s="1"/>
  <c r="S65" i="78" s="1"/>
  <c r="P66" i="78"/>
  <c r="R66" i="78" s="1"/>
  <c r="S66" i="78" s="1"/>
  <c r="P67" i="78"/>
  <c r="R67" i="78" s="1"/>
  <c r="S67" i="78" s="1"/>
  <c r="P68" i="78"/>
  <c r="R68" i="78" s="1"/>
  <c r="S68" i="78" s="1"/>
  <c r="P69" i="78"/>
  <c r="R69" i="78" s="1"/>
  <c r="S69" i="78" s="1"/>
  <c r="P70" i="78"/>
  <c r="R70" i="78" s="1"/>
  <c r="S70" i="78" s="1"/>
  <c r="P71" i="78"/>
  <c r="R71" i="78" s="1"/>
  <c r="S71" i="78" s="1"/>
  <c r="P72" i="78"/>
  <c r="R72" i="78" s="1"/>
  <c r="S72" i="78" s="1"/>
  <c r="P73" i="78"/>
  <c r="R73" i="78" s="1"/>
  <c r="S73" i="78" s="1"/>
  <c r="P74" i="78"/>
  <c r="R74" i="78" s="1"/>
  <c r="S74" i="78" s="1"/>
  <c r="CJ90" i="1"/>
  <c r="P75" i="78"/>
  <c r="R75" i="78" s="1"/>
  <c r="S75" i="78" s="1"/>
  <c r="CJ92" i="1"/>
  <c r="CH92" i="1" s="1"/>
  <c r="CJ93" i="1"/>
  <c r="P77" i="78"/>
  <c r="R77" i="78" s="1"/>
  <c r="S77" i="78" s="1"/>
  <c r="P78" i="78"/>
  <c r="R78" i="78" s="1"/>
  <c r="S78" i="78" s="1"/>
  <c r="P79" i="78"/>
  <c r="R79" i="78" s="1"/>
  <c r="S79" i="78" s="1"/>
  <c r="P80" i="78"/>
  <c r="R80" i="78" s="1"/>
  <c r="S80" i="78" s="1"/>
  <c r="P81" i="78"/>
  <c r="R81" i="78" s="1"/>
  <c r="S81" i="78" s="1"/>
  <c r="P82" i="78"/>
  <c r="R82" i="78" s="1"/>
  <c r="S82" i="78" s="1"/>
  <c r="P83" i="78"/>
  <c r="R83" i="78" s="1"/>
  <c r="S83" i="78" s="1"/>
  <c r="P84" i="78"/>
  <c r="R84" i="78" s="1"/>
  <c r="S84" i="78" s="1"/>
  <c r="P85" i="78"/>
  <c r="R85" i="78" s="1"/>
  <c r="S85" i="78" s="1"/>
  <c r="P86" i="78"/>
  <c r="R86" i="78" s="1"/>
  <c r="S86" i="78" s="1"/>
  <c r="P87" i="78"/>
  <c r="R87" i="78" s="1"/>
  <c r="S87" i="78" s="1"/>
  <c r="P88" i="78"/>
  <c r="R88" i="78" s="1"/>
  <c r="S88" i="78" s="1"/>
  <c r="P89" i="78"/>
  <c r="R89" i="78" s="1"/>
  <c r="S89" i="78" s="1"/>
  <c r="P90" i="78"/>
  <c r="R90" i="78" s="1"/>
  <c r="S90" i="78" s="1"/>
  <c r="CJ108" i="1"/>
  <c r="P91" i="78"/>
  <c r="R91" i="78" s="1"/>
  <c r="S91" i="78" s="1"/>
  <c r="P92" i="78"/>
  <c r="R92" i="78" s="1"/>
  <c r="S92" i="78" s="1"/>
  <c r="P93" i="78"/>
  <c r="R93" i="78" s="1"/>
  <c r="S93" i="78" s="1"/>
  <c r="P94" i="78"/>
  <c r="R94" i="78" s="1"/>
  <c r="S94" i="78" s="1"/>
  <c r="CJ113" i="1"/>
  <c r="P95" i="78"/>
  <c r="R95" i="78" s="1"/>
  <c r="S95" i="78" s="1"/>
  <c r="P96" i="78"/>
  <c r="R96" i="78" s="1"/>
  <c r="S96" i="78" s="1"/>
  <c r="P97" i="78"/>
  <c r="R97" i="78" s="1"/>
  <c r="S97" i="78" s="1"/>
  <c r="P98" i="78"/>
  <c r="R98" i="78" s="1"/>
  <c r="S98" i="78" s="1"/>
  <c r="P99" i="78"/>
  <c r="R99" i="78" s="1"/>
  <c r="S99" i="78" s="1"/>
  <c r="CJ119" i="1"/>
  <c r="CJ120" i="1"/>
  <c r="P100" i="78"/>
  <c r="R100" i="78" s="1"/>
  <c r="S100" i="78" s="1"/>
  <c r="P101" i="78"/>
  <c r="R101" i="78" s="1"/>
  <c r="S101" i="78" s="1"/>
  <c r="P102" i="78"/>
  <c r="R102" i="78" s="1"/>
  <c r="S102" i="78" s="1"/>
  <c r="P103" i="78"/>
  <c r="R103" i="78" s="1"/>
  <c r="S103" i="78" s="1"/>
  <c r="P104" i="78"/>
  <c r="R104" i="78" s="1"/>
  <c r="S104" i="78" s="1"/>
  <c r="P105" i="78"/>
  <c r="R105" i="78" s="1"/>
  <c r="S105" i="78" s="1"/>
  <c r="CJ127" i="1"/>
  <c r="P106" i="78"/>
  <c r="R106" i="78" s="1"/>
  <c r="S106" i="78" s="1"/>
  <c r="CJ129" i="1"/>
  <c r="P107" i="78"/>
  <c r="R107" i="78" s="1"/>
  <c r="S107" i="78" s="1"/>
  <c r="P109" i="78"/>
  <c r="R109" i="78" s="1"/>
  <c r="S109" i="78" s="1"/>
  <c r="P110" i="78"/>
  <c r="R110" i="78" s="1"/>
  <c r="S110" i="78" s="1"/>
  <c r="CJ134" i="1"/>
  <c r="P111" i="78"/>
  <c r="R111" i="78" s="1"/>
  <c r="S111" i="78" s="1"/>
  <c r="CJ136" i="1"/>
  <c r="AU133" i="1"/>
  <c r="AU134" i="1"/>
  <c r="AU135" i="1"/>
  <c r="AU136" i="1"/>
  <c r="AV133" i="1"/>
  <c r="AV134" i="1"/>
  <c r="AV135" i="1"/>
  <c r="AV136" i="1"/>
  <c r="AW133" i="1"/>
  <c r="AW134" i="1"/>
  <c r="AW135" i="1"/>
  <c r="AW136" i="1"/>
  <c r="AX133" i="1"/>
  <c r="AX134" i="1"/>
  <c r="AX135" i="1"/>
  <c r="AX136" i="1"/>
  <c r="AY133" i="1"/>
  <c r="AY134" i="1"/>
  <c r="AY135" i="1"/>
  <c r="AY136" i="1"/>
  <c r="AZ133" i="1"/>
  <c r="AZ134" i="1"/>
  <c r="AZ135" i="1"/>
  <c r="AZ136" i="1"/>
  <c r="BH133" i="1"/>
  <c r="BI133" i="1" s="1"/>
  <c r="BH134" i="1"/>
  <c r="BI134" i="1" s="1"/>
  <c r="BH135" i="1"/>
  <c r="BI135" i="1" s="1"/>
  <c r="BH136" i="1"/>
  <c r="BI136" i="1" s="1"/>
  <c r="BR133" i="1"/>
  <c r="BR134" i="1"/>
  <c r="BR135" i="1"/>
  <c r="BR136" i="1"/>
  <c r="CA133" i="1"/>
  <c r="CA134" i="1"/>
  <c r="CA135" i="1"/>
  <c r="CA136" i="1"/>
  <c r="AU131" i="1"/>
  <c r="AU132" i="1"/>
  <c r="AV131" i="1"/>
  <c r="AV132" i="1"/>
  <c r="AW131" i="1"/>
  <c r="AW132" i="1"/>
  <c r="AX131" i="1"/>
  <c r="AX132" i="1"/>
  <c r="AY131" i="1"/>
  <c r="AY132" i="1"/>
  <c r="AZ131" i="1"/>
  <c r="AZ132" i="1"/>
  <c r="BH131" i="1"/>
  <c r="BI131" i="1" s="1"/>
  <c r="BH132" i="1"/>
  <c r="BI132" i="1" s="1"/>
  <c r="BR131" i="1"/>
  <c r="BR132" i="1"/>
  <c r="CA131" i="1"/>
  <c r="CA132" i="1"/>
  <c r="CA130" i="1"/>
  <c r="CA129" i="1"/>
  <c r="CA128" i="1"/>
  <c r="BR130" i="1"/>
  <c r="BR129" i="1"/>
  <c r="BR128" i="1"/>
  <c r="BH130" i="1"/>
  <c r="BI130" i="1" s="1"/>
  <c r="BH129" i="1"/>
  <c r="BI129" i="1" s="1"/>
  <c r="BH128" i="1"/>
  <c r="BI128" i="1" s="1"/>
  <c r="AZ130" i="1"/>
  <c r="AZ129" i="1"/>
  <c r="AZ128" i="1"/>
  <c r="AY130" i="1"/>
  <c r="AY129" i="1"/>
  <c r="AY128" i="1"/>
  <c r="AX130" i="1"/>
  <c r="AX129" i="1"/>
  <c r="AX128" i="1"/>
  <c r="AW130" i="1"/>
  <c r="AW129" i="1"/>
  <c r="AW128" i="1"/>
  <c r="AV130" i="1"/>
  <c r="AV129" i="1"/>
  <c r="AV128" i="1"/>
  <c r="AU130" i="1"/>
  <c r="AU129" i="1"/>
  <c r="AU128" i="1"/>
  <c r="CA120" i="1"/>
  <c r="CA121" i="1"/>
  <c r="CA122" i="1"/>
  <c r="CA123" i="1"/>
  <c r="CA124" i="1"/>
  <c r="CA125" i="1"/>
  <c r="CA126" i="1"/>
  <c r="CA127" i="1"/>
  <c r="BS122" i="1"/>
  <c r="BR120" i="1"/>
  <c r="BR121" i="1"/>
  <c r="BR122" i="1"/>
  <c r="BR123" i="1"/>
  <c r="BR124" i="1"/>
  <c r="BR125" i="1"/>
  <c r="BR126" i="1"/>
  <c r="BR127" i="1"/>
  <c r="BH120" i="1"/>
  <c r="BI120" i="1" s="1"/>
  <c r="BH121" i="1"/>
  <c r="BI121" i="1" s="1"/>
  <c r="BH122" i="1"/>
  <c r="BI122" i="1" s="1"/>
  <c r="BH123" i="1"/>
  <c r="BI123" i="1" s="1"/>
  <c r="BH124" i="1"/>
  <c r="BI124" i="1" s="1"/>
  <c r="BH125" i="1"/>
  <c r="BI125" i="1" s="1"/>
  <c r="BH126" i="1"/>
  <c r="BI126" i="1" s="1"/>
  <c r="BH127" i="1"/>
  <c r="BI127" i="1" s="1"/>
  <c r="AZ120" i="1"/>
  <c r="AZ121" i="1"/>
  <c r="AZ122" i="1"/>
  <c r="AZ123" i="1"/>
  <c r="AZ124" i="1"/>
  <c r="AZ125" i="1"/>
  <c r="AZ126" i="1"/>
  <c r="AZ127" i="1"/>
  <c r="AY120" i="1"/>
  <c r="AY121" i="1"/>
  <c r="AY122" i="1"/>
  <c r="AY123" i="1"/>
  <c r="AY124" i="1"/>
  <c r="AY125" i="1"/>
  <c r="AY126" i="1"/>
  <c r="AY127" i="1"/>
  <c r="AX120" i="1"/>
  <c r="AX121" i="1"/>
  <c r="AX122" i="1"/>
  <c r="AX123" i="1"/>
  <c r="AX124" i="1"/>
  <c r="AX125" i="1"/>
  <c r="AX126" i="1"/>
  <c r="AX127" i="1"/>
  <c r="AW120" i="1"/>
  <c r="AW121" i="1"/>
  <c r="AW122" i="1"/>
  <c r="AW123" i="1"/>
  <c r="AW124" i="1"/>
  <c r="AW125" i="1"/>
  <c r="AW126" i="1"/>
  <c r="AW127" i="1"/>
  <c r="AV120" i="1"/>
  <c r="AV121" i="1"/>
  <c r="AV122" i="1"/>
  <c r="AV123" i="1"/>
  <c r="AV124" i="1"/>
  <c r="AV125" i="1"/>
  <c r="AV126" i="1"/>
  <c r="AV127" i="1"/>
  <c r="AU120" i="1"/>
  <c r="AU121" i="1"/>
  <c r="AU122" i="1"/>
  <c r="AU123" i="1"/>
  <c r="AU124" i="1"/>
  <c r="AU125" i="1"/>
  <c r="AU126" i="1"/>
  <c r="AU127" i="1"/>
  <c r="AU110" i="1"/>
  <c r="AU111" i="1"/>
  <c r="AU112" i="1"/>
  <c r="AU113" i="1"/>
  <c r="AU114" i="1"/>
  <c r="AU115" i="1"/>
  <c r="AU116" i="1"/>
  <c r="AU117" i="1"/>
  <c r="AU118" i="1"/>
  <c r="AU119" i="1"/>
  <c r="AV110" i="1"/>
  <c r="AV111" i="1"/>
  <c r="AV112" i="1"/>
  <c r="AV113" i="1"/>
  <c r="AV114" i="1"/>
  <c r="AV115" i="1"/>
  <c r="AV116" i="1"/>
  <c r="AV117" i="1"/>
  <c r="AV118" i="1"/>
  <c r="AV119" i="1"/>
  <c r="AW110" i="1"/>
  <c r="AW111" i="1"/>
  <c r="AW112" i="1"/>
  <c r="AW113" i="1"/>
  <c r="AW114" i="1"/>
  <c r="AW115" i="1"/>
  <c r="AW116" i="1"/>
  <c r="AW117" i="1"/>
  <c r="AW118" i="1"/>
  <c r="AW119" i="1"/>
  <c r="AX110" i="1"/>
  <c r="AX111" i="1"/>
  <c r="AX112" i="1"/>
  <c r="AX113" i="1"/>
  <c r="AX114" i="1"/>
  <c r="AX115" i="1"/>
  <c r="AX116" i="1"/>
  <c r="AX117" i="1"/>
  <c r="AX118" i="1"/>
  <c r="AX119" i="1"/>
  <c r="AY110" i="1"/>
  <c r="AY111" i="1"/>
  <c r="AY112" i="1"/>
  <c r="AY113" i="1"/>
  <c r="AY114" i="1"/>
  <c r="AY115" i="1"/>
  <c r="AY116" i="1"/>
  <c r="AY117" i="1"/>
  <c r="AY118" i="1"/>
  <c r="AY119" i="1"/>
  <c r="AZ110" i="1"/>
  <c r="AZ111" i="1"/>
  <c r="AZ112" i="1"/>
  <c r="AZ113" i="1"/>
  <c r="AZ114" i="1"/>
  <c r="AZ115" i="1"/>
  <c r="AZ116" i="1"/>
  <c r="AZ117" i="1"/>
  <c r="AZ118" i="1"/>
  <c r="AZ119" i="1"/>
  <c r="BH110" i="1"/>
  <c r="BI110" i="1" s="1"/>
  <c r="BH111" i="1"/>
  <c r="BI111" i="1" s="1"/>
  <c r="BH112" i="1"/>
  <c r="BI112" i="1" s="1"/>
  <c r="BH113" i="1"/>
  <c r="BI113" i="1" s="1"/>
  <c r="BH114" i="1"/>
  <c r="BI114" i="1" s="1"/>
  <c r="BH115" i="1"/>
  <c r="BI115" i="1" s="1"/>
  <c r="BH116" i="1"/>
  <c r="BI116" i="1" s="1"/>
  <c r="BH117" i="1"/>
  <c r="BI117" i="1" s="1"/>
  <c r="BH118" i="1"/>
  <c r="BI118" i="1" s="1"/>
  <c r="BH119" i="1"/>
  <c r="BI119" i="1" s="1"/>
  <c r="BR110" i="1"/>
  <c r="BR111" i="1"/>
  <c r="BR112" i="1"/>
  <c r="BR113" i="1"/>
  <c r="BR114" i="1"/>
  <c r="BR115" i="1"/>
  <c r="BR116" i="1"/>
  <c r="BR117" i="1"/>
  <c r="BR118" i="1"/>
  <c r="BR119" i="1"/>
  <c r="CA110" i="1"/>
  <c r="CA111" i="1"/>
  <c r="CA112" i="1"/>
  <c r="CA113" i="1"/>
  <c r="CA114" i="1"/>
  <c r="CA115" i="1"/>
  <c r="CA116" i="1"/>
  <c r="CA117" i="1"/>
  <c r="CA118" i="1"/>
  <c r="CA119" i="1"/>
  <c r="AU109" i="1"/>
  <c r="AV109" i="1"/>
  <c r="AW109" i="1"/>
  <c r="AX109" i="1"/>
  <c r="AY109" i="1"/>
  <c r="AZ109" i="1"/>
  <c r="BH109" i="1"/>
  <c r="BI109" i="1" s="1"/>
  <c r="BR109" i="1"/>
  <c r="CA109" i="1"/>
  <c r="AU107" i="1"/>
  <c r="AU108" i="1"/>
  <c r="AV107" i="1"/>
  <c r="AV108" i="1"/>
  <c r="AW107" i="1"/>
  <c r="AW108" i="1"/>
  <c r="AX107" i="1"/>
  <c r="AX108" i="1"/>
  <c r="AY107" i="1"/>
  <c r="AY108" i="1"/>
  <c r="AZ107" i="1"/>
  <c r="AZ108" i="1"/>
  <c r="BH107" i="1"/>
  <c r="BI107" i="1" s="1"/>
  <c r="BH108" i="1"/>
  <c r="BI108" i="1" s="1"/>
  <c r="BR107" i="1"/>
  <c r="BR108" i="1"/>
  <c r="CA107" i="1"/>
  <c r="CA108" i="1"/>
  <c r="AU106" i="1"/>
  <c r="AV106" i="1"/>
  <c r="AW106" i="1"/>
  <c r="AX106" i="1"/>
  <c r="AY106" i="1"/>
  <c r="AZ106" i="1"/>
  <c r="BH106" i="1"/>
  <c r="BI106" i="1" s="1"/>
  <c r="BR106" i="1"/>
  <c r="CA106" i="1"/>
  <c r="AU105" i="1"/>
  <c r="AV105" i="1"/>
  <c r="AW105" i="1"/>
  <c r="AX105" i="1"/>
  <c r="AY105" i="1"/>
  <c r="AZ105" i="1"/>
  <c r="BH105" i="1"/>
  <c r="BI105" i="1" s="1"/>
  <c r="BR105" i="1"/>
  <c r="CA105" i="1"/>
  <c r="AU104" i="1"/>
  <c r="AV104" i="1"/>
  <c r="AW104" i="1"/>
  <c r="AX104" i="1"/>
  <c r="AY104" i="1"/>
  <c r="AZ104" i="1"/>
  <c r="BH104" i="1"/>
  <c r="BI104" i="1" s="1"/>
  <c r="BR104" i="1"/>
  <c r="CA104" i="1"/>
  <c r="AU103" i="1"/>
  <c r="AV103" i="1"/>
  <c r="AW103" i="1"/>
  <c r="AX103" i="1"/>
  <c r="AY103" i="1"/>
  <c r="AZ103" i="1"/>
  <c r="BH103" i="1"/>
  <c r="BI103" i="1" s="1"/>
  <c r="BR103" i="1"/>
  <c r="BS103" i="1"/>
  <c r="CA103" i="1"/>
  <c r="AU102" i="1"/>
  <c r="AV102" i="1"/>
  <c r="AW102" i="1"/>
  <c r="AX102" i="1"/>
  <c r="AY102" i="1"/>
  <c r="AZ102" i="1"/>
  <c r="BH102" i="1"/>
  <c r="BI102" i="1" s="1"/>
  <c r="BR102" i="1"/>
  <c r="CA102"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6" i="1"/>
  <c r="CA46" i="1"/>
  <c r="CA47" i="1"/>
  <c r="CA48" i="1"/>
  <c r="CA49" i="1"/>
  <c r="CA7"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BS19" i="1"/>
  <c r="BS34" i="1"/>
  <c r="BS65" i="1"/>
  <c r="BS67" i="1"/>
  <c r="BS86" i="1"/>
  <c r="BS89" i="1"/>
  <c r="BS101" i="1"/>
  <c r="BR11"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6" i="1"/>
  <c r="BR46" i="1"/>
  <c r="BR47" i="1"/>
  <c r="BR48" i="1"/>
  <c r="BR49" i="1"/>
  <c r="BR7"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7" i="1"/>
  <c r="BR78" i="1"/>
  <c r="BR79" i="1"/>
  <c r="BR80" i="1"/>
  <c r="BR81" i="1"/>
  <c r="BR82" i="1"/>
  <c r="BR83" i="1"/>
  <c r="BR84" i="1"/>
  <c r="BR85" i="1"/>
  <c r="BR86" i="1"/>
  <c r="BR87" i="1"/>
  <c r="BR88" i="1"/>
  <c r="BR89" i="1"/>
  <c r="BR90" i="1"/>
  <c r="BR91" i="1"/>
  <c r="BR92" i="1"/>
  <c r="BR93" i="1"/>
  <c r="BR94" i="1"/>
  <c r="BR95" i="1"/>
  <c r="BR96" i="1"/>
  <c r="BR97" i="1"/>
  <c r="BR98" i="1"/>
  <c r="BR99" i="1"/>
  <c r="BR100" i="1"/>
  <c r="BR101" i="1"/>
  <c r="BH101" i="1"/>
  <c r="BI101" i="1" s="1"/>
  <c r="BH100" i="1"/>
  <c r="BI100" i="1" s="1"/>
  <c r="BH99" i="1"/>
  <c r="BI99" i="1" s="1"/>
  <c r="BH98" i="1"/>
  <c r="BI98" i="1" s="1"/>
  <c r="BH97" i="1"/>
  <c r="BI97" i="1" s="1"/>
  <c r="BH96" i="1"/>
  <c r="BI96" i="1" s="1"/>
  <c r="BH95" i="1"/>
  <c r="BI95" i="1" s="1"/>
  <c r="BH94" i="1"/>
  <c r="BI94" i="1" s="1"/>
  <c r="BH93" i="1"/>
  <c r="BI93" i="1" s="1"/>
  <c r="BH92" i="1"/>
  <c r="BI92" i="1" s="1"/>
  <c r="BH91" i="1"/>
  <c r="BI91" i="1" s="1"/>
  <c r="BH90" i="1"/>
  <c r="BI90" i="1" s="1"/>
  <c r="BH89" i="1"/>
  <c r="BI89" i="1" s="1"/>
  <c r="BH88" i="1"/>
  <c r="BI88" i="1" s="1"/>
  <c r="BH87" i="1"/>
  <c r="BI87" i="1" s="1"/>
  <c r="BH86" i="1"/>
  <c r="BI86" i="1" s="1"/>
  <c r="BH85" i="1"/>
  <c r="BI85" i="1" s="1"/>
  <c r="BH84" i="1"/>
  <c r="BI84" i="1" s="1"/>
  <c r="BH83" i="1"/>
  <c r="BI83" i="1" s="1"/>
  <c r="BH82" i="1"/>
  <c r="BI82" i="1" s="1"/>
  <c r="BH81" i="1"/>
  <c r="BI81" i="1" s="1"/>
  <c r="BH80" i="1"/>
  <c r="BI80" i="1" s="1"/>
  <c r="BH79" i="1"/>
  <c r="BI79" i="1" s="1"/>
  <c r="BH78" i="1"/>
  <c r="BI78" i="1" s="1"/>
  <c r="BH77" i="1"/>
  <c r="BI77" i="1" s="1"/>
  <c r="BH76" i="1"/>
  <c r="BI76" i="1" s="1"/>
  <c r="BH75" i="1"/>
  <c r="BI75" i="1" s="1"/>
  <c r="BH74" i="1"/>
  <c r="BI74" i="1" s="1"/>
  <c r="BH73" i="1"/>
  <c r="BI73" i="1" s="1"/>
  <c r="BH72" i="1"/>
  <c r="BI72" i="1" s="1"/>
  <c r="BH71" i="1"/>
  <c r="BI71" i="1" s="1"/>
  <c r="BH70" i="1"/>
  <c r="BI70" i="1" s="1"/>
  <c r="BH69" i="1"/>
  <c r="BI69" i="1" s="1"/>
  <c r="BH68" i="1"/>
  <c r="BI68" i="1" s="1"/>
  <c r="BH67" i="1"/>
  <c r="BI67" i="1" s="1"/>
  <c r="BH66" i="1"/>
  <c r="BI66" i="1" s="1"/>
  <c r="BH65" i="1"/>
  <c r="BI65" i="1" s="1"/>
  <c r="BH64" i="1"/>
  <c r="BI64" i="1" s="1"/>
  <c r="BH63" i="1"/>
  <c r="BI63" i="1" s="1"/>
  <c r="BH61" i="1"/>
  <c r="BI61" i="1" s="1"/>
  <c r="BH60" i="1"/>
  <c r="BI60" i="1" s="1"/>
  <c r="BH59" i="1"/>
  <c r="BI59" i="1" s="1"/>
  <c r="BH58" i="1"/>
  <c r="BI58" i="1" s="1"/>
  <c r="BH57" i="1"/>
  <c r="BI57" i="1" s="1"/>
  <c r="BH56" i="1"/>
  <c r="BI56" i="1" s="1"/>
  <c r="BH55" i="1"/>
  <c r="BI55" i="1" s="1"/>
  <c r="BH54" i="1"/>
  <c r="BI54" i="1" s="1"/>
  <c r="BH53" i="1"/>
  <c r="BI53" i="1" s="1"/>
  <c r="BH52" i="1"/>
  <c r="BI52" i="1" s="1"/>
  <c r="BH51" i="1"/>
  <c r="BI51" i="1" s="1"/>
  <c r="BH50" i="1"/>
  <c r="BI50" i="1" s="1"/>
  <c r="BH7" i="1"/>
  <c r="BI7" i="1" s="1"/>
  <c r="BH49" i="1"/>
  <c r="BI49" i="1" s="1"/>
  <c r="BH48" i="1"/>
  <c r="BI48" i="1" s="1"/>
  <c r="BH47" i="1"/>
  <c r="BI47" i="1" s="1"/>
  <c r="BH46" i="1"/>
  <c r="BI46" i="1" s="1"/>
  <c r="BH6" i="1"/>
  <c r="BI6" i="1" s="1"/>
  <c r="BH45" i="1"/>
  <c r="BI45" i="1" s="1"/>
  <c r="BH44" i="1"/>
  <c r="BI44" i="1" s="1"/>
  <c r="BH43" i="1"/>
  <c r="BI43" i="1" s="1"/>
  <c r="BH42" i="1"/>
  <c r="BI42" i="1" s="1"/>
  <c r="BH41" i="1"/>
  <c r="BI41" i="1" s="1"/>
  <c r="BH40" i="1"/>
  <c r="BI40" i="1" s="1"/>
  <c r="BH39" i="1"/>
  <c r="BI39" i="1" s="1"/>
  <c r="BH38" i="1"/>
  <c r="BI38" i="1" s="1"/>
  <c r="BH37" i="1"/>
  <c r="BI37" i="1" s="1"/>
  <c r="BH36" i="1"/>
  <c r="BI36" i="1" s="1"/>
  <c r="BH35" i="1"/>
  <c r="BI35" i="1" s="1"/>
  <c r="BH34" i="1"/>
  <c r="BI34" i="1" s="1"/>
  <c r="BH33" i="1"/>
  <c r="BI33" i="1" s="1"/>
  <c r="BH32" i="1"/>
  <c r="BI32" i="1" s="1"/>
  <c r="BH31" i="1"/>
  <c r="BI31" i="1" s="1"/>
  <c r="BH30" i="1"/>
  <c r="BI30" i="1" s="1"/>
  <c r="BH29" i="1"/>
  <c r="BI29" i="1" s="1"/>
  <c r="BH28" i="1"/>
  <c r="BI28" i="1" s="1"/>
  <c r="BH27" i="1"/>
  <c r="BI27" i="1" s="1"/>
  <c r="BH26" i="1"/>
  <c r="BI26" i="1" s="1"/>
  <c r="BH25" i="1"/>
  <c r="BI25" i="1" s="1"/>
  <c r="BH24" i="1"/>
  <c r="BI24" i="1" s="1"/>
  <c r="BH23" i="1"/>
  <c r="BI23" i="1" s="1"/>
  <c r="BH22" i="1"/>
  <c r="BI22" i="1" s="1"/>
  <c r="BH21" i="1"/>
  <c r="BI21" i="1" s="1"/>
  <c r="BH20" i="1"/>
  <c r="BI20" i="1" s="1"/>
  <c r="BH19" i="1"/>
  <c r="BI19" i="1" s="1"/>
  <c r="BH18" i="1"/>
  <c r="BI18" i="1" s="1"/>
  <c r="BH17" i="1"/>
  <c r="BI17" i="1" s="1"/>
  <c r="BH16" i="1"/>
  <c r="BI16" i="1" s="1"/>
  <c r="BH15" i="1"/>
  <c r="BI15" i="1" s="1"/>
  <c r="BH14" i="1"/>
  <c r="BI14" i="1" s="1"/>
  <c r="BH13" i="1"/>
  <c r="BI13" i="1" s="1"/>
  <c r="BH12" i="1"/>
  <c r="BI12" i="1" s="1"/>
  <c r="AZ11" i="1"/>
  <c r="AZ12" i="1"/>
  <c r="AZ13" i="1"/>
  <c r="AZ14" i="1"/>
  <c r="AZ15" i="1"/>
  <c r="AZ16" i="1"/>
  <c r="AZ17" i="1"/>
  <c r="AZ18" i="1"/>
  <c r="AZ19" i="1"/>
  <c r="AZ20" i="1"/>
  <c r="AZ21" i="1"/>
  <c r="AZ22" i="1"/>
  <c r="AZ23" i="1"/>
  <c r="AZ24" i="1"/>
  <c r="AZ25" i="1"/>
  <c r="AZ26" i="1"/>
  <c r="AZ27" i="1"/>
  <c r="AZ28" i="1"/>
  <c r="AZ29" i="1"/>
  <c r="AZ30" i="1"/>
  <c r="AZ31" i="1"/>
  <c r="AZ32" i="1"/>
  <c r="AZ33" i="1"/>
  <c r="AZ34" i="1"/>
  <c r="AZ35" i="1"/>
  <c r="AZ36" i="1"/>
  <c r="AZ37" i="1"/>
  <c r="AZ38" i="1"/>
  <c r="AZ39" i="1"/>
  <c r="AZ40" i="1"/>
  <c r="AZ41" i="1"/>
  <c r="AZ42" i="1"/>
  <c r="AZ43" i="1"/>
  <c r="AZ44" i="1"/>
  <c r="AZ45" i="1"/>
  <c r="AZ6" i="1"/>
  <c r="AZ46" i="1"/>
  <c r="AZ47" i="1"/>
  <c r="AZ48" i="1"/>
  <c r="AZ49" i="1"/>
  <c r="AZ7" i="1"/>
  <c r="AZ50" i="1"/>
  <c r="AZ51" i="1"/>
  <c r="AZ52" i="1"/>
  <c r="AZ53" i="1"/>
  <c r="AZ54" i="1"/>
  <c r="AZ55" i="1"/>
  <c r="AZ56" i="1"/>
  <c r="AZ57" i="1"/>
  <c r="AZ58" i="1"/>
  <c r="AZ59" i="1"/>
  <c r="AZ60" i="1"/>
  <c r="AZ61" i="1"/>
  <c r="AZ62" i="1"/>
  <c r="AZ63" i="1"/>
  <c r="AZ64" i="1"/>
  <c r="AZ65" i="1"/>
  <c r="AZ66" i="1"/>
  <c r="AZ67" i="1"/>
  <c r="AZ68" i="1"/>
  <c r="AZ69" i="1"/>
  <c r="AZ70" i="1"/>
  <c r="AZ71" i="1"/>
  <c r="AZ72" i="1"/>
  <c r="AZ73" i="1"/>
  <c r="AZ74" i="1"/>
  <c r="AZ75" i="1"/>
  <c r="AZ76" i="1"/>
  <c r="AZ77" i="1"/>
  <c r="AZ78" i="1"/>
  <c r="AZ79" i="1"/>
  <c r="AZ80" i="1"/>
  <c r="AZ81" i="1"/>
  <c r="AZ82" i="1"/>
  <c r="AZ83" i="1"/>
  <c r="AZ84" i="1"/>
  <c r="AZ85" i="1"/>
  <c r="AZ86" i="1"/>
  <c r="AZ87" i="1"/>
  <c r="AZ88" i="1"/>
  <c r="AZ89" i="1"/>
  <c r="AZ90" i="1"/>
  <c r="AZ91" i="1"/>
  <c r="AZ92" i="1"/>
  <c r="AZ93" i="1"/>
  <c r="AZ94" i="1"/>
  <c r="AZ95" i="1"/>
  <c r="AZ96" i="1"/>
  <c r="AZ97" i="1"/>
  <c r="AZ98" i="1"/>
  <c r="AZ99" i="1"/>
  <c r="AZ100" i="1"/>
  <c r="AZ101" i="1"/>
  <c r="AY11" i="1"/>
  <c r="AY13" i="1"/>
  <c r="AY14" i="1"/>
  <c r="AY15" i="1"/>
  <c r="AY16" i="1"/>
  <c r="AY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6" i="1"/>
  <c r="AY46" i="1"/>
  <c r="AY47" i="1"/>
  <c r="AY48" i="1"/>
  <c r="AY49" i="1"/>
  <c r="AY7" i="1"/>
  <c r="AY50" i="1"/>
  <c r="AY51" i="1"/>
  <c r="AY52" i="1"/>
  <c r="AY53" i="1"/>
  <c r="AY54" i="1"/>
  <c r="AY55" i="1"/>
  <c r="AY56" i="1"/>
  <c r="AY57" i="1"/>
  <c r="AY58" i="1"/>
  <c r="AY59" i="1"/>
  <c r="AY60" i="1"/>
  <c r="AY61" i="1"/>
  <c r="AY62" i="1"/>
  <c r="AY63" i="1"/>
  <c r="AY64" i="1"/>
  <c r="AY65" i="1"/>
  <c r="AY66" i="1"/>
  <c r="AY67" i="1"/>
  <c r="AY68" i="1"/>
  <c r="AY69" i="1"/>
  <c r="AY70" i="1"/>
  <c r="AY71" i="1"/>
  <c r="AY72" i="1"/>
  <c r="AY73" i="1"/>
  <c r="AY74" i="1"/>
  <c r="AY75" i="1"/>
  <c r="AY76" i="1"/>
  <c r="AY77" i="1"/>
  <c r="AY78" i="1"/>
  <c r="AY79" i="1"/>
  <c r="AY80" i="1"/>
  <c r="AY81" i="1"/>
  <c r="AY82" i="1"/>
  <c r="AY83" i="1"/>
  <c r="AY84" i="1"/>
  <c r="AY85" i="1"/>
  <c r="AY86" i="1"/>
  <c r="AY87" i="1"/>
  <c r="AY88" i="1"/>
  <c r="AY89" i="1"/>
  <c r="AY90" i="1"/>
  <c r="AY91" i="1"/>
  <c r="AY92" i="1"/>
  <c r="AY93" i="1"/>
  <c r="AY94" i="1"/>
  <c r="AY95" i="1"/>
  <c r="AY96" i="1"/>
  <c r="AY97" i="1"/>
  <c r="AY98" i="1"/>
  <c r="AY99" i="1"/>
  <c r="AY100" i="1"/>
  <c r="AY101"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38" i="1"/>
  <c r="AX39" i="1"/>
  <c r="AX40" i="1"/>
  <c r="AX41" i="1"/>
  <c r="AX42" i="1"/>
  <c r="AX43" i="1"/>
  <c r="AX44" i="1"/>
  <c r="AX45" i="1"/>
  <c r="AX6" i="1"/>
  <c r="AX46" i="1"/>
  <c r="AX47" i="1"/>
  <c r="AX48" i="1"/>
  <c r="AX49" i="1"/>
  <c r="AX7" i="1"/>
  <c r="AX50" i="1"/>
  <c r="AX51" i="1"/>
  <c r="AX52" i="1"/>
  <c r="AX53" i="1"/>
  <c r="AX54" i="1"/>
  <c r="AX55" i="1"/>
  <c r="AX56" i="1"/>
  <c r="AX57" i="1"/>
  <c r="AX58" i="1"/>
  <c r="AX59" i="1"/>
  <c r="AX60" i="1"/>
  <c r="AX61" i="1"/>
  <c r="AX62" i="1"/>
  <c r="AX63" i="1"/>
  <c r="AX64" i="1"/>
  <c r="AX65" i="1"/>
  <c r="AX66" i="1"/>
  <c r="AX67" i="1"/>
  <c r="AX68" i="1"/>
  <c r="AX69" i="1"/>
  <c r="AX70" i="1"/>
  <c r="AX71" i="1"/>
  <c r="AX72" i="1"/>
  <c r="AX73" i="1"/>
  <c r="AX74" i="1"/>
  <c r="AX75" i="1"/>
  <c r="AX76" i="1"/>
  <c r="AX77" i="1"/>
  <c r="AX78" i="1"/>
  <c r="AX79" i="1"/>
  <c r="AX80" i="1"/>
  <c r="AX81" i="1"/>
  <c r="AX82" i="1"/>
  <c r="AX83" i="1"/>
  <c r="AX84" i="1"/>
  <c r="AX85" i="1"/>
  <c r="AX86" i="1"/>
  <c r="AX87" i="1"/>
  <c r="AX88" i="1"/>
  <c r="AX89" i="1"/>
  <c r="AX90" i="1"/>
  <c r="AX91" i="1"/>
  <c r="AX92" i="1"/>
  <c r="AX93" i="1"/>
  <c r="AX94" i="1"/>
  <c r="AX95" i="1"/>
  <c r="AX96" i="1"/>
  <c r="AX97" i="1"/>
  <c r="AX98" i="1"/>
  <c r="AX99" i="1"/>
  <c r="AX100" i="1"/>
  <c r="AX101"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6" i="1"/>
  <c r="AW46" i="1"/>
  <c r="AW47" i="1"/>
  <c r="AW48" i="1"/>
  <c r="AW49" i="1"/>
  <c r="AW7"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6" i="1"/>
  <c r="AV46" i="1"/>
  <c r="AV47" i="1"/>
  <c r="AV48" i="1"/>
  <c r="AV49" i="1"/>
  <c r="AV7"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U12" i="1"/>
  <c r="AU13" i="1"/>
  <c r="AU14" i="1"/>
  <c r="AU15" i="1"/>
  <c r="AU16" i="1"/>
  <c r="AU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6" i="1"/>
  <c r="AU46" i="1"/>
  <c r="AU47" i="1"/>
  <c r="AU48" i="1"/>
  <c r="AU49" i="1"/>
  <c r="AU7"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F119" i="56"/>
  <c r="F120" i="56"/>
  <c r="F121" i="56"/>
  <c r="F122" i="56"/>
  <c r="F123" i="56"/>
  <c r="F124" i="56"/>
  <c r="F118" i="56"/>
  <c r="F125" i="56" s="1"/>
  <c r="C441" i="2"/>
  <c r="BS232" i="1" s="1"/>
  <c r="BQ182" i="1"/>
  <c r="BW182" i="1" s="1"/>
  <c r="BY182" i="1" s="1"/>
  <c r="H39" i="57"/>
  <c r="BQ148" i="1"/>
  <c r="BW148" i="1" s="1"/>
  <c r="BY148" i="1" s="1"/>
  <c r="BX148" i="1"/>
  <c r="BQ149" i="1"/>
  <c r="BW149" i="1" s="1"/>
  <c r="BY149" i="1" s="1"/>
  <c r="BQ136" i="1"/>
  <c r="BW136" i="1" s="1"/>
  <c r="BY136" i="1" s="1"/>
  <c r="BQ134" i="1"/>
  <c r="BW134" i="1" s="1"/>
  <c r="BY134" i="1" s="1"/>
  <c r="BX134" i="1"/>
  <c r="BQ129" i="1"/>
  <c r="BW129" i="1" s="1"/>
  <c r="BY129" i="1" s="1"/>
  <c r="BQ43" i="1"/>
  <c r="BW43" i="1" s="1"/>
  <c r="BY43" i="1" s="1"/>
  <c r="BQ55" i="1"/>
  <c r="BW55" i="1" s="1"/>
  <c r="BY55" i="1" s="1"/>
  <c r="BQ47" i="1"/>
  <c r="BW47" i="1" s="1"/>
  <c r="BY47" i="1" s="1"/>
  <c r="BQ35" i="1"/>
  <c r="BW35" i="1" s="1"/>
  <c r="BY35" i="1" s="1"/>
  <c r="BX35" i="1"/>
  <c r="C440" i="2"/>
  <c r="BS119" i="1"/>
  <c r="C325" i="2"/>
  <c r="C326" i="2"/>
  <c r="C327" i="2"/>
  <c r="C328" i="2"/>
  <c r="C329" i="2"/>
  <c r="BS209" i="1" s="1"/>
  <c r="BS169" i="1"/>
  <c r="C330" i="2"/>
  <c r="C331" i="2"/>
  <c r="C332" i="2"/>
  <c r="BS148" i="1"/>
  <c r="C333" i="2"/>
  <c r="C334" i="2"/>
  <c r="C335" i="2"/>
  <c r="C336" i="2"/>
  <c r="C337" i="2"/>
  <c r="C338" i="2"/>
  <c r="C339" i="2"/>
  <c r="C340" i="2"/>
  <c r="C341" i="2"/>
  <c r="C342" i="2"/>
  <c r="BS217" i="1" s="1"/>
  <c r="C343" i="2"/>
  <c r="C344" i="2"/>
  <c r="C345" i="2"/>
  <c r="C346" i="2"/>
  <c r="C347" i="2"/>
  <c r="BS196" i="1" s="1"/>
  <c r="BS150" i="1"/>
  <c r="C348" i="2"/>
  <c r="C349" i="2"/>
  <c r="BS153" i="1"/>
  <c r="C350" i="2"/>
  <c r="C351" i="2"/>
  <c r="BS18" i="1"/>
  <c r="C352" i="2"/>
  <c r="C353" i="2"/>
  <c r="C354" i="2"/>
  <c r="C355" i="2"/>
  <c r="C356" i="2"/>
  <c r="C357" i="2"/>
  <c r="BS205" i="1" s="1"/>
  <c r="C358" i="2"/>
  <c r="C359" i="2"/>
  <c r="C360" i="2"/>
  <c r="C361" i="2"/>
  <c r="C362" i="2"/>
  <c r="BS156" i="1"/>
  <c r="C363" i="2"/>
  <c r="C364" i="2"/>
  <c r="BS149" i="1"/>
  <c r="C365" i="2"/>
  <c r="BS238" i="1" s="1"/>
  <c r="C366" i="2"/>
  <c r="C367" i="2"/>
  <c r="C368" i="2"/>
  <c r="C369" i="2"/>
  <c r="C370" i="2"/>
  <c r="C371" i="2"/>
  <c r="C372" i="2"/>
  <c r="BS157" i="1"/>
  <c r="C373" i="2"/>
  <c r="C374" i="2"/>
  <c r="C375" i="2"/>
  <c r="BS57" i="1"/>
  <c r="BS174" i="1"/>
  <c r="C376" i="2"/>
  <c r="C377" i="2"/>
  <c r="C378" i="2"/>
  <c r="C379" i="2"/>
  <c r="C380" i="2"/>
  <c r="BS164" i="1"/>
  <c r="C381" i="2"/>
  <c r="C382" i="2"/>
  <c r="C383" i="2"/>
  <c r="C384" i="2"/>
  <c r="BS114" i="1"/>
  <c r="C386" i="2"/>
  <c r="BS113" i="1"/>
  <c r="C387" i="2"/>
  <c r="C388" i="2"/>
  <c r="C389" i="2"/>
  <c r="C390" i="2"/>
  <c r="BS194" i="1" s="1"/>
  <c r="C391" i="2"/>
  <c r="BS198" i="1" s="1"/>
  <c r="BS151" i="1"/>
  <c r="C392" i="2"/>
  <c r="C393" i="2"/>
  <c r="BS200" i="1" s="1"/>
  <c r="C394" i="2"/>
  <c r="C395" i="2"/>
  <c r="C396" i="2"/>
  <c r="C397" i="2"/>
  <c r="C398" i="2"/>
  <c r="C399" i="2"/>
  <c r="BS141" i="1"/>
  <c r="C400" i="2"/>
  <c r="C401" i="2"/>
  <c r="C402" i="2"/>
  <c r="C403" i="2"/>
  <c r="C404" i="2"/>
  <c r="C405" i="2"/>
  <c r="C406" i="2"/>
  <c r="C407" i="2"/>
  <c r="C408" i="2"/>
  <c r="C409" i="2"/>
  <c r="BS145" i="1"/>
  <c r="C410" i="2"/>
  <c r="C411" i="2"/>
  <c r="BS135" i="1"/>
  <c r="C412" i="2"/>
  <c r="BS175" i="1"/>
  <c r="C413" i="2"/>
  <c r="C414" i="2"/>
  <c r="C415" i="2"/>
  <c r="C416" i="2"/>
  <c r="C417" i="2"/>
  <c r="C418" i="2"/>
  <c r="C419" i="2"/>
  <c r="C420" i="2"/>
  <c r="C421" i="2"/>
  <c r="BS223" i="1" s="1"/>
  <c r="C422" i="2"/>
  <c r="BS177" i="1"/>
  <c r="C423" i="2"/>
  <c r="C424" i="2"/>
  <c r="C425" i="2"/>
  <c r="C426" i="2"/>
  <c r="C427" i="2"/>
  <c r="BS133" i="1"/>
  <c r="C428" i="2"/>
  <c r="C429" i="2"/>
  <c r="C430" i="2"/>
  <c r="C431" i="2"/>
  <c r="C432" i="2"/>
  <c r="C433" i="2"/>
  <c r="C434" i="2"/>
  <c r="C435" i="2"/>
  <c r="C436" i="2"/>
  <c r="BS142" i="1"/>
  <c r="C437" i="2"/>
  <c r="C438" i="2"/>
  <c r="C439" i="2"/>
  <c r="BS163" i="1"/>
  <c r="BS152" i="1"/>
  <c r="BS183" i="1"/>
  <c r="BS181" i="1"/>
  <c r="BS165" i="1"/>
  <c r="BS168" i="1"/>
  <c r="BS146" i="1"/>
  <c r="BS139" i="1"/>
  <c r="BS154" i="1"/>
  <c r="BS143" i="1"/>
  <c r="BS144" i="1"/>
  <c r="BS167" i="1"/>
  <c r="BS182" i="1"/>
  <c r="BS171" i="1"/>
  <c r="BS173" i="1"/>
  <c r="BS158" i="1"/>
  <c r="BS147" i="1"/>
  <c r="BS166" i="1"/>
  <c r="BS170" i="1"/>
  <c r="BS136" i="1"/>
  <c r="BS172" i="1"/>
  <c r="BS138" i="1"/>
  <c r="BS112" i="1"/>
  <c r="BS125" i="1"/>
  <c r="BS46" i="1"/>
  <c r="BS162" i="1"/>
  <c r="BS159" i="1"/>
  <c r="BS134" i="1"/>
  <c r="BS132" i="1"/>
  <c r="BS25" i="1"/>
  <c r="BS179" i="1"/>
  <c r="BS32" i="1"/>
  <c r="BS140" i="1"/>
  <c r="BS85" i="1"/>
  <c r="BS131" i="1"/>
  <c r="BS117" i="1"/>
  <c r="BS118" i="1"/>
  <c r="BS123" i="1"/>
  <c r="BS116" i="1"/>
  <c r="BS130" i="1"/>
  <c r="BS129" i="1"/>
  <c r="BS128" i="1"/>
  <c r="BS121" i="1"/>
  <c r="BS126" i="1"/>
  <c r="BS120" i="1"/>
  <c r="BS102" i="1"/>
  <c r="BS110" i="1"/>
  <c r="BS111" i="1"/>
  <c r="BS127" i="1"/>
  <c r="BS115" i="1"/>
  <c r="BS124" i="1"/>
  <c r="BS74" i="1"/>
  <c r="BS75" i="1"/>
  <c r="BS106" i="1"/>
  <c r="BS11" i="1"/>
  <c r="BS16" i="1"/>
  <c r="BS20" i="1"/>
  <c r="BS22" i="1"/>
  <c r="BS23" i="1"/>
  <c r="BS31" i="1"/>
  <c r="BS40" i="1"/>
  <c r="BS52" i="1"/>
  <c r="BS55" i="1"/>
  <c r="BS70" i="1"/>
  <c r="BS71" i="1"/>
  <c r="BS92" i="1"/>
  <c r="BS33" i="1"/>
  <c r="BS61" i="1"/>
  <c r="BS30" i="1"/>
  <c r="BS60" i="1"/>
  <c r="BS87" i="1"/>
  <c r="BS98" i="1"/>
  <c r="BS105" i="1"/>
  <c r="BS13" i="1"/>
  <c r="BS44" i="1"/>
  <c r="BS58" i="1"/>
  <c r="BS63" i="1"/>
  <c r="BS68" i="1"/>
  <c r="BS88" i="1"/>
  <c r="BS91" i="1"/>
  <c r="BS107" i="1"/>
  <c r="BS29" i="1"/>
  <c r="BS21" i="1"/>
  <c r="BS95" i="1"/>
  <c r="BS15" i="1"/>
  <c r="BS73" i="1"/>
  <c r="BS109" i="1"/>
  <c r="BS108" i="1"/>
  <c r="BS62" i="1"/>
  <c r="BS50" i="1"/>
  <c r="BS94" i="1"/>
  <c r="BS27" i="1"/>
  <c r="BS28" i="1"/>
  <c r="BS36" i="1"/>
  <c r="BS99" i="1"/>
  <c r="BS100" i="1"/>
  <c r="BS42" i="1"/>
  <c r="BS81" i="1"/>
  <c r="BS38" i="1"/>
  <c r="BS39" i="1"/>
  <c r="BS51" i="1"/>
  <c r="BS78" i="1"/>
  <c r="BS93" i="1"/>
  <c r="BS41" i="1"/>
  <c r="BS49" i="1"/>
  <c r="BS64" i="1"/>
  <c r="BS66" i="1"/>
  <c r="BS77" i="1"/>
  <c r="BS17" i="1"/>
  <c r="BS97" i="1"/>
  <c r="BS56" i="1"/>
  <c r="BS54" i="1"/>
  <c r="BS90" i="1"/>
  <c r="BS96" i="1"/>
  <c r="BS43" i="1"/>
  <c r="BS80" i="1"/>
  <c r="BS82" i="1"/>
  <c r="BS35" i="1"/>
  <c r="BS14" i="1"/>
  <c r="BS69" i="1"/>
  <c r="BS37" i="1"/>
  <c r="BS12" i="1"/>
  <c r="BS104" i="1"/>
  <c r="BS45" i="1"/>
  <c r="BS48" i="1"/>
  <c r="BS72" i="1"/>
  <c r="BS6" i="1"/>
  <c r="BS7" i="1"/>
  <c r="BS47" i="1"/>
  <c r="BS59" i="1"/>
  <c r="BS26" i="1"/>
  <c r="BS76" i="1"/>
  <c r="BS79" i="1"/>
  <c r="BS24" i="1"/>
  <c r="BS83" i="1"/>
  <c r="BS84" i="1"/>
  <c r="BS53" i="1"/>
  <c r="E1" i="1"/>
  <c r="BQ19" i="47"/>
  <c r="BP19" i="47"/>
  <c r="BO19" i="47"/>
  <c r="BI19" i="47"/>
  <c r="AX19" i="47"/>
  <c r="AW19" i="47"/>
  <c r="AT19" i="47"/>
  <c r="AS19" i="47"/>
  <c r="AR19" i="47"/>
  <c r="AQ19" i="47"/>
  <c r="AP19" i="47"/>
  <c r="AO19" i="47"/>
  <c r="AN19" i="47"/>
  <c r="AG19" i="47"/>
  <c r="AJ19" i="47"/>
  <c r="AU19" i="47"/>
  <c r="Y19" i="47"/>
  <c r="BQ18" i="47"/>
  <c r="BP18" i="47"/>
  <c r="BO18" i="47"/>
  <c r="BI18" i="47"/>
  <c r="AX18" i="47"/>
  <c r="AW18" i="47"/>
  <c r="AT18" i="47"/>
  <c r="AS18" i="47"/>
  <c r="AR18" i="47"/>
  <c r="AQ18" i="47"/>
  <c r="AP18" i="47"/>
  <c r="AO18" i="47"/>
  <c r="AN18" i="47"/>
  <c r="AG18" i="47"/>
  <c r="AJ18" i="47"/>
  <c r="AU18" i="47"/>
  <c r="Y18" i="47"/>
  <c r="BQ17" i="47"/>
  <c r="BP17" i="47"/>
  <c r="BO17" i="47"/>
  <c r="BI17" i="47"/>
  <c r="AX17" i="47"/>
  <c r="AW17" i="47"/>
  <c r="AT17" i="47"/>
  <c r="AS17" i="47"/>
  <c r="AR17" i="47"/>
  <c r="AQ17" i="47"/>
  <c r="AP17" i="47"/>
  <c r="AO17" i="47"/>
  <c r="AN17" i="47"/>
  <c r="AG17" i="47"/>
  <c r="AJ17" i="47"/>
  <c r="AU17" i="47"/>
  <c r="Y17" i="47"/>
  <c r="BQ16" i="47"/>
  <c r="BP16" i="47"/>
  <c r="BO16" i="47"/>
  <c r="BI16" i="47"/>
  <c r="AX16" i="47"/>
  <c r="AW16" i="47"/>
  <c r="AT16" i="47"/>
  <c r="AS16" i="47"/>
  <c r="AR16" i="47"/>
  <c r="AQ16" i="47"/>
  <c r="AP16" i="47"/>
  <c r="AO16" i="47"/>
  <c r="AN16" i="47"/>
  <c r="AG16" i="47"/>
  <c r="AJ16" i="47"/>
  <c r="AU16" i="47"/>
  <c r="Y16" i="47"/>
  <c r="BQ15" i="47"/>
  <c r="BP15" i="47"/>
  <c r="BO15" i="47"/>
  <c r="BI15" i="47"/>
  <c r="AX15" i="47"/>
  <c r="AW15" i="47"/>
  <c r="AT15" i="47"/>
  <c r="AS15" i="47"/>
  <c r="AR15" i="47"/>
  <c r="AQ15" i="47"/>
  <c r="AP15" i="47"/>
  <c r="AO15" i="47"/>
  <c r="AN15" i="47"/>
  <c r="AG15" i="47"/>
  <c r="AJ15" i="47"/>
  <c r="AU15" i="47"/>
  <c r="Y15" i="47"/>
  <c r="BQ14" i="47"/>
  <c r="BP14" i="47"/>
  <c r="BO14" i="47"/>
  <c r="BI14" i="47"/>
  <c r="AX14" i="47"/>
  <c r="AW14" i="47"/>
  <c r="AT14" i="47"/>
  <c r="AS14" i="47"/>
  <c r="AR14" i="47"/>
  <c r="AQ14" i="47"/>
  <c r="AP14" i="47"/>
  <c r="AO14" i="47"/>
  <c r="AN14" i="47"/>
  <c r="AG14" i="47"/>
  <c r="AJ14" i="47"/>
  <c r="AU14" i="47"/>
  <c r="Y14" i="47"/>
  <c r="BQ13" i="47"/>
  <c r="BP13" i="47"/>
  <c r="BO13" i="47"/>
  <c r="BI13" i="47"/>
  <c r="AX13" i="47"/>
  <c r="AW13" i="47"/>
  <c r="AT13" i="47"/>
  <c r="AS13" i="47"/>
  <c r="AR13" i="47"/>
  <c r="AQ13" i="47"/>
  <c r="AP13" i="47"/>
  <c r="AO13" i="47"/>
  <c r="AN13" i="47"/>
  <c r="AG13" i="47"/>
  <c r="AJ13" i="47"/>
  <c r="AU13" i="47"/>
  <c r="Y13" i="47"/>
  <c r="BQ12" i="47"/>
  <c r="BI12" i="47"/>
  <c r="AX12" i="47"/>
  <c r="AW12" i="47"/>
  <c r="AT12" i="47"/>
  <c r="AS12" i="47"/>
  <c r="AR12" i="47"/>
  <c r="AQ12" i="47"/>
  <c r="AP12" i="47"/>
  <c r="AO12" i="47"/>
  <c r="AN12" i="47"/>
  <c r="AG12" i="47"/>
  <c r="AJ12" i="47"/>
  <c r="AU12" i="47"/>
  <c r="Y12" i="47"/>
  <c r="BP11" i="47"/>
  <c r="BO11" i="47"/>
  <c r="BI11" i="47"/>
  <c r="AX11" i="47"/>
  <c r="AW11" i="47"/>
  <c r="AT11" i="47"/>
  <c r="AS11" i="47"/>
  <c r="AR11" i="47"/>
  <c r="AQ11" i="47"/>
  <c r="AP11" i="47"/>
  <c r="AO11" i="47"/>
  <c r="AN11" i="47"/>
  <c r="AG11" i="47"/>
  <c r="AJ11" i="47"/>
  <c r="AU11" i="47"/>
  <c r="Y11" i="47"/>
  <c r="BP10" i="47"/>
  <c r="BO10" i="47"/>
  <c r="BI10" i="47"/>
  <c r="AX10" i="47"/>
  <c r="AW10" i="47"/>
  <c r="AT10" i="47"/>
  <c r="AS10" i="47"/>
  <c r="AR10" i="47"/>
  <c r="AQ10" i="47"/>
  <c r="AP10" i="47"/>
  <c r="AO10" i="47"/>
  <c r="AN10" i="47"/>
  <c r="AG10" i="47"/>
  <c r="AJ10" i="47"/>
  <c r="AU10" i="47"/>
  <c r="Y10" i="47"/>
  <c r="BP9" i="47"/>
  <c r="BO9" i="47"/>
  <c r="BI9" i="47"/>
  <c r="AX9" i="47"/>
  <c r="AW9" i="47"/>
  <c r="AT9" i="47"/>
  <c r="AS9" i="47"/>
  <c r="AR9" i="47"/>
  <c r="AQ9" i="47"/>
  <c r="AP9" i="47"/>
  <c r="AO9" i="47"/>
  <c r="AN9" i="47"/>
  <c r="AG9" i="47"/>
  <c r="AJ9" i="47"/>
  <c r="AU9" i="47"/>
  <c r="Y9" i="47"/>
  <c r="BP8" i="47"/>
  <c r="BO8" i="47"/>
  <c r="BI8" i="47"/>
  <c r="AX8" i="47"/>
  <c r="AW8" i="47"/>
  <c r="AT8" i="47"/>
  <c r="AS8" i="47"/>
  <c r="AR8" i="47"/>
  <c r="AQ8" i="47"/>
  <c r="AP8" i="47"/>
  <c r="AO8" i="47"/>
  <c r="AN8" i="47"/>
  <c r="AG8" i="47"/>
  <c r="AJ8" i="47"/>
  <c r="AU8" i="47"/>
  <c r="Y8" i="47"/>
  <c r="BQ8" i="47"/>
  <c r="BP7" i="47"/>
  <c r="BO7" i="47"/>
  <c r="BI7" i="47"/>
  <c r="AX7" i="47"/>
  <c r="AW7" i="47"/>
  <c r="AT7" i="47"/>
  <c r="AS7" i="47"/>
  <c r="AR7" i="47"/>
  <c r="AQ7" i="47"/>
  <c r="AP7" i="47"/>
  <c r="AO7" i="47"/>
  <c r="AN7" i="47"/>
  <c r="AG7" i="47"/>
  <c r="AJ7" i="47"/>
  <c r="AU7" i="47"/>
  <c r="Y7" i="47"/>
  <c r="BP6" i="47"/>
  <c r="BO6" i="47"/>
  <c r="BI6" i="47"/>
  <c r="AX6" i="47"/>
  <c r="AW6" i="47"/>
  <c r="AT6" i="47"/>
  <c r="AS6" i="47"/>
  <c r="AR6" i="47"/>
  <c r="AQ6" i="47"/>
  <c r="AP6" i="47"/>
  <c r="AO6" i="47"/>
  <c r="AN6" i="47"/>
  <c r="AG6" i="47"/>
  <c r="AJ6" i="47"/>
  <c r="AU6" i="47"/>
  <c r="Y6" i="47"/>
  <c r="BQ6" i="47"/>
  <c r="BQ7" i="47"/>
  <c r="BQ11" i="47"/>
  <c r="BQ9" i="47"/>
  <c r="BQ10" i="47"/>
  <c r="BP12" i="47"/>
  <c r="BO12" i="47"/>
  <c r="CT182" i="1"/>
  <c r="BQ46" i="1"/>
  <c r="BW46" i="1" s="1"/>
  <c r="BY46" i="1" s="1"/>
  <c r="BQ48" i="1"/>
  <c r="BW48" i="1" s="1"/>
  <c r="BY48" i="1" s="1"/>
  <c r="BA41" i="1"/>
  <c r="BQ85" i="1"/>
  <c r="BW85" i="1" s="1"/>
  <c r="BX85" i="1" s="1"/>
  <c r="BQ65" i="1"/>
  <c r="BW65" i="1" s="1"/>
  <c r="BY65" i="1" s="1"/>
  <c r="BX65" i="1"/>
  <c r="BQ61" i="1"/>
  <c r="BW61" i="1" s="1"/>
  <c r="BY61" i="1" s="1"/>
  <c r="BQ126" i="1"/>
  <c r="BW126" i="1" s="1"/>
  <c r="BQ53" i="1"/>
  <c r="BW53" i="1" s="1"/>
  <c r="BY53" i="1" s="1"/>
  <c r="BQ178" i="1"/>
  <c r="BW178" i="1" s="1"/>
  <c r="BY178" i="1" s="1"/>
  <c r="BA173" i="1"/>
  <c r="BQ108" i="1"/>
  <c r="BW108" i="1" s="1"/>
  <c r="BY108" i="1" s="1"/>
  <c r="BQ77" i="1"/>
  <c r="BW77" i="1" s="1"/>
  <c r="BY77" i="1" s="1"/>
  <c r="BX77" i="1"/>
  <c r="BQ80" i="1"/>
  <c r="BW80" i="1" s="1"/>
  <c r="BY80" i="1" s="1"/>
  <c r="BA156" i="1"/>
  <c r="BQ125" i="1"/>
  <c r="BW125" i="1" s="1"/>
  <c r="BY125" i="1" s="1"/>
  <c r="BQ180" i="1"/>
  <c r="BW180" i="1" s="1"/>
  <c r="BY180" i="1" s="1"/>
  <c r="BQ76" i="1"/>
  <c r="BW76" i="1" s="1"/>
  <c r="BY76" i="1" s="1"/>
  <c r="BX76" i="1"/>
  <c r="BA164" i="1"/>
  <c r="BQ93" i="1"/>
  <c r="BW93" i="1" s="1"/>
  <c r="BY93" i="1" s="1"/>
  <c r="BA93" i="1"/>
  <c r="BA69" i="1"/>
  <c r="BQ69" i="1"/>
  <c r="BW69" i="1" s="1"/>
  <c r="BY69" i="1" s="1"/>
  <c r="BQ120" i="1"/>
  <c r="BW120" i="1" s="1"/>
  <c r="BY120" i="1" s="1"/>
  <c r="BQ154" i="1"/>
  <c r="BW154" i="1" s="1"/>
  <c r="BY154" i="1" s="1"/>
  <c r="BA109" i="1"/>
  <c r="BX183" i="1"/>
  <c r="BA179" i="1"/>
  <c r="BQ163" i="1"/>
  <c r="BW163" i="1" s="1"/>
  <c r="BY163" i="1" s="1"/>
  <c r="BA157" i="1"/>
  <c r="BQ113" i="1"/>
  <c r="BW113" i="1" s="1"/>
  <c r="BY113" i="1" s="1"/>
  <c r="BA96" i="1"/>
  <c r="BQ96" i="1"/>
  <c r="BW96" i="1" s="1"/>
  <c r="BX82" i="1"/>
  <c r="BQ42" i="1"/>
  <c r="BW42" i="1" s="1"/>
  <c r="BY42" i="1" s="1"/>
  <c r="BQ118" i="1"/>
  <c r="BW118" i="1" s="1"/>
  <c r="BA24" i="1"/>
  <c r="BQ105" i="1"/>
  <c r="BW105" i="1" s="1"/>
  <c r="BY105" i="1" s="1"/>
  <c r="BX129" i="1"/>
  <c r="BA68" i="1"/>
  <c r="BX182" i="1"/>
  <c r="BX43" i="1"/>
  <c r="BX47" i="1"/>
  <c r="BX90" i="1"/>
  <c r="BX119" i="1"/>
  <c r="BX136" i="1"/>
  <c r="BX138" i="1"/>
  <c r="CG48" i="1"/>
  <c r="CG103" i="1"/>
  <c r="CG80" i="1"/>
  <c r="CG82" i="1"/>
  <c r="CG169" i="1"/>
  <c r="CG30" i="1"/>
  <c r="CG61" i="1"/>
  <c r="BX61" i="1"/>
  <c r="BX53" i="1"/>
  <c r="BX108" i="1"/>
  <c r="BX80" i="1"/>
  <c r="BX69" i="1"/>
  <c r="BX93" i="1"/>
  <c r="BX113" i="1"/>
  <c r="BX120" i="1"/>
  <c r="F31" i="77"/>
  <c r="F39" i="77"/>
  <c r="F33" i="77"/>
  <c r="F36" i="77"/>
  <c r="F40" i="77"/>
  <c r="F32" i="77"/>
  <c r="F38" i="77"/>
  <c r="F35" i="77"/>
  <c r="F37" i="77"/>
  <c r="F34" i="77"/>
  <c r="CL192" i="1" l="1"/>
  <c r="CH192" i="1" s="1"/>
  <c r="C189" i="76" s="1" a="1"/>
  <c r="C189" i="76" s="1"/>
  <c r="CK192" i="1"/>
  <c r="BX265" i="1"/>
  <c r="BY251" i="1"/>
  <c r="BX266" i="1"/>
  <c r="BX261" i="1"/>
  <c r="BX258" i="1"/>
  <c r="BX260" i="1"/>
  <c r="BY255" i="1"/>
  <c r="BX257" i="1"/>
  <c r="BY253" i="1"/>
  <c r="BX253" i="1"/>
  <c r="BX252" i="1"/>
  <c r="CL204" i="1"/>
  <c r="CK204" i="1"/>
  <c r="CL219" i="1"/>
  <c r="CK219" i="1"/>
  <c r="CL186" i="1"/>
  <c r="CK186" i="1"/>
  <c r="CL218" i="1"/>
  <c r="CK218" i="1"/>
  <c r="CL217" i="1"/>
  <c r="CK217" i="1"/>
  <c r="BS235" i="1"/>
  <c r="BS236" i="1"/>
  <c r="BS184" i="1"/>
  <c r="BS204" i="1"/>
  <c r="BS222" i="1"/>
  <c r="BS230" i="1"/>
  <c r="BS237" i="1"/>
  <c r="BS202" i="1"/>
  <c r="BS231" i="1"/>
  <c r="BS239" i="1"/>
  <c r="BS197" i="1"/>
  <c r="BS218" i="1"/>
  <c r="BS203" i="1"/>
  <c r="BS211" i="1"/>
  <c r="BS234" i="1"/>
  <c r="BS242" i="1"/>
  <c r="BS245" i="1"/>
  <c r="BS185" i="1"/>
  <c r="BS224" i="1"/>
  <c r="BS225" i="1"/>
  <c r="BS206" i="1"/>
  <c r="BS241" i="1"/>
  <c r="BS188" i="1"/>
  <c r="BS199" i="1"/>
  <c r="BS207" i="1"/>
  <c r="BS246" i="1"/>
  <c r="BS247" i="1"/>
  <c r="BS248" i="1"/>
  <c r="BS216" i="1"/>
  <c r="BS221" i="1"/>
  <c r="BS220" i="1"/>
  <c r="BS226" i="1"/>
  <c r="BS250" i="1"/>
  <c r="BS191" i="1"/>
  <c r="BS192" i="1"/>
  <c r="BS201" i="1"/>
  <c r="BS213" i="1"/>
  <c r="BS214" i="1"/>
  <c r="BS219" i="1"/>
  <c r="BS249" i="1"/>
  <c r="BS215" i="1"/>
  <c r="BS233" i="1"/>
  <c r="CL207" i="1"/>
  <c r="CH207" i="1" s="1"/>
  <c r="C204" i="76" s="1" a="1"/>
  <c r="C204" i="76" s="1"/>
  <c r="CL210" i="1"/>
  <c r="CH210" i="1" s="1"/>
  <c r="C207" i="76" s="1" a="1"/>
  <c r="C207" i="76" s="1"/>
  <c r="CL241" i="1"/>
  <c r="CH241" i="1" s="1"/>
  <c r="C238" i="76" s="1" a="1"/>
  <c r="C238" i="76" s="1"/>
  <c r="CL245" i="1"/>
  <c r="CH245" i="1" s="1"/>
  <c r="C242" i="76" s="1" a="1"/>
  <c r="C242" i="76" s="1"/>
  <c r="CL246" i="1"/>
  <c r="CH246" i="1" s="1"/>
  <c r="C243" i="76" s="1" a="1"/>
  <c r="C243" i="76" s="1"/>
  <c r="CL247" i="1"/>
  <c r="CH247" i="1" s="1"/>
  <c r="C244" i="76" s="1" a="1"/>
  <c r="C244" i="76" s="1"/>
  <c r="CL248" i="1"/>
  <c r="CH248" i="1" s="1"/>
  <c r="C245" i="76" s="1" a="1"/>
  <c r="C245" i="76" s="1"/>
  <c r="P148" i="78"/>
  <c r="R148" i="78" s="1"/>
  <c r="S148" i="78" s="1"/>
  <c r="CJ176" i="1"/>
  <c r="P128" i="78"/>
  <c r="R128" i="78" s="1"/>
  <c r="S128" i="78" s="1"/>
  <c r="CJ158" i="1"/>
  <c r="P108" i="78"/>
  <c r="R108" i="78" s="1"/>
  <c r="S108" i="78" s="1"/>
  <c r="CJ131" i="1"/>
  <c r="P76" i="78"/>
  <c r="R76" i="78" s="1"/>
  <c r="S76" i="78" s="1"/>
  <c r="P149" i="78"/>
  <c r="R149" i="78" s="1"/>
  <c r="S149" i="78" s="1"/>
  <c r="P47" i="78"/>
  <c r="R47" i="78" s="1"/>
  <c r="S47" i="78" s="1"/>
  <c r="BX248" i="1"/>
  <c r="BX247" i="1"/>
  <c r="BX246" i="1"/>
  <c r="BY250" i="1"/>
  <c r="BX250" i="1"/>
  <c r="BX186" i="1"/>
  <c r="BX234" i="1"/>
  <c r="BX245" i="1"/>
  <c r="BX231" i="1"/>
  <c r="BX239" i="1"/>
  <c r="BY249" i="1"/>
  <c r="BX249" i="1"/>
  <c r="BY242" i="1"/>
  <c r="BX242" i="1"/>
  <c r="BY241" i="1"/>
  <c r="BX241" i="1"/>
  <c r="BY236" i="1"/>
  <c r="BX236" i="1"/>
  <c r="BY235" i="1"/>
  <c r="BX235" i="1"/>
  <c r="BY232" i="1"/>
  <c r="BX232" i="1"/>
  <c r="BY228" i="1"/>
  <c r="BX228" i="1"/>
  <c r="BY224" i="1"/>
  <c r="BX224" i="1"/>
  <c r="BY223" i="1"/>
  <c r="BX223" i="1"/>
  <c r="BY221" i="1"/>
  <c r="BX221" i="1"/>
  <c r="BY219" i="1"/>
  <c r="BX219" i="1"/>
  <c r="BY218" i="1"/>
  <c r="BX218" i="1"/>
  <c r="BY217" i="1"/>
  <c r="BX217" i="1"/>
  <c r="BY216" i="1"/>
  <c r="BX216" i="1"/>
  <c r="BY211" i="1"/>
  <c r="BX211" i="1"/>
  <c r="BY210" i="1"/>
  <c r="BX210" i="1"/>
  <c r="BY209" i="1"/>
  <c r="BX209" i="1"/>
  <c r="BY207" i="1"/>
  <c r="BX207" i="1"/>
  <c r="BY205" i="1"/>
  <c r="BX205" i="1"/>
  <c r="BY204" i="1"/>
  <c r="BX204" i="1"/>
  <c r="BY203" i="1"/>
  <c r="BX203" i="1"/>
  <c r="BY202" i="1"/>
  <c r="BX202" i="1"/>
  <c r="BY201" i="1"/>
  <c r="BX201" i="1"/>
  <c r="BY197" i="1"/>
  <c r="BX197" i="1"/>
  <c r="BY192" i="1"/>
  <c r="BX192" i="1"/>
  <c r="BY191" i="1"/>
  <c r="BX191" i="1"/>
  <c r="C30" i="57"/>
  <c r="C34" i="57"/>
  <c r="C36" i="57"/>
  <c r="C37" i="57"/>
  <c r="C31" i="57"/>
  <c r="C38" i="57"/>
  <c r="CI129" i="1"/>
  <c r="CL129" i="1" s="1"/>
  <c r="C27" i="57"/>
  <c r="C29" i="57"/>
  <c r="C33" i="57"/>
  <c r="C35" i="57"/>
  <c r="CI120" i="1"/>
  <c r="CL120" i="1" s="1"/>
  <c r="C32" i="57"/>
  <c r="CJ133" i="1"/>
  <c r="CH133" i="1" s="1"/>
  <c r="CJ125" i="1"/>
  <c r="CJ124" i="1"/>
  <c r="CJ123" i="1"/>
  <c r="CJ122" i="1"/>
  <c r="CH122" i="1" s="1"/>
  <c r="CJ121" i="1"/>
  <c r="CJ114" i="1"/>
  <c r="CJ112" i="1"/>
  <c r="CJ111" i="1"/>
  <c r="CH111" i="1" s="1"/>
  <c r="CJ110" i="1"/>
  <c r="CH110" i="1" s="1"/>
  <c r="CJ109" i="1"/>
  <c r="CI109" i="1" s="1"/>
  <c r="CL109" i="1" s="1"/>
  <c r="CJ107" i="1"/>
  <c r="CH107" i="1" s="1"/>
  <c r="CJ105" i="1"/>
  <c r="CH105" i="1" s="1"/>
  <c r="CJ103" i="1"/>
  <c r="CI103" i="1" s="1"/>
  <c r="CL103" i="1" s="1"/>
  <c r="CJ101" i="1"/>
  <c r="CH101" i="1" s="1"/>
  <c r="CJ100" i="1"/>
  <c r="CJ99" i="1"/>
  <c r="CJ98" i="1"/>
  <c r="CH98" i="1" s="1"/>
  <c r="CJ97" i="1"/>
  <c r="CJ96" i="1"/>
  <c r="CH96" i="1" s="1"/>
  <c r="CJ94" i="1"/>
  <c r="CJ91" i="1"/>
  <c r="CJ88" i="1"/>
  <c r="CH88" i="1" s="1"/>
  <c r="CJ86" i="1"/>
  <c r="CJ82" i="1"/>
  <c r="CI82" i="1" s="1"/>
  <c r="CL82" i="1" s="1"/>
  <c r="CJ81" i="1"/>
  <c r="CJ80" i="1"/>
  <c r="CI80" i="1" s="1"/>
  <c r="CL80" i="1" s="1"/>
  <c r="CJ78" i="1"/>
  <c r="CJ75" i="1"/>
  <c r="CJ74" i="1"/>
  <c r="CJ73" i="1"/>
  <c r="CJ72" i="1"/>
  <c r="CI72" i="1" s="1"/>
  <c r="CL72" i="1" s="1"/>
  <c r="CJ71" i="1"/>
  <c r="CJ70" i="1"/>
  <c r="CH70" i="1" s="1"/>
  <c r="CJ68" i="1"/>
  <c r="CH68" i="1" s="1"/>
  <c r="CJ66" i="1"/>
  <c r="CI66" i="1" s="1"/>
  <c r="CL66" i="1" s="1"/>
  <c r="CJ64" i="1"/>
  <c r="CJ63" i="1"/>
  <c r="CI63" i="1" s="1"/>
  <c r="CL63" i="1" s="1"/>
  <c r="CJ61" i="1"/>
  <c r="CI61" i="1" s="1"/>
  <c r="CL61" i="1" s="1"/>
  <c r="CJ60" i="1"/>
  <c r="CH60" i="1" s="1"/>
  <c r="CJ59" i="1"/>
  <c r="CJ57" i="1"/>
  <c r="CJ52" i="1"/>
  <c r="CH52" i="1" s="1"/>
  <c r="CJ51" i="1"/>
  <c r="CH51" i="1" s="1"/>
  <c r="CJ50" i="1"/>
  <c r="CI50" i="1" s="1"/>
  <c r="CL50" i="1" s="1"/>
  <c r="CJ49" i="1"/>
  <c r="CH49" i="1" s="1"/>
  <c r="CJ48" i="1"/>
  <c r="CI48" i="1" s="1"/>
  <c r="CL48" i="1" s="1"/>
  <c r="CJ45" i="1"/>
  <c r="CJ41" i="1"/>
  <c r="CJ39" i="1"/>
  <c r="CJ38" i="1"/>
  <c r="CJ37" i="1"/>
  <c r="CJ33" i="1"/>
  <c r="CH33" i="1" s="1"/>
  <c r="CJ32" i="1"/>
  <c r="CI30" i="1"/>
  <c r="CJ29" i="1"/>
  <c r="CH29" i="1" s="1"/>
  <c r="CJ28" i="1"/>
  <c r="CH28" i="1" s="1"/>
  <c r="CJ27" i="1"/>
  <c r="CH27" i="1" s="1"/>
  <c r="CJ25" i="1"/>
  <c r="CJ21" i="1"/>
  <c r="CH21" i="1" s="1"/>
  <c r="CJ20" i="1"/>
  <c r="CH20" i="1" s="1"/>
  <c r="CJ19" i="1"/>
  <c r="CJ18" i="1"/>
  <c r="CJ17" i="1"/>
  <c r="CJ15" i="1"/>
  <c r="CI15" i="1" s="1"/>
  <c r="CL15" i="1" s="1"/>
  <c r="CJ14" i="1"/>
  <c r="CJ13" i="1"/>
  <c r="CH13" i="1" s="1"/>
  <c r="CJ12" i="1"/>
  <c r="CJ145" i="1"/>
  <c r="CH145" i="1" s="1"/>
  <c r="CJ8" i="1"/>
  <c r="CJ140" i="1"/>
  <c r="CI138" i="1"/>
  <c r="CL138" i="1" s="1"/>
  <c r="CJ146" i="1"/>
  <c r="CH146" i="1" s="1"/>
  <c r="CJ150" i="1"/>
  <c r="CH150" i="1" s="1"/>
  <c r="CJ156" i="1"/>
  <c r="CI156" i="1" s="1"/>
  <c r="CL156" i="1" s="1"/>
  <c r="CJ162" i="1"/>
  <c r="CI162" i="1" s="1"/>
  <c r="CL162" i="1" s="1"/>
  <c r="CJ161" i="1"/>
  <c r="CJ160" i="1"/>
  <c r="CJ164" i="1"/>
  <c r="CH164" i="1" s="1"/>
  <c r="CJ10" i="1"/>
  <c r="CJ170" i="1"/>
  <c r="CI170" i="1" s="1"/>
  <c r="CL170" i="1" s="1"/>
  <c r="CJ169" i="1"/>
  <c r="CI169" i="1" s="1"/>
  <c r="CL169" i="1" s="1"/>
  <c r="CJ166" i="1"/>
  <c r="CH166" i="1" s="1"/>
  <c r="CJ9" i="1"/>
  <c r="CJ165" i="1"/>
  <c r="CI165" i="1" s="1"/>
  <c r="CL165" i="1" s="1"/>
  <c r="CJ179" i="1"/>
  <c r="CI179" i="1" s="1"/>
  <c r="CL179" i="1" s="1"/>
  <c r="CJ178" i="1"/>
  <c r="CI178" i="1" s="1"/>
  <c r="CL178" i="1" s="1"/>
  <c r="CJ175" i="1"/>
  <c r="CJ172" i="1"/>
  <c r="CI172" i="1" s="1"/>
  <c r="CL172" i="1" s="1"/>
  <c r="CJ137" i="1"/>
  <c r="CI137" i="1" s="1"/>
  <c r="CL137" i="1" s="1"/>
  <c r="CJ155" i="1"/>
  <c r="CH155" i="1" s="1"/>
  <c r="BQ164" i="1"/>
  <c r="BW164" i="1" s="1"/>
  <c r="BX164" i="1" s="1"/>
  <c r="BQ156" i="1"/>
  <c r="BW156" i="1" s="1"/>
  <c r="BY156" i="1" s="1"/>
  <c r="BQ68" i="1"/>
  <c r="BW68" i="1" s="1"/>
  <c r="BX68" i="1" s="1"/>
  <c r="BQ41" i="1"/>
  <c r="BW41" i="1" s="1"/>
  <c r="BX41" i="1" s="1"/>
  <c r="BQ24" i="1"/>
  <c r="BW24" i="1" s="1"/>
  <c r="BX24" i="1" s="1"/>
  <c r="C28" i="57"/>
  <c r="BQ109" i="1"/>
  <c r="BW109" i="1" s="1"/>
  <c r="BY109" i="1" s="1"/>
  <c r="BA112" i="1"/>
  <c r="BQ112" i="1"/>
  <c r="BW112" i="1" s="1"/>
  <c r="BY112" i="1" s="1"/>
  <c r="BQ104" i="1"/>
  <c r="BW104" i="1" s="1"/>
  <c r="BX104" i="1" s="1"/>
  <c r="BA104" i="1"/>
  <c r="BA92" i="1"/>
  <c r="BQ92" i="1"/>
  <c r="BW92" i="1" s="1"/>
  <c r="BY92" i="1" s="1"/>
  <c r="BA159" i="1"/>
  <c r="BQ159" i="1"/>
  <c r="BW159" i="1" s="1"/>
  <c r="BY159" i="1" s="1"/>
  <c r="BA130" i="1"/>
  <c r="BQ130" i="1"/>
  <c r="BW130" i="1" s="1"/>
  <c r="BY130" i="1" s="1"/>
  <c r="BQ101" i="1"/>
  <c r="BW101" i="1" s="1"/>
  <c r="BY101" i="1" s="1"/>
  <c r="BA101" i="1"/>
  <c r="BQ73" i="1"/>
  <c r="BW73" i="1" s="1"/>
  <c r="BX73" i="1" s="1"/>
  <c r="BA73" i="1"/>
  <c r="BQ57" i="1"/>
  <c r="BW57" i="1" s="1"/>
  <c r="BY57" i="1" s="1"/>
  <c r="BA57" i="1"/>
  <c r="BQ184" i="1"/>
  <c r="BW184" i="1" s="1"/>
  <c r="CT184" i="1"/>
  <c r="CI184" i="1"/>
  <c r="CL184" i="1" s="1"/>
  <c r="BA175" i="1"/>
  <c r="BQ175" i="1"/>
  <c r="BW175" i="1" s="1"/>
  <c r="BY175" i="1" s="1"/>
  <c r="BQ167" i="1"/>
  <c r="BW167" i="1" s="1"/>
  <c r="BX167" i="1" s="1"/>
  <c r="BA167" i="1"/>
  <c r="BQ147" i="1"/>
  <c r="BW147" i="1" s="1"/>
  <c r="BY147" i="1" s="1"/>
  <c r="BA147" i="1"/>
  <c r="BQ32" i="1"/>
  <c r="BW32" i="1" s="1"/>
  <c r="BX32" i="1" s="1"/>
  <c r="BA32" i="1"/>
  <c r="BA20" i="1"/>
  <c r="BQ20" i="1"/>
  <c r="BW20" i="1" s="1"/>
  <c r="BX20" i="1" s="1"/>
  <c r="BQ66" i="1"/>
  <c r="BW66" i="1" s="1"/>
  <c r="BY66" i="1" s="1"/>
  <c r="BA66" i="1"/>
  <c r="BA39" i="1"/>
  <c r="BQ39" i="1"/>
  <c r="BW39" i="1" s="1"/>
  <c r="BX39" i="1" s="1"/>
  <c r="BA28" i="1"/>
  <c r="BQ28" i="1"/>
  <c r="BW28" i="1" s="1"/>
  <c r="BX28" i="1" s="1"/>
  <c r="BQ152" i="1"/>
  <c r="BW152" i="1" s="1"/>
  <c r="BX152" i="1" s="1"/>
  <c r="BA152" i="1"/>
  <c r="BA132" i="1"/>
  <c r="BQ132" i="1"/>
  <c r="BW132" i="1" s="1"/>
  <c r="BY132" i="1" s="1"/>
  <c r="BQ128" i="1"/>
  <c r="BW128" i="1" s="1"/>
  <c r="BY128" i="1" s="1"/>
  <c r="BA128" i="1"/>
  <c r="BQ116" i="1"/>
  <c r="BW116" i="1" s="1"/>
  <c r="BY116" i="1" s="1"/>
  <c r="BA116" i="1"/>
  <c r="BA72" i="1"/>
  <c r="BQ72" i="1"/>
  <c r="BW72" i="1" s="1"/>
  <c r="BY72" i="1" s="1"/>
  <c r="C26" i="57"/>
  <c r="C39" i="57" s="1"/>
  <c r="CI136" i="1"/>
  <c r="CL136" i="1" s="1"/>
  <c r="CT136" i="1"/>
  <c r="CI183" i="1"/>
  <c r="CL183" i="1" s="1"/>
  <c r="CI119" i="1"/>
  <c r="CL119" i="1" s="1"/>
  <c r="BQ54" i="1"/>
  <c r="BW54" i="1" s="1"/>
  <c r="BY54" i="1" s="1"/>
  <c r="CZ152" i="1"/>
  <c r="DB152" i="1" s="1"/>
  <c r="CZ74" i="1"/>
  <c r="DB74" i="1" s="1"/>
  <c r="CT149" i="1"/>
  <c r="CG50" i="1"/>
  <c r="BQ114" i="1"/>
  <c r="BW114" i="1" s="1"/>
  <c r="BY114" i="1" s="1"/>
  <c r="CT181" i="1"/>
  <c r="CV181" i="1" s="1"/>
  <c r="CZ122" i="1"/>
  <c r="CT33" i="1"/>
  <c r="CV33" i="1" s="1"/>
  <c r="CT90" i="1"/>
  <c r="BA151" i="1"/>
  <c r="BQ151" i="1"/>
  <c r="BW151" i="1" s="1"/>
  <c r="BY151" i="1" s="1"/>
  <c r="BQ143" i="1"/>
  <c r="BW143" i="1" s="1"/>
  <c r="BY143" i="1" s="1"/>
  <c r="BA143" i="1"/>
  <c r="BA141" i="1"/>
  <c r="BQ141" i="1"/>
  <c r="BW141" i="1" s="1"/>
  <c r="BX141" i="1" s="1"/>
  <c r="BA100" i="1"/>
  <c r="BQ100" i="1"/>
  <c r="BW100" i="1" s="1"/>
  <c r="BY100" i="1" s="1"/>
  <c r="BA97" i="1"/>
  <c r="BQ97" i="1"/>
  <c r="BW97" i="1" s="1"/>
  <c r="BY97" i="1" s="1"/>
  <c r="BQ89" i="1"/>
  <c r="BW89" i="1" s="1"/>
  <c r="BX89" i="1" s="1"/>
  <c r="BA89" i="1"/>
  <c r="BA78" i="1"/>
  <c r="BQ78" i="1"/>
  <c r="BW78" i="1" s="1"/>
  <c r="BX78" i="1" s="1"/>
  <c r="BA56" i="1"/>
  <c r="BQ56" i="1"/>
  <c r="BW56" i="1" s="1"/>
  <c r="BX56" i="1" s="1"/>
  <c r="BA44" i="1"/>
  <c r="BQ44" i="1"/>
  <c r="BW44" i="1" s="1"/>
  <c r="BY44" i="1" s="1"/>
  <c r="BA40" i="1"/>
  <c r="BQ40" i="1"/>
  <c r="BW40" i="1" s="1"/>
  <c r="BY40" i="1" s="1"/>
  <c r="BA37" i="1"/>
  <c r="BQ37" i="1"/>
  <c r="BW37" i="1" s="1"/>
  <c r="BX37" i="1" s="1"/>
  <c r="BQ36" i="1"/>
  <c r="BW36" i="1" s="1"/>
  <c r="BY36" i="1" s="1"/>
  <c r="BA36" i="1"/>
  <c r="BA31" i="1"/>
  <c r="BQ31" i="1"/>
  <c r="BW31" i="1" s="1"/>
  <c r="BX31" i="1" s="1"/>
  <c r="BQ19" i="1"/>
  <c r="BW19" i="1" s="1"/>
  <c r="BY19" i="1" s="1"/>
  <c r="BA19" i="1"/>
  <c r="BQ11" i="1"/>
  <c r="BW11" i="1" s="1"/>
  <c r="BX11" i="1" s="1"/>
  <c r="BA11" i="1"/>
  <c r="BA7" i="1"/>
  <c r="BQ7" i="1"/>
  <c r="BW7" i="1" s="1"/>
  <c r="BX7" i="1" s="1"/>
  <c r="CT162" i="1"/>
  <c r="CV162" i="1" s="1"/>
  <c r="CZ86" i="1"/>
  <c r="DB86" i="1" s="1"/>
  <c r="CU131" i="1"/>
  <c r="CY131" i="1" s="1"/>
  <c r="CU111" i="1"/>
  <c r="CY111" i="1" s="1"/>
  <c r="CU58" i="1"/>
  <c r="CY58" i="1" s="1"/>
  <c r="CT94" i="1"/>
  <c r="CV94" i="1" s="1"/>
  <c r="CT103" i="1"/>
  <c r="CV103" i="1" s="1"/>
  <c r="CT13" i="1"/>
  <c r="CV13" i="1" s="1"/>
  <c r="CT25" i="1"/>
  <c r="CV25" i="1" s="1"/>
  <c r="CT82" i="1"/>
  <c r="CV82" i="1" s="1"/>
  <c r="CI62" i="1"/>
  <c r="CI131" i="1"/>
  <c r="CL131" i="1" s="1"/>
  <c r="CI93" i="1"/>
  <c r="CL93" i="1" s="1"/>
  <c r="CI90" i="1"/>
  <c r="CL90" i="1" s="1"/>
  <c r="CI77" i="1"/>
  <c r="CL77" i="1" s="1"/>
  <c r="CI69" i="1"/>
  <c r="CL69" i="1" s="1"/>
  <c r="CI65" i="1"/>
  <c r="CL65" i="1" s="1"/>
  <c r="CI55" i="1"/>
  <c r="CL55" i="1" s="1"/>
  <c r="CI53" i="1"/>
  <c r="CL53" i="1" s="1"/>
  <c r="CI47" i="1"/>
  <c r="CL47" i="1" s="1"/>
  <c r="CI6" i="1"/>
  <c r="CL6" i="1" s="1"/>
  <c r="CI42" i="1"/>
  <c r="CL42" i="1" s="1"/>
  <c r="CI35" i="1"/>
  <c r="CL35" i="1" s="1"/>
  <c r="CI22" i="1"/>
  <c r="CL22" i="1" s="1"/>
  <c r="CI108" i="1"/>
  <c r="CL108" i="1" s="1"/>
  <c r="CI116" i="1"/>
  <c r="CI127" i="1"/>
  <c r="CL127" i="1" s="1"/>
  <c r="CI144" i="1"/>
  <c r="CL144" i="1" s="1"/>
  <c r="CI141" i="1"/>
  <c r="CL141" i="1" s="1"/>
  <c r="CI149" i="1"/>
  <c r="CL149" i="1" s="1"/>
  <c r="CI148" i="1"/>
  <c r="CL148" i="1" s="1"/>
  <c r="CI154" i="1"/>
  <c r="CL154" i="1" s="1"/>
  <c r="CZ153" i="1"/>
  <c r="CI158" i="1"/>
  <c r="CL158" i="1" s="1"/>
  <c r="CI163" i="1"/>
  <c r="CL163" i="1" s="1"/>
  <c r="CI167" i="1"/>
  <c r="CL167" i="1" s="1"/>
  <c r="CI181" i="1"/>
  <c r="CI180" i="1"/>
  <c r="CL180" i="1" s="1"/>
  <c r="CI177" i="1"/>
  <c r="CL177" i="1" s="1"/>
  <c r="CI174" i="1"/>
  <c r="CI173" i="1"/>
  <c r="CL173" i="1" s="1"/>
  <c r="CI182" i="1"/>
  <c r="CL182" i="1" s="1"/>
  <c r="H203" i="76" a="1"/>
  <c r="H203" i="76" s="1"/>
  <c r="F41" i="77"/>
  <c r="H201" i="76" a="1"/>
  <c r="H201" i="76" s="1"/>
  <c r="H188" i="76" a="1"/>
  <c r="H188" i="76" s="1"/>
  <c r="H208" i="76" a="1"/>
  <c r="H208" i="76" s="1"/>
  <c r="CI134" i="1"/>
  <c r="CL134" i="1" s="1"/>
  <c r="CI76" i="1"/>
  <c r="CL76" i="1" s="1"/>
  <c r="CI113" i="1"/>
  <c r="CL113" i="1" s="1"/>
  <c r="CI43" i="1"/>
  <c r="CL43" i="1" s="1"/>
  <c r="CZ10" i="1"/>
  <c r="DB10" i="1" s="1"/>
  <c r="I183" i="76" a="1"/>
  <c r="I183" i="76" s="1"/>
  <c r="H195" i="76" a="1"/>
  <c r="H195" i="76" s="1"/>
  <c r="H187" i="76" a="1"/>
  <c r="H187" i="76" s="1"/>
  <c r="I199" i="76" a="1"/>
  <c r="I199" i="76" s="1"/>
  <c r="H207" i="76" a="1"/>
  <c r="H207" i="76" s="1"/>
  <c r="H199" i="76" a="1"/>
  <c r="H199" i="76" s="1"/>
  <c r="H191" i="76" a="1"/>
  <c r="H191" i="76" s="1"/>
  <c r="BQ121" i="1"/>
  <c r="BW121" i="1" s="1"/>
  <c r="BY121" i="1" s="1"/>
  <c r="BQ177" i="1"/>
  <c r="BW177" i="1" s="1"/>
  <c r="BX177" i="1" s="1"/>
  <c r="BA177" i="1"/>
  <c r="BQ140" i="1"/>
  <c r="BW140" i="1" s="1"/>
  <c r="BY140" i="1" s="1"/>
  <c r="BA140" i="1"/>
  <c r="BQ98" i="1"/>
  <c r="BW98" i="1" s="1"/>
  <c r="BX98" i="1" s="1"/>
  <c r="BA98" i="1"/>
  <c r="BA58" i="1"/>
  <c r="BQ58" i="1"/>
  <c r="BW58" i="1" s="1"/>
  <c r="BX58" i="1" s="1"/>
  <c r="BA174" i="1"/>
  <c r="BQ174" i="1"/>
  <c r="BW174" i="1" s="1"/>
  <c r="BX174" i="1" s="1"/>
  <c r="BQ12" i="1"/>
  <c r="BW12" i="1" s="1"/>
  <c r="BX12" i="1" s="1"/>
  <c r="BA12" i="1"/>
  <c r="I193" i="76" a="1"/>
  <c r="I193" i="76" s="1"/>
  <c r="H205" i="76" a="1"/>
  <c r="H205" i="76" s="1"/>
  <c r="H189" i="76" a="1"/>
  <c r="H189" i="76" s="1"/>
  <c r="H193" i="76" a="1"/>
  <c r="H193" i="76" s="1"/>
  <c r="H197" i="76" a="1"/>
  <c r="H197" i="76" s="1"/>
  <c r="H206" i="76" a="1"/>
  <c r="H206" i="76" s="1"/>
  <c r="H202" i="76" a="1"/>
  <c r="H202" i="76" s="1"/>
  <c r="H198" i="76" a="1"/>
  <c r="H198" i="76" s="1"/>
  <c r="H194" i="76" a="1"/>
  <c r="H194" i="76" s="1"/>
  <c r="H190" i="76" a="1"/>
  <c r="H190" i="76" s="1"/>
  <c r="H186" i="76" a="1"/>
  <c r="H186" i="76" s="1"/>
  <c r="I187" i="76" a="1"/>
  <c r="I187" i="76" s="1"/>
  <c r="I189" i="76" a="1"/>
  <c r="I189" i="76" s="1"/>
  <c r="I185" i="76" a="1"/>
  <c r="I185" i="76" s="1"/>
  <c r="I184" i="76" a="1"/>
  <c r="I184" i="76" s="1"/>
  <c r="I198" i="76" a="1"/>
  <c r="I198" i="76" s="1"/>
  <c r="I203" i="76" a="1"/>
  <c r="I203" i="76" s="1"/>
  <c r="H192" i="76" a="1"/>
  <c r="H192" i="76" s="1"/>
  <c r="H196" i="76" a="1"/>
  <c r="H196" i="76" s="1"/>
  <c r="H200" i="76" a="1"/>
  <c r="H200" i="76" s="1"/>
  <c r="H204" i="76" a="1"/>
  <c r="H204" i="76" s="1"/>
  <c r="I195" i="76" a="1"/>
  <c r="I195" i="76" s="1"/>
  <c r="I201" i="76" a="1"/>
  <c r="I201" i="76" s="1"/>
  <c r="N27" i="57"/>
  <c r="N29" i="57"/>
  <c r="N39" i="57"/>
  <c r="BQ171" i="1"/>
  <c r="BW171" i="1" s="1"/>
  <c r="BY171" i="1" s="1"/>
  <c r="BQ168" i="1"/>
  <c r="BW168" i="1" s="1"/>
  <c r="BY168" i="1" s="1"/>
  <c r="BQ157" i="1"/>
  <c r="BW157" i="1" s="1"/>
  <c r="BX157" i="1" s="1"/>
  <c r="BQ145" i="1"/>
  <c r="BW145" i="1" s="1"/>
  <c r="BY145" i="1" s="1"/>
  <c r="BQ8" i="1"/>
  <c r="BW8" i="1" s="1"/>
  <c r="BX8" i="1" s="1"/>
  <c r="BQ122" i="1"/>
  <c r="BW122" i="1" s="1"/>
  <c r="BY122" i="1" s="1"/>
  <c r="BQ102" i="1"/>
  <c r="BW102" i="1" s="1"/>
  <c r="BY102" i="1" s="1"/>
  <c r="BQ86" i="1"/>
  <c r="BW86" i="1" s="1"/>
  <c r="BY86" i="1" s="1"/>
  <c r="BQ74" i="1"/>
  <c r="BW74" i="1" s="1"/>
  <c r="BX74" i="1" s="1"/>
  <c r="BQ62" i="1"/>
  <c r="BW62" i="1" s="1"/>
  <c r="BX62" i="1" s="1"/>
  <c r="BQ45" i="1"/>
  <c r="BW45" i="1" s="1"/>
  <c r="BY45" i="1" s="1"/>
  <c r="BQ33" i="1"/>
  <c r="BW33" i="1" s="1"/>
  <c r="BY33" i="1" s="1"/>
  <c r="BQ29" i="1"/>
  <c r="BW29" i="1" s="1"/>
  <c r="BX29" i="1" s="1"/>
  <c r="BQ25" i="1"/>
  <c r="BW25" i="1" s="1"/>
  <c r="BY25" i="1" s="1"/>
  <c r="BQ17" i="1"/>
  <c r="BW17" i="1" s="1"/>
  <c r="BY17" i="1" s="1"/>
  <c r="BX30" i="1"/>
  <c r="BQ169" i="1"/>
  <c r="BW169" i="1" s="1"/>
  <c r="BY169" i="1" s="1"/>
  <c r="BQ103" i="1"/>
  <c r="BW103" i="1" s="1"/>
  <c r="BY103" i="1" s="1"/>
  <c r="BQ127" i="1"/>
  <c r="BW127" i="1" s="1"/>
  <c r="BY127" i="1" s="1"/>
  <c r="I38" i="57"/>
  <c r="L38" i="57" s="1"/>
  <c r="O38" i="57" s="1"/>
  <c r="I37" i="57"/>
  <c r="L37" i="57" s="1"/>
  <c r="O37" i="57" s="1"/>
  <c r="BA176" i="1"/>
  <c r="BQ176" i="1"/>
  <c r="BW176" i="1" s="1"/>
  <c r="BX176" i="1" s="1"/>
  <c r="BA172" i="1"/>
  <c r="BQ172" i="1"/>
  <c r="BW172" i="1" s="1"/>
  <c r="BX172" i="1" s="1"/>
  <c r="BA162" i="1"/>
  <c r="BQ162" i="1"/>
  <c r="BW162" i="1" s="1"/>
  <c r="BY162" i="1" s="1"/>
  <c r="BQ158" i="1"/>
  <c r="BW158" i="1" s="1"/>
  <c r="BY158" i="1" s="1"/>
  <c r="BA158" i="1"/>
  <c r="BA150" i="1"/>
  <c r="BQ150" i="1"/>
  <c r="BW150" i="1" s="1"/>
  <c r="BY150" i="1" s="1"/>
  <c r="BA146" i="1"/>
  <c r="BQ146" i="1"/>
  <c r="BW146" i="1" s="1"/>
  <c r="BY146" i="1" s="1"/>
  <c r="BQ142" i="1"/>
  <c r="BW142" i="1" s="1"/>
  <c r="BY142" i="1" s="1"/>
  <c r="BA142" i="1"/>
  <c r="BQ139" i="1"/>
  <c r="BW139" i="1" s="1"/>
  <c r="BX139" i="1" s="1"/>
  <c r="BA139" i="1"/>
  <c r="BQ135" i="1"/>
  <c r="BW135" i="1" s="1"/>
  <c r="BX135" i="1" s="1"/>
  <c r="BA135" i="1"/>
  <c r="BA131" i="1"/>
  <c r="BQ131" i="1"/>
  <c r="BW131" i="1" s="1"/>
  <c r="BX131" i="1" s="1"/>
  <c r="BA123" i="1"/>
  <c r="BQ123" i="1"/>
  <c r="BW123" i="1" s="1"/>
  <c r="BY123" i="1" s="1"/>
  <c r="BQ115" i="1"/>
  <c r="BW115" i="1" s="1"/>
  <c r="BX115" i="1" s="1"/>
  <c r="BA115" i="1"/>
  <c r="BQ111" i="1"/>
  <c r="BW111" i="1" s="1"/>
  <c r="BX111" i="1" s="1"/>
  <c r="BA111" i="1"/>
  <c r="BA107" i="1"/>
  <c r="BQ107" i="1"/>
  <c r="BW107" i="1" s="1"/>
  <c r="BX107" i="1" s="1"/>
  <c r="BA99" i="1"/>
  <c r="BQ99" i="1"/>
  <c r="BW99" i="1" s="1"/>
  <c r="BY99" i="1" s="1"/>
  <c r="BQ95" i="1"/>
  <c r="BW95" i="1" s="1"/>
  <c r="BX95" i="1" s="1"/>
  <c r="BA95" i="1"/>
  <c r="BA91" i="1"/>
  <c r="BQ91" i="1"/>
  <c r="BW91" i="1" s="1"/>
  <c r="BX91" i="1" s="1"/>
  <c r="BA87" i="1"/>
  <c r="BQ87" i="1"/>
  <c r="BW87" i="1" s="1"/>
  <c r="BX87" i="1" s="1"/>
  <c r="BQ83" i="1"/>
  <c r="BW83" i="1" s="1"/>
  <c r="BX83" i="1" s="1"/>
  <c r="BA83" i="1"/>
  <c r="BQ79" i="1"/>
  <c r="BW79" i="1" s="1"/>
  <c r="BX79" i="1" s="1"/>
  <c r="BA79" i="1"/>
  <c r="BA75" i="1"/>
  <c r="BQ75" i="1"/>
  <c r="BW75" i="1" s="1"/>
  <c r="BX75" i="1" s="1"/>
  <c r="BA71" i="1"/>
  <c r="BQ71" i="1"/>
  <c r="BW71" i="1" s="1"/>
  <c r="BX71" i="1" s="1"/>
  <c r="BA67" i="1"/>
  <c r="BQ67" i="1"/>
  <c r="BW67" i="1" s="1"/>
  <c r="BX67" i="1" s="1"/>
  <c r="BA63" i="1"/>
  <c r="BQ63" i="1"/>
  <c r="BW63" i="1" s="1"/>
  <c r="BX63" i="1" s="1"/>
  <c r="BA59" i="1"/>
  <c r="BQ59" i="1"/>
  <c r="BW59" i="1" s="1"/>
  <c r="BX59" i="1" s="1"/>
  <c r="BA51" i="1"/>
  <c r="BQ51" i="1"/>
  <c r="BW51" i="1" s="1"/>
  <c r="BX51" i="1" s="1"/>
  <c r="BA49" i="1"/>
  <c r="BQ49" i="1"/>
  <c r="BW49" i="1" s="1"/>
  <c r="BX49" i="1" s="1"/>
  <c r="BA6" i="1"/>
  <c r="BQ6" i="1"/>
  <c r="BW6" i="1" s="1"/>
  <c r="BX6" i="1" s="1"/>
  <c r="BA38" i="1"/>
  <c r="BQ38" i="1"/>
  <c r="BW38" i="1" s="1"/>
  <c r="BX38" i="1" s="1"/>
  <c r="BA34" i="1"/>
  <c r="BQ34" i="1"/>
  <c r="BW34" i="1" s="1"/>
  <c r="BY34" i="1" s="1"/>
  <c r="BA26" i="1"/>
  <c r="BQ26" i="1"/>
  <c r="BW26" i="1" s="1"/>
  <c r="BX26" i="1" s="1"/>
  <c r="BQ22" i="1"/>
  <c r="BW22" i="1" s="1"/>
  <c r="BY22" i="1" s="1"/>
  <c r="BA22" i="1"/>
  <c r="BQ18" i="1"/>
  <c r="BW18" i="1" s="1"/>
  <c r="BX18" i="1" s="1"/>
  <c r="BA18" i="1"/>
  <c r="BQ14" i="1"/>
  <c r="BW14" i="1" s="1"/>
  <c r="BX14" i="1" s="1"/>
  <c r="BA14" i="1"/>
  <c r="BQ165" i="1"/>
  <c r="BW165" i="1" s="1"/>
  <c r="BX165" i="1" s="1"/>
  <c r="BQ161" i="1"/>
  <c r="BW161" i="1" s="1"/>
  <c r="BX161" i="1" s="1"/>
  <c r="BQ153" i="1"/>
  <c r="BW153" i="1" s="1"/>
  <c r="BX153" i="1" s="1"/>
  <c r="BQ110" i="1"/>
  <c r="BW110" i="1" s="1"/>
  <c r="BX110" i="1" s="1"/>
  <c r="BQ94" i="1"/>
  <c r="BW94" i="1" s="1"/>
  <c r="BY94" i="1" s="1"/>
  <c r="BQ70" i="1"/>
  <c r="BW70" i="1" s="1"/>
  <c r="BX70" i="1" s="1"/>
  <c r="BQ50" i="1"/>
  <c r="BW50" i="1" s="1"/>
  <c r="BX50" i="1" s="1"/>
  <c r="BQ160" i="1"/>
  <c r="BW160" i="1" s="1"/>
  <c r="BY160" i="1" s="1"/>
  <c r="BQ144" i="1"/>
  <c r="BW144" i="1" s="1"/>
  <c r="BX144" i="1" s="1"/>
  <c r="BQ16" i="1"/>
  <c r="BW16" i="1" s="1"/>
  <c r="BY16" i="1" s="1"/>
  <c r="BQ181" i="1"/>
  <c r="BW181" i="1" s="1"/>
  <c r="BX181" i="1" s="1"/>
  <c r="BQ173" i="1"/>
  <c r="BW173" i="1" s="1"/>
  <c r="BY173" i="1" s="1"/>
  <c r="BQ170" i="1"/>
  <c r="BW170" i="1" s="1"/>
  <c r="BY170" i="1" s="1"/>
  <c r="BQ166" i="1"/>
  <c r="BW166" i="1" s="1"/>
  <c r="BY166" i="1" s="1"/>
  <c r="BQ124" i="1"/>
  <c r="BW124" i="1" s="1"/>
  <c r="BY124" i="1" s="1"/>
  <c r="BQ88" i="1"/>
  <c r="BW88" i="1" s="1"/>
  <c r="BX88" i="1" s="1"/>
  <c r="BQ84" i="1"/>
  <c r="BW84" i="1" s="1"/>
  <c r="BX84" i="1" s="1"/>
  <c r="BQ60" i="1"/>
  <c r="BW60" i="1" s="1"/>
  <c r="BY60" i="1" s="1"/>
  <c r="BQ23" i="1"/>
  <c r="BW23" i="1" s="1"/>
  <c r="BX23" i="1" s="1"/>
  <c r="BQ15" i="1"/>
  <c r="BW15" i="1" s="1"/>
  <c r="BY15" i="1" s="1"/>
  <c r="BQ106" i="1"/>
  <c r="BW106" i="1" s="1"/>
  <c r="BX106" i="1" s="1"/>
  <c r="BA106" i="1"/>
  <c r="BA21" i="1"/>
  <c r="BQ21" i="1"/>
  <c r="BW21" i="1" s="1"/>
  <c r="BX21" i="1" s="1"/>
  <c r="BA13" i="1"/>
  <c r="BQ13" i="1"/>
  <c r="BW13" i="1" s="1"/>
  <c r="BY13" i="1" s="1"/>
  <c r="BA133" i="1"/>
  <c r="BQ133" i="1"/>
  <c r="BW133" i="1" s="1"/>
  <c r="BY133" i="1" s="1"/>
  <c r="BA117" i="1"/>
  <c r="BQ117" i="1"/>
  <c r="BW117" i="1" s="1"/>
  <c r="BX117" i="1" s="1"/>
  <c r="BQ81" i="1"/>
  <c r="BW81" i="1" s="1"/>
  <c r="BY81" i="1" s="1"/>
  <c r="BA81" i="1"/>
  <c r="BQ155" i="1"/>
  <c r="BW155" i="1" s="1"/>
  <c r="BX155" i="1" s="1"/>
  <c r="BA155" i="1"/>
  <c r="BQ64" i="1"/>
  <c r="BW64" i="1" s="1"/>
  <c r="BX64" i="1" s="1"/>
  <c r="BA64" i="1"/>
  <c r="BA52" i="1"/>
  <c r="BQ52" i="1"/>
  <c r="BW52" i="1" s="1"/>
  <c r="BY52" i="1" s="1"/>
  <c r="BA27" i="1"/>
  <c r="BQ27" i="1"/>
  <c r="BW27" i="1" s="1"/>
  <c r="BX27" i="1" s="1"/>
  <c r="BQ137" i="1"/>
  <c r="BW137" i="1" s="1"/>
  <c r="BX137" i="1" s="1"/>
  <c r="BA137" i="1"/>
  <c r="CZ20" i="1"/>
  <c r="DB20" i="1" s="1"/>
  <c r="CZ105" i="1"/>
  <c r="DB105" i="1" s="1"/>
  <c r="I36" i="57"/>
  <c r="L36" i="57" s="1"/>
  <c r="O36" i="57" s="1"/>
  <c r="D39" i="57"/>
  <c r="CU163" i="1"/>
  <c r="CY163" i="1" s="1"/>
  <c r="CZ156" i="1"/>
  <c r="DB156" i="1" s="1"/>
  <c r="CZ123" i="1"/>
  <c r="DB123" i="1" s="1"/>
  <c r="CT123" i="1"/>
  <c r="CV123" i="1" s="1"/>
  <c r="CU66" i="1"/>
  <c r="CY66" i="1" s="1"/>
  <c r="CT172" i="1"/>
  <c r="CV172" i="1" s="1"/>
  <c r="CU128" i="1"/>
  <c r="CY128" i="1" s="1"/>
  <c r="CT126" i="1"/>
  <c r="CV126" i="1" s="1"/>
  <c r="CU29" i="1"/>
  <c r="CY29" i="1" s="1"/>
  <c r="CZ116" i="1"/>
  <c r="DB116" i="1" s="1"/>
  <c r="CI151" i="1"/>
  <c r="CL151" i="1" s="1"/>
  <c r="E39" i="57"/>
  <c r="CT9" i="1"/>
  <c r="CV9" i="1" s="1"/>
  <c r="CZ137" i="1"/>
  <c r="DB137" i="1" s="1"/>
  <c r="CU183" i="1"/>
  <c r="CY183" i="1" s="1"/>
  <c r="CT156" i="1"/>
  <c r="CV156" i="1" s="1"/>
  <c r="CZ23" i="1"/>
  <c r="DB23" i="1" s="1"/>
  <c r="CU137" i="1"/>
  <c r="CY137" i="1" s="1"/>
  <c r="CU9" i="1"/>
  <c r="CY9" i="1" s="1"/>
  <c r="CG163" i="1"/>
  <c r="CZ183" i="1"/>
  <c r="DB183" i="1" s="1"/>
  <c r="CU156" i="1"/>
  <c r="CY156" i="1" s="1"/>
  <c r="BX178" i="1"/>
  <c r="BX125" i="1"/>
  <c r="BX163" i="1"/>
  <c r="BY85" i="1"/>
  <c r="BX46" i="1"/>
  <c r="CT137" i="1"/>
  <c r="CV137" i="1" s="1"/>
  <c r="CU172" i="1"/>
  <c r="CY172" i="1" s="1"/>
  <c r="CZ174" i="1"/>
  <c r="DB174" i="1" s="1"/>
  <c r="CU176" i="1"/>
  <c r="CY176" i="1" s="1"/>
  <c r="CU178" i="1"/>
  <c r="CY178" i="1" s="1"/>
  <c r="CZ9" i="1"/>
  <c r="DB9" i="1" s="1"/>
  <c r="CZ163" i="1"/>
  <c r="DB163" i="1" s="1"/>
  <c r="CT161" i="1"/>
  <c r="CV161" i="1" s="1"/>
  <c r="CT150" i="1"/>
  <c r="CV150" i="1" s="1"/>
  <c r="CT128" i="1"/>
  <c r="CV128" i="1" s="1"/>
  <c r="CU123" i="1"/>
  <c r="CY123" i="1" s="1"/>
  <c r="CU126" i="1"/>
  <c r="CY126" i="1" s="1"/>
  <c r="CU116" i="1"/>
  <c r="CY116" i="1" s="1"/>
  <c r="CT23" i="1"/>
  <c r="CZ29" i="1"/>
  <c r="DB29" i="1" s="1"/>
  <c r="CZ66" i="1"/>
  <c r="DB66" i="1" s="1"/>
  <c r="CT116" i="1"/>
  <c r="CT176" i="1"/>
  <c r="CV176" i="1" s="1"/>
  <c r="CZ150" i="1"/>
  <c r="DB150" i="1" s="1"/>
  <c r="CU161" i="1"/>
  <c r="CY161" i="1" s="1"/>
  <c r="CG178" i="1"/>
  <c r="CZ178" i="1"/>
  <c r="DB178" i="1" s="1"/>
  <c r="CG172" i="1"/>
  <c r="CU174" i="1"/>
  <c r="CY174" i="1" s="1"/>
  <c r="CT169" i="1"/>
  <c r="CG174" i="1"/>
  <c r="CZ126" i="1"/>
  <c r="DB126" i="1" s="1"/>
  <c r="CT66" i="1"/>
  <c r="CV66" i="1" s="1"/>
  <c r="CT29" i="1"/>
  <c r="CV29" i="1" s="1"/>
  <c r="CT174" i="1"/>
  <c r="CV174" i="1" s="1"/>
  <c r="CU150" i="1"/>
  <c r="CY150" i="1" s="1"/>
  <c r="CZ172" i="1"/>
  <c r="DB172" i="1" s="1"/>
  <c r="CG66" i="1"/>
  <c r="CZ176" i="1"/>
  <c r="DB176" i="1" s="1"/>
  <c r="CT163" i="1"/>
  <c r="CV163" i="1" s="1"/>
  <c r="CU23" i="1"/>
  <c r="CY23" i="1" s="1"/>
  <c r="CT178" i="1"/>
  <c r="CT183" i="1"/>
  <c r="CZ161" i="1"/>
  <c r="DB161" i="1" s="1"/>
  <c r="CZ128" i="1"/>
  <c r="DB128" i="1" s="1"/>
  <c r="CG15" i="1"/>
  <c r="CT62" i="1"/>
  <c r="CV62" i="1" s="1"/>
  <c r="CT133" i="1"/>
  <c r="CV133" i="1" s="1"/>
  <c r="CT127" i="1"/>
  <c r="CV127" i="1" s="1"/>
  <c r="CT17" i="1"/>
  <c r="CV17" i="1" s="1"/>
  <c r="CZ155" i="1"/>
  <c r="DB155" i="1" s="1"/>
  <c r="CT112" i="1"/>
  <c r="CV112" i="1" s="1"/>
  <c r="CZ127" i="1"/>
  <c r="DB127" i="1" s="1"/>
  <c r="CZ109" i="1"/>
  <c r="DB109" i="1" s="1"/>
  <c r="CG7" i="1"/>
  <c r="CG116" i="1"/>
  <c r="CZ112" i="1"/>
  <c r="DB112" i="1" s="1"/>
  <c r="CG156" i="1"/>
  <c r="CV151" i="1"/>
  <c r="CU127" i="1"/>
  <c r="CY127" i="1" s="1"/>
  <c r="BX179" i="1"/>
  <c r="BX105" i="1"/>
  <c r="CG6" i="1"/>
  <c r="CG106" i="1"/>
  <c r="CU180" i="1"/>
  <c r="CY180" i="1" s="1"/>
  <c r="CZ180" i="1"/>
  <c r="DB180" i="1" s="1"/>
  <c r="CU109" i="1"/>
  <c r="CY109" i="1" s="1"/>
  <c r="CG109" i="1"/>
  <c r="CT109" i="1"/>
  <c r="CV109" i="1" s="1"/>
  <c r="CG137" i="1"/>
  <c r="CZ165" i="1"/>
  <c r="DB165" i="1" s="1"/>
  <c r="CU162" i="1"/>
  <c r="CY162" i="1" s="1"/>
  <c r="CT180" i="1"/>
  <c r="CV180" i="1" s="1"/>
  <c r="CV182" i="1"/>
  <c r="CU182" i="1"/>
  <c r="CY182" i="1" s="1"/>
  <c r="CZ182" i="1"/>
  <c r="DB182" i="1" s="1"/>
  <c r="CV149" i="1"/>
  <c r="CU105" i="1"/>
  <c r="CY105" i="1" s="1"/>
  <c r="CZ173" i="1"/>
  <c r="DB173" i="1" s="1"/>
  <c r="CG170" i="1"/>
  <c r="CT170" i="1"/>
  <c r="CV170" i="1" s="1"/>
  <c r="CZ164" i="1"/>
  <c r="DB164" i="1" s="1"/>
  <c r="CG144" i="1"/>
  <c r="CU112" i="1"/>
  <c r="CY112" i="1" s="1"/>
  <c r="CZ115" i="1"/>
  <c r="CU115" i="1"/>
  <c r="CY115" i="1" s="1"/>
  <c r="CZ17" i="1"/>
  <c r="CU17" i="1"/>
  <c r="CY17" i="1" s="1"/>
  <c r="CZ62" i="1"/>
  <c r="DB62" i="1" s="1"/>
  <c r="CU151" i="1"/>
  <c r="CY151" i="1" s="1"/>
  <c r="CT151" i="1"/>
  <c r="CZ151" i="1"/>
  <c r="DB151" i="1" s="1"/>
  <c r="CU133" i="1"/>
  <c r="CY133" i="1" s="1"/>
  <c r="CZ133" i="1"/>
  <c r="DB133" i="1" s="1"/>
  <c r="CG133" i="1"/>
  <c r="CT105" i="1"/>
  <c r="CZ166" i="1"/>
  <c r="DB166" i="1" s="1"/>
  <c r="CZ168" i="1"/>
  <c r="DB168" i="1" s="1"/>
  <c r="CT144" i="1"/>
  <c r="CV144" i="1" s="1"/>
  <c r="CG112" i="1"/>
  <c r="CT115" i="1"/>
  <c r="CV115" i="1" s="1"/>
  <c r="CZ33" i="1"/>
  <c r="DB33" i="1" s="1"/>
  <c r="CU62" i="1"/>
  <c r="CY62" i="1" s="1"/>
  <c r="BX96" i="1"/>
  <c r="BY96" i="1"/>
  <c r="BY126" i="1"/>
  <c r="BX126" i="1"/>
  <c r="CG153" i="1"/>
  <c r="CZ134" i="1"/>
  <c r="DB134" i="1" s="1"/>
  <c r="CT134" i="1"/>
  <c r="CV134" i="1" s="1"/>
  <c r="CZ120" i="1"/>
  <c r="DB120" i="1" s="1"/>
  <c r="CT120" i="1"/>
  <c r="CV120" i="1" s="1"/>
  <c r="CU120" i="1"/>
  <c r="CY120" i="1" s="1"/>
  <c r="CU20" i="1"/>
  <c r="CY20" i="1" s="1"/>
  <c r="CT20" i="1"/>
  <c r="CU43" i="1"/>
  <c r="CY43" i="1" s="1"/>
  <c r="CT43" i="1"/>
  <c r="CV43" i="1" s="1"/>
  <c r="CG155" i="1"/>
  <c r="CT155" i="1"/>
  <c r="CV155" i="1" s="1"/>
  <c r="CU155" i="1"/>
  <c r="CY155" i="1" s="1"/>
  <c r="CU173" i="1"/>
  <c r="CY173" i="1" s="1"/>
  <c r="CG173" i="1"/>
  <c r="CT173" i="1"/>
  <c r="CG179" i="1"/>
  <c r="CT165" i="1"/>
  <c r="CG165" i="1"/>
  <c r="CU165" i="1"/>
  <c r="CY165" i="1" s="1"/>
  <c r="CU166" i="1"/>
  <c r="CY166" i="1" s="1"/>
  <c r="CG166" i="1"/>
  <c r="CT166" i="1"/>
  <c r="CU168" i="1"/>
  <c r="CY168" i="1" s="1"/>
  <c r="CT168" i="1"/>
  <c r="CU170" i="1"/>
  <c r="CY170" i="1" s="1"/>
  <c r="CZ170" i="1"/>
  <c r="CG164" i="1"/>
  <c r="CT164" i="1"/>
  <c r="CZ158" i="1"/>
  <c r="DB158" i="1" s="1"/>
  <c r="CU158" i="1"/>
  <c r="CY158" i="1" s="1"/>
  <c r="CT158" i="1"/>
  <c r="CZ162" i="1"/>
  <c r="CG162" i="1"/>
  <c r="CG141" i="1"/>
  <c r="CZ141" i="1"/>
  <c r="DB141" i="1" s="1"/>
  <c r="CT141" i="1"/>
  <c r="CV141" i="1" s="1"/>
  <c r="F35" i="57" s="1"/>
  <c r="CU141" i="1"/>
  <c r="CY141" i="1" s="1"/>
  <c r="CU134" i="1"/>
  <c r="CY134" i="1" s="1"/>
  <c r="CZ43" i="1"/>
  <c r="DB43" i="1" s="1"/>
  <c r="CG158" i="1"/>
  <c r="CU164" i="1"/>
  <c r="CY164" i="1" s="1"/>
  <c r="CU144" i="1"/>
  <c r="CY144" i="1" s="1"/>
  <c r="CZ144" i="1"/>
  <c r="DB144" i="1" s="1"/>
  <c r="BY118" i="1"/>
  <c r="BX118" i="1"/>
  <c r="CH219" i="1" l="1"/>
  <c r="C216" i="76" s="1" a="1"/>
  <c r="C216" i="76" s="1"/>
  <c r="CH204" i="1"/>
  <c r="C201" i="76" s="1" a="1"/>
  <c r="C201" i="76" s="1"/>
  <c r="CH186" i="1"/>
  <c r="C183" i="76" s="1" a="1"/>
  <c r="C183" i="76" s="1"/>
  <c r="CH218" i="1"/>
  <c r="C215" i="76" s="1" a="1"/>
  <c r="C215" i="76" s="1"/>
  <c r="CH217" i="1"/>
  <c r="CL174" i="1"/>
  <c r="CL181" i="1"/>
  <c r="CL159" i="1"/>
  <c r="CL116" i="1"/>
  <c r="CL62" i="1"/>
  <c r="CL30" i="1"/>
  <c r="CH177" i="1"/>
  <c r="CI155" i="1"/>
  <c r="CL155" i="1" s="1"/>
  <c r="CI166" i="1"/>
  <c r="CL166" i="1" s="1"/>
  <c r="CI10" i="1"/>
  <c r="CI164" i="1"/>
  <c r="CL164" i="1" s="1"/>
  <c r="CI145" i="1"/>
  <c r="CL145" i="1" s="1"/>
  <c r="CI14" i="1"/>
  <c r="CK14" i="1" s="1"/>
  <c r="CI21" i="1"/>
  <c r="CL21" i="1" s="1"/>
  <c r="CI107" i="1"/>
  <c r="CL107" i="1" s="1"/>
  <c r="CI111" i="1"/>
  <c r="CL111" i="1" s="1"/>
  <c r="CI112" i="1"/>
  <c r="CK112" i="1" s="1"/>
  <c r="CI133" i="1"/>
  <c r="CL133" i="1" s="1"/>
  <c r="CK43" i="1"/>
  <c r="CK113" i="1"/>
  <c r="CK76" i="1"/>
  <c r="CK134" i="1"/>
  <c r="CK182" i="1"/>
  <c r="CK180" i="1"/>
  <c r="CK154" i="1"/>
  <c r="CK148" i="1"/>
  <c r="CK149" i="1"/>
  <c r="CK141" i="1"/>
  <c r="CK127" i="1"/>
  <c r="CK108" i="1"/>
  <c r="CK35" i="1"/>
  <c r="CK42" i="1"/>
  <c r="CK47" i="1"/>
  <c r="CK53" i="1"/>
  <c r="CK55" i="1"/>
  <c r="CK65" i="1"/>
  <c r="CK69" i="1"/>
  <c r="CK77" i="1"/>
  <c r="CK90" i="1"/>
  <c r="CK93" i="1"/>
  <c r="CK119" i="1"/>
  <c r="CK183" i="1"/>
  <c r="CK136" i="1"/>
  <c r="CK137" i="1"/>
  <c r="CK172" i="1"/>
  <c r="CK178" i="1"/>
  <c r="CK179" i="1"/>
  <c r="CK169" i="1"/>
  <c r="CK170" i="1"/>
  <c r="CK156" i="1"/>
  <c r="CK138" i="1"/>
  <c r="CK15" i="1"/>
  <c r="CK48" i="1"/>
  <c r="CK61" i="1"/>
  <c r="CK63" i="1"/>
  <c r="CK66" i="1"/>
  <c r="CK80" i="1"/>
  <c r="CK82" i="1"/>
  <c r="CK103" i="1"/>
  <c r="CK109" i="1"/>
  <c r="CK120" i="1"/>
  <c r="CK129" i="1"/>
  <c r="CK173" i="1"/>
  <c r="CK174" i="1"/>
  <c r="CK177" i="1"/>
  <c r="CK181" i="1"/>
  <c r="CK167" i="1"/>
  <c r="CK163" i="1"/>
  <c r="CK158" i="1"/>
  <c r="CH158" i="1" s="1"/>
  <c r="CK159" i="1"/>
  <c r="CK144" i="1"/>
  <c r="CK116" i="1"/>
  <c r="CK22" i="1"/>
  <c r="CK131" i="1"/>
  <c r="CH131" i="1" s="1"/>
  <c r="C128" i="76" s="1" a="1"/>
  <c r="C128" i="76" s="1"/>
  <c r="CK62" i="1"/>
  <c r="CK184" i="1"/>
  <c r="CK166" i="1"/>
  <c r="CK10" i="1"/>
  <c r="CK164" i="1"/>
  <c r="C159" i="76" a="1"/>
  <c r="C159" i="76" s="1"/>
  <c r="CK162" i="1"/>
  <c r="CK30" i="1"/>
  <c r="CK107" i="1"/>
  <c r="C163" i="76" a="1"/>
  <c r="C163" i="76" s="1"/>
  <c r="C69" i="76" a="1"/>
  <c r="C69" i="76" s="1"/>
  <c r="C110" i="76" a="1"/>
  <c r="C110" i="76" s="1"/>
  <c r="C170" i="76" a="1"/>
  <c r="C170" i="76" s="1"/>
  <c r="C40" i="76" a="1"/>
  <c r="C40" i="76" s="1"/>
  <c r="C111" i="76" a="1"/>
  <c r="C111" i="76" s="1"/>
  <c r="C74" i="76" a="1"/>
  <c r="C74" i="76" s="1"/>
  <c r="C180" i="76" a="1"/>
  <c r="C180" i="76" s="1"/>
  <c r="C175" i="76" a="1"/>
  <c r="C175" i="76" s="1"/>
  <c r="C179" i="76" a="1"/>
  <c r="C179" i="76" s="1"/>
  <c r="C161" i="76" a="1"/>
  <c r="C161" i="76" s="1"/>
  <c r="C152" i="76" a="1"/>
  <c r="C152" i="76" s="1"/>
  <c r="C146" i="76" a="1"/>
  <c r="C146" i="76" s="1"/>
  <c r="C142" i="76" a="1"/>
  <c r="C142" i="76" s="1"/>
  <c r="C106" i="76" a="1"/>
  <c r="C106" i="76" s="1"/>
  <c r="C19" i="76" a="1"/>
  <c r="C19" i="76" s="1"/>
  <c r="C32" i="76" a="1"/>
  <c r="C32" i="76" s="1"/>
  <c r="C39" i="76" a="1"/>
  <c r="C39" i="76" s="1"/>
  <c r="C3" i="76" a="1"/>
  <c r="C3" i="76" s="1"/>
  <c r="C44" i="76" a="1"/>
  <c r="C44" i="76" s="1"/>
  <c r="C51" i="76" a="1"/>
  <c r="C51" i="76" s="1"/>
  <c r="C63" i="76" a="1"/>
  <c r="C63" i="76" s="1"/>
  <c r="C75" i="76" a="1"/>
  <c r="C75" i="76" s="1"/>
  <c r="C129" i="76" a="1"/>
  <c r="C129" i="76" s="1"/>
  <c r="C60" i="76" a="1"/>
  <c r="C60" i="76" s="1"/>
  <c r="C117" i="76" a="1"/>
  <c r="C117" i="76" s="1"/>
  <c r="C181" i="76" a="1"/>
  <c r="C181" i="76" s="1"/>
  <c r="C134" i="76" a="1"/>
  <c r="C134" i="76" s="1"/>
  <c r="C182" i="76" a="1"/>
  <c r="C182" i="76" s="1"/>
  <c r="C153" i="76" a="1"/>
  <c r="C153" i="76" s="1"/>
  <c r="C135" i="76" a="1"/>
  <c r="C135" i="76" s="1"/>
  <c r="C176" i="76" a="1"/>
  <c r="C176" i="76" s="1"/>
  <c r="C177" i="76" a="1"/>
  <c r="C177" i="76" s="1"/>
  <c r="C164" i="76" a="1"/>
  <c r="C164" i="76" s="1"/>
  <c r="C167" i="76" a="1"/>
  <c r="C167" i="76" s="1"/>
  <c r="C162" i="76" a="1"/>
  <c r="C162" i="76" s="1"/>
  <c r="C160" i="76" a="1"/>
  <c r="C160" i="76" s="1"/>
  <c r="C12" i="76" a="1"/>
  <c r="C12" i="76" s="1"/>
  <c r="C18" i="76" a="1"/>
  <c r="C18" i="76" s="1"/>
  <c r="C45" i="76" a="1"/>
  <c r="C45" i="76" s="1"/>
  <c r="C105" i="76" a="1"/>
  <c r="C105" i="76" s="1"/>
  <c r="C131" i="76" a="1"/>
  <c r="C131" i="76" s="1"/>
  <c r="C127" i="76" a="1"/>
  <c r="C127" i="76" s="1"/>
  <c r="F32" i="57"/>
  <c r="I32" i="57" s="1"/>
  <c r="L32" i="57" s="1"/>
  <c r="O32" i="57" s="1"/>
  <c r="BX101" i="1"/>
  <c r="BX97" i="1"/>
  <c r="BX72" i="1"/>
  <c r="BX156" i="1"/>
  <c r="BX112" i="1"/>
  <c r="BY39" i="1"/>
  <c r="BY73" i="1"/>
  <c r="BY24" i="1"/>
  <c r="BX66" i="1"/>
  <c r="BY37" i="1"/>
  <c r="BY104" i="1"/>
  <c r="BX109" i="1"/>
  <c r="BY164" i="1"/>
  <c r="BX57" i="1"/>
  <c r="BX147" i="1"/>
  <c r="BX159" i="1"/>
  <c r="BY41" i="1"/>
  <c r="BY20" i="1"/>
  <c r="BX175" i="1"/>
  <c r="BX130" i="1"/>
  <c r="BX92" i="1"/>
  <c r="BY167" i="1"/>
  <c r="BY32" i="1"/>
  <c r="BX54" i="1"/>
  <c r="BY68" i="1"/>
  <c r="BX116" i="1"/>
  <c r="BX128" i="1"/>
  <c r="BY152" i="1"/>
  <c r="BX36" i="1"/>
  <c r="BX114" i="1"/>
  <c r="CV169" i="1"/>
  <c r="BX44" i="1"/>
  <c r="CG21" i="1"/>
  <c r="CZ45" i="1"/>
  <c r="DB45" i="1" s="1"/>
  <c r="CT154" i="1"/>
  <c r="CV154" i="1" s="1"/>
  <c r="BY141" i="1"/>
  <c r="BX151" i="1"/>
  <c r="BY31" i="1"/>
  <c r="BY78" i="1"/>
  <c r="CZ169" i="1"/>
  <c r="DB169" i="1" s="1"/>
  <c r="BY184" i="1"/>
  <c r="BX184" i="1"/>
  <c r="CZ184" i="1"/>
  <c r="DB184" i="1" s="1"/>
  <c r="CV184" i="1"/>
  <c r="CU184" i="1"/>
  <c r="CY184" i="1" s="1"/>
  <c r="CG184" i="1"/>
  <c r="H183" i="76" a="1"/>
  <c r="H183" i="76" s="1"/>
  <c r="CT119" i="1"/>
  <c r="CV119" i="1" s="1"/>
  <c r="CZ177" i="1"/>
  <c r="DB177" i="1" s="1"/>
  <c r="CU90" i="1"/>
  <c r="CY90" i="1" s="1"/>
  <c r="CU45" i="1"/>
  <c r="CY45" i="1" s="1"/>
  <c r="CG177" i="1"/>
  <c r="CU122" i="1"/>
  <c r="CY122" i="1" s="1"/>
  <c r="CG41" i="1"/>
  <c r="CI115" i="1"/>
  <c r="CL115" i="1" s="1"/>
  <c r="CI106" i="1"/>
  <c r="CT140" i="1"/>
  <c r="CV140" i="1" s="1"/>
  <c r="CU78" i="1"/>
  <c r="CY78" i="1" s="1"/>
  <c r="CU37" i="1"/>
  <c r="CY37" i="1" s="1"/>
  <c r="CU54" i="1"/>
  <c r="CY54" i="1" s="1"/>
  <c r="BX132" i="1"/>
  <c r="CU106" i="1"/>
  <c r="CY106" i="1" s="1"/>
  <c r="CZ106" i="1"/>
  <c r="DB106" i="1" s="1"/>
  <c r="CT122" i="1"/>
  <c r="CV122" i="1" s="1"/>
  <c r="CT41" i="1"/>
  <c r="CV41" i="1" s="1"/>
  <c r="BY28" i="1"/>
  <c r="CG115" i="1"/>
  <c r="CZ149" i="1"/>
  <c r="DB149" i="1" s="1"/>
  <c r="BY89" i="1"/>
  <c r="CU74" i="1"/>
  <c r="CY74" i="1" s="1"/>
  <c r="CI54" i="1"/>
  <c r="CL54" i="1" s="1"/>
  <c r="CI78" i="1"/>
  <c r="CL78" i="1" s="1"/>
  <c r="CT129" i="1"/>
  <c r="CV129" i="1" s="1"/>
  <c r="CU33" i="1"/>
  <c r="CY33" i="1" s="1"/>
  <c r="CU181" i="1"/>
  <c r="CY181" i="1" s="1"/>
  <c r="CG181" i="1"/>
  <c r="CT54" i="1"/>
  <c r="CV54" i="1" s="1"/>
  <c r="CZ54" i="1"/>
  <c r="DB54" i="1" s="1"/>
  <c r="CG143" i="1"/>
  <c r="CI143" i="1"/>
  <c r="CL143" i="1" s="1"/>
  <c r="CI17" i="1"/>
  <c r="CT37" i="1"/>
  <c r="CV37" i="1" s="1"/>
  <c r="CG152" i="1"/>
  <c r="BX19" i="1"/>
  <c r="CG17" i="1"/>
  <c r="BX143" i="1"/>
  <c r="CU152" i="1"/>
  <c r="CY152" i="1" s="1"/>
  <c r="CZ90" i="1"/>
  <c r="DA90" i="1" s="1"/>
  <c r="DC90" i="1" s="1"/>
  <c r="CZ50" i="1"/>
  <c r="DB50" i="1" s="1"/>
  <c r="CG54" i="1"/>
  <c r="CT50" i="1"/>
  <c r="CV50" i="1" s="1"/>
  <c r="I35" i="57" s="1"/>
  <c r="L35" i="57" s="1"/>
  <c r="O35" i="57" s="1"/>
  <c r="CZ181" i="1"/>
  <c r="DB181" i="1" s="1"/>
  <c r="CG126" i="1"/>
  <c r="CZ78" i="1"/>
  <c r="DB78" i="1" s="1"/>
  <c r="CV136" i="1"/>
  <c r="CV90" i="1"/>
  <c r="CI152" i="1"/>
  <c r="CL152" i="1" s="1"/>
  <c r="CI126" i="1"/>
  <c r="CL126" i="1" s="1"/>
  <c r="CT152" i="1"/>
  <c r="CV152" i="1" s="1"/>
  <c r="CU50" i="1"/>
  <c r="CY50" i="1" s="1"/>
  <c r="CZ136" i="1"/>
  <c r="DA136" i="1" s="1"/>
  <c r="DC136" i="1" s="1"/>
  <c r="CU136" i="1"/>
  <c r="CY136" i="1" s="1"/>
  <c r="CT74" i="1"/>
  <c r="CV74" i="1" s="1"/>
  <c r="BY11" i="1"/>
  <c r="CZ98" i="1"/>
  <c r="DB98" i="1" s="1"/>
  <c r="CZ119" i="1"/>
  <c r="DB119" i="1" s="1"/>
  <c r="CZ143" i="1"/>
  <c r="DB143" i="1" s="1"/>
  <c r="CT177" i="1"/>
  <c r="CV177" i="1" s="1"/>
  <c r="CU140" i="1"/>
  <c r="CY140" i="1" s="1"/>
  <c r="CU21" i="1"/>
  <c r="CY21" i="1" s="1"/>
  <c r="CT45" i="1"/>
  <c r="CV45" i="1" s="1"/>
  <c r="CZ154" i="1"/>
  <c r="DB154" i="1" s="1"/>
  <c r="CT78" i="1"/>
  <c r="CV78" i="1" s="1"/>
  <c r="BY56" i="1"/>
  <c r="CU177" i="1"/>
  <c r="CY177" i="1" s="1"/>
  <c r="CU154" i="1"/>
  <c r="CY154" i="1" s="1"/>
  <c r="CU143" i="1"/>
  <c r="CY143" i="1" s="1"/>
  <c r="CZ41" i="1"/>
  <c r="DB41" i="1" s="1"/>
  <c r="CZ140" i="1"/>
  <c r="DB140" i="1" s="1"/>
  <c r="CU169" i="1"/>
  <c r="CY169" i="1" s="1"/>
  <c r="CT21" i="1"/>
  <c r="CV21" i="1" s="1"/>
  <c r="CU119" i="1"/>
  <c r="CY119" i="1" s="1"/>
  <c r="CT143" i="1"/>
  <c r="CV143" i="1" s="1"/>
  <c r="CT106" i="1"/>
  <c r="CV106" i="1" s="1"/>
  <c r="CU149" i="1"/>
  <c r="CY149" i="1" s="1"/>
  <c r="CG122" i="1"/>
  <c r="CZ21" i="1"/>
  <c r="DB21" i="1" s="1"/>
  <c r="CU41" i="1"/>
  <c r="CY41" i="1" s="1"/>
  <c r="CI41" i="1"/>
  <c r="CL41" i="1" s="1"/>
  <c r="CU48" i="1"/>
  <c r="CY48" i="1" s="1"/>
  <c r="CI122" i="1"/>
  <c r="CL122" i="1" s="1"/>
  <c r="CT70" i="1"/>
  <c r="CV70" i="1" s="1"/>
  <c r="BX40" i="1"/>
  <c r="BX100" i="1"/>
  <c r="BY7" i="1"/>
  <c r="CZ111" i="1"/>
  <c r="DB111" i="1" s="1"/>
  <c r="CU13" i="1"/>
  <c r="CY13" i="1" s="1"/>
  <c r="CT58" i="1"/>
  <c r="CV58" i="1" s="1"/>
  <c r="CT98" i="1"/>
  <c r="CV98" i="1" s="1"/>
  <c r="CZ13" i="1"/>
  <c r="DB13" i="1" s="1"/>
  <c r="CG58" i="1"/>
  <c r="CG13" i="1"/>
  <c r="CU98" i="1"/>
  <c r="CY98" i="1" s="1"/>
  <c r="CZ58" i="1"/>
  <c r="DB58" i="1" s="1"/>
  <c r="CU82" i="1"/>
  <c r="CY82" i="1" s="1"/>
  <c r="CT111" i="1"/>
  <c r="CV111" i="1" s="1"/>
  <c r="CI37" i="1"/>
  <c r="CL37" i="1" s="1"/>
  <c r="CZ82" i="1"/>
  <c r="DB82" i="1" s="1"/>
  <c r="CZ37" i="1"/>
  <c r="DB37" i="1" s="1"/>
  <c r="CU31" i="1"/>
  <c r="CY31" i="1" s="1"/>
  <c r="CZ48" i="1"/>
  <c r="DB48" i="1" s="1"/>
  <c r="CU86" i="1"/>
  <c r="CY86" i="1" s="1"/>
  <c r="CU129" i="1"/>
  <c r="CY129" i="1" s="1"/>
  <c r="CZ103" i="1"/>
  <c r="DB103" i="1" s="1"/>
  <c r="CZ129" i="1"/>
  <c r="DB129" i="1" s="1"/>
  <c r="CT86" i="1"/>
  <c r="CV86" i="1" s="1"/>
  <c r="CT48" i="1"/>
  <c r="CV48" i="1" s="1"/>
  <c r="CU103" i="1"/>
  <c r="CY103" i="1" s="1"/>
  <c r="CT28" i="1"/>
  <c r="CV28" i="1" s="1"/>
  <c r="CI13" i="1"/>
  <c r="CL13" i="1" s="1"/>
  <c r="CU94" i="1"/>
  <c r="CY94" i="1" s="1"/>
  <c r="CG25" i="1"/>
  <c r="CT131" i="1"/>
  <c r="CV131" i="1" s="1"/>
  <c r="CG62" i="1"/>
  <c r="CZ70" i="1"/>
  <c r="DB70" i="1" s="1"/>
  <c r="CZ131" i="1"/>
  <c r="DB131" i="1" s="1"/>
  <c r="CZ25" i="1"/>
  <c r="DB25" i="1" s="1"/>
  <c r="CZ94" i="1"/>
  <c r="DB94" i="1" s="1"/>
  <c r="CG70" i="1"/>
  <c r="CU25" i="1"/>
  <c r="CY25" i="1" s="1"/>
  <c r="CG131" i="1"/>
  <c r="CU70" i="1"/>
  <c r="CY70" i="1" s="1"/>
  <c r="CG111" i="1"/>
  <c r="CI25" i="1"/>
  <c r="CL25" i="1" s="1"/>
  <c r="CG9" i="1"/>
  <c r="CG161" i="1"/>
  <c r="CT61" i="1"/>
  <c r="CV61" i="1" s="1"/>
  <c r="CT81" i="1"/>
  <c r="CV81" i="1" s="1"/>
  <c r="CT93" i="1"/>
  <c r="CV93" i="1" s="1"/>
  <c r="CG128" i="1"/>
  <c r="CU99" i="1"/>
  <c r="CY99" i="1" s="1"/>
  <c r="CT79" i="1"/>
  <c r="CV79" i="1" s="1"/>
  <c r="CU67" i="1"/>
  <c r="CY67" i="1" s="1"/>
  <c r="CT49" i="1"/>
  <c r="CV49" i="1" s="1"/>
  <c r="CU30" i="1"/>
  <c r="CY30" i="1" s="1"/>
  <c r="CU22" i="1"/>
  <c r="CY22" i="1" s="1"/>
  <c r="CU14" i="1"/>
  <c r="CY14" i="1" s="1"/>
  <c r="CU55" i="1"/>
  <c r="CY55" i="1" s="1"/>
  <c r="CZ42" i="1"/>
  <c r="DB42" i="1" s="1"/>
  <c r="CT95" i="1"/>
  <c r="CV95" i="1" s="1"/>
  <c r="CZ71" i="1"/>
  <c r="DB71" i="1" s="1"/>
  <c r="CG63" i="1"/>
  <c r="CU6" i="1"/>
  <c r="CY6" i="1" s="1"/>
  <c r="CU38" i="1"/>
  <c r="CY38" i="1" s="1"/>
  <c r="CU34" i="1"/>
  <c r="CY34" i="1" s="1"/>
  <c r="CU26" i="1"/>
  <c r="CY26" i="1" s="1"/>
  <c r="CT18" i="1"/>
  <c r="CV18" i="1" s="1"/>
  <c r="CT102" i="1"/>
  <c r="CV102" i="1" s="1"/>
  <c r="CU35" i="1"/>
  <c r="CY35" i="1" s="1"/>
  <c r="CU113" i="1"/>
  <c r="CY113" i="1" s="1"/>
  <c r="CT64" i="1"/>
  <c r="CV64" i="1" s="1"/>
  <c r="CT19" i="1"/>
  <c r="CV19" i="1" s="1"/>
  <c r="CT132" i="1"/>
  <c r="CV132" i="1" s="1"/>
  <c r="CZ8" i="1"/>
  <c r="DB8" i="1" s="1"/>
  <c r="CT157" i="1"/>
  <c r="CV157" i="1" s="1"/>
  <c r="CZ159" i="1"/>
  <c r="DB159" i="1" s="1"/>
  <c r="CZ167" i="1"/>
  <c r="DB167" i="1" s="1"/>
  <c r="CU88" i="1"/>
  <c r="CY88" i="1" s="1"/>
  <c r="CT124" i="1"/>
  <c r="CV124" i="1" s="1"/>
  <c r="CU39" i="1"/>
  <c r="CY39" i="1" s="1"/>
  <c r="CG72" i="1"/>
  <c r="CT76" i="1"/>
  <c r="CT7" i="1"/>
  <c r="CT44" i="1"/>
  <c r="CV44" i="1" s="1"/>
  <c r="CZ148" i="1"/>
  <c r="DB148" i="1" s="1"/>
  <c r="CU118" i="1"/>
  <c r="CY118" i="1" s="1"/>
  <c r="CZ135" i="1"/>
  <c r="DB135" i="1" s="1"/>
  <c r="CZ36" i="1"/>
  <c r="DB36" i="1" s="1"/>
  <c r="CZ121" i="1"/>
  <c r="DB121" i="1" s="1"/>
  <c r="CU153" i="1"/>
  <c r="CY153" i="1" s="1"/>
  <c r="CG145" i="1"/>
  <c r="CZ31" i="1"/>
  <c r="DB31" i="1" s="1"/>
  <c r="CG45" i="1"/>
  <c r="CG94" i="1"/>
  <c r="CU160" i="1"/>
  <c r="CY160" i="1" s="1"/>
  <c r="CZ27" i="1"/>
  <c r="DB27" i="1" s="1"/>
  <c r="CT68" i="1"/>
  <c r="CV68" i="1" s="1"/>
  <c r="CG150" i="1"/>
  <c r="CU147" i="1"/>
  <c r="CY147" i="1" s="1"/>
  <c r="CI70" i="1"/>
  <c r="CL70" i="1" s="1"/>
  <c r="CT12" i="1"/>
  <c r="CV12" i="1" s="1"/>
  <c r="CZ28" i="1"/>
  <c r="DB28" i="1" s="1"/>
  <c r="CT160" i="1"/>
  <c r="CV160" i="1" s="1"/>
  <c r="CT145" i="1"/>
  <c r="CV145" i="1" s="1"/>
  <c r="CT153" i="1"/>
  <c r="CV153" i="1" s="1"/>
  <c r="CU40" i="1"/>
  <c r="CY40" i="1" s="1"/>
  <c r="CZ132" i="1"/>
  <c r="DB132" i="1" s="1"/>
  <c r="CI98" i="1"/>
  <c r="CL98" i="1" s="1"/>
  <c r="CZ160" i="1"/>
  <c r="DB160" i="1" s="1"/>
  <c r="CT139" i="1"/>
  <c r="CV139" i="1" s="1"/>
  <c r="CT117" i="1"/>
  <c r="CV117" i="1" s="1"/>
  <c r="CT135" i="1"/>
  <c r="CV135" i="1" s="1"/>
  <c r="CT47" i="1"/>
  <c r="CV47" i="1" s="1"/>
  <c r="CU77" i="1"/>
  <c r="CY77" i="1" s="1"/>
  <c r="CU16" i="1"/>
  <c r="CY16" i="1" s="1"/>
  <c r="CU125" i="1"/>
  <c r="CY125" i="1" s="1"/>
  <c r="CZ47" i="1"/>
  <c r="DB47" i="1" s="1"/>
  <c r="CT146" i="1"/>
  <c r="CV146" i="1" s="1"/>
  <c r="CI130" i="1"/>
  <c r="CL130" i="1" s="1"/>
  <c r="CI95" i="1"/>
  <c r="CL95" i="1" s="1"/>
  <c r="CZ12" i="1"/>
  <c r="DB12" i="1" s="1"/>
  <c r="CU53" i="1"/>
  <c r="CY53" i="1" s="1"/>
  <c r="CT138" i="1"/>
  <c r="CV138" i="1" s="1"/>
  <c r="CZ19" i="1"/>
  <c r="DB19" i="1" s="1"/>
  <c r="CU19" i="1"/>
  <c r="CY19" i="1" s="1"/>
  <c r="CI52" i="1"/>
  <c r="CL52" i="1" s="1"/>
  <c r="CI101" i="1"/>
  <c r="CL101" i="1" s="1"/>
  <c r="CU28" i="1"/>
  <c r="CY28" i="1" s="1"/>
  <c r="CI160" i="1"/>
  <c r="CL160" i="1" s="1"/>
  <c r="CI34" i="1"/>
  <c r="CL34" i="1" s="1"/>
  <c r="CI86" i="1"/>
  <c r="CL86" i="1" s="1"/>
  <c r="CI19" i="1"/>
  <c r="CL19" i="1" s="1"/>
  <c r="CU12" i="1"/>
  <c r="CY12" i="1" s="1"/>
  <c r="CZ117" i="1"/>
  <c r="DB117" i="1" s="1"/>
  <c r="CZ145" i="1"/>
  <c r="DB145" i="1" s="1"/>
  <c r="CT159" i="1"/>
  <c r="CV159" i="1" s="1"/>
  <c r="CZ138" i="1"/>
  <c r="DB138" i="1" s="1"/>
  <c r="CU117" i="1"/>
  <c r="CY117" i="1" s="1"/>
  <c r="CU92" i="1"/>
  <c r="CY92" i="1" s="1"/>
  <c r="CZ114" i="1"/>
  <c r="DB114" i="1" s="1"/>
  <c r="CI168" i="1"/>
  <c r="CL168" i="1" s="1"/>
  <c r="CI38" i="1"/>
  <c r="CL38" i="1" s="1"/>
  <c r="CZ147" i="1"/>
  <c r="DB147" i="1" s="1"/>
  <c r="CT53" i="1"/>
  <c r="CV53" i="1" s="1"/>
  <c r="CG98" i="1"/>
  <c r="CU145" i="1"/>
  <c r="CY145" i="1" s="1"/>
  <c r="CG159" i="1"/>
  <c r="CT101" i="1"/>
  <c r="CV101" i="1" s="1"/>
  <c r="CG97" i="1"/>
  <c r="CZ65" i="1"/>
  <c r="DB65" i="1" s="1"/>
  <c r="CT142" i="1"/>
  <c r="CV142" i="1" s="1"/>
  <c r="CG20" i="1"/>
  <c r="CI157" i="1"/>
  <c r="CI45" i="1"/>
  <c r="CL45" i="1" s="1"/>
  <c r="CZ53" i="1"/>
  <c r="DB53" i="1" s="1"/>
  <c r="CI20" i="1"/>
  <c r="CL20" i="1" s="1"/>
  <c r="CI49" i="1"/>
  <c r="CL49" i="1" s="1"/>
  <c r="CT148" i="1"/>
  <c r="CV148" i="1" s="1"/>
  <c r="CG118" i="1"/>
  <c r="CZ113" i="1"/>
  <c r="DB113" i="1" s="1"/>
  <c r="CZ179" i="1"/>
  <c r="DB179" i="1" s="1"/>
  <c r="CT179" i="1"/>
  <c r="CZ84" i="1"/>
  <c r="DB84" i="1" s="1"/>
  <c r="CU64" i="1"/>
  <c r="CY64" i="1" s="1"/>
  <c r="CU68" i="1"/>
  <c r="CY68" i="1" s="1"/>
  <c r="CZ76" i="1"/>
  <c r="DB76" i="1" s="1"/>
  <c r="CU132" i="1"/>
  <c r="CY132" i="1" s="1"/>
  <c r="CZ11" i="1"/>
  <c r="DB11" i="1" s="1"/>
  <c r="CT15" i="1"/>
  <c r="CV15" i="1" s="1"/>
  <c r="CT110" i="1"/>
  <c r="CV110" i="1" s="1"/>
  <c r="CU179" i="1"/>
  <c r="CY179" i="1" s="1"/>
  <c r="CU10" i="1"/>
  <c r="CY10" i="1" s="1"/>
  <c r="CT77" i="1"/>
  <c r="CV77" i="1" s="1"/>
  <c r="CU84" i="1"/>
  <c r="CY84" i="1" s="1"/>
  <c r="CT118" i="1"/>
  <c r="CV118" i="1" s="1"/>
  <c r="CZ118" i="1"/>
  <c r="DB118" i="1" s="1"/>
  <c r="CZ64" i="1"/>
  <c r="DB64" i="1" s="1"/>
  <c r="CT84" i="1"/>
  <c r="CV84" i="1" s="1"/>
  <c r="CT10" i="1"/>
  <c r="CV10" i="1" s="1"/>
  <c r="CT96" i="1"/>
  <c r="CV96" i="1" s="1"/>
  <c r="CI64" i="1"/>
  <c r="CL64" i="1" s="1"/>
  <c r="CT113" i="1"/>
  <c r="CV113" i="1" s="1"/>
  <c r="CG10" i="1"/>
  <c r="CZ68" i="1"/>
  <c r="DB68" i="1" s="1"/>
  <c r="CZ139" i="1"/>
  <c r="DB139" i="1" s="1"/>
  <c r="CT16" i="1"/>
  <c r="CV16" i="1" s="1"/>
  <c r="CI146" i="1"/>
  <c r="CL146" i="1" s="1"/>
  <c r="CG117" i="1"/>
  <c r="CT125" i="1"/>
  <c r="CV125" i="1" s="1"/>
  <c r="CU108" i="1"/>
  <c r="CY108" i="1" s="1"/>
  <c r="CZ73" i="1"/>
  <c r="DB73" i="1" s="1"/>
  <c r="CI110" i="1"/>
  <c r="CL110" i="1" s="1"/>
  <c r="CI73" i="1"/>
  <c r="CU142" i="1"/>
  <c r="CY142" i="1" s="1"/>
  <c r="CT147" i="1"/>
  <c r="CV147" i="1" s="1"/>
  <c r="CU135" i="1"/>
  <c r="CY135" i="1" s="1"/>
  <c r="CU47" i="1"/>
  <c r="CY47" i="1" s="1"/>
  <c r="CZ40" i="1"/>
  <c r="DB40" i="1" s="1"/>
  <c r="CU159" i="1"/>
  <c r="CY159" i="1" s="1"/>
  <c r="CU138" i="1"/>
  <c r="CY138" i="1" s="1"/>
  <c r="CU57" i="1"/>
  <c r="CY57" i="1" s="1"/>
  <c r="CI99" i="1"/>
  <c r="CL99" i="1" s="1"/>
  <c r="CG74" i="1"/>
  <c r="CG44" i="1"/>
  <c r="CU73" i="1"/>
  <c r="CY73" i="1" s="1"/>
  <c r="CT40" i="1"/>
  <c r="CV40" i="1" s="1"/>
  <c r="CZ92" i="1"/>
  <c r="DB92" i="1" s="1"/>
  <c r="BX121" i="1"/>
  <c r="CT32" i="1"/>
  <c r="CV32" i="1" s="1"/>
  <c r="CG24" i="1"/>
  <c r="CI7" i="1"/>
  <c r="CL7" i="1" s="1"/>
  <c r="CI85" i="1"/>
  <c r="CL85" i="1" s="1"/>
  <c r="CT97" i="1"/>
  <c r="CV97" i="1" s="1"/>
  <c r="CT39" i="1"/>
  <c r="CV39" i="1" s="1"/>
  <c r="CI135" i="1"/>
  <c r="CZ39" i="1"/>
  <c r="DB39" i="1" s="1"/>
  <c r="CU124" i="1"/>
  <c r="CY124" i="1" s="1"/>
  <c r="CZ97" i="1"/>
  <c r="DB97" i="1" s="1"/>
  <c r="CI28" i="1"/>
  <c r="CL28" i="1" s="1"/>
  <c r="CT65" i="1"/>
  <c r="CI16" i="1"/>
  <c r="CZ57" i="1"/>
  <c r="DB57" i="1" s="1"/>
  <c r="CU7" i="1"/>
  <c r="CY7" i="1" s="1"/>
  <c r="CV7" i="1"/>
  <c r="CG110" i="1"/>
  <c r="CU24" i="1"/>
  <c r="CY24" i="1" s="1"/>
  <c r="CI74" i="1"/>
  <c r="CL74" i="1" s="1"/>
  <c r="CG175" i="1"/>
  <c r="CG57" i="1"/>
  <c r="CZ124" i="1"/>
  <c r="DB124" i="1" s="1"/>
  <c r="CU97" i="1"/>
  <c r="CY97" i="1" s="1"/>
  <c r="CT88" i="1"/>
  <c r="CV88" i="1" s="1"/>
  <c r="CZ15" i="1"/>
  <c r="DB15" i="1" s="1"/>
  <c r="CT57" i="1"/>
  <c r="CV57" i="1" s="1"/>
  <c r="CG124" i="1"/>
  <c r="CG23" i="1"/>
  <c r="CZ88" i="1"/>
  <c r="DB88" i="1" s="1"/>
  <c r="CU167" i="1"/>
  <c r="CY167" i="1" s="1"/>
  <c r="CU15" i="1"/>
  <c r="CY15" i="1" s="1"/>
  <c r="CT167" i="1"/>
  <c r="CV167" i="1" s="1"/>
  <c r="CZ7" i="1"/>
  <c r="DB7" i="1" s="1"/>
  <c r="CI175" i="1"/>
  <c r="CL175" i="1" s="1"/>
  <c r="CI57" i="1"/>
  <c r="CT175" i="1"/>
  <c r="CV175" i="1" s="1"/>
  <c r="CT130" i="1"/>
  <c r="CV130" i="1" s="1"/>
  <c r="CZ110" i="1"/>
  <c r="DB110" i="1" s="1"/>
  <c r="CZ24" i="1"/>
  <c r="DB24" i="1" s="1"/>
  <c r="CI139" i="1"/>
  <c r="CL139" i="1" s="1"/>
  <c r="CI121" i="1"/>
  <c r="CL121" i="1" s="1"/>
  <c r="CI125" i="1"/>
  <c r="CL125" i="1" s="1"/>
  <c r="CI114" i="1"/>
  <c r="CL114" i="1" s="1"/>
  <c r="CI33" i="1"/>
  <c r="CL33" i="1" s="1"/>
  <c r="CI79" i="1"/>
  <c r="CI92" i="1"/>
  <c r="CL92" i="1" s="1"/>
  <c r="CI97" i="1"/>
  <c r="CI23" i="1"/>
  <c r="CL23" i="1" s="1"/>
  <c r="CZ44" i="1"/>
  <c r="DB44" i="1" s="1"/>
  <c r="CG36" i="1"/>
  <c r="CT24" i="1"/>
  <c r="CV24" i="1" s="1"/>
  <c r="CG28" i="1"/>
  <c r="CG176" i="1"/>
  <c r="CT114" i="1"/>
  <c r="CV114" i="1" s="1"/>
  <c r="CZ85" i="1"/>
  <c r="DB85" i="1" s="1"/>
  <c r="CU114" i="1"/>
  <c r="CY114" i="1" s="1"/>
  <c r="CZ130" i="1"/>
  <c r="DB130" i="1" s="1"/>
  <c r="CG121" i="1"/>
  <c r="CI94" i="1"/>
  <c r="CU65" i="1"/>
  <c r="CY65" i="1" s="1"/>
  <c r="CG168" i="1"/>
  <c r="CI176" i="1"/>
  <c r="CZ171" i="1"/>
  <c r="DB171" i="1" s="1"/>
  <c r="CI36" i="1"/>
  <c r="CU27" i="1"/>
  <c r="CY27" i="1" s="1"/>
  <c r="CU44" i="1"/>
  <c r="CY44" i="1" s="1"/>
  <c r="CU121" i="1"/>
  <c r="CY121" i="1" s="1"/>
  <c r="CU110" i="1"/>
  <c r="CY110" i="1" s="1"/>
  <c r="CT85" i="1"/>
  <c r="CV85" i="1" s="1"/>
  <c r="CT27" i="1"/>
  <c r="CV27" i="1" s="1"/>
  <c r="CG85" i="1"/>
  <c r="CZ16" i="1"/>
  <c r="DB16" i="1" s="1"/>
  <c r="CI24" i="1"/>
  <c r="CL24" i="1" s="1"/>
  <c r="CT121" i="1"/>
  <c r="CV121" i="1" s="1"/>
  <c r="CZ96" i="1"/>
  <c r="DB96" i="1" s="1"/>
  <c r="CG64" i="1"/>
  <c r="CG135" i="1"/>
  <c r="CU85" i="1"/>
  <c r="CY85" i="1" s="1"/>
  <c r="CG16" i="1"/>
  <c r="CI105" i="1"/>
  <c r="CL105" i="1" s="1"/>
  <c r="CZ35" i="1"/>
  <c r="DB35" i="1" s="1"/>
  <c r="CT35" i="1"/>
  <c r="CV35" i="1" s="1"/>
  <c r="CI8" i="1"/>
  <c r="CL8" i="1" s="1"/>
  <c r="CT104" i="1"/>
  <c r="CV104" i="1" s="1"/>
  <c r="CG147" i="1"/>
  <c r="CZ52" i="1"/>
  <c r="DB52" i="1" s="1"/>
  <c r="CT60" i="1"/>
  <c r="CV60" i="1" s="1"/>
  <c r="CU107" i="1"/>
  <c r="CY107" i="1" s="1"/>
  <c r="CG39" i="1"/>
  <c r="CI142" i="1"/>
  <c r="CL142" i="1" s="1"/>
  <c r="CI60" i="1"/>
  <c r="CL60" i="1" s="1"/>
  <c r="CI147" i="1"/>
  <c r="CL147" i="1" s="1"/>
  <c r="CI27" i="1"/>
  <c r="CL27" i="1" s="1"/>
  <c r="CI88" i="1"/>
  <c r="CL88" i="1" s="1"/>
  <c r="CI96" i="1"/>
  <c r="CL96" i="1" s="1"/>
  <c r="CI39" i="1"/>
  <c r="CL39" i="1" s="1"/>
  <c r="CI84" i="1"/>
  <c r="CL84" i="1" s="1"/>
  <c r="CI40" i="1"/>
  <c r="CL40" i="1" s="1"/>
  <c r="CZ142" i="1"/>
  <c r="DB142" i="1" s="1"/>
  <c r="CG160" i="1"/>
  <c r="CT171" i="1"/>
  <c r="CV171" i="1" s="1"/>
  <c r="CU148" i="1"/>
  <c r="CY148" i="1" s="1"/>
  <c r="CU52" i="1"/>
  <c r="CY52" i="1" s="1"/>
  <c r="CG52" i="1"/>
  <c r="CG139" i="1"/>
  <c r="CU36" i="1"/>
  <c r="CY36" i="1" s="1"/>
  <c r="CU130" i="1"/>
  <c r="CY130" i="1" s="1"/>
  <c r="CG146" i="1"/>
  <c r="CG32" i="1"/>
  <c r="CG84" i="1"/>
  <c r="CT36" i="1"/>
  <c r="CV36" i="1" s="1"/>
  <c r="CT52" i="1"/>
  <c r="CV52" i="1" s="1"/>
  <c r="CG107" i="1"/>
  <c r="CU104" i="1"/>
  <c r="CY104" i="1" s="1"/>
  <c r="CZ107" i="1"/>
  <c r="DB107" i="1" s="1"/>
  <c r="CG29" i="1"/>
  <c r="CU146" i="1"/>
  <c r="CY146" i="1" s="1"/>
  <c r="CT31" i="1"/>
  <c r="CV31" i="1" s="1"/>
  <c r="CG12" i="1"/>
  <c r="CT107" i="1"/>
  <c r="CV107" i="1" s="1"/>
  <c r="CG132" i="1"/>
  <c r="CI153" i="1"/>
  <c r="CL153" i="1" s="1"/>
  <c r="CI12" i="1"/>
  <c r="CL12" i="1" s="1"/>
  <c r="CI29" i="1"/>
  <c r="CL29" i="1" s="1"/>
  <c r="CI118" i="1"/>
  <c r="CI81" i="1"/>
  <c r="CL81" i="1" s="1"/>
  <c r="CU139" i="1"/>
  <c r="CY139" i="1" s="1"/>
  <c r="CU171" i="1"/>
  <c r="CY171" i="1" s="1"/>
  <c r="CU72" i="1"/>
  <c r="CY72" i="1" s="1"/>
  <c r="CZ72" i="1"/>
  <c r="DB72" i="1" s="1"/>
  <c r="CG96" i="1"/>
  <c r="CG27" i="1"/>
  <c r="CG130" i="1"/>
  <c r="CU96" i="1"/>
  <c r="CY96" i="1" s="1"/>
  <c r="CT73" i="1"/>
  <c r="CV73" i="1" s="1"/>
  <c r="CT72" i="1"/>
  <c r="CV72" i="1" s="1"/>
  <c r="CU157" i="1"/>
  <c r="CY157" i="1" s="1"/>
  <c r="CZ104" i="1"/>
  <c r="DB104" i="1" s="1"/>
  <c r="CZ146" i="1"/>
  <c r="DB146" i="1" s="1"/>
  <c r="CU32" i="1"/>
  <c r="CY32" i="1" s="1"/>
  <c r="CU69" i="1"/>
  <c r="CY69" i="1" s="1"/>
  <c r="CI32" i="1"/>
  <c r="C130" i="76" a="1"/>
  <c r="C130" i="76" s="1"/>
  <c r="CG142" i="1"/>
  <c r="CZ108" i="1"/>
  <c r="DB108" i="1" s="1"/>
  <c r="CU56" i="1"/>
  <c r="CY56" i="1" s="1"/>
  <c r="CG33" i="1"/>
  <c r="CG73" i="1"/>
  <c r="CG40" i="1"/>
  <c r="CG92" i="1"/>
  <c r="CG125" i="1"/>
  <c r="CU80" i="1"/>
  <c r="CY80" i="1" s="1"/>
  <c r="CT108" i="1"/>
  <c r="CV108" i="1" s="1"/>
  <c r="CT92" i="1"/>
  <c r="CV92" i="1" s="1"/>
  <c r="CZ125" i="1"/>
  <c r="DB125" i="1" s="1"/>
  <c r="CZ89" i="1"/>
  <c r="DB89" i="1" s="1"/>
  <c r="CT80" i="1"/>
  <c r="CV80" i="1" s="1"/>
  <c r="CZ77" i="1"/>
  <c r="DB77" i="1" s="1"/>
  <c r="CZ157" i="1"/>
  <c r="DB157" i="1" s="1"/>
  <c r="CZ32" i="1"/>
  <c r="DB32" i="1" s="1"/>
  <c r="CU76" i="1"/>
  <c r="CY76" i="1" s="1"/>
  <c r="CG157" i="1"/>
  <c r="I191" i="76" a="1"/>
  <c r="I191" i="76" s="1"/>
  <c r="CV76" i="1"/>
  <c r="CZ60" i="1"/>
  <c r="DB60" i="1" s="1"/>
  <c r="CT11" i="1"/>
  <c r="CT46" i="1"/>
  <c r="CV46" i="1" s="1"/>
  <c r="BY177" i="1"/>
  <c r="CV56" i="1"/>
  <c r="CT100" i="1"/>
  <c r="CV100" i="1" s="1"/>
  <c r="CI31" i="1"/>
  <c r="CL31" i="1" s="1"/>
  <c r="CI117" i="1"/>
  <c r="BX17" i="1"/>
  <c r="CU175" i="1"/>
  <c r="CY175" i="1" s="1"/>
  <c r="CT56" i="1"/>
  <c r="BY58" i="1"/>
  <c r="CZ80" i="1"/>
  <c r="DB80" i="1" s="1"/>
  <c r="CG8" i="1"/>
  <c r="CU60" i="1"/>
  <c r="CY60" i="1" s="1"/>
  <c r="BY174" i="1"/>
  <c r="CG60" i="1"/>
  <c r="CI171" i="1"/>
  <c r="CL171" i="1" s="1"/>
  <c r="CI104" i="1"/>
  <c r="BY157" i="1"/>
  <c r="CZ175" i="1"/>
  <c r="DB175" i="1" s="1"/>
  <c r="CG171" i="1"/>
  <c r="CU11" i="1"/>
  <c r="CY11" i="1" s="1"/>
  <c r="CG104" i="1"/>
  <c r="CZ56" i="1"/>
  <c r="DB56" i="1" s="1"/>
  <c r="CU8" i="1"/>
  <c r="CY8" i="1" s="1"/>
  <c r="CG88" i="1"/>
  <c r="I205" i="76" a="1"/>
  <c r="I205" i="76" s="1"/>
  <c r="I207" i="76" a="1"/>
  <c r="I207" i="76" s="1"/>
  <c r="CI124" i="1"/>
  <c r="CL124" i="1" s="1"/>
  <c r="CI123" i="1"/>
  <c r="CZ46" i="1"/>
  <c r="DB46" i="1" s="1"/>
  <c r="CI11" i="1"/>
  <c r="CL11" i="1" s="1"/>
  <c r="CI100" i="1"/>
  <c r="CL100" i="1" s="1"/>
  <c r="CI87" i="1"/>
  <c r="CL87" i="1" s="1"/>
  <c r="CU46" i="1"/>
  <c r="CY46" i="1" s="1"/>
  <c r="CT8" i="1"/>
  <c r="CV8" i="1" s="1"/>
  <c r="CG167" i="1"/>
  <c r="CU100" i="1"/>
  <c r="CY100" i="1" s="1"/>
  <c r="CZ100" i="1"/>
  <c r="DB100" i="1" s="1"/>
  <c r="BX145" i="1"/>
  <c r="CI67" i="1"/>
  <c r="CL67" i="1" s="1"/>
  <c r="BX140" i="1"/>
  <c r="BY12" i="1"/>
  <c r="CI83" i="1"/>
  <c r="CL83" i="1" s="1"/>
  <c r="BY98" i="1"/>
  <c r="CI51" i="1"/>
  <c r="CL51" i="1" s="1"/>
  <c r="I197" i="76" a="1"/>
  <c r="I197" i="76" s="1"/>
  <c r="CI71" i="1"/>
  <c r="CL71" i="1" s="1"/>
  <c r="CZ91" i="1"/>
  <c r="DB91" i="1" s="1"/>
  <c r="CI75" i="1"/>
  <c r="CL75" i="1" s="1"/>
  <c r="I206" i="76" a="1"/>
  <c r="I206" i="76" s="1"/>
  <c r="CI91" i="1"/>
  <c r="CL91" i="1" s="1"/>
  <c r="CG123" i="1"/>
  <c r="CG87" i="1"/>
  <c r="I194" i="76" a="1"/>
  <c r="I194" i="76" s="1"/>
  <c r="I188" i="76" a="1"/>
  <c r="I188" i="76" s="1"/>
  <c r="CU83" i="1"/>
  <c r="CY83" i="1" s="1"/>
  <c r="I200" i="76" a="1"/>
  <c r="I200" i="76" s="1"/>
  <c r="CI46" i="1"/>
  <c r="CG105" i="1"/>
  <c r="I202" i="76" a="1"/>
  <c r="I202" i="76" s="1"/>
  <c r="CG75" i="1"/>
  <c r="I204" i="76" a="1"/>
  <c r="I204" i="76" s="1"/>
  <c r="BX122" i="1"/>
  <c r="CI18" i="1"/>
  <c r="CL18" i="1" s="1"/>
  <c r="BX168" i="1"/>
  <c r="I190" i="76" a="1"/>
  <c r="I190" i="76" s="1"/>
  <c r="I192" i="76" a="1"/>
  <c r="I192" i="76" s="1"/>
  <c r="CI59" i="1"/>
  <c r="CL59" i="1" s="1"/>
  <c r="CZ59" i="1"/>
  <c r="DB59" i="1" s="1"/>
  <c r="I208" i="76" a="1"/>
  <c r="I208" i="76" s="1"/>
  <c r="I186" i="76" a="1"/>
  <c r="I186" i="76" s="1"/>
  <c r="I196" i="76" a="1"/>
  <c r="I196" i="76" s="1"/>
  <c r="CG68" i="1"/>
  <c r="BX45" i="1"/>
  <c r="BY29" i="1"/>
  <c r="BX171" i="1"/>
  <c r="CI68" i="1"/>
  <c r="CL68" i="1" s="1"/>
  <c r="CI56" i="1"/>
  <c r="CL56" i="1" s="1"/>
  <c r="CG51" i="1"/>
  <c r="BX102" i="1"/>
  <c r="BX86" i="1"/>
  <c r="BY62" i="1"/>
  <c r="BX25" i="1"/>
  <c r="BY74" i="1"/>
  <c r="BY8" i="1"/>
  <c r="BX33" i="1"/>
  <c r="CG46" i="1"/>
  <c r="CU49" i="1"/>
  <c r="CY49" i="1" s="1"/>
  <c r="BY135" i="1"/>
  <c r="BY165" i="1"/>
  <c r="BY106" i="1"/>
  <c r="BY155" i="1"/>
  <c r="BX170" i="1"/>
  <c r="BY84" i="1"/>
  <c r="BY83" i="1"/>
  <c r="BY38" i="1"/>
  <c r="BY176" i="1"/>
  <c r="BY79" i="1"/>
  <c r="BY95" i="1"/>
  <c r="BY14" i="1"/>
  <c r="BY50" i="1"/>
  <c r="BY139" i="1"/>
  <c r="BX158" i="1"/>
  <c r="BY161" i="1"/>
  <c r="BY49" i="1"/>
  <c r="BY70" i="1"/>
  <c r="BY87" i="1"/>
  <c r="BX52" i="1"/>
  <c r="CU63" i="1"/>
  <c r="CY63" i="1" s="1"/>
  <c r="BY26" i="1"/>
  <c r="DA20" i="1"/>
  <c r="DC20" i="1" s="1"/>
  <c r="BX166" i="1"/>
  <c r="BY144" i="1"/>
  <c r="CZ79" i="1"/>
  <c r="DB79" i="1" s="1"/>
  <c r="BY18" i="1"/>
  <c r="BY117" i="1"/>
  <c r="BY59" i="1"/>
  <c r="BY75" i="1"/>
  <c r="BY91" i="1"/>
  <c r="BX150" i="1"/>
  <c r="BX13" i="1"/>
  <c r="BY111" i="1"/>
  <c r="BX60" i="1"/>
  <c r="CI102" i="1"/>
  <c r="BX123" i="1"/>
  <c r="CZ49" i="1"/>
  <c r="DB49" i="1" s="1"/>
  <c r="BX142" i="1"/>
  <c r="BX94" i="1"/>
  <c r="BX34" i="1"/>
  <c r="BX124" i="1"/>
  <c r="BY67" i="1"/>
  <c r="BX16" i="1"/>
  <c r="CT63" i="1"/>
  <c r="CV63" i="1" s="1"/>
  <c r="BY23" i="1"/>
  <c r="BX99" i="1"/>
  <c r="BX22" i="1"/>
  <c r="BX162" i="1"/>
  <c r="BY110" i="1"/>
  <c r="BY63" i="1"/>
  <c r="BY27" i="1"/>
  <c r="BX173" i="1"/>
  <c r="BY71" i="1"/>
  <c r="BX133" i="1"/>
  <c r="BX146" i="1"/>
  <c r="BX160" i="1"/>
  <c r="BX15" i="1"/>
  <c r="BY131" i="1"/>
  <c r="BY172" i="1"/>
  <c r="BY88" i="1"/>
  <c r="BY153" i="1"/>
  <c r="BY115" i="1"/>
  <c r="BY21" i="1"/>
  <c r="BY107" i="1"/>
  <c r="BY181" i="1"/>
  <c r="BY6" i="1"/>
  <c r="BY51" i="1"/>
  <c r="BY64" i="1"/>
  <c r="BX81" i="1"/>
  <c r="CT34" i="1"/>
  <c r="CV34" i="1" s="1"/>
  <c r="CZ63" i="1"/>
  <c r="DB63" i="1" s="1"/>
  <c r="CZ34" i="1"/>
  <c r="DB34" i="1" s="1"/>
  <c r="CG34" i="1"/>
  <c r="CT42" i="1"/>
  <c r="CV42" i="1" s="1"/>
  <c r="CU42" i="1"/>
  <c r="CY42" i="1" s="1"/>
  <c r="CZ14" i="1"/>
  <c r="DB14" i="1" s="1"/>
  <c r="CG22" i="1"/>
  <c r="CG38" i="1"/>
  <c r="CU59" i="1"/>
  <c r="CY59" i="1" s="1"/>
  <c r="CT91" i="1"/>
  <c r="CV91" i="1" s="1"/>
  <c r="DA9" i="1"/>
  <c r="DC9" i="1" s="1"/>
  <c r="CI161" i="1"/>
  <c r="CL161" i="1" s="1"/>
  <c r="CI9" i="1"/>
  <c r="CU91" i="1"/>
  <c r="CY91" i="1" s="1"/>
  <c r="CT67" i="1"/>
  <c r="CV67" i="1" s="1"/>
  <c r="CZ22" i="1"/>
  <c r="DB22" i="1" s="1"/>
  <c r="CZ67" i="1"/>
  <c r="DB67" i="1" s="1"/>
  <c r="CZ83" i="1"/>
  <c r="DB83" i="1" s="1"/>
  <c r="CT6" i="1"/>
  <c r="CV6" i="1" s="1"/>
  <c r="BY137" i="1"/>
  <c r="CG91" i="1"/>
  <c r="CG67" i="1"/>
  <c r="CZ6" i="1"/>
  <c r="DB6" i="1" s="1"/>
  <c r="CT22" i="1"/>
  <c r="CV22" i="1" s="1"/>
  <c r="CT83" i="1"/>
  <c r="CV83" i="1" s="1"/>
  <c r="CG83" i="1"/>
  <c r="CT99" i="1"/>
  <c r="CT75" i="1"/>
  <c r="CV75" i="1" s="1"/>
  <c r="CT30" i="1"/>
  <c r="CV30" i="1" s="1"/>
  <c r="CG49" i="1"/>
  <c r="CU79" i="1"/>
  <c r="CY79" i="1" s="1"/>
  <c r="CG79" i="1"/>
  <c r="CI150" i="1"/>
  <c r="CL150" i="1" s="1"/>
  <c r="CU71" i="1"/>
  <c r="CY71" i="1" s="1"/>
  <c r="DA105" i="1"/>
  <c r="DC105" i="1" s="1"/>
  <c r="CT59" i="1"/>
  <c r="CV59" i="1" s="1"/>
  <c r="CT71" i="1"/>
  <c r="CV71" i="1" s="1"/>
  <c r="CU87" i="1"/>
  <c r="CY87" i="1" s="1"/>
  <c r="CZ55" i="1"/>
  <c r="DB55" i="1" s="1"/>
  <c r="CZ30" i="1"/>
  <c r="DB30" i="1" s="1"/>
  <c r="CZ99" i="1"/>
  <c r="DB99" i="1" s="1"/>
  <c r="CG95" i="1"/>
  <c r="CT26" i="1"/>
  <c r="CV26" i="1" s="1"/>
  <c r="CU51" i="1"/>
  <c r="CY51" i="1" s="1"/>
  <c r="CU75" i="1"/>
  <c r="CY75" i="1" s="1"/>
  <c r="CG26" i="1"/>
  <c r="CZ26" i="1"/>
  <c r="DB26" i="1" s="1"/>
  <c r="CT51" i="1"/>
  <c r="CV51" i="1" s="1"/>
  <c r="CZ95" i="1"/>
  <c r="DB95" i="1" s="1"/>
  <c r="CZ75" i="1"/>
  <c r="DB75" i="1" s="1"/>
  <c r="CZ51" i="1"/>
  <c r="DB51" i="1" s="1"/>
  <c r="CU95" i="1"/>
  <c r="CY95" i="1" s="1"/>
  <c r="CU81" i="1"/>
  <c r="CY81" i="1" s="1"/>
  <c r="DA116" i="1"/>
  <c r="DC116" i="1" s="1"/>
  <c r="CU61" i="1"/>
  <c r="CY61" i="1" s="1"/>
  <c r="CZ61" i="1"/>
  <c r="DB61" i="1" s="1"/>
  <c r="DA178" i="1"/>
  <c r="DC178" i="1" s="1"/>
  <c r="CU18" i="1"/>
  <c r="CY18" i="1" s="1"/>
  <c r="CZ18" i="1"/>
  <c r="DB18" i="1" s="1"/>
  <c r="CI128" i="1"/>
  <c r="CL128" i="1" s="1"/>
  <c r="CG14" i="1"/>
  <c r="CU93" i="1"/>
  <c r="CY93" i="1" s="1"/>
  <c r="CG81" i="1"/>
  <c r="CT55" i="1"/>
  <c r="CV55" i="1" s="1"/>
  <c r="CG102" i="1"/>
  <c r="CZ81" i="1"/>
  <c r="DB81" i="1" s="1"/>
  <c r="CU102" i="1"/>
  <c r="CY102" i="1" s="1"/>
  <c r="CZ38" i="1"/>
  <c r="DB38" i="1" s="1"/>
  <c r="DA23" i="1"/>
  <c r="DC23" i="1" s="1"/>
  <c r="CZ102" i="1"/>
  <c r="DB102" i="1" s="1"/>
  <c r="CI140" i="1"/>
  <c r="CV178" i="1"/>
  <c r="CG59" i="1"/>
  <c r="CT14" i="1"/>
  <c r="CV14" i="1" s="1"/>
  <c r="F34" i="57" s="1"/>
  <c r="CZ93" i="1"/>
  <c r="DB93" i="1" s="1"/>
  <c r="CT87" i="1"/>
  <c r="CV87" i="1" s="1"/>
  <c r="DA123" i="1"/>
  <c r="DC123" i="1" s="1"/>
  <c r="CT38" i="1"/>
  <c r="CV38" i="1" s="1"/>
  <c r="CG140" i="1"/>
  <c r="CZ87" i="1"/>
  <c r="DB87" i="1" s="1"/>
  <c r="DA183" i="1"/>
  <c r="DC183" i="1" s="1"/>
  <c r="CG18" i="1"/>
  <c r="CG89" i="1"/>
  <c r="CT69" i="1"/>
  <c r="CV69" i="1" s="1"/>
  <c r="DA156" i="1"/>
  <c r="DC156" i="1" s="1"/>
  <c r="CT89" i="1"/>
  <c r="CV89" i="1" s="1"/>
  <c r="CZ69" i="1"/>
  <c r="DB69" i="1" s="1"/>
  <c r="DA172" i="1"/>
  <c r="DC172" i="1" s="1"/>
  <c r="CV116" i="1"/>
  <c r="CU101" i="1"/>
  <c r="CY101" i="1" s="1"/>
  <c r="DA163" i="1"/>
  <c r="DC163" i="1" s="1"/>
  <c r="CG101" i="1"/>
  <c r="CU89" i="1"/>
  <c r="CY89" i="1" s="1"/>
  <c r="CZ101" i="1"/>
  <c r="DB101" i="1" s="1"/>
  <c r="DA66" i="1"/>
  <c r="DC66" i="1" s="1"/>
  <c r="DA174" i="1"/>
  <c r="DC174" i="1" s="1"/>
  <c r="DA182" i="1"/>
  <c r="DC182" i="1" s="1"/>
  <c r="DA115" i="1"/>
  <c r="DC115" i="1" s="1"/>
  <c r="DA112" i="1"/>
  <c r="DC112" i="1" s="1"/>
  <c r="DB115" i="1"/>
  <c r="CV183" i="1"/>
  <c r="DA180" i="1"/>
  <c r="DC180" i="1" s="1"/>
  <c r="DA161" i="1"/>
  <c r="DC161" i="1" s="1"/>
  <c r="DA29" i="1"/>
  <c r="DC29" i="1" s="1"/>
  <c r="DA164" i="1"/>
  <c r="DC164" i="1" s="1"/>
  <c r="DA150" i="1"/>
  <c r="DC150" i="1" s="1"/>
  <c r="DA155" i="1"/>
  <c r="DC155" i="1" s="1"/>
  <c r="DA17" i="1"/>
  <c r="DC17" i="1" s="1"/>
  <c r="DA137" i="1"/>
  <c r="DC137" i="1" s="1"/>
  <c r="CV23" i="1"/>
  <c r="DA126" i="1"/>
  <c r="DC126" i="1" s="1"/>
  <c r="DA128" i="1"/>
  <c r="DC128" i="1" s="1"/>
  <c r="DA176" i="1"/>
  <c r="DC176" i="1" s="1"/>
  <c r="DA62" i="1"/>
  <c r="DC62" i="1" s="1"/>
  <c r="DA127" i="1"/>
  <c r="DC127" i="1" s="1"/>
  <c r="DA109" i="1"/>
  <c r="DC109" i="1" s="1"/>
  <c r="CV105" i="1"/>
  <c r="DB17" i="1"/>
  <c r="DA33" i="1"/>
  <c r="DC33" i="1" s="1"/>
  <c r="DA151" i="1"/>
  <c r="DC151" i="1" s="1"/>
  <c r="DB122" i="1"/>
  <c r="DA133" i="1"/>
  <c r="DC133" i="1" s="1"/>
  <c r="DA141" i="1"/>
  <c r="DC141" i="1" s="1"/>
  <c r="CV164" i="1"/>
  <c r="DB162" i="1"/>
  <c r="DA162" i="1"/>
  <c r="DC162" i="1" s="1"/>
  <c r="DB170" i="1"/>
  <c r="DA170" i="1"/>
  <c r="DC170" i="1" s="1"/>
  <c r="DA173" i="1"/>
  <c r="DC173" i="1" s="1"/>
  <c r="CV173" i="1"/>
  <c r="DA144" i="1"/>
  <c r="DC144" i="1" s="1"/>
  <c r="DA158" i="1"/>
  <c r="DC158" i="1" s="1"/>
  <c r="CV158" i="1"/>
  <c r="DA166" i="1"/>
  <c r="DC166" i="1" s="1"/>
  <c r="CV166" i="1"/>
  <c r="DA43" i="1"/>
  <c r="DC43" i="1" s="1"/>
  <c r="DB153" i="1"/>
  <c r="DA168" i="1"/>
  <c r="DC168" i="1" s="1"/>
  <c r="CV168" i="1"/>
  <c r="F28" i="57" s="1"/>
  <c r="DA165" i="1"/>
  <c r="DC165" i="1" s="1"/>
  <c r="CV165" i="1"/>
  <c r="CV20" i="1"/>
  <c r="DA120" i="1"/>
  <c r="DC120" i="1" s="1"/>
  <c r="DA134" i="1"/>
  <c r="DC134" i="1" s="1"/>
  <c r="CH81" i="1" l="1"/>
  <c r="C78" i="76" s="1" a="1"/>
  <c r="C78" i="76" s="1"/>
  <c r="CH174" i="1"/>
  <c r="C171" i="76" s="1" a="1"/>
  <c r="C171" i="76" s="1"/>
  <c r="CK145" i="1"/>
  <c r="CK111" i="1"/>
  <c r="CK155" i="1"/>
  <c r="CK21" i="1"/>
  <c r="CK133" i="1"/>
  <c r="CH30" i="1"/>
  <c r="C27" i="76" s="1" a="1"/>
  <c r="C27" i="76" s="1"/>
  <c r="CH116" i="1"/>
  <c r="C113" i="76" s="1" a="1"/>
  <c r="C113" i="76" s="1"/>
  <c r="CH159" i="1"/>
  <c r="C156" i="76" s="1" a="1"/>
  <c r="C156" i="76" s="1"/>
  <c r="CL140" i="1"/>
  <c r="CL9" i="1"/>
  <c r="CL102" i="1"/>
  <c r="CL46" i="1"/>
  <c r="CL123" i="1"/>
  <c r="CL104" i="1"/>
  <c r="CL117" i="1"/>
  <c r="CL32" i="1"/>
  <c r="CL118" i="1"/>
  <c r="CL36" i="1"/>
  <c r="CH36" i="1" s="1"/>
  <c r="C33" i="76" s="1" a="1"/>
  <c r="C33" i="76" s="1"/>
  <c r="CL176" i="1"/>
  <c r="CL94" i="1"/>
  <c r="CL89" i="1"/>
  <c r="CL97" i="1"/>
  <c r="CL79" i="1"/>
  <c r="CL44" i="1"/>
  <c r="CL57" i="1"/>
  <c r="CH57" i="1" s="1"/>
  <c r="C54" i="76" s="1" a="1"/>
  <c r="C54" i="76" s="1"/>
  <c r="CL16" i="1"/>
  <c r="CL135" i="1"/>
  <c r="CL73" i="1"/>
  <c r="CL157" i="1"/>
  <c r="CL58" i="1"/>
  <c r="CH58" i="1" s="1"/>
  <c r="C55" i="76" s="1" a="1"/>
  <c r="C55" i="76" s="1"/>
  <c r="CL17" i="1"/>
  <c r="CL106" i="1"/>
  <c r="CL112" i="1"/>
  <c r="CH112" i="1" s="1"/>
  <c r="C109" i="76" s="1" a="1"/>
  <c r="C109" i="76" s="1"/>
  <c r="CL14" i="1"/>
  <c r="CH14" i="1" s="1"/>
  <c r="C11" i="76" s="1" a="1"/>
  <c r="C11" i="76" s="1"/>
  <c r="CL10" i="1"/>
  <c r="CH10" i="1" s="1"/>
  <c r="C7" i="76" s="1" a="1"/>
  <c r="C7" i="76" s="1"/>
  <c r="CH62" i="1"/>
  <c r="CH181" i="1"/>
  <c r="C178" i="76" s="1" a="1"/>
  <c r="C178" i="76" s="1"/>
  <c r="CK59" i="1"/>
  <c r="CK18" i="1"/>
  <c r="CK75" i="1"/>
  <c r="CK12" i="1"/>
  <c r="CK84" i="1"/>
  <c r="CK39" i="1"/>
  <c r="C145" i="76" a="1"/>
  <c r="C145" i="76" s="1"/>
  <c r="CK8" i="1"/>
  <c r="CK24" i="1"/>
  <c r="CK114" i="1"/>
  <c r="CK175" i="1"/>
  <c r="CK74" i="1"/>
  <c r="CK85" i="1"/>
  <c r="CK45" i="1"/>
  <c r="CK38" i="1"/>
  <c r="CK19" i="1"/>
  <c r="CK160" i="1"/>
  <c r="CK25" i="1"/>
  <c r="CK41" i="1"/>
  <c r="CK140" i="1"/>
  <c r="CH140" i="1" s="1"/>
  <c r="C137" i="76" s="1" a="1"/>
  <c r="C137" i="76" s="1"/>
  <c r="CK128" i="1"/>
  <c r="CK150" i="1"/>
  <c r="CK9" i="1"/>
  <c r="CK102" i="1"/>
  <c r="CK68" i="1"/>
  <c r="CK46" i="1"/>
  <c r="CK91" i="1"/>
  <c r="CK51" i="1"/>
  <c r="C80" i="76" a="1"/>
  <c r="C80" i="76" s="1"/>
  <c r="CK83" i="1"/>
  <c r="C64" i="76" a="1"/>
  <c r="C64" i="76" s="1"/>
  <c r="CK67" i="1"/>
  <c r="CK123" i="1"/>
  <c r="CK104" i="1"/>
  <c r="CK171" i="1"/>
  <c r="CK117" i="1"/>
  <c r="CK32" i="1"/>
  <c r="CK81" i="1"/>
  <c r="CK118" i="1"/>
  <c r="CK29" i="1"/>
  <c r="CK96" i="1"/>
  <c r="CK88" i="1"/>
  <c r="CK27" i="1"/>
  <c r="CK60" i="1"/>
  <c r="CK142" i="1"/>
  <c r="CK105" i="1"/>
  <c r="CK36" i="1"/>
  <c r="CK176" i="1"/>
  <c r="CK94" i="1"/>
  <c r="CK89" i="1"/>
  <c r="CK23" i="1"/>
  <c r="CK97" i="1"/>
  <c r="CH97" i="1" s="1"/>
  <c r="C94" i="76" s="1" a="1"/>
  <c r="C94" i="76" s="1"/>
  <c r="CK92" i="1"/>
  <c r="CK79" i="1"/>
  <c r="CK44" i="1"/>
  <c r="CK33" i="1"/>
  <c r="C122" i="76" a="1"/>
  <c r="C122" i="76" s="1"/>
  <c r="CK125" i="1"/>
  <c r="C118" i="76" a="1"/>
  <c r="C118" i="76" s="1"/>
  <c r="CK121" i="1"/>
  <c r="CK139" i="1"/>
  <c r="CK57" i="1"/>
  <c r="CK16" i="1"/>
  <c r="CK28" i="1"/>
  <c r="CK135" i="1"/>
  <c r="CK73" i="1"/>
  <c r="CK110" i="1"/>
  <c r="CK146" i="1"/>
  <c r="C61" i="76" a="1"/>
  <c r="C61" i="76" s="1"/>
  <c r="CK64" i="1"/>
  <c r="CK49" i="1"/>
  <c r="CK20" i="1"/>
  <c r="CK157" i="1"/>
  <c r="CK168" i="1"/>
  <c r="C31" i="76" a="1"/>
  <c r="C31" i="76" s="1"/>
  <c r="CK34" i="1"/>
  <c r="CK101" i="1"/>
  <c r="CK52" i="1"/>
  <c r="CK95" i="1"/>
  <c r="CK98" i="1"/>
  <c r="CK70" i="1"/>
  <c r="CK58" i="1"/>
  <c r="CK13" i="1"/>
  <c r="CK122" i="1"/>
  <c r="CK126" i="1"/>
  <c r="CK152" i="1"/>
  <c r="CK17" i="1"/>
  <c r="CK143" i="1"/>
  <c r="C52" i="76" a="1"/>
  <c r="C52" i="76" s="1"/>
  <c r="CK54" i="1"/>
  <c r="CK106" i="1"/>
  <c r="C125" i="76" a="1"/>
  <c r="C125" i="76" s="1"/>
  <c r="C147" i="76" a="1"/>
  <c r="C147" i="76" s="1"/>
  <c r="C53" i="76" a="1"/>
  <c r="C53" i="76" s="1"/>
  <c r="C48" i="76" a="1"/>
  <c r="C48" i="76" s="1"/>
  <c r="C84" i="76" a="1"/>
  <c r="C84" i="76" s="1"/>
  <c r="C168" i="76" a="1"/>
  <c r="C168" i="76" s="1"/>
  <c r="C139" i="76" a="1"/>
  <c r="C139" i="76" s="1"/>
  <c r="C136" i="76" a="1"/>
  <c r="C136" i="76" s="1"/>
  <c r="C172" i="76" a="1"/>
  <c r="C172" i="76" s="1"/>
  <c r="C107" i="76" a="1"/>
  <c r="C107" i="76" s="1"/>
  <c r="C143" i="76" a="1"/>
  <c r="C143" i="76" s="1"/>
  <c r="C165" i="76" a="1"/>
  <c r="C165" i="76" s="1"/>
  <c r="C157" i="76" a="1"/>
  <c r="C157" i="76" s="1"/>
  <c r="C98" i="76" a="1"/>
  <c r="C98" i="76" s="1"/>
  <c r="C92" i="76" a="1"/>
  <c r="C92" i="76" s="1"/>
  <c r="C67" i="76" a="1"/>
  <c r="C67" i="76" s="1"/>
  <c r="C149" i="76" a="1"/>
  <c r="C149" i="76" s="1"/>
  <c r="DB136" i="1"/>
  <c r="C138" i="76" a="1"/>
  <c r="C138" i="76" s="1"/>
  <c r="C126" i="76" a="1"/>
  <c r="C126" i="76" s="1"/>
  <c r="C148" i="76" a="1"/>
  <c r="C148" i="76" s="1"/>
  <c r="C100" i="76" a="1"/>
  <c r="C100" i="76" s="1"/>
  <c r="C66" i="76" a="1"/>
  <c r="C66" i="76" s="1"/>
  <c r="C57" i="76" a="1"/>
  <c r="C57" i="76" s="1"/>
  <c r="C15" i="76" a="1"/>
  <c r="C15" i="76" s="1"/>
  <c r="C89" i="76" a="1"/>
  <c r="C89" i="76" s="1"/>
  <c r="C73" i="76" a="1"/>
  <c r="C73" i="76" s="1"/>
  <c r="C49" i="76" a="1"/>
  <c r="C49" i="76" s="1"/>
  <c r="C81" i="76" a="1"/>
  <c r="C81" i="76" s="1"/>
  <c r="C47" i="76" a="1"/>
  <c r="C47" i="76" s="1"/>
  <c r="C65" i="76" a="1"/>
  <c r="C65" i="76" s="1"/>
  <c r="C85" i="76" a="1"/>
  <c r="C85" i="76" s="1"/>
  <c r="C121" i="76" a="1"/>
  <c r="C121" i="76" s="1"/>
  <c r="C102" i="76" a="1"/>
  <c r="C102" i="76" s="1"/>
  <c r="C23" i="76" a="1"/>
  <c r="C23" i="76" s="1"/>
  <c r="C169" i="76" a="1"/>
  <c r="C169" i="76" s="1"/>
  <c r="C79" i="76" a="1"/>
  <c r="C79" i="76" s="1"/>
  <c r="C116" i="76" a="1"/>
  <c r="C116" i="76" s="1"/>
  <c r="C26" i="76" a="1"/>
  <c r="C26" i="76" s="1"/>
  <c r="C9" i="76" a="1"/>
  <c r="C9" i="76" s="1"/>
  <c r="C151" i="76" a="1"/>
  <c r="C151" i="76" s="1"/>
  <c r="C82" i="76" a="1"/>
  <c r="C82" i="76" s="1"/>
  <c r="C36" i="76" a="1"/>
  <c r="C36" i="76" s="1"/>
  <c r="C24" i="76" a="1"/>
  <c r="C24" i="76" s="1"/>
  <c r="C58" i="76" a="1"/>
  <c r="C58" i="76" s="1"/>
  <c r="C140" i="76" a="1"/>
  <c r="C140" i="76" s="1"/>
  <c r="C5" i="76" a="1"/>
  <c r="C5" i="76" s="1"/>
  <c r="C21" i="76" a="1"/>
  <c r="C21" i="76" s="1"/>
  <c r="C174" i="76" a="1"/>
  <c r="C174" i="76" s="1"/>
  <c r="C87" i="76" a="1"/>
  <c r="C87" i="76" s="1"/>
  <c r="C20" i="76" a="1"/>
  <c r="C20" i="76" s="1"/>
  <c r="C95" i="76" a="1"/>
  <c r="C95" i="76" s="1"/>
  <c r="C90" i="76" a="1"/>
  <c r="C90" i="76" s="1"/>
  <c r="C77" i="76" a="1"/>
  <c r="C77" i="76" s="1"/>
  <c r="C30" i="76" a="1"/>
  <c r="C30" i="76" s="1"/>
  <c r="C123" i="76" a="1"/>
  <c r="C123" i="76" s="1"/>
  <c r="C119" i="76" a="1"/>
  <c r="C119" i="76" s="1"/>
  <c r="C72" i="76" a="1"/>
  <c r="C72" i="76" s="1"/>
  <c r="C25" i="76" a="1"/>
  <c r="C25" i="76" s="1"/>
  <c r="C133" i="76" a="1"/>
  <c r="C133" i="76" s="1"/>
  <c r="C83" i="76" a="1"/>
  <c r="C83" i="76" s="1"/>
  <c r="C4" i="76" a="1"/>
  <c r="C4" i="76" s="1"/>
  <c r="C71" i="76" a="1"/>
  <c r="C71" i="76" s="1"/>
  <c r="C108" i="76" a="1"/>
  <c r="C108" i="76" s="1"/>
  <c r="C144" i="76" a="1"/>
  <c r="C144" i="76" s="1"/>
  <c r="C62" i="76" a="1"/>
  <c r="C62" i="76" s="1"/>
  <c r="C46" i="76" a="1"/>
  <c r="C46" i="76" s="1"/>
  <c r="C17" i="76" a="1"/>
  <c r="C17" i="76" s="1"/>
  <c r="C42" i="76" a="1"/>
  <c r="C42" i="76" s="1"/>
  <c r="C155" i="76" a="1"/>
  <c r="C155" i="76" s="1"/>
  <c r="C35" i="76" a="1"/>
  <c r="C35" i="76" s="1"/>
  <c r="C166" i="76" a="1"/>
  <c r="C166" i="76" s="1"/>
  <c r="C158" i="76" a="1"/>
  <c r="C158" i="76" s="1"/>
  <c r="C50" i="76" a="1"/>
  <c r="C50" i="76" s="1"/>
  <c r="C93" i="76" a="1"/>
  <c r="C93" i="76" s="1"/>
  <c r="C96" i="76" a="1"/>
  <c r="C96" i="76" s="1"/>
  <c r="C68" i="76" a="1"/>
  <c r="C68" i="76" s="1"/>
  <c r="C22" i="76" a="1"/>
  <c r="C22" i="76" s="1"/>
  <c r="C56" i="76" a="1"/>
  <c r="C56" i="76" s="1"/>
  <c r="C10" i="76" a="1"/>
  <c r="C10" i="76" s="1"/>
  <c r="C38" i="76" a="1"/>
  <c r="C38" i="76" s="1"/>
  <c r="C124" i="76" a="1"/>
  <c r="C124" i="76" s="1"/>
  <c r="C150" i="76" a="1"/>
  <c r="C150" i="76" s="1"/>
  <c r="C141" i="76" a="1"/>
  <c r="C141" i="76" s="1"/>
  <c r="C104" i="76" a="1"/>
  <c r="C104" i="76" s="1"/>
  <c r="DA152" i="1"/>
  <c r="DC152" i="1" s="1"/>
  <c r="F33" i="57"/>
  <c r="I33" i="57" s="1"/>
  <c r="L33" i="57" s="1"/>
  <c r="O33" i="57" s="1"/>
  <c r="F29" i="57"/>
  <c r="I29" i="57" s="1"/>
  <c r="L29" i="57" s="1"/>
  <c r="O29" i="57" s="1"/>
  <c r="F30" i="57"/>
  <c r="I30" i="57" s="1"/>
  <c r="L30" i="57" s="1"/>
  <c r="O30" i="57" s="1"/>
  <c r="F27" i="57"/>
  <c r="I27" i="57" s="1"/>
  <c r="F31" i="57"/>
  <c r="I31" i="57" s="1"/>
  <c r="L31" i="57" s="1"/>
  <c r="O31" i="57" s="1"/>
  <c r="DA122" i="1"/>
  <c r="DC122" i="1" s="1"/>
  <c r="DA25" i="1"/>
  <c r="DC25" i="1" s="1"/>
  <c r="DA181" i="1"/>
  <c r="DC181" i="1" s="1"/>
  <c r="DA119" i="1"/>
  <c r="DC119" i="1" s="1"/>
  <c r="DA58" i="1"/>
  <c r="DC58" i="1" s="1"/>
  <c r="DA169" i="1"/>
  <c r="DC169" i="1" s="1"/>
  <c r="DA149" i="1"/>
  <c r="DC149" i="1" s="1"/>
  <c r="DB90" i="1"/>
  <c r="DA50" i="1"/>
  <c r="DC50" i="1" s="1"/>
  <c r="DA45" i="1"/>
  <c r="DC45" i="1" s="1"/>
  <c r="DA106" i="1"/>
  <c r="DC106" i="1" s="1"/>
  <c r="DA54" i="1"/>
  <c r="DC54" i="1" s="1"/>
  <c r="DA143" i="1"/>
  <c r="DC143" i="1" s="1"/>
  <c r="DA21" i="1"/>
  <c r="DC21" i="1" s="1"/>
  <c r="DA140" i="1"/>
  <c r="DC140" i="1" s="1"/>
  <c r="DA184" i="1"/>
  <c r="DC184" i="1" s="1"/>
  <c r="DA154" i="1"/>
  <c r="DC154" i="1" s="1"/>
  <c r="DA86" i="1"/>
  <c r="DC86" i="1" s="1"/>
  <c r="DA41" i="1"/>
  <c r="DC41" i="1" s="1"/>
  <c r="DA177" i="1"/>
  <c r="DC177" i="1" s="1"/>
  <c r="DA13" i="1"/>
  <c r="DC13" i="1" s="1"/>
  <c r="DA78" i="1"/>
  <c r="DC78" i="1" s="1"/>
  <c r="DA70" i="1"/>
  <c r="DC70" i="1" s="1"/>
  <c r="DA98" i="1"/>
  <c r="DC98" i="1" s="1"/>
  <c r="DA74" i="1"/>
  <c r="DC74" i="1" s="1"/>
  <c r="DA111" i="1"/>
  <c r="DC111" i="1" s="1"/>
  <c r="DA131" i="1"/>
  <c r="DC131" i="1" s="1"/>
  <c r="DA103" i="1"/>
  <c r="DC103" i="1" s="1"/>
  <c r="DA82" i="1"/>
  <c r="DC82" i="1" s="1"/>
  <c r="DA37" i="1"/>
  <c r="DC37" i="1" s="1"/>
  <c r="DA94" i="1"/>
  <c r="DC94" i="1" s="1"/>
  <c r="DA28" i="1"/>
  <c r="DC28" i="1" s="1"/>
  <c r="DA129" i="1"/>
  <c r="DC129" i="1" s="1"/>
  <c r="DA48" i="1"/>
  <c r="DC48" i="1" s="1"/>
  <c r="DA36" i="1"/>
  <c r="DC36" i="1" s="1"/>
  <c r="DA135" i="1"/>
  <c r="DC135" i="1" s="1"/>
  <c r="DA147" i="1"/>
  <c r="DC147" i="1" s="1"/>
  <c r="DA7" i="1"/>
  <c r="DC7" i="1" s="1"/>
  <c r="DA132" i="1"/>
  <c r="DC132" i="1" s="1"/>
  <c r="A4" i="80" a="1"/>
  <c r="H295" i="80" s="1"/>
  <c r="DA139" i="1"/>
  <c r="DC139" i="1" s="1"/>
  <c r="DA19" i="1"/>
  <c r="DC19" i="1" s="1"/>
  <c r="DA24" i="1"/>
  <c r="DC24" i="1" s="1"/>
  <c r="DA125" i="1"/>
  <c r="DC125" i="1" s="1"/>
  <c r="DA157" i="1"/>
  <c r="DC157" i="1" s="1"/>
  <c r="DA85" i="1"/>
  <c r="DC85" i="1" s="1"/>
  <c r="DA10" i="1"/>
  <c r="DC10" i="1" s="1"/>
  <c r="DA65" i="1"/>
  <c r="DC65" i="1" s="1"/>
  <c r="DA153" i="1"/>
  <c r="DC153" i="1" s="1"/>
  <c r="DA76" i="1"/>
  <c r="DC76" i="1" s="1"/>
  <c r="DA80" i="1"/>
  <c r="DC80" i="1" s="1"/>
  <c r="DA160" i="1"/>
  <c r="DC160" i="1" s="1"/>
  <c r="I34" i="57"/>
  <c r="L34" i="57" s="1"/>
  <c r="O34" i="57" s="1"/>
  <c r="DA60" i="1"/>
  <c r="DC60" i="1" s="1"/>
  <c r="DA148" i="1"/>
  <c r="DC148" i="1" s="1"/>
  <c r="DA35" i="1"/>
  <c r="DC35" i="1" s="1"/>
  <c r="DA44" i="1"/>
  <c r="DC44" i="1" s="1"/>
  <c r="DA179" i="1"/>
  <c r="DC179" i="1" s="1"/>
  <c r="DA8" i="1"/>
  <c r="DC8" i="1" s="1"/>
  <c r="DA107" i="1"/>
  <c r="DC107" i="1" s="1"/>
  <c r="DA142" i="1"/>
  <c r="DC142" i="1" s="1"/>
  <c r="DA72" i="1"/>
  <c r="DC72" i="1" s="1"/>
  <c r="DA64" i="1"/>
  <c r="DC64" i="1" s="1"/>
  <c r="DA15" i="1"/>
  <c r="DC15" i="1" s="1"/>
  <c r="DA145" i="1"/>
  <c r="DC145" i="1" s="1"/>
  <c r="CV179" i="1"/>
  <c r="DA39" i="1"/>
  <c r="DC39" i="1" s="1"/>
  <c r="DA47" i="1"/>
  <c r="DC47" i="1" s="1"/>
  <c r="CV65" i="1"/>
  <c r="DA113" i="1"/>
  <c r="DC113" i="1" s="1"/>
  <c r="DA88" i="1"/>
  <c r="DC88" i="1" s="1"/>
  <c r="DA118" i="1"/>
  <c r="DC118" i="1" s="1"/>
  <c r="DA27" i="1"/>
  <c r="DC27" i="1" s="1"/>
  <c r="DA117" i="1"/>
  <c r="DC117" i="1" s="1"/>
  <c r="DA68" i="1"/>
  <c r="DC68" i="1" s="1"/>
  <c r="DA92" i="1"/>
  <c r="DC92" i="1" s="1"/>
  <c r="DA159" i="1"/>
  <c r="DC159" i="1" s="1"/>
  <c r="DA12" i="1"/>
  <c r="DC12" i="1" s="1"/>
  <c r="DA130" i="1"/>
  <c r="DC130" i="1" s="1"/>
  <c r="DA97" i="1"/>
  <c r="DC97" i="1" s="1"/>
  <c r="DA53" i="1"/>
  <c r="DC53" i="1" s="1"/>
  <c r="DA171" i="1"/>
  <c r="DC171" i="1" s="1"/>
  <c r="DA73" i="1"/>
  <c r="DC73" i="1" s="1"/>
  <c r="DA138" i="1"/>
  <c r="DC138" i="1" s="1"/>
  <c r="DA16" i="1"/>
  <c r="DC16" i="1" s="1"/>
  <c r="DA110" i="1"/>
  <c r="DC110" i="1" s="1"/>
  <c r="DA124" i="1"/>
  <c r="DC124" i="1" s="1"/>
  <c r="DA114" i="1"/>
  <c r="DC114" i="1" s="1"/>
  <c r="DA52" i="1"/>
  <c r="DC52" i="1" s="1"/>
  <c r="DA40" i="1"/>
  <c r="DC40" i="1" s="1"/>
  <c r="DA84" i="1"/>
  <c r="DC84" i="1" s="1"/>
  <c r="DA167" i="1"/>
  <c r="DC167" i="1" s="1"/>
  <c r="DA104" i="1"/>
  <c r="DC104" i="1" s="1"/>
  <c r="DA121" i="1"/>
  <c r="DC121" i="1" s="1"/>
  <c r="DA96" i="1"/>
  <c r="DC96" i="1" s="1"/>
  <c r="DA11" i="1"/>
  <c r="DC11" i="1" s="1"/>
  <c r="DA57" i="1"/>
  <c r="DC57" i="1" s="1"/>
  <c r="DA31" i="1"/>
  <c r="DC31" i="1" s="1"/>
  <c r="CV11" i="1"/>
  <c r="DA146" i="1"/>
  <c r="DC146" i="1" s="1"/>
  <c r="DA108" i="1"/>
  <c r="DC108" i="1" s="1"/>
  <c r="DA77" i="1"/>
  <c r="DC77" i="1" s="1"/>
  <c r="DA175" i="1"/>
  <c r="DC175" i="1" s="1"/>
  <c r="DA46" i="1"/>
  <c r="DC46" i="1" s="1"/>
  <c r="DA32" i="1"/>
  <c r="DC32" i="1" s="1"/>
  <c r="F26" i="57"/>
  <c r="I26" i="57" s="1"/>
  <c r="L26" i="57" s="1"/>
  <c r="DA56" i="1"/>
  <c r="DC56" i="1" s="1"/>
  <c r="DA100" i="1"/>
  <c r="DC100" i="1" s="1"/>
  <c r="DA79" i="1"/>
  <c r="DC79" i="1" s="1"/>
  <c r="DA49" i="1"/>
  <c r="DC49" i="1" s="1"/>
  <c r="DA63" i="1"/>
  <c r="DC63" i="1" s="1"/>
  <c r="DA99" i="1"/>
  <c r="DC99" i="1" s="1"/>
  <c r="CV99" i="1"/>
  <c r="DA18" i="1"/>
  <c r="DC18" i="1" s="1"/>
  <c r="DA95" i="1"/>
  <c r="DC95" i="1" s="1"/>
  <c r="DA91" i="1"/>
  <c r="DC91" i="1" s="1"/>
  <c r="DA42" i="1"/>
  <c r="DC42" i="1" s="1"/>
  <c r="DA34" i="1"/>
  <c r="DC34" i="1" s="1"/>
  <c r="DA67" i="1"/>
  <c r="DC67" i="1" s="1"/>
  <c r="DA83" i="1"/>
  <c r="DC83" i="1" s="1"/>
  <c r="DA61" i="1"/>
  <c r="DC61" i="1" s="1"/>
  <c r="DA22" i="1"/>
  <c r="DC22" i="1" s="1"/>
  <c r="DA6" i="1"/>
  <c r="DC6" i="1" s="1"/>
  <c r="DA14" i="1"/>
  <c r="DC14" i="1" s="1"/>
  <c r="DA71" i="1"/>
  <c r="DC71" i="1" s="1"/>
  <c r="DA30" i="1"/>
  <c r="DC30" i="1" s="1"/>
  <c r="DA55" i="1"/>
  <c r="DC55" i="1" s="1"/>
  <c r="DA26" i="1"/>
  <c r="DC26" i="1" s="1"/>
  <c r="DA59" i="1"/>
  <c r="DC59" i="1" s="1"/>
  <c r="DA51" i="1"/>
  <c r="DC51" i="1" s="1"/>
  <c r="DA87" i="1"/>
  <c r="DC87" i="1" s="1"/>
  <c r="DA102" i="1"/>
  <c r="DC102" i="1" s="1"/>
  <c r="DA75" i="1"/>
  <c r="DC75" i="1" s="1"/>
  <c r="DA93" i="1"/>
  <c r="DC93" i="1" s="1"/>
  <c r="DA38" i="1"/>
  <c r="DC38" i="1" s="1"/>
  <c r="DA81" i="1"/>
  <c r="DC81" i="1" s="1"/>
  <c r="DA89" i="1"/>
  <c r="DC89" i="1" s="1"/>
  <c r="DA69" i="1"/>
  <c r="DC69" i="1" s="1"/>
  <c r="DA101" i="1"/>
  <c r="DC101" i="1" s="1"/>
  <c r="I28" i="57"/>
  <c r="L28" i="57" s="1"/>
  <c r="O28" i="57" s="1"/>
  <c r="CH73" i="1" l="1"/>
  <c r="C70" i="76" s="1" a="1"/>
  <c r="C70" i="76" s="1"/>
  <c r="CH176" i="1"/>
  <c r="C173" i="76" s="1" a="1"/>
  <c r="C173" i="76" s="1"/>
  <c r="C59" i="76" a="1"/>
  <c r="C59" i="76" s="1"/>
  <c r="C194" i="76" a="1"/>
  <c r="C194" i="76" s="1"/>
  <c r="CH32" i="1"/>
  <c r="C29" i="76" s="1" a="1"/>
  <c r="C29" i="76" s="1"/>
  <c r="CH123" i="1"/>
  <c r="CH17" i="1"/>
  <c r="C14" i="76" s="1" a="1"/>
  <c r="C14" i="76" s="1"/>
  <c r="CH9" i="1"/>
  <c r="C6" i="76" s="1" a="1"/>
  <c r="C6" i="76" s="1"/>
  <c r="CH106" i="1"/>
  <c r="C103" i="76" s="1" a="1"/>
  <c r="C103" i="76" s="1"/>
  <c r="CH157" i="1"/>
  <c r="C154" i="76" s="1" a="1"/>
  <c r="C154" i="76" s="1"/>
  <c r="CH89" i="1"/>
  <c r="C86" i="76" s="1" a="1"/>
  <c r="C86" i="76" s="1"/>
  <c r="CH118" i="1"/>
  <c r="C115" i="76" s="1" a="1"/>
  <c r="C115" i="76" s="1"/>
  <c r="CH117" i="1"/>
  <c r="C114" i="76" s="1" a="1"/>
  <c r="C114" i="76" s="1"/>
  <c r="CH46" i="1"/>
  <c r="C43" i="76" s="1" a="1"/>
  <c r="C43" i="76" s="1"/>
  <c r="CH94" i="1"/>
  <c r="C91" i="76" s="1" a="1"/>
  <c r="C91" i="76" s="1"/>
  <c r="CH135" i="1"/>
  <c r="C132" i="76" s="1" a="1"/>
  <c r="C132" i="76" s="1"/>
  <c r="CH16" i="1"/>
  <c r="C13" i="76" s="1" a="1"/>
  <c r="C13" i="76" s="1"/>
  <c r="CH44" i="1"/>
  <c r="CH79" i="1"/>
  <c r="C76" i="76" s="1" a="1"/>
  <c r="C76" i="76" s="1"/>
  <c r="CH104" i="1"/>
  <c r="C101" i="76" s="1" a="1"/>
  <c r="C101" i="76" s="1"/>
  <c r="CH102" i="1"/>
  <c r="C99" i="76" s="1" a="1"/>
  <c r="C99" i="76" s="1"/>
  <c r="L27" i="57"/>
  <c r="O27" i="57" s="1"/>
  <c r="A4" i="80"/>
  <c r="G12" i="80"/>
  <c r="G4" i="80"/>
  <c r="G105" i="80"/>
  <c r="G106" i="80"/>
  <c r="G107" i="80"/>
  <c r="G110" i="80"/>
  <c r="G112" i="80"/>
  <c r="G113" i="80"/>
  <c r="G116" i="80"/>
  <c r="G117" i="80"/>
  <c r="G122" i="80"/>
  <c r="G124" i="80"/>
  <c r="G125" i="80"/>
  <c r="G128" i="80"/>
  <c r="G129" i="80"/>
  <c r="G136" i="80"/>
  <c r="G137" i="80"/>
  <c r="G139" i="80"/>
  <c r="G140" i="80"/>
  <c r="G141" i="80"/>
  <c r="G142" i="80"/>
  <c r="G144" i="80"/>
  <c r="G145" i="80"/>
  <c r="G148" i="80"/>
  <c r="G149" i="80"/>
  <c r="G152" i="80"/>
  <c r="G153" i="80"/>
  <c r="G154" i="80"/>
  <c r="G155" i="80"/>
  <c r="G166" i="80"/>
  <c r="G168" i="80"/>
  <c r="G169" i="80"/>
  <c r="G176" i="80"/>
  <c r="G177" i="80"/>
  <c r="G178" i="80"/>
  <c r="G180" i="80"/>
  <c r="G181" i="80"/>
  <c r="G192" i="80"/>
  <c r="G193" i="80"/>
  <c r="G194" i="80"/>
  <c r="G198" i="80"/>
  <c r="G199" i="80"/>
  <c r="G208" i="80"/>
  <c r="G209" i="80"/>
  <c r="G211" i="80"/>
  <c r="G218" i="80"/>
  <c r="G220" i="80"/>
  <c r="G221" i="80"/>
  <c r="G224" i="80"/>
  <c r="G225" i="80"/>
  <c r="G226" i="80"/>
  <c r="G227" i="80"/>
  <c r="G228" i="80"/>
  <c r="G229" i="80"/>
  <c r="G238" i="80"/>
  <c r="G240" i="80"/>
  <c r="G241" i="80"/>
  <c r="G242" i="80"/>
  <c r="G243" i="80"/>
  <c r="G244" i="80"/>
  <c r="G245" i="80"/>
  <c r="G251" i="80"/>
  <c r="G259" i="80"/>
  <c r="G260" i="80"/>
  <c r="G261" i="80"/>
  <c r="G264" i="80"/>
  <c r="G265" i="80"/>
  <c r="G271" i="80"/>
  <c r="G272" i="80"/>
  <c r="G273" i="80"/>
  <c r="G274" i="80"/>
  <c r="G275" i="80"/>
  <c r="G288" i="80"/>
  <c r="G289" i="80"/>
  <c r="G290" i="80"/>
  <c r="G292" i="80"/>
  <c r="G293" i="80"/>
  <c r="G300" i="80"/>
  <c r="G301" i="80"/>
  <c r="G306" i="80"/>
  <c r="G315" i="80"/>
  <c r="G319" i="80"/>
  <c r="G320" i="80"/>
  <c r="G321" i="80"/>
  <c r="G323" i="80"/>
  <c r="G324" i="80"/>
  <c r="G325" i="80"/>
  <c r="G328" i="80"/>
  <c r="G329" i="80"/>
  <c r="G330" i="80"/>
  <c r="G336" i="80"/>
  <c r="G337" i="80"/>
  <c r="G338" i="80"/>
  <c r="G343" i="80"/>
  <c r="G348" i="80"/>
  <c r="G349" i="80"/>
  <c r="G354" i="80"/>
  <c r="G355" i="80"/>
  <c r="G356" i="80"/>
  <c r="G357" i="80"/>
  <c r="G372" i="80"/>
  <c r="G373" i="80"/>
  <c r="G384" i="80"/>
  <c r="G385" i="80"/>
  <c r="G396" i="80"/>
  <c r="G397" i="80"/>
  <c r="G398" i="80"/>
  <c r="G399" i="80"/>
  <c r="G400" i="80"/>
  <c r="G401" i="80"/>
  <c r="G402" i="80"/>
  <c r="G403" i="80"/>
  <c r="G407" i="80"/>
  <c r="G410" i="80"/>
  <c r="G412" i="80"/>
  <c r="G413" i="80"/>
  <c r="G414" i="80"/>
  <c r="G420" i="80"/>
  <c r="G421" i="80"/>
  <c r="G423" i="80"/>
  <c r="G424" i="80"/>
  <c r="G425" i="80"/>
  <c r="G426" i="80"/>
  <c r="G428" i="80"/>
  <c r="G429" i="80"/>
  <c r="G436" i="80"/>
  <c r="G437" i="80"/>
  <c r="G438" i="80"/>
  <c r="G439" i="80"/>
  <c r="G440" i="80"/>
  <c r="G441" i="80"/>
  <c r="G442" i="80"/>
  <c r="G446" i="80"/>
  <c r="G448" i="80"/>
  <c r="G449" i="80"/>
  <c r="G452" i="80"/>
  <c r="G453" i="80"/>
  <c r="G454" i="80"/>
  <c r="G455" i="80"/>
  <c r="G456" i="80"/>
  <c r="G457" i="80"/>
  <c r="G459" i="80"/>
  <c r="G464" i="80"/>
  <c r="G465" i="80"/>
  <c r="G466" i="80"/>
  <c r="G467" i="80"/>
  <c r="G468" i="80"/>
  <c r="G469" i="80"/>
  <c r="G471" i="80"/>
  <c r="G472" i="80"/>
  <c r="G473" i="80"/>
  <c r="G479" i="80"/>
  <c r="G480" i="80"/>
  <c r="G481" i="80"/>
  <c r="G482" i="80"/>
  <c r="G483" i="80"/>
  <c r="G484" i="80"/>
  <c r="G485" i="80"/>
  <c r="G486" i="80"/>
  <c r="G487" i="80"/>
  <c r="G488" i="80"/>
  <c r="G489" i="80"/>
  <c r="G491" i="80"/>
  <c r="G492" i="80"/>
  <c r="G493" i="80"/>
  <c r="G494" i="80"/>
  <c r="G495" i="80"/>
  <c r="G500" i="80"/>
  <c r="G501" i="80"/>
  <c r="G502" i="80"/>
  <c r="G503" i="80"/>
  <c r="G504" i="80"/>
  <c r="G505" i="80"/>
  <c r="G508" i="80"/>
  <c r="G509" i="80"/>
  <c r="G510" i="80"/>
  <c r="G511" i="80"/>
  <c r="G512" i="80"/>
  <c r="G513" i="80"/>
  <c r="G515" i="80"/>
  <c r="G516" i="80"/>
  <c r="G517" i="80"/>
  <c r="G520" i="80"/>
  <c r="G521" i="80"/>
  <c r="G522" i="80"/>
  <c r="G523" i="80"/>
  <c r="G524" i="80"/>
  <c r="G525" i="80"/>
  <c r="G526" i="80"/>
  <c r="G527" i="80"/>
  <c r="G536" i="80"/>
  <c r="G537" i="80"/>
  <c r="G540" i="80"/>
  <c r="G541" i="80"/>
  <c r="G542" i="80"/>
  <c r="G543" i="80"/>
  <c r="G548" i="80"/>
  <c r="G549" i="80"/>
  <c r="G552" i="80"/>
  <c r="G553" i="80"/>
  <c r="G554" i="80"/>
  <c r="G555" i="80"/>
  <c r="G556" i="80"/>
  <c r="G557" i="80"/>
  <c r="G559" i="80"/>
  <c r="G562" i="80"/>
  <c r="G567" i="80"/>
  <c r="G568" i="80"/>
  <c r="G569" i="80"/>
  <c r="G570" i="80"/>
  <c r="G572" i="80"/>
  <c r="G573" i="80"/>
  <c r="G574" i="80"/>
  <c r="G576" i="80"/>
  <c r="G577" i="80"/>
  <c r="G579" i="80"/>
  <c r="G580" i="80"/>
  <c r="G581" i="80"/>
  <c r="G582" i="80"/>
  <c r="G583" i="80"/>
  <c r="G584" i="80"/>
  <c r="G585" i="80"/>
  <c r="G586" i="80"/>
  <c r="G588" i="80"/>
  <c r="G589" i="80"/>
  <c r="G592" i="80"/>
  <c r="G593" i="80"/>
  <c r="G594" i="80"/>
  <c r="G595" i="80"/>
  <c r="G596" i="80"/>
  <c r="G597" i="80"/>
  <c r="G598" i="80"/>
  <c r="G599" i="80"/>
  <c r="G600" i="80"/>
  <c r="G601" i="80"/>
  <c r="G602" i="80"/>
  <c r="G603" i="80"/>
  <c r="G604" i="80"/>
  <c r="G605" i="80"/>
  <c r="G606" i="80"/>
  <c r="G608" i="80"/>
  <c r="G609" i="80"/>
  <c r="G610" i="80"/>
  <c r="G611" i="80"/>
  <c r="G612" i="80"/>
  <c r="G613" i="80"/>
  <c r="G620" i="80"/>
  <c r="G621" i="80"/>
  <c r="G623" i="80"/>
  <c r="G624" i="80"/>
  <c r="G625" i="80"/>
  <c r="G626" i="80"/>
  <c r="G627" i="80"/>
  <c r="G628" i="80"/>
  <c r="G629" i="80"/>
  <c r="G630" i="80"/>
  <c r="G631" i="80"/>
  <c r="G632" i="80"/>
  <c r="G633" i="80"/>
  <c r="G636" i="80"/>
  <c r="G637" i="80"/>
  <c r="G640" i="80"/>
  <c r="G641" i="80"/>
  <c r="G642" i="80"/>
  <c r="G643" i="80"/>
  <c r="G644" i="80"/>
  <c r="G645" i="80"/>
  <c r="G646" i="80"/>
  <c r="G647" i="80"/>
  <c r="G648" i="80"/>
  <c r="G649" i="80"/>
  <c r="G650" i="80"/>
  <c r="G652" i="80"/>
  <c r="G653" i="80"/>
  <c r="G655" i="80"/>
  <c r="G656" i="80"/>
  <c r="G657" i="80"/>
  <c r="G658" i="80"/>
  <c r="G659" i="80"/>
  <c r="G662" i="80"/>
  <c r="G663" i="80"/>
  <c r="G664" i="80"/>
  <c r="G665" i="80"/>
  <c r="G668" i="80"/>
  <c r="G669" i="80"/>
  <c r="G670" i="80"/>
  <c r="G671" i="80"/>
  <c r="G672" i="80"/>
  <c r="G673" i="80"/>
  <c r="G674" i="80"/>
  <c r="G675" i="80"/>
  <c r="G680" i="80"/>
  <c r="G681" i="80"/>
  <c r="G684" i="80"/>
  <c r="G685" i="80"/>
  <c r="G686" i="80"/>
  <c r="G687" i="80"/>
  <c r="G688" i="80"/>
  <c r="G689" i="80"/>
  <c r="G690" i="80"/>
  <c r="G691" i="80"/>
  <c r="G696" i="80"/>
  <c r="G697" i="80"/>
  <c r="G698" i="80"/>
  <c r="G700" i="80"/>
  <c r="G701" i="80"/>
  <c r="G702" i="80"/>
  <c r="G703" i="80"/>
  <c r="G704" i="80"/>
  <c r="G705" i="80"/>
  <c r="G706" i="80"/>
  <c r="G708" i="80"/>
  <c r="G709" i="80"/>
  <c r="G710" i="80"/>
  <c r="G711" i="80"/>
  <c r="G22" i="80"/>
  <c r="G27" i="80"/>
  <c r="G28" i="80"/>
  <c r="G29" i="80"/>
  <c r="G30" i="80"/>
  <c r="G34" i="80"/>
  <c r="G40" i="80"/>
  <c r="G41" i="80"/>
  <c r="G42" i="80"/>
  <c r="G44" i="80"/>
  <c r="G45" i="80"/>
  <c r="G48" i="80"/>
  <c r="G49" i="80"/>
  <c r="G52" i="80"/>
  <c r="G53" i="80"/>
  <c r="G56" i="80"/>
  <c r="G57" i="80"/>
  <c r="G58" i="80"/>
  <c r="G59" i="80"/>
  <c r="G60" i="80"/>
  <c r="G61" i="80"/>
  <c r="G64" i="80"/>
  <c r="G65" i="80"/>
  <c r="G74" i="80"/>
  <c r="G75" i="80"/>
  <c r="G76" i="80"/>
  <c r="G77" i="80"/>
  <c r="G82" i="80"/>
  <c r="G83" i="80"/>
  <c r="G86" i="80"/>
  <c r="G87" i="80"/>
  <c r="G88" i="80"/>
  <c r="G89" i="80"/>
  <c r="G90" i="80"/>
  <c r="G92" i="80"/>
  <c r="G93" i="80"/>
  <c r="G94" i="80"/>
  <c r="G98" i="80"/>
  <c r="G102" i="80"/>
  <c r="G104" i="80"/>
  <c r="G15" i="80"/>
  <c r="G5" i="80"/>
  <c r="G13" i="80"/>
  <c r="G666" i="80"/>
  <c r="G667" i="80"/>
  <c r="G682" i="80"/>
  <c r="G683" i="80"/>
  <c r="G654" i="80"/>
  <c r="G622" i="80"/>
  <c r="G578" i="80"/>
  <c r="G538" i="80"/>
  <c r="G539" i="80"/>
  <c r="G550" i="80"/>
  <c r="G551" i="80"/>
  <c r="G255" i="80"/>
  <c r="G303" i="80"/>
  <c r="G351" i="80"/>
  <c r="G490" i="80"/>
  <c r="G207" i="80"/>
  <c r="G374" i="80"/>
  <c r="G342" i="80"/>
  <c r="G327" i="80"/>
  <c r="G279" i="80"/>
  <c r="G247" i="80"/>
  <c r="G215" i="80"/>
  <c r="G143" i="80"/>
  <c r="G95" i="80"/>
  <c r="G63" i="80"/>
  <c r="G31" i="80"/>
  <c r="G358" i="80"/>
  <c r="G310" i="80"/>
  <c r="G262" i="80"/>
  <c r="G230" i="80"/>
  <c r="G283" i="80"/>
  <c r="G99" i="80"/>
  <c r="G158" i="80"/>
  <c r="G159" i="80"/>
  <c r="G267" i="80"/>
  <c r="G378" i="80"/>
  <c r="G379" i="80"/>
  <c r="G347" i="80"/>
  <c r="G126" i="80"/>
  <c r="G375" i="80"/>
  <c r="G311" i="80"/>
  <c r="G171" i="80"/>
  <c r="G127" i="80"/>
  <c r="G387" i="80"/>
  <c r="G62" i="80"/>
  <c r="G359" i="80"/>
  <c r="G7" i="80"/>
  <c r="G111" i="80"/>
  <c r="G182" i="80"/>
  <c r="G170" i="80"/>
  <c r="G6" i="80"/>
  <c r="G46" i="80"/>
  <c r="G371" i="80"/>
  <c r="G131" i="80"/>
  <c r="G115" i="80"/>
  <c r="G51" i="80"/>
  <c r="G395" i="80"/>
  <c r="G531" i="80"/>
  <c r="G615" i="80"/>
  <c r="G362" i="80"/>
  <c r="G346" i="80"/>
  <c r="G298" i="80"/>
  <c r="G130" i="80"/>
  <c r="G50" i="80"/>
  <c r="G202" i="80"/>
  <c r="G406" i="80"/>
  <c r="G394" i="80"/>
  <c r="G331" i="80"/>
  <c r="G219" i="80"/>
  <c r="G447" i="80"/>
  <c r="G507" i="80"/>
  <c r="G695" i="80"/>
  <c r="G314" i="80"/>
  <c r="G186" i="80"/>
  <c r="G174" i="80"/>
  <c r="G66" i="80"/>
  <c r="G474" i="80"/>
  <c r="G506" i="80"/>
  <c r="G558" i="80"/>
  <c r="G678" i="80"/>
  <c r="G282" i="80"/>
  <c r="G114" i="80"/>
  <c r="G430" i="80"/>
  <c r="G431" i="80"/>
  <c r="G18" i="80"/>
  <c r="G19" i="80"/>
  <c r="G35" i="80"/>
  <c r="G67" i="80"/>
  <c r="G146" i="80"/>
  <c r="G175" i="80"/>
  <c r="G203" i="80"/>
  <c r="G363" i="80"/>
  <c r="G679" i="80"/>
  <c r="G694" i="80"/>
  <c r="G566" i="80"/>
  <c r="G530" i="80"/>
  <c r="G514" i="80"/>
  <c r="G458" i="80"/>
  <c r="G475" i="80"/>
  <c r="G235" i="80"/>
  <c r="G250" i="80"/>
  <c r="G266" i="80"/>
  <c r="G239" i="80"/>
  <c r="G191" i="80"/>
  <c r="G11" i="80"/>
  <c r="G383" i="80"/>
  <c r="G223" i="80"/>
  <c r="G135" i="80"/>
  <c r="G451" i="80"/>
  <c r="G302" i="80"/>
  <c r="G270" i="80"/>
  <c r="G222" i="80"/>
  <c r="G39" i="80"/>
  <c r="G23" i="80"/>
  <c r="G435" i="80"/>
  <c r="G382" i="80"/>
  <c r="G190" i="80"/>
  <c r="G499" i="80"/>
  <c r="G563" i="80"/>
  <c r="G571" i="80"/>
  <c r="G635" i="80"/>
  <c r="G206" i="80"/>
  <c r="G418" i="80"/>
  <c r="G546" i="80"/>
  <c r="G618" i="80"/>
  <c r="G286" i="80"/>
  <c r="G162" i="80"/>
  <c r="G134" i="80"/>
  <c r="G54" i="80"/>
  <c r="G478" i="80"/>
  <c r="G287" i="80"/>
  <c r="G55" i="80"/>
  <c r="G411" i="80"/>
  <c r="G463" i="80"/>
  <c r="G547" i="80"/>
  <c r="G591" i="80"/>
  <c r="G651" i="80"/>
  <c r="G498" i="80"/>
  <c r="G534" i="80"/>
  <c r="G638" i="80"/>
  <c r="G366" i="80"/>
  <c r="G334" i="80"/>
  <c r="G150" i="80"/>
  <c r="G38" i="80"/>
  <c r="G518" i="80"/>
  <c r="G103" i="80"/>
  <c r="G535" i="80"/>
  <c r="G450" i="80"/>
  <c r="G350" i="80"/>
  <c r="G254" i="80"/>
  <c r="G10" i="80"/>
  <c r="G118" i="80"/>
  <c r="G70" i="80"/>
  <c r="G462" i="80"/>
  <c r="G590" i="80"/>
  <c r="G707" i="80"/>
  <c r="G699" i="80"/>
  <c r="G639" i="80"/>
  <c r="G634" i="80"/>
  <c r="G614" i="80"/>
  <c r="G619" i="80"/>
  <c r="G607" i="80"/>
  <c r="G587" i="80"/>
  <c r="G575" i="80"/>
  <c r="G470" i="80"/>
  <c r="G419" i="80"/>
  <c r="G427" i="80"/>
  <c r="G434" i="80"/>
  <c r="G443" i="80"/>
  <c r="G415" i="80"/>
  <c r="G386" i="80"/>
  <c r="G47" i="80"/>
  <c r="G71" i="80"/>
  <c r="G119" i="80"/>
  <c r="G123" i="80"/>
  <c r="G151" i="80"/>
  <c r="G163" i="80"/>
  <c r="G167" i="80"/>
  <c r="G179" i="80"/>
  <c r="G183" i="80"/>
  <c r="G187" i="80"/>
  <c r="G195" i="80"/>
  <c r="G214" i="80"/>
  <c r="G231" i="80"/>
  <c r="G246" i="80"/>
  <c r="G263" i="80"/>
  <c r="G278" i="80"/>
  <c r="G291" i="80"/>
  <c r="G307" i="80"/>
  <c r="G326" i="80"/>
  <c r="G335" i="80"/>
  <c r="G339" i="80"/>
  <c r="G367" i="80"/>
  <c r="G391" i="80"/>
  <c r="G258" i="80"/>
  <c r="G26" i="80"/>
  <c r="G390" i="80"/>
  <c r="G422" i="80"/>
  <c r="G14" i="80"/>
  <c r="G318" i="80"/>
  <c r="G147" i="80"/>
  <c r="G519" i="80"/>
  <c r="G234" i="80"/>
  <c r="G210" i="80"/>
  <c r="G138" i="80"/>
  <c r="G299" i="80"/>
  <c r="G91" i="80"/>
  <c r="G43" i="80"/>
  <c r="G370" i="80"/>
  <c r="G322" i="80"/>
  <c r="H24" i="80"/>
  <c r="H26" i="80"/>
  <c r="H27" i="80"/>
  <c r="H40" i="80"/>
  <c r="H41" i="80"/>
  <c r="H42" i="80"/>
  <c r="H43" i="80"/>
  <c r="H53" i="80"/>
  <c r="H56" i="80"/>
  <c r="H57" i="80"/>
  <c r="H58" i="80"/>
  <c r="H59" i="80"/>
  <c r="H60" i="80"/>
  <c r="H63" i="80"/>
  <c r="H65" i="80"/>
  <c r="H81" i="80"/>
  <c r="H85" i="80"/>
  <c r="H89" i="80"/>
  <c r="H90" i="80"/>
  <c r="H92" i="80"/>
  <c r="H95" i="80"/>
  <c r="H105" i="80"/>
  <c r="H106" i="80"/>
  <c r="H118" i="80"/>
  <c r="H121" i="80"/>
  <c r="H122" i="80"/>
  <c r="H136" i="80"/>
  <c r="H137" i="80"/>
  <c r="H138" i="80"/>
  <c r="H139" i="80"/>
  <c r="H145" i="80"/>
  <c r="H153" i="80"/>
  <c r="H154" i="80"/>
  <c r="H160" i="80"/>
  <c r="H161" i="80"/>
  <c r="H163" i="80"/>
  <c r="H165" i="80"/>
  <c r="H166" i="80"/>
  <c r="H176" i="80"/>
  <c r="H177" i="80"/>
  <c r="H179" i="80"/>
  <c r="H184" i="80"/>
  <c r="H187" i="80"/>
  <c r="H192" i="80"/>
  <c r="H193" i="80"/>
  <c r="H194" i="80"/>
  <c r="H195" i="80"/>
  <c r="H218" i="80"/>
  <c r="H225" i="80"/>
  <c r="H228" i="80"/>
  <c r="H231" i="80"/>
  <c r="H234" i="80"/>
  <c r="H240" i="80"/>
  <c r="H241" i="80"/>
  <c r="H242" i="80"/>
  <c r="H243" i="80"/>
  <c r="H249" i="80"/>
  <c r="H250" i="80"/>
  <c r="H254" i="80"/>
  <c r="H257" i="80"/>
  <c r="H258" i="80"/>
  <c r="H264" i="80"/>
  <c r="H267" i="80"/>
  <c r="H273" i="80"/>
  <c r="H288" i="80"/>
  <c r="H289" i="80"/>
  <c r="H290" i="80"/>
  <c r="H291" i="80"/>
  <c r="H305" i="80"/>
  <c r="H306" i="80"/>
  <c r="H313" i="80"/>
  <c r="H336" i="80"/>
  <c r="H337" i="80"/>
  <c r="H338" i="80"/>
  <c r="H339" i="80"/>
  <c r="H353" i="80"/>
  <c r="H369" i="80"/>
  <c r="H370" i="80"/>
  <c r="H374" i="80"/>
  <c r="H386" i="80"/>
  <c r="H390" i="80"/>
  <c r="H394" i="80"/>
  <c r="H397" i="80"/>
  <c r="H400" i="80"/>
  <c r="H401" i="80"/>
  <c r="H402" i="80"/>
  <c r="H403" i="80"/>
  <c r="H412" i="80"/>
  <c r="H413" i="80"/>
  <c r="H415" i="80"/>
  <c r="H422" i="80"/>
  <c r="H424" i="80"/>
  <c r="H425" i="80"/>
  <c r="H426" i="80"/>
  <c r="H427" i="80"/>
  <c r="H428" i="80"/>
  <c r="H431" i="80"/>
  <c r="H434" i="80"/>
  <c r="H436" i="80"/>
  <c r="H437" i="80"/>
  <c r="H438" i="80"/>
  <c r="H439" i="80"/>
  <c r="H440" i="80"/>
  <c r="H441" i="80"/>
  <c r="H442" i="80"/>
  <c r="H443" i="80"/>
  <c r="H445" i="80"/>
  <c r="H452" i="80"/>
  <c r="H453" i="80"/>
  <c r="H454" i="80"/>
  <c r="H455" i="80"/>
  <c r="H457" i="80"/>
  <c r="H462" i="80"/>
  <c r="H464" i="80"/>
  <c r="H465" i="80"/>
  <c r="H466" i="80"/>
  <c r="H467" i="80"/>
  <c r="H469" i="80"/>
  <c r="H470" i="80"/>
  <c r="H474" i="80"/>
  <c r="H480" i="80"/>
  <c r="H481" i="80"/>
  <c r="H482" i="80"/>
  <c r="H483" i="80"/>
  <c r="H485" i="80"/>
  <c r="H489" i="80"/>
  <c r="H490" i="80"/>
  <c r="H496" i="80"/>
  <c r="H499" i="80"/>
  <c r="H500" i="80"/>
  <c r="H503" i="80"/>
  <c r="H506" i="80"/>
  <c r="H508" i="80"/>
  <c r="H509" i="80"/>
  <c r="H511" i="80"/>
  <c r="H512" i="80"/>
  <c r="H513" i="80"/>
  <c r="H515" i="80"/>
  <c r="H520" i="80"/>
  <c r="H521" i="80"/>
  <c r="H522" i="80"/>
  <c r="H523" i="80"/>
  <c r="H524" i="80"/>
  <c r="H525" i="80"/>
  <c r="H526" i="80"/>
  <c r="H527" i="80"/>
  <c r="H530" i="80"/>
  <c r="H537" i="80"/>
  <c r="H538" i="80"/>
  <c r="H540" i="80"/>
  <c r="H541" i="80"/>
  <c r="H542" i="80"/>
  <c r="H543" i="80"/>
  <c r="H548" i="80"/>
  <c r="H549" i="80"/>
  <c r="H551" i="80"/>
  <c r="H552" i="80"/>
  <c r="H553" i="80"/>
  <c r="H554" i="80"/>
  <c r="H555" i="80"/>
  <c r="H556" i="80"/>
  <c r="H558" i="80"/>
  <c r="H559" i="80"/>
  <c r="H565" i="80"/>
  <c r="H566" i="80"/>
  <c r="H568" i="80"/>
  <c r="H571" i="80"/>
  <c r="H572" i="80"/>
  <c r="H573" i="80"/>
  <c r="H575" i="80"/>
  <c r="H577" i="80"/>
  <c r="H578" i="80"/>
  <c r="H580" i="80"/>
  <c r="H581" i="80"/>
  <c r="H582" i="80"/>
  <c r="H583" i="80"/>
  <c r="H584" i="80"/>
  <c r="H585" i="80"/>
  <c r="H586" i="80"/>
  <c r="H587" i="80"/>
  <c r="H590" i="80"/>
  <c r="H592" i="80"/>
  <c r="H593" i="80"/>
  <c r="H595" i="80"/>
  <c r="H596" i="80"/>
  <c r="H597" i="80"/>
  <c r="H598" i="80"/>
  <c r="H599" i="80"/>
  <c r="H600" i="80"/>
  <c r="H601" i="80"/>
  <c r="H602" i="80"/>
  <c r="H603" i="80"/>
  <c r="H608" i="80"/>
  <c r="H609" i="80"/>
  <c r="H610" i="80"/>
  <c r="H611" i="80"/>
  <c r="H612" i="80"/>
  <c r="H614" i="80"/>
  <c r="H615" i="80"/>
  <c r="H617" i="80"/>
  <c r="H621" i="80"/>
  <c r="H622" i="80"/>
  <c r="H624" i="80"/>
  <c r="H625" i="80"/>
  <c r="H626" i="80"/>
  <c r="H627" i="80"/>
  <c r="H628" i="80"/>
  <c r="H629" i="80"/>
  <c r="H630" i="80"/>
  <c r="H631" i="80"/>
  <c r="H632" i="80"/>
  <c r="H633" i="80"/>
  <c r="H634" i="80"/>
  <c r="H635" i="80"/>
  <c r="H636" i="80"/>
  <c r="H637" i="80"/>
  <c r="H638" i="80"/>
  <c r="H639" i="80"/>
  <c r="H640" i="80"/>
  <c r="H641" i="80"/>
  <c r="H642" i="80"/>
  <c r="H643" i="80"/>
  <c r="H644" i="80"/>
  <c r="H647" i="80"/>
  <c r="H649" i="80"/>
  <c r="H653" i="80"/>
  <c r="H654" i="80"/>
  <c r="H656" i="80"/>
  <c r="H657" i="80"/>
  <c r="H658" i="80"/>
  <c r="H659" i="80"/>
  <c r="H661" i="80"/>
  <c r="H664" i="80"/>
  <c r="H665" i="80"/>
  <c r="H666" i="80"/>
  <c r="H667" i="80"/>
  <c r="H668" i="80"/>
  <c r="H669" i="80"/>
  <c r="H670" i="80"/>
  <c r="H671" i="80"/>
  <c r="H672" i="80"/>
  <c r="H673" i="80"/>
  <c r="H674" i="80"/>
  <c r="H675" i="80"/>
  <c r="H676" i="80"/>
  <c r="H677" i="80"/>
  <c r="H679" i="80"/>
  <c r="H681" i="80"/>
  <c r="H682" i="80"/>
  <c r="H684" i="80"/>
  <c r="H685" i="80"/>
  <c r="H686" i="80"/>
  <c r="H687" i="80"/>
  <c r="H688" i="80"/>
  <c r="H689" i="80"/>
  <c r="H690" i="80"/>
  <c r="H691" i="80"/>
  <c r="H693" i="80"/>
  <c r="H694" i="80"/>
  <c r="H696" i="80"/>
  <c r="H697" i="80"/>
  <c r="H698" i="80"/>
  <c r="H699" i="80"/>
  <c r="H700" i="80"/>
  <c r="H701" i="80"/>
  <c r="H702" i="80"/>
  <c r="H703" i="80"/>
  <c r="H704" i="80"/>
  <c r="H705" i="80"/>
  <c r="H706" i="80"/>
  <c r="H707" i="80"/>
  <c r="H708" i="80"/>
  <c r="H709" i="80"/>
  <c r="H710" i="80"/>
  <c r="H711" i="80"/>
  <c r="H222" i="80"/>
  <c r="H253" i="80"/>
  <c r="H333" i="80"/>
  <c r="H334" i="80"/>
  <c r="H381" i="80"/>
  <c r="H382" i="80"/>
  <c r="H574" i="80"/>
  <c r="H170" i="80"/>
  <c r="H341" i="80"/>
  <c r="H325" i="80"/>
  <c r="H277" i="80"/>
  <c r="H213" i="80"/>
  <c r="H182" i="80"/>
  <c r="H6" i="80"/>
  <c r="H126" i="80"/>
  <c r="H110" i="80"/>
  <c r="H46" i="80"/>
  <c r="H309" i="80"/>
  <c r="H181" i="80"/>
  <c r="H98" i="80"/>
  <c r="H174" i="80"/>
  <c r="H266" i="80"/>
  <c r="H282" i="80"/>
  <c r="H358" i="80"/>
  <c r="H326" i="80"/>
  <c r="H278" i="80"/>
  <c r="H262" i="80"/>
  <c r="H246" i="80"/>
  <c r="H342" i="80"/>
  <c r="H310" i="80"/>
  <c r="H230" i="80"/>
  <c r="H198" i="80"/>
  <c r="H414" i="80"/>
  <c r="H214" i="80"/>
  <c r="H378" i="80"/>
  <c r="H606" i="80"/>
  <c r="H361" i="80"/>
  <c r="H17" i="80"/>
  <c r="H202" i="80"/>
  <c r="H458" i="80"/>
  <c r="H362" i="80"/>
  <c r="H346" i="80"/>
  <c r="H529" i="80"/>
  <c r="H345" i="80"/>
  <c r="H297" i="80"/>
  <c r="H217" i="80"/>
  <c r="H185" i="80"/>
  <c r="H157" i="80"/>
  <c r="H405" i="80"/>
  <c r="H430" i="80"/>
  <c r="H446" i="80"/>
  <c r="H18" i="80"/>
  <c r="H33" i="80"/>
  <c r="H34" i="80"/>
  <c r="H66" i="80"/>
  <c r="H146" i="80"/>
  <c r="H173" i="80"/>
  <c r="H201" i="80"/>
  <c r="H330" i="80"/>
  <c r="H377" i="80"/>
  <c r="H678" i="80"/>
  <c r="H514" i="80"/>
  <c r="H50" i="80"/>
  <c r="H130" i="80"/>
  <c r="H158" i="80"/>
  <c r="H298" i="80"/>
  <c r="H314" i="80"/>
  <c r="H70" i="80"/>
  <c r="H286" i="80"/>
  <c r="H54" i="80"/>
  <c r="H450" i="80"/>
  <c r="H546" i="80"/>
  <c r="H562" i="80"/>
  <c r="H365" i="80"/>
  <c r="H133" i="80"/>
  <c r="H101" i="80"/>
  <c r="H69" i="80"/>
  <c r="H37" i="80"/>
  <c r="H477" i="80"/>
  <c r="H417" i="80"/>
  <c r="H366" i="80"/>
  <c r="H238" i="80"/>
  <c r="H190" i="80"/>
  <c r="H150" i="80"/>
  <c r="H285" i="80"/>
  <c r="H237" i="80"/>
  <c r="H650" i="80"/>
  <c r="H134" i="80"/>
  <c r="H418" i="80"/>
  <c r="H618" i="80"/>
  <c r="H269" i="80"/>
  <c r="H189" i="80"/>
  <c r="H205" i="80"/>
  <c r="H433" i="80"/>
  <c r="H497" i="80"/>
  <c r="H162" i="80"/>
  <c r="H478" i="80"/>
  <c r="H534" i="80"/>
  <c r="H317" i="80"/>
  <c r="H21" i="80"/>
  <c r="H409" i="80"/>
  <c r="H545" i="80"/>
  <c r="H561" i="80"/>
  <c r="H14" i="80"/>
  <c r="H662" i="80"/>
  <c r="H646" i="80"/>
  <c r="H594" i="80"/>
  <c r="H570" i="80"/>
  <c r="H533" i="80"/>
  <c r="H550" i="80"/>
  <c r="H510" i="80"/>
  <c r="H518" i="80"/>
  <c r="H498" i="80"/>
  <c r="H486" i="80"/>
  <c r="H406" i="80"/>
  <c r="H410" i="80"/>
  <c r="H398" i="80"/>
  <c r="H393" i="80"/>
  <c r="H22" i="80"/>
  <c r="H30" i="80"/>
  <c r="H38" i="80"/>
  <c r="H62" i="80"/>
  <c r="H94" i="80"/>
  <c r="H102" i="80"/>
  <c r="H114" i="80"/>
  <c r="H142" i="80"/>
  <c r="H7" i="80"/>
  <c r="H10" i="80"/>
  <c r="H206" i="80"/>
  <c r="H270" i="80"/>
  <c r="H302" i="80"/>
  <c r="H318" i="80"/>
  <c r="H350" i="80"/>
  <c r="H210" i="80"/>
  <c r="H186" i="80"/>
  <c r="H493" i="80"/>
  <c r="H73" i="80"/>
  <c r="H25" i="80"/>
  <c r="H389" i="80"/>
  <c r="H494" i="80"/>
  <c r="H354" i="80"/>
  <c r="H74" i="80"/>
  <c r="H502" i="80"/>
  <c r="H209" i="80"/>
  <c r="H421" i="80"/>
  <c r="H501" i="80"/>
  <c r="H322" i="80"/>
  <c r="H321" i="80"/>
  <c r="H274" i="80"/>
  <c r="H226" i="80"/>
  <c r="H178" i="80"/>
  <c r="H536" i="80"/>
  <c r="H539" i="80"/>
  <c r="H652" i="80"/>
  <c r="H655" i="80"/>
  <c r="H620" i="80"/>
  <c r="H623" i="80"/>
  <c r="H576" i="80"/>
  <c r="H579" i="80"/>
  <c r="H221" i="80"/>
  <c r="H301" i="80"/>
  <c r="H349" i="80"/>
  <c r="H488" i="80"/>
  <c r="H491" i="80"/>
  <c r="H373" i="80"/>
  <c r="H245" i="80"/>
  <c r="H169" i="80"/>
  <c r="H93" i="80"/>
  <c r="H61" i="80"/>
  <c r="H29" i="80"/>
  <c r="H196" i="80"/>
  <c r="H199" i="80"/>
  <c r="H384" i="80"/>
  <c r="H387" i="80"/>
  <c r="H197" i="80"/>
  <c r="H141" i="80"/>
  <c r="H357" i="80"/>
  <c r="H261" i="80"/>
  <c r="H229" i="80"/>
  <c r="H5" i="80"/>
  <c r="H125" i="80"/>
  <c r="H109" i="80"/>
  <c r="H45" i="80"/>
  <c r="H385" i="80"/>
  <c r="H244" i="80"/>
  <c r="H247" i="80"/>
  <c r="H180" i="80"/>
  <c r="H183" i="80"/>
  <c r="H248" i="80"/>
  <c r="H251" i="80"/>
  <c r="H156" i="80"/>
  <c r="H159" i="80"/>
  <c r="H112" i="80"/>
  <c r="H115" i="80"/>
  <c r="H32" i="80"/>
  <c r="H35" i="80"/>
  <c r="H172" i="80"/>
  <c r="H175" i="80"/>
  <c r="H200" i="80"/>
  <c r="H203" i="80"/>
  <c r="H260" i="80"/>
  <c r="H263" i="80"/>
  <c r="H212" i="80"/>
  <c r="H215" i="80"/>
  <c r="H140" i="80"/>
  <c r="H143" i="80"/>
  <c r="H76" i="80"/>
  <c r="H79" i="80"/>
  <c r="H44" i="80"/>
  <c r="H47" i="80"/>
  <c r="H484" i="80"/>
  <c r="H487" i="80"/>
  <c r="H468" i="80"/>
  <c r="H471" i="80"/>
  <c r="H324" i="80"/>
  <c r="H327" i="80"/>
  <c r="H292" i="80"/>
  <c r="H276" i="80"/>
  <c r="H279" i="80"/>
  <c r="H28" i="80"/>
  <c r="H31" i="80"/>
  <c r="H396" i="80"/>
  <c r="H399" i="80"/>
  <c r="H96" i="80"/>
  <c r="H99" i="80"/>
  <c r="H113" i="80"/>
  <c r="H429" i="80"/>
  <c r="H233" i="80"/>
  <c r="H49" i="80"/>
  <c r="H505" i="80"/>
  <c r="H13" i="80"/>
  <c r="H605" i="80"/>
  <c r="H613" i="80"/>
  <c r="H645" i="80"/>
  <c r="H404" i="80"/>
  <c r="H407" i="80"/>
  <c r="H392" i="80"/>
  <c r="H395" i="80"/>
  <c r="H296" i="80"/>
  <c r="H299" i="80"/>
  <c r="H144" i="80"/>
  <c r="H147" i="80"/>
  <c r="H12" i="80"/>
  <c r="H15" i="80"/>
  <c r="H604" i="80"/>
  <c r="H607" i="80"/>
  <c r="H660" i="80"/>
  <c r="H663" i="80"/>
  <c r="H444" i="80"/>
  <c r="H447" i="80"/>
  <c r="H16" i="80"/>
  <c r="H19" i="80"/>
  <c r="H64" i="80"/>
  <c r="H67" i="80"/>
  <c r="H329" i="80"/>
  <c r="H328" i="80"/>
  <c r="H331" i="80"/>
  <c r="H360" i="80"/>
  <c r="H363" i="80"/>
  <c r="H376" i="80"/>
  <c r="H379" i="80"/>
  <c r="H692" i="80"/>
  <c r="H695" i="80"/>
  <c r="H564" i="80"/>
  <c r="H567" i="80"/>
  <c r="H528" i="80"/>
  <c r="H531" i="80"/>
  <c r="H456" i="80"/>
  <c r="H459" i="80"/>
  <c r="H473" i="80"/>
  <c r="H472" i="80"/>
  <c r="H475" i="80"/>
  <c r="H48" i="80"/>
  <c r="H51" i="80"/>
  <c r="H82" i="80"/>
  <c r="H86" i="80"/>
  <c r="H80" i="80"/>
  <c r="H83" i="80"/>
  <c r="H84" i="80"/>
  <c r="H87" i="80"/>
  <c r="H129" i="80"/>
  <c r="H128" i="80"/>
  <c r="H131" i="80"/>
  <c r="H232" i="80"/>
  <c r="H235" i="80"/>
  <c r="H265" i="80"/>
  <c r="H281" i="80"/>
  <c r="H280" i="80"/>
  <c r="H283" i="80"/>
  <c r="H312" i="80"/>
  <c r="H315" i="80"/>
  <c r="H204" i="80"/>
  <c r="H207" i="80"/>
  <c r="H116" i="80"/>
  <c r="H119" i="80"/>
  <c r="H268" i="80"/>
  <c r="H271" i="80"/>
  <c r="H68" i="80"/>
  <c r="H71" i="80"/>
  <c r="H36" i="80"/>
  <c r="H39" i="80"/>
  <c r="H432" i="80"/>
  <c r="H435" i="80"/>
  <c r="H9" i="80"/>
  <c r="H149" i="80"/>
  <c r="H569" i="80"/>
  <c r="H449" i="80"/>
  <c r="H252" i="80"/>
  <c r="H255" i="80"/>
  <c r="H348" i="80"/>
  <c r="H351" i="80"/>
  <c r="H332" i="80"/>
  <c r="H335" i="80"/>
  <c r="H8" i="80"/>
  <c r="H11" i="80"/>
  <c r="H408" i="80"/>
  <c r="H411" i="80"/>
  <c r="H588" i="80"/>
  <c r="H591" i="80"/>
  <c r="H517" i="80"/>
  <c r="H148" i="80"/>
  <c r="H151" i="80"/>
  <c r="H100" i="80"/>
  <c r="H103" i="80"/>
  <c r="H532" i="80"/>
  <c r="H535" i="80"/>
  <c r="H616" i="80"/>
  <c r="H619" i="80"/>
  <c r="H117" i="80"/>
  <c r="H461" i="80"/>
  <c r="H364" i="80"/>
  <c r="H367" i="80"/>
  <c r="H316" i="80"/>
  <c r="H319" i="80"/>
  <c r="H300" i="80"/>
  <c r="H303" i="80"/>
  <c r="H20" i="80"/>
  <c r="H23" i="80"/>
  <c r="H416" i="80"/>
  <c r="H419" i="80"/>
  <c r="H516" i="80"/>
  <c r="H519" i="80"/>
  <c r="H680" i="80"/>
  <c r="H683" i="80"/>
  <c r="H648" i="80"/>
  <c r="H651" i="80"/>
  <c r="H589" i="80"/>
  <c r="H560" i="80"/>
  <c r="H563" i="80"/>
  <c r="H544" i="80"/>
  <c r="H547" i="80"/>
  <c r="H557" i="80"/>
  <c r="H504" i="80"/>
  <c r="H507" i="80"/>
  <c r="H460" i="80"/>
  <c r="H463" i="80"/>
  <c r="H476" i="80"/>
  <c r="H479" i="80"/>
  <c r="H448" i="80"/>
  <c r="H451" i="80"/>
  <c r="H52" i="80"/>
  <c r="H55" i="80"/>
  <c r="H88" i="80"/>
  <c r="H91" i="80"/>
  <c r="H97" i="80"/>
  <c r="H104" i="80"/>
  <c r="H107" i="80"/>
  <c r="H108" i="80"/>
  <c r="H111" i="80"/>
  <c r="H124" i="80"/>
  <c r="H127" i="80"/>
  <c r="H132" i="80"/>
  <c r="H135" i="80"/>
  <c r="H152" i="80"/>
  <c r="H155" i="80"/>
  <c r="H168" i="80"/>
  <c r="H171" i="80"/>
  <c r="H188" i="80"/>
  <c r="H191" i="80"/>
  <c r="H216" i="80"/>
  <c r="H219" i="80"/>
  <c r="H220" i="80"/>
  <c r="H223" i="80"/>
  <c r="H236" i="80"/>
  <c r="H239" i="80"/>
  <c r="H272" i="80"/>
  <c r="H275" i="80"/>
  <c r="H284" i="80"/>
  <c r="H287" i="80"/>
  <c r="H308" i="80"/>
  <c r="H311" i="80"/>
  <c r="H320" i="80"/>
  <c r="H323" i="80"/>
  <c r="H340" i="80"/>
  <c r="H343" i="80"/>
  <c r="H344" i="80"/>
  <c r="H347" i="80"/>
  <c r="H352" i="80"/>
  <c r="H355" i="80"/>
  <c r="H356" i="80"/>
  <c r="H359" i="80"/>
  <c r="H368" i="80"/>
  <c r="H371" i="80"/>
  <c r="H372" i="80"/>
  <c r="H375" i="80"/>
  <c r="H380" i="80"/>
  <c r="H383" i="80"/>
  <c r="H492" i="80"/>
  <c r="H495" i="80"/>
  <c r="H304" i="80"/>
  <c r="H307" i="80"/>
  <c r="H256" i="80"/>
  <c r="H259" i="80"/>
  <c r="H208" i="80"/>
  <c r="H211" i="80"/>
  <c r="H164" i="80"/>
  <c r="H167" i="80"/>
  <c r="H120" i="80"/>
  <c r="H123" i="80"/>
  <c r="H72" i="80"/>
  <c r="H75" i="80"/>
  <c r="H388" i="80"/>
  <c r="H391" i="80"/>
  <c r="H420" i="80"/>
  <c r="H423" i="80"/>
  <c r="H224" i="80"/>
  <c r="H227" i="80"/>
  <c r="H4" i="80"/>
  <c r="G340" i="80"/>
  <c r="G341" i="80"/>
  <c r="G308" i="80"/>
  <c r="G309" i="80"/>
  <c r="G276" i="80"/>
  <c r="G277" i="80"/>
  <c r="G212" i="80"/>
  <c r="G213" i="80"/>
  <c r="G376" i="80"/>
  <c r="G377" i="80"/>
  <c r="G344" i="80"/>
  <c r="G345" i="80"/>
  <c r="G216" i="80"/>
  <c r="G217" i="80"/>
  <c r="G184" i="80"/>
  <c r="G185" i="80"/>
  <c r="G392" i="80"/>
  <c r="G393" i="80"/>
  <c r="G404" i="80"/>
  <c r="G405" i="80"/>
  <c r="G200" i="80"/>
  <c r="G201" i="80"/>
  <c r="G528" i="80"/>
  <c r="G529" i="80"/>
  <c r="G172" i="80"/>
  <c r="G173" i="80"/>
  <c r="G564" i="80"/>
  <c r="G565" i="80"/>
  <c r="G692" i="80"/>
  <c r="G693" i="80"/>
  <c r="G676" i="80"/>
  <c r="G677" i="80"/>
  <c r="G660" i="80"/>
  <c r="G661" i="80"/>
  <c r="G444" i="80"/>
  <c r="G445" i="80"/>
  <c r="G360" i="80"/>
  <c r="G361" i="80"/>
  <c r="G156" i="80"/>
  <c r="G157" i="80"/>
  <c r="G248" i="80"/>
  <c r="G249" i="80"/>
  <c r="G296" i="80"/>
  <c r="G297" i="80"/>
  <c r="G312" i="80"/>
  <c r="G313" i="80"/>
  <c r="G204" i="80"/>
  <c r="G205" i="80"/>
  <c r="G544" i="80"/>
  <c r="G545" i="80"/>
  <c r="G284" i="80"/>
  <c r="G285" i="80"/>
  <c r="G236" i="80"/>
  <c r="G237" i="80"/>
  <c r="G476" i="80"/>
  <c r="G477" i="80"/>
  <c r="G432" i="80"/>
  <c r="G433" i="80"/>
  <c r="G496" i="80"/>
  <c r="G497" i="80"/>
  <c r="G532" i="80"/>
  <c r="G533" i="80"/>
  <c r="G560" i="80"/>
  <c r="G561" i="80"/>
  <c r="G616" i="80"/>
  <c r="G617" i="80"/>
  <c r="G380" i="80"/>
  <c r="G381" i="80"/>
  <c r="G332" i="80"/>
  <c r="G333" i="80"/>
  <c r="G268" i="80"/>
  <c r="G269" i="80"/>
  <c r="G188" i="80"/>
  <c r="G189" i="80"/>
  <c r="G416" i="80"/>
  <c r="G417" i="80"/>
  <c r="G364" i="80"/>
  <c r="G365" i="80"/>
  <c r="G316" i="80"/>
  <c r="G317" i="80"/>
  <c r="G252" i="80"/>
  <c r="G253" i="80"/>
  <c r="G160" i="80"/>
  <c r="G161" i="80"/>
  <c r="G132" i="80"/>
  <c r="G133" i="80"/>
  <c r="G408" i="80"/>
  <c r="G409" i="80"/>
  <c r="G304" i="80"/>
  <c r="G305" i="80"/>
  <c r="G256" i="80"/>
  <c r="G257" i="80"/>
  <c r="G232" i="80"/>
  <c r="G233" i="80"/>
  <c r="G164" i="80"/>
  <c r="G165" i="80"/>
  <c r="G120" i="80"/>
  <c r="G121" i="80"/>
  <c r="G280" i="80"/>
  <c r="G281" i="80"/>
  <c r="G352" i="80"/>
  <c r="G353" i="80"/>
  <c r="G108" i="80"/>
  <c r="G109" i="80"/>
  <c r="G388" i="80"/>
  <c r="G389" i="80"/>
  <c r="G196" i="80"/>
  <c r="G197" i="80"/>
  <c r="G460" i="80"/>
  <c r="G461" i="80"/>
  <c r="G368" i="80"/>
  <c r="G369" i="80"/>
  <c r="G32" i="80"/>
  <c r="G33" i="80"/>
  <c r="G80" i="80"/>
  <c r="G81" i="80"/>
  <c r="G84" i="80"/>
  <c r="G85" i="80"/>
  <c r="G100" i="80"/>
  <c r="G101" i="80"/>
  <c r="G36" i="80"/>
  <c r="G37" i="80"/>
  <c r="G20" i="80"/>
  <c r="G21" i="80"/>
  <c r="G68" i="80"/>
  <c r="G69" i="80"/>
  <c r="G96" i="80"/>
  <c r="G97" i="80"/>
  <c r="G72" i="80"/>
  <c r="G73" i="80"/>
  <c r="G24" i="80"/>
  <c r="G25" i="80"/>
  <c r="G16" i="80"/>
  <c r="G17" i="80"/>
  <c r="G8" i="80"/>
  <c r="G9" i="80"/>
  <c r="O26" i="57"/>
  <c r="F39" i="57"/>
  <c r="I39" i="57"/>
  <c r="C41" i="76" l="1" a="1"/>
  <c r="C41" i="76" s="1"/>
  <c r="C88" i="76" a="1"/>
  <c r="C88" i="76" s="1"/>
  <c r="C120" i="76" a="1"/>
  <c r="C120" i="76" s="1"/>
  <c r="C214" i="76" a="1"/>
  <c r="C214" i="76" s="1"/>
  <c r="O39" i="57"/>
  <c r="L39" i="57"/>
  <c r="B1" i="8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VICKY FIORELLA SANCHEZ ROJAS</author>
    <author>PRACTICANTE - ANDREA DANIELA MORI LEON</author>
    <author>PRACTICANTE - HENRY ALEX NATIVIDAD ALVARADO</author>
    <author>tc={3A7293C4-6C49-4935-99E0-F9063513561E}</author>
  </authors>
  <commentList>
    <comment ref="C5" authorId="0" shapeId="0" xr:uid="{00000000-0006-0000-0900-000001000000}">
      <text>
        <r>
          <rPr>
            <sz val="11"/>
            <color theme="1"/>
            <rFont val="Calibri"/>
            <family val="2"/>
            <scheme val="minor"/>
          </rPr>
          <t xml:space="preserve">Es el identificador del requerimiento. Proviene desde el registro en el Backlog.
</t>
        </r>
      </text>
    </comment>
    <comment ref="Y5" authorId="0" shapeId="0" xr:uid="{00000000-0006-0000-0900-000002000000}">
      <text>
        <r>
          <rPr>
            <sz val="11"/>
            <color theme="1"/>
            <rFont val="Calibri"/>
            <family val="2"/>
            <scheme val="minor"/>
          </rPr>
          <t xml:space="preserve">Es la fecha de implementación requerida por el Órgano de Control. Es decir, corresponde a la fecha máxima en que la solución debe estar implementada en Producción
No corresponde a la fecha de implementación dada por TI.
</t>
        </r>
      </text>
    </comment>
    <comment ref="AI5" authorId="1" shapeId="0" xr:uid="{00000000-0006-0000-0900-000003000000}">
      <text>
        <r>
          <rPr>
            <sz val="11"/>
            <color theme="1"/>
            <rFont val="Calibri"/>
            <family val="2"/>
            <scheme val="minor"/>
          </rPr>
          <t>Fecha de registro del trámite en el CQ</t>
        </r>
      </text>
    </comment>
    <comment ref="AR5" authorId="0" shapeId="0" xr:uid="{00000000-0006-0000-0900-000004000000}">
      <text>
        <r>
          <rPr>
            <sz val="11"/>
            <color theme="1"/>
            <rFont val="Calibri"/>
            <family val="2"/>
            <scheme val="minor"/>
          </rPr>
          <t xml:space="preserve">Fecha real de puesta en producción
</t>
        </r>
      </text>
    </comment>
    <comment ref="AS5" authorId="0" shapeId="0" xr:uid="{00000000-0006-0000-0900-000005000000}">
      <text>
        <r>
          <rPr>
            <sz val="11"/>
            <color theme="1"/>
            <rFont val="Calibri"/>
            <family val="2"/>
            <scheme val="minor"/>
          </rPr>
          <t xml:space="preserve">Fecha estimada de puesta en producción
</t>
        </r>
      </text>
    </comment>
    <comment ref="AZ5" authorId="0" shapeId="0" xr:uid="{00000000-0006-0000-0900-000006000000}">
      <text>
        <r>
          <rPr>
            <sz val="11"/>
            <color theme="1"/>
            <rFont val="Calibri"/>
            <family val="2"/>
            <scheme val="minor"/>
          </rPr>
          <t xml:space="preserve">Es el Mes-Año real de puesta en Producción
</t>
        </r>
      </text>
    </comment>
    <comment ref="BA5" authorId="0" shapeId="0" xr:uid="{00000000-0006-0000-0900-000007000000}">
      <text>
        <r>
          <rPr>
            <sz val="11"/>
            <color theme="1"/>
            <rFont val="Calibri"/>
            <family val="2"/>
            <scheme val="minor"/>
          </rPr>
          <t xml:space="preserve">Es el mes-año estimado de puesta en producción
</t>
        </r>
      </text>
    </comment>
    <comment ref="BF5" authorId="2" shapeId="0" xr:uid="{00000000-0006-0000-0900-00000C000000}">
      <text>
        <r>
          <rPr>
            <sz val="11"/>
            <color theme="1"/>
            <rFont val="Calibri"/>
            <family val="2"/>
            <scheme val="minor"/>
          </rPr>
          <t xml:space="preserve">PRACTICANTE - HENRY ALEX NATIVIDAD ALVARADO:
Esta columna sirve para el informe Trimestral, para requerimientos normales es la fecha de priorizacion, para piratas es la fecha de creacion del tramite
</t>
        </r>
      </text>
    </comment>
    <comment ref="CN5" authorId="1" shapeId="0" xr:uid="{BA77CCCD-BB56-4190-9C17-7DBF4FD47F11}">
      <text>
        <r>
          <rPr>
            <sz val="11"/>
            <color theme="1"/>
            <rFont val="Calibri"/>
            <family val="2"/>
            <scheme val="minor"/>
          </rPr>
          <t>Fecha utilizada para la tabla de HORAS (Capacidad)</t>
        </r>
      </text>
    </comment>
    <comment ref="F161" authorId="3" shapeId="0" xr:uid="{3A7293C4-6C49-4935-99E0-F9063513561E}">
      <text>
        <t>[Threaded comment]
Your version of Excel allows you to read this threaded comment; however, any edits to it will get removed if the file is opened in a newer version of Excel. Learn more: https://go.microsoft.com/fwlink/?linkid=870924
Comment:
    SUNAT indicó el inicio de pruebas conjuntas para el 17/12/2025; no obstante, a la fecha no se ha recibido comunicación formal que confirme dicha coordinación, por lo que no es posible dar inicio al proceso de pruebas.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VICKY FIORELLA SANCHEZ ROJAS</author>
    <author>PRACTICANTE - HENRY ALEX NATIVIDAD ALVARADO</author>
  </authors>
  <commentList>
    <comment ref="B5" authorId="0" shapeId="0" xr:uid="{00000000-0006-0000-0C00-000001000000}">
      <text>
        <r>
          <rPr>
            <sz val="11"/>
            <color theme="1"/>
            <rFont val="Calibri"/>
            <family val="2"/>
            <scheme val="minor"/>
          </rPr>
          <t xml:space="preserve">Es el identificador del requerimiento. Proviene desde el registro en el Backlog.
</t>
        </r>
      </text>
    </comment>
    <comment ref="AI5" authorId="0" shapeId="0" xr:uid="{00000000-0006-0000-0C00-000002000000}">
      <text>
        <r>
          <rPr>
            <sz val="11"/>
            <color theme="1"/>
            <rFont val="Calibri"/>
            <family val="2"/>
            <scheme val="minor"/>
          </rPr>
          <t xml:space="preserve">Fecha real de puesta en producción
</t>
        </r>
      </text>
    </comment>
    <comment ref="AJ5" authorId="0" shapeId="0" xr:uid="{00000000-0006-0000-0C00-000003000000}">
      <text>
        <r>
          <rPr>
            <sz val="11"/>
            <color theme="1"/>
            <rFont val="Calibri"/>
            <family val="2"/>
            <scheme val="minor"/>
          </rPr>
          <t xml:space="preserve">Fecha estimada de puesta en producción
</t>
        </r>
      </text>
    </comment>
    <comment ref="AT5" authorId="0" shapeId="0" xr:uid="{00000000-0006-0000-0C00-000004000000}">
      <text>
        <r>
          <rPr>
            <sz val="11"/>
            <color theme="1"/>
            <rFont val="Calibri"/>
            <family val="2"/>
            <scheme val="minor"/>
          </rPr>
          <t xml:space="preserve">Es el Mes-Año real de puesta en Producción
</t>
        </r>
      </text>
    </comment>
    <comment ref="AU5" authorId="0" shapeId="0" xr:uid="{00000000-0006-0000-0C00-000005000000}">
      <text>
        <r>
          <rPr>
            <sz val="11"/>
            <color theme="1"/>
            <rFont val="Calibri"/>
            <family val="2"/>
            <scheme val="minor"/>
          </rPr>
          <t xml:space="preserve">Es el mes-año estimado de puesta en producción
</t>
        </r>
      </text>
    </comment>
    <comment ref="AV5" authorId="0" shapeId="0" xr:uid="{00000000-0006-0000-0C00-000006000000}">
      <text>
        <r>
          <rPr>
            <sz val="11"/>
            <color theme="1"/>
            <rFont val="Calibri"/>
            <family val="2"/>
            <scheme val="minor"/>
          </rPr>
          <t xml:space="preserve">Corresponde a lo reportado en Dic 2023
</t>
        </r>
      </text>
    </comment>
    <comment ref="AW5" authorId="0" shapeId="0" xr:uid="{00000000-0006-0000-0C00-000007000000}">
      <text>
        <r>
          <rPr>
            <sz val="11"/>
            <color theme="1"/>
            <rFont val="Calibri"/>
            <family val="2"/>
            <scheme val="minor"/>
          </rPr>
          <t xml:space="preserve">Es el estado según lo que se reporta en el PAGTI
</t>
        </r>
      </text>
    </comment>
    <comment ref="AY5" authorId="0" shapeId="0" xr:uid="{00000000-0006-0000-0C00-000008000000}">
      <text>
        <r>
          <rPr>
            <sz val="11"/>
            <color theme="1"/>
            <rFont val="Calibri"/>
            <family val="2"/>
            <scheme val="minor"/>
          </rPr>
          <t>Es el estado reportado en Dic 2023</t>
        </r>
      </text>
    </comment>
    <comment ref="BH5" authorId="0" shapeId="0" xr:uid="{00000000-0006-0000-0C00-000009000000}">
      <text>
        <r>
          <rPr>
            <sz val="11"/>
            <color theme="1"/>
            <rFont val="Calibri"/>
            <family val="2"/>
            <scheme val="minor"/>
          </rPr>
          <t xml:space="preserve">último estado obtenido del CQ
</t>
        </r>
      </text>
    </comment>
    <comment ref="BJ5" authorId="1" shapeId="0" xr:uid="{00000000-0006-0000-0C00-00000A000000}">
      <text>
        <r>
          <rPr>
            <sz val="11"/>
            <color theme="1"/>
            <rFont val="Calibri"/>
            <family val="2"/>
            <scheme val="minor"/>
          </rPr>
          <t xml:space="preserve">PRACTICANTE - HENRY ALEX NATIVIDAD ALVARADO:
Esta columna sirve para el informe Trimestral, para requerimientos normales es la fecha de priorizacion, para piratas es la fecha de creacion del tramite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keepAlive="1" name="Consulta - ANALISTAS ACTIVOS" description="Conexión a la consulta 'ANALISTAS ACTIVOS' en el libro." type="5" refreshedVersion="7" background="1" saveData="1">
    <dbPr connection="Provider=Microsoft.Mashup.OleDb.1;Data Source=$Workbook$;Location=&quot;ANALISTAS ACTIVOS&quot;;Extended Properties=&quot;&quot;" command="SELECT * FROM [ANALISTAS ACTIVOS]"/>
  </connection>
  <connection id="2" xr16:uid="{00000000-0015-0000-FFFF-FFFF02000000}" keepAlive="1" name="Consulta - MANT_HORAS" description="Conexión a la consulta 'MANT_HORAS' en el libro." type="5" refreshedVersion="7" background="1" saveData="1">
    <dbPr connection="Provider=Microsoft.Mashup.OleDb.1;Data Source=$Workbook$;Location=MANT_HORAS;Extended Properties=&quot;&quot;" command="SELECT * FROM [MANT_HORAS]"/>
  </connection>
  <connection id="3" xr16:uid="{00000000-0015-0000-FFFF-FFFF03000000}" keepAlive="1" name="Consulta - MANT_HORAS_ANALISTAS" description="Conexión a la consulta 'MANT_HORAS_ANALISTAS' en el libro." type="5" refreshedVersion="7" background="1" saveData="1">
    <dbPr connection="Provider=Microsoft.Mashup.OleDb.1;Data Source=$Workbook$;Location=MANT_HORAS_ANALISTAS;Extended Properties=&quot;&quot;" command="SELECT * FROM [MANT_HORAS_ANALIST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<sst xmlns="http://schemas.openxmlformats.org/spreadsheetml/2006/main" count="12306" uniqueCount="3146">
  <si>
    <t>TOTAL:</t>
  </si>
  <si>
    <t>CRONOGRAMAS DE REQUERIMIENTOS DE LA DEMANDA TÁCTICA</t>
  </si>
  <si>
    <t>ID Historico</t>
  </si>
  <si>
    <t>ID Mantenimiento</t>
  </si>
  <si>
    <t>Nombre del Requerimiento</t>
  </si>
  <si>
    <t>Gerencia</t>
  </si>
  <si>
    <t>Gestor TI</t>
  </si>
  <si>
    <t>Estado TI</t>
  </si>
  <si>
    <t>% REAL</t>
  </si>
  <si>
    <t>Validacion</t>
  </si>
  <si>
    <t>Fecha Inicio - Desarrollo</t>
  </si>
  <si>
    <t>Fecha Fin  - Desarrollo</t>
  </si>
  <si>
    <t>Fecha Inicio-Calidad</t>
  </si>
  <si>
    <t>Fecha Fin-Caldiad</t>
  </si>
  <si>
    <t>Fecha Inicio - Prod</t>
  </si>
  <si>
    <t>Fecha Fin - Prod</t>
  </si>
  <si>
    <t>Líder Técnico/Analista</t>
  </si>
  <si>
    <t>Porcentaje de Avance</t>
  </si>
  <si>
    <t>% Planificado</t>
  </si>
  <si>
    <t>% COMPLETADO</t>
  </si>
  <si>
    <t>Indicador de Avance</t>
  </si>
  <si>
    <t>Estado TI HOY</t>
  </si>
  <si>
    <t>GESTORES FEBRERO</t>
  </si>
  <si>
    <t>Analistas</t>
  </si>
  <si>
    <t>2023-M0402</t>
  </si>
  <si>
    <t>Modificación de límite en depósito a cuenta corriente en Cajeros  Corresponsales.</t>
  </si>
  <si>
    <t>Banca Digital</t>
  </si>
  <si>
    <t>Omar Sarmiento</t>
  </si>
  <si>
    <t>10. Paralizado</t>
  </si>
  <si>
    <t>PAUSADO</t>
  </si>
  <si>
    <t>Vladimir Ronald Cajavilca Cajavilca</t>
  </si>
  <si>
    <t>2021-M0473</t>
  </si>
  <si>
    <t>MANTENIMIENTO DEL APLICATIVO FICO &lt;br&gt;a) Mejoras y nuevas funcionalidades&lt;br&gt;b) Migración de Data de Base Datos Externa</t>
  </si>
  <si>
    <t>Productos e Inclusión Financiera</t>
  </si>
  <si>
    <t>Milagros Huamani</t>
  </si>
  <si>
    <t>07. En Despliegue</t>
  </si>
  <si>
    <t>OK</t>
  </si>
  <si>
    <t>Jorge Mora Ruelas</t>
  </si>
  <si>
    <t>2022-M0526</t>
  </si>
  <si>
    <t>Código de productos que no se están cargando a BDUC</t>
  </si>
  <si>
    <t>Operaciones</t>
  </si>
  <si>
    <t>Junior Quicaño</t>
  </si>
  <si>
    <t>06. Calidad Finalizado</t>
  </si>
  <si>
    <t>Johnny Luis Rocca Surco</t>
  </si>
  <si>
    <t>2023-M0356</t>
  </si>
  <si>
    <t>Migración del Aplicativo SIARLADI</t>
  </si>
  <si>
    <t>Oficialía de PLAFT</t>
  </si>
  <si>
    <t>Juan Carlos Zavaleta</t>
  </si>
  <si>
    <t>03. En Desarrollo</t>
  </si>
  <si>
    <t>Paul Alminagorta Cabezas</t>
  </si>
  <si>
    <t>2023-M0052</t>
  </si>
  <si>
    <t>Transferencia Interbancarias CCE-Diferidas (SICA)</t>
  </si>
  <si>
    <t>Finanzas y Tesorería</t>
  </si>
  <si>
    <t>08. Producción Finalizada</t>
  </si>
  <si>
    <t>Eduardo Saul Cardenas Manrique</t>
  </si>
  <si>
    <t>2023-M0182</t>
  </si>
  <si>
    <t xml:space="preserve">Implementación del extorno automático en la devolución del tesoro público (T6) en el canal agente multired </t>
  </si>
  <si>
    <t>2024-M0085</t>
  </si>
  <si>
    <t>CORREGIR LA OPCIÓN DE REPORTES SBS EN EL POAD</t>
  </si>
  <si>
    <t>Recursos Humanos y Cultura</t>
  </si>
  <si>
    <t>2023-M0197</t>
  </si>
  <si>
    <t>Migración y Mejora del Aplicativo ECOF - Medidas de Ecoficiencia BN</t>
  </si>
  <si>
    <t>Administración y Logística</t>
  </si>
  <si>
    <t>Maria Barboza</t>
  </si>
  <si>
    <t>2024-M0083</t>
  </si>
  <si>
    <t>Implementación del SIstema web de saldos y sumatorias de cajeros automáticos</t>
  </si>
  <si>
    <t>2023-M0712</t>
  </si>
  <si>
    <t>Mandatorio Certificar AFT e implementar reverso AFT</t>
  </si>
  <si>
    <t>2023-M0522</t>
  </si>
  <si>
    <t>Implementar controles a Cuentas Detracciones.</t>
  </si>
  <si>
    <t>2023-M0708</t>
  </si>
  <si>
    <t>Mandatorio Autorización Parcial</t>
  </si>
  <si>
    <t>2023-M0711</t>
  </si>
  <si>
    <t>Mandatorio Aceptación campo 34</t>
  </si>
  <si>
    <t>2023-M0701</t>
  </si>
  <si>
    <t>Mejora en el proceso de conciliación de operaciones visa (punto 4): Nuevos reportes reemplazo REPVISA  - Parte OPEN</t>
  </si>
  <si>
    <t>Emerson Quecara Choquetico</t>
  </si>
  <si>
    <t>2024-M0071</t>
  </si>
  <si>
    <t>Cheques de Gerencia - Facturación Electrónica</t>
  </si>
  <si>
    <t>María Eva Alfaro Apaza</t>
  </si>
  <si>
    <t>2024-M0315</t>
  </si>
  <si>
    <t>Modificación de programas y hojas de trabajo del Anexo 5 y RCD aplicando los criterios de cálculo de las Provisiones Procíclicas por producto.</t>
  </si>
  <si>
    <t>Riesgos</t>
  </si>
  <si>
    <t>VENCIDO</t>
  </si>
  <si>
    <t>Andrés Quiñones Gonzales</t>
  </si>
  <si>
    <t>2024-M0146</t>
  </si>
  <si>
    <t>ME: Generación de Clave de Internet y Afiliación a la Clave Dinámica Digital (CDD) en el Canal Banca Móvil (Biometría Facial)</t>
  </si>
  <si>
    <t>05. En Calidad</t>
  </si>
  <si>
    <t>Marilu Cordova Quispe</t>
  </si>
  <si>
    <t>Mostrar de manera separada la información de las transferencias por contacto y CCI en los resúmenes operativos del monitor web de consultas</t>
  </si>
  <si>
    <t>2024-M0494</t>
  </si>
  <si>
    <t>MN: Migración de producto para TC entre bines Clásico, Gold y Platinum</t>
  </si>
  <si>
    <t>2024-M0175</t>
  </si>
  <si>
    <t>Pago electrónico de tributos municipales (SRTM)</t>
  </si>
  <si>
    <t>Angela Rocio Risco Vega/Jorge Lucio Ruedas Fernandez</t>
  </si>
  <si>
    <t>2024-M0255</t>
  </si>
  <si>
    <t>Mandatorio Abril 2024</t>
  </si>
  <si>
    <t>2024-M0252</t>
  </si>
  <si>
    <t>Publicaciones Períodicas</t>
  </si>
  <si>
    <t>2024-M0409</t>
  </si>
  <si>
    <t>Cobro de comisión adquirente Internacional Visa por uso en Canal ATM del BN (Consultas y retiros) Surcharge</t>
  </si>
  <si>
    <t>2024-M0317</t>
  </si>
  <si>
    <t>Migrar el sistema Errores de Cajeros (Monitoreo cajeros automáticos) entorno web que soporte la trazabilidad de la atención de los incidentes relacionados con la operatividad de los ATMs</t>
  </si>
  <si>
    <t>2024-M0518</t>
  </si>
  <si>
    <t>Agregar campos en actualización de datos en los canales Banca Móvil y Multired Virtual</t>
  </si>
  <si>
    <t>Monica del Pilar Garcia Campana</t>
  </si>
  <si>
    <t>2024-M0223</t>
  </si>
  <si>
    <t>MC: Montos retenidos - Yape</t>
  </si>
  <si>
    <t>Tecnologías de Información</t>
  </si>
  <si>
    <t>Tomas Calvera</t>
  </si>
  <si>
    <t>2024-M0238</t>
  </si>
  <si>
    <t>ME: Implementación de Transacción en línea de la cobranza de las Empresas Públicas de Electricidad.</t>
  </si>
  <si>
    <t>Fiorella Emma Galvan Soto/Jorge Lucio Ruedas Fernandez</t>
  </si>
  <si>
    <t>2024-M0237</t>
  </si>
  <si>
    <t>ME: Integración al Sistema Comercial SEDAPAL</t>
  </si>
  <si>
    <t>2024-M0298</t>
  </si>
  <si>
    <t>Mejora en el proceso de conciliación de operaciones visa (punto 4): Nuevos reportes reemplazo REPVISA – Parte Host</t>
  </si>
  <si>
    <t>2024-M0320</t>
  </si>
  <si>
    <t>MN: Actualización de Metodología de Cálculo de encaje Exigible</t>
  </si>
  <si>
    <t>2024-M0308</t>
  </si>
  <si>
    <t>Depuración de Datos de contacto, correos electrónicos y teléfonos celulares personal.</t>
  </si>
  <si>
    <t>2024-M0341</t>
  </si>
  <si>
    <t>Incorporación de Campo para el cierre de cuentas de ahorro y corrientes.</t>
  </si>
  <si>
    <t>Norma Fukunaga Fuentes</t>
  </si>
  <si>
    <t>2024-M0368</t>
  </si>
  <si>
    <t>Mejora en los aplicativos CRMY_CRPP</t>
  </si>
  <si>
    <t>Maribel Marlene Medina Molina</t>
  </si>
  <si>
    <t>2024-M0447</t>
  </si>
  <si>
    <t>Generar facturas electrónicas por el cobro de las comisiones en cuentas de ahorro por retiro en ventanilla, consulta de últimos movimientos, emisión de estado de cuenta y consulta de saldo en MN y ME.</t>
  </si>
  <si>
    <t>2024-M0509</t>
  </si>
  <si>
    <t>Levantamiento de Incidencias en el módulo de RBFF-FONAVI</t>
  </si>
  <si>
    <t>2024-M0268</t>
  </si>
  <si>
    <t>MN:Generación de Reporte Crediticio Deudor y Anexos SBS, meses Mayo, Junio, Julio y Agosto 2024</t>
  </si>
  <si>
    <t>Javier Baltazar Urquiaga Salazar</t>
  </si>
  <si>
    <t>2024-M0418</t>
  </si>
  <si>
    <t>ME: Modificación para el registro de reclamos por bancaseguros en SARE intranet/internet, en mantenimiento y reportes</t>
  </si>
  <si>
    <t>Gerencia General</t>
  </si>
  <si>
    <t>2024-M0449</t>
  </si>
  <si>
    <t>Reducción a 5 minutos de los extornos para tasas canal ventanilla</t>
  </si>
  <si>
    <t>Jorge Lucio Ruedas Fernandez</t>
  </si>
  <si>
    <t>2024-M0461</t>
  </si>
  <si>
    <t>Emisión comprobante de pago por la comisión por uso de cajero BN por parte de clientes foráneos locales e internacionales</t>
  </si>
  <si>
    <t>2024-M0529</t>
  </si>
  <si>
    <t>Emisión de comprobantes electrónicas por los cobros de comisión a través de la Transacción 3610</t>
  </si>
  <si>
    <t>2024-M0578</t>
  </si>
  <si>
    <t>ME: FACTURACIONELECTRONICA .- CREACIÓN DE UNA INTERFACE ORACLE FAH PARA EL APLICATIVO DE BANKTRADE</t>
  </si>
  <si>
    <t>2024-M0621</t>
  </si>
  <si>
    <t>Actualización del requerimiento de Oplaft en la BDUC – Fase 2 PEP</t>
  </si>
  <si>
    <t>2024-M0644</t>
  </si>
  <si>
    <t>Generación de Archivos Planos del proceso Operativo de Créditos Hipotecarios.</t>
  </si>
  <si>
    <t>Pedro Jose Encalada Huertas</t>
  </si>
  <si>
    <t>2024-M0595</t>
  </si>
  <si>
    <t>REVISION DE EVENTO DE INTERRUPCION DEL MICROSERVICIO MSGatewayRestGo</t>
  </si>
  <si>
    <t>Angela Rocio Risco Vega</t>
  </si>
  <si>
    <t>2024-M0687</t>
  </si>
  <si>
    <t>Reporte de trazabilidad y validación criptográfica para el canal ATMs - Indecopi</t>
  </si>
  <si>
    <t>2025-M0096</t>
  </si>
  <si>
    <t>Mejoras en el Aplicativo BDUC sobre el módulo elección de medio de envío de estado de cuentas corrientes</t>
  </si>
  <si>
    <t>2025-M0050</t>
  </si>
  <si>
    <t>BDUC (Módulo de Apertura Masiva)</t>
  </si>
  <si>
    <t>2025-M0087</t>
  </si>
  <si>
    <t>Requerimiento Modificación por Servicio de Desembolso CBD transacción 0553</t>
  </si>
  <si>
    <t>Waldo Antonio Basurto Valverde</t>
  </si>
  <si>
    <t>2025-M0113</t>
  </si>
  <si>
    <t xml:space="preserve">Automatización de la Emisión de Liquidación Prestamos Multired  </t>
  </si>
  <si>
    <t>Fiorella Emma Galvan Soto</t>
  </si>
  <si>
    <t>2025-M0274</t>
  </si>
  <si>
    <t>Requerimiento Correctivo Proceso de Generación de EECC corriente</t>
  </si>
  <si>
    <t>2023-M0421</t>
  </si>
  <si>
    <t>Proyecto de Migración y Optimización de la Aplicación Base de Datos Única de Clientes</t>
  </si>
  <si>
    <t>2025-M0116</t>
  </si>
  <si>
    <t>Reporte de trazabilidad y validación criptográfica para el canal Agentes - Indecopi</t>
  </si>
  <si>
    <t>2025-M0086</t>
  </si>
  <si>
    <t>IDENTIFICADOR DEL ERROR EN EL SISTEMA DEL ATM POR RETENCION DE TARJETA Y COBRO DE COMISION  POR REPOSICION</t>
  </si>
  <si>
    <t>2025-M0278</t>
  </si>
  <si>
    <t>Validación CCI / DNI pago de proveedores del estado para abonos en cuentas de ahorro MN</t>
  </si>
  <si>
    <t>2025-M0182</t>
  </si>
  <si>
    <t>OPTIMIZACION EN EL SISTEMA DE TRANSFERENCIAS INTERBANCARIAS DIFERIDAS SITE VIA ( CCE ) - FASE 2</t>
  </si>
  <si>
    <t>04. Desarrollo Finalizado</t>
  </si>
  <si>
    <t>Pedro Jose Encalada Huertas/Maribel Marlene Medina Molina</t>
  </si>
  <si>
    <t>2025-M0538</t>
  </si>
  <si>
    <t>Revisión, Actualización, Optimización y Automatización del Proceso de Carga del RCD</t>
  </si>
  <si>
    <t>2025-M0537</t>
  </si>
  <si>
    <t>REVISION, ACTUALIZACION, AUTOMATIZACION  Y OPTIMIZACION  DEL PROCESO CARGA DEL RCD ANEXO 5</t>
  </si>
  <si>
    <t>2025-M0199</t>
  </si>
  <si>
    <t>Automatización Contable de Servicios Educativos.</t>
  </si>
  <si>
    <t>2025-M0306</t>
  </si>
  <si>
    <t>Mantenimiento de Base de Datos para cálculo de requerimiento de capital por riesgo de crédito</t>
  </si>
  <si>
    <t>2025-M0180</t>
  </si>
  <si>
    <t>Extracción periódica de la información del sistema SYGNUS que se encuentra en el entorno de Open Distribuido</t>
  </si>
  <si>
    <t>Luis Enrique Almeyda Pachas</t>
  </si>
  <si>
    <t>2025-M0203</t>
  </si>
  <si>
    <t>Extracción periódica de la información del sistema SIP (Sistema Integral de Personal) que se encuentra en el entorno de mainframe</t>
  </si>
  <si>
    <t>2025-M0204</t>
  </si>
  <si>
    <t>Extracción periódica de la información del sistema Oracle Financial que se encuentra en el entorno de Open Distribuido</t>
  </si>
  <si>
    <t>2025-M0206</t>
  </si>
  <si>
    <t>Extraer información relacionada a maestra de empleados siguiendo el diseño propuesto en el presente documento</t>
  </si>
  <si>
    <t>2025-M0207</t>
  </si>
  <si>
    <t>Extraer información relacionada a maestra de empleados - Dirección siguiendo el diseño propuesto en el presente documento</t>
  </si>
  <si>
    <t>2025-M0186</t>
  </si>
  <si>
    <t>Extraer información relacionada a maestra de empleados - Dependientes siguiendo el diseño propuesto en el presente documento</t>
  </si>
  <si>
    <t>2025-M0618</t>
  </si>
  <si>
    <t>IMPLEMENTACIÓN DEL PRE-CALENDARIO (CRONOGRAMA) DE PAGOS Y EL PRE REGISTRO DE DESEMBOLSO EN EL CRMY</t>
  </si>
  <si>
    <t>2025-M0312</t>
  </si>
  <si>
    <t>MEJORAS EN EL CANAL DE PÁGALO Y INCORPORACIÓN DE OSINERGMIN Y CONAFOVICER - Incorporación de nuevas entidades públicas en el canal Págalo.pe</t>
  </si>
  <si>
    <t>Jorge Lucio Ruedas Fernandez/Adolfo Martin Escobar Bustamante/Angela Rocio Risco Vega</t>
  </si>
  <si>
    <t>2025-M0322</t>
  </si>
  <si>
    <t>Apertura de Cuenta de Detracciones en Línea Persona Jurídica</t>
  </si>
  <si>
    <t>2025-M0653</t>
  </si>
  <si>
    <t>Proceso para la eliminación automática de firmas Saraweb Branch – MEF&lt;br&gt;(Batch/Mainframe)</t>
  </si>
  <si>
    <t>Rossana Rojas Alvaro</t>
  </si>
  <si>
    <t>2025-M0268</t>
  </si>
  <si>
    <t>CORRECCION DE LA DESCRIPCION QUE CONTIENE EL CAMPO CENTRO DE LABORES</t>
  </si>
  <si>
    <t>2025-M0255</t>
  </si>
  <si>
    <t>Optimización de accesos y procesos de SIGA</t>
  </si>
  <si>
    <t>2025-M0301</t>
  </si>
  <si>
    <t>ME: ATENCION DE FUNCIONALIDADES QUE FUERON RE - PRIORIZADOS COBN LA FINALIDAD DE CULMINAR EL PRODUCTO MINIMO VIABLE (MVP) DE LA APLICACION SAHE HORAS EXTRAS</t>
  </si>
  <si>
    <t>Darwin Ander Valenzuela Ñiquen</t>
  </si>
  <si>
    <t>2025-M0282</t>
  </si>
  <si>
    <t>REPORTE DIARIO EN OPERACIONES EN CUENTAS CORRIENTES</t>
  </si>
  <si>
    <t>2025-M0299</t>
  </si>
  <si>
    <t>ACTUALIZAR LAS CARPETAS DE ENTRADA DIFERIDAS.</t>
  </si>
  <si>
    <t>2025-M0328</t>
  </si>
  <si>
    <t>ME: MIGRACION Y MEJORA DEL APLICATIVO WEB POAD ADMINISTRACION PORTAL DEL EMPLEADO - FASE II</t>
  </si>
  <si>
    <t>2025-M0266</t>
  </si>
  <si>
    <t>MC: Migración del servicio de transmisión en linea de Host a ambiente distribuido - PAGALO.PE</t>
  </si>
  <si>
    <t>2025-M0364</t>
  </si>
  <si>
    <t>Transferencias Interbancarias Inmediatas  entrantes ME   -  Movil Android</t>
  </si>
  <si>
    <t>2025-M0363</t>
  </si>
  <si>
    <t>Transferencias Interbancarias Inmediatas  entrantes ME   -  Movil IOS</t>
  </si>
  <si>
    <t>2025-M0379</t>
  </si>
  <si>
    <t>Inscripción de Nuevos Centros de Captura Saraweb Sing</t>
  </si>
  <si>
    <t>2025-M0465</t>
  </si>
  <si>
    <t>Adicionar los nombres completos y el DNI del depositante en el reporte SICT4178 cuando son abonos en Cta Cte por el agente Globokas 0990</t>
  </si>
  <si>
    <t>2025-M0659</t>
  </si>
  <si>
    <t>INCORPORACIÓN FUNCIONALIDADES APLICACIÓN EMULACIÓN CTAS. MONETARIAS</t>
  </si>
  <si>
    <t>Valery Aldo Versategui Malpica</t>
  </si>
  <si>
    <t>2025-M0425</t>
  </si>
  <si>
    <t>Habilitar en la transacción 1410 las Transferencias Interbancarias diferidas vía CCE con cargo a cuentas de ahorro PJ</t>
  </si>
  <si>
    <t>2025-M0422</t>
  </si>
  <si>
    <t>Clientes no aceptados por actividad económica en BDUC.</t>
  </si>
  <si>
    <t>2025-M0431</t>
  </si>
  <si>
    <t>INCLUSIÓN DE TASAS DE DNI ELECTRÓNICO DE RENIEC Y PASAPORTE BIOMÉTRICO DE MIGRACIONES Y ACTUALIZACIÓN DE DEPENDENCIAS Y DISTRITOS JUDICIALES PARA EL PAGO DE TASAS DEL PODER JUDICIAL EN EL CANAL AGENTE BN</t>
  </si>
  <si>
    <t>2025-M0370</t>
  </si>
  <si>
    <t>MN: Actualización de las tablas de alineamiento contable correspondiente al producto TC</t>
  </si>
  <si>
    <t>2025-M0404</t>
  </si>
  <si>
    <t>ME: Implementación de Servicio en Línea y sin Base de Datos - Osinergmin -Hub de integración&lt;br&gt;</t>
  </si>
  <si>
    <t>2025-M0426</t>
  </si>
  <si>
    <t>Generación Clave Internet y Afiliación  CDD en Banca Móvil por Biometria – Capa Front Android</t>
  </si>
  <si>
    <t>2025-M0427</t>
  </si>
  <si>
    <t>Generación Clave Internet y Afiliación  CDD en Banca Móvil por Biometria – Capa Front IOS</t>
  </si>
  <si>
    <t>2025-M0570</t>
  </si>
  <si>
    <t>CARGA DE TABLAS BNDJF11, BNDJF12, BNDJ13 EN REPOSITORIO DE BIGDATA PARA LA GENERACIÓN DE REPORTES DEJA</t>
  </si>
  <si>
    <t>2025-M0518</t>
  </si>
  <si>
    <t>REGISTRO DE FAMILIARES EN EL POEM INCLUYENDO EL SEGURO  VIDA LEY</t>
  </si>
  <si>
    <t>0</t>
  </si>
  <si>
    <t>2025-M0419</t>
  </si>
  <si>
    <t>Mejora Reporte  Reprogramaciones – Crédito de consumo e Hipotecario</t>
  </si>
  <si>
    <t>2025-M0406</t>
  </si>
  <si>
    <t>DESARROLLO DE PROYECTOS DE MIGRACION, OPTIMIZACION Y MANTENIMIENTO DE APLICACIONES : BDUC Y SACH</t>
  </si>
  <si>
    <t>2025-M0433</t>
  </si>
  <si>
    <t>ME :INCLUSIÓN DE TASAS DE DNI ELECTRÓNICO DE RENIEC Y PASAPORTE BIOMÉTRICO DE MIGRACIONES Y ACTUALIZACIÓN DE DEPENDENCIAS Y DISTRITOS JUDICIALES PARA EL PAGO DE TASAS DEL PODER JUDICIAL EN EL CANAL AG</t>
  </si>
  <si>
    <t>2025-M0434</t>
  </si>
  <si>
    <t>ME:INCLUSIÓN DE TASAS DE DNI ELECTRÓNICO DE RENIEC Y PASAPORTE BIOMÉTRICO DE MIGRACIONES Y ACTUALIZACIÓN DE DEPENDENCIAS Y DISTRITOS JUDICIALES PARA EL PAGO DE TASAS DEL PODER JUDICIAL EN EL CANAL AG</t>
  </si>
  <si>
    <t>2025-M0494</t>
  </si>
  <si>
    <t>Tarjeta de Crédito sin seguro de desgravamen</t>
  </si>
  <si>
    <t>2025-M0503</t>
  </si>
  <si>
    <t>Pago en Dólares de Servicios Digitales para no Domiciliados</t>
  </si>
  <si>
    <t>2025-M0502</t>
  </si>
  <si>
    <t>REQUERIMIENTO DE INFORMACIÓN PARA EL PLAN ESTRATÉGICO DE SEGURIDAD DE INFORMACIÓN</t>
  </si>
  <si>
    <t>2025-M0511</t>
  </si>
  <si>
    <t>Mejora de proceso para la generación y validación de la Base de Datos Crediticias</t>
  </si>
  <si>
    <t>2025-M0638</t>
  </si>
  <si>
    <t>Reporte CDJA solicitado por OCI poder Judicial</t>
  </si>
  <si>
    <t>2025-M0483</t>
  </si>
  <si>
    <t>Mejoras en los procesos de Tarjetas de Créditos (Personal y Tarjeta Tesoro).</t>
  </si>
  <si>
    <t>2025-M0036</t>
  </si>
  <si>
    <t>Soporte para el Proceso Batch del producto Tarjeta Tesoro MEF</t>
  </si>
  <si>
    <t>2025-M0143</t>
  </si>
  <si>
    <t>IMPLEMENTAR PROCESO  AUTOMATICO CONTABLE</t>
  </si>
  <si>
    <t>2025-M0574</t>
  </si>
  <si>
    <t>SIRE REGISTRO DE VENTAS Y COMPRAS</t>
  </si>
  <si>
    <t>2025-M0770</t>
  </si>
  <si>
    <t xml:space="preserve">Identificación de riesgos cambiario crediticio para los clientes minoristas </t>
  </si>
  <si>
    <t>2025-M0598</t>
  </si>
  <si>
    <t>Cambio Plataforma IZIPAY para el canal Pagalo.pe</t>
  </si>
  <si>
    <t>2025-M0575</t>
  </si>
  <si>
    <t>Enrolamiento en línea – 2da parte:  Migración bd y reportería</t>
  </si>
  <si>
    <t>2026-M0002</t>
  </si>
  <si>
    <t>Controles para el proceso de Cobranza Automática de Préstamo Multired</t>
  </si>
  <si>
    <t>2025-M0540</t>
  </si>
  <si>
    <t>MC: Inclusión de nuevo BIN:Tarjeta de crédito</t>
  </si>
  <si>
    <t>2025-M0535</t>
  </si>
  <si>
    <t>Bibloteca -Modulos de Administración y Buscador</t>
  </si>
  <si>
    <t>2025-M0536</t>
  </si>
  <si>
    <t>Optimizacion SARE intranet, reducir errores en el registro y nuevas funcionalidades</t>
  </si>
  <si>
    <t>2025-M0543</t>
  </si>
  <si>
    <t>ME: Se requiere un producto mínimo viable para el producto Factoring BN</t>
  </si>
  <si>
    <t>2025-M0584</t>
  </si>
  <si>
    <t>MC: Extorno AFT</t>
  </si>
  <si>
    <t>2025-M0562</t>
  </si>
  <si>
    <t>Proceso de envio de información – interfaces nuevo Sistema de Pagaduría MEF</t>
  </si>
  <si>
    <t>2025-M0563</t>
  </si>
  <si>
    <t>Proceso de conciliación contable en nuevo Sistema de Pagaduría MEF</t>
  </si>
  <si>
    <t>2025-M0596</t>
  </si>
  <si>
    <t>Proyecto Hub de Integración - Entidad FINANCIERA CONFIANZA</t>
  </si>
  <si>
    <t>2025-M0603</t>
  </si>
  <si>
    <t>Opción de Módulo de Impresiones - Tarjeta de Crédito</t>
  </si>
  <si>
    <t>2025-M0606</t>
  </si>
  <si>
    <t xml:space="preserve">Actualización de nombre para Entidad Financiera 0043: Santander Consumer Bank. Transferencias Interbancarias INMEDIATAS y DIFERIDAS en los canales App Banca Móvil y Multired Virtual </t>
  </si>
  <si>
    <t>Monica del Pilar Garcia Campana/Juan Carlos Cordova Inga</t>
  </si>
  <si>
    <t>2025-M0623</t>
  </si>
  <si>
    <t xml:space="preserve">Pruebas validación CCI- DNI Pago de Proveedores  </t>
  </si>
  <si>
    <t>2025-M0629</t>
  </si>
  <si>
    <t>Migración de Jornal histórico de servidores EJM a servidores</t>
  </si>
  <si>
    <t>2025-M0649</t>
  </si>
  <si>
    <t>CODIFICACION DE PROGRAMAS EXTRACTORES POR PEDIDO  ADICIONAL DE OPLAFT</t>
  </si>
  <si>
    <t>Jorge Enrique Ruiz Torres</t>
  </si>
  <si>
    <t>2025-M0652</t>
  </si>
  <si>
    <t>Facturacion Electronica .- Creacion de una interfase ( constituida por 3 archivos textos) desde el aplicativo de GIROS  hacia el respositorio de comprobantes de pagos -complementario</t>
  </si>
  <si>
    <t>2025-M0639</t>
  </si>
  <si>
    <t>MC:Factores de Seguridad Banca Empresarial - cambio de clave de 6 dígitos</t>
  </si>
  <si>
    <t>2025-M0675</t>
  </si>
  <si>
    <t>Script para reporte de transacciones por tipo, hora y canal digital App y Multired.</t>
  </si>
  <si>
    <t>Juan Carlos Cordova Inga</t>
  </si>
  <si>
    <t>2025-M0660</t>
  </si>
  <si>
    <t>Retiro de las transacciones de Telefónica 3270-3280 Saraweb</t>
  </si>
  <si>
    <t>2025-M0650</t>
  </si>
  <si>
    <t>Pago dólares Servicios Digitales no Domiciliados – Modulo Web Distribución Entidades Beneficiarias</t>
  </si>
  <si>
    <t>2025-M0651</t>
  </si>
  <si>
    <t>Pago dólares Servicios Digitales no Domiciliados – Afectación a Ctas.Ctes. ME Entidades Beneficiarias</t>
  </si>
  <si>
    <t>2025-M0680</t>
  </si>
  <si>
    <t>Emision diaria de los reportes CRPP 4601, CRPP 4602 y CRPP 4604</t>
  </si>
  <si>
    <t>2025-M0698</t>
  </si>
  <si>
    <t>Migracion de journal historico de servidores EJM DIEBOLD a servidores ATMCentre</t>
  </si>
  <si>
    <t>2025-M0709</t>
  </si>
  <si>
    <t>Implementacion de mejoras en la comercializacion del Seguro Sepelio</t>
  </si>
  <si>
    <t>2025-M0714</t>
  </si>
  <si>
    <t>AMPLIACIÓN AL ANEXO 2 TARJETA DE CREDITO CLÁSICA SIN SEGURO DE DESGRAVAMEN</t>
  </si>
  <si>
    <t>Solicitud de proceso de actualización de Tickets en el Monitor Multipagos</t>
  </si>
  <si>
    <t>02. En Planificación</t>
  </si>
  <si>
    <t>2025-M0691</t>
  </si>
  <si>
    <t>Solución Vulnerabilidades Factibilidad WEB</t>
  </si>
  <si>
    <t>2025-M0665</t>
  </si>
  <si>
    <t>CODIFICACION DE PROGRAMAS EXTRACTORES POR NUEVO PEDIDO ADICIONAL DE   OPLAFT</t>
  </si>
  <si>
    <t>2025-M0672</t>
  </si>
  <si>
    <t>CULMINAR CON LAS CONTABILIZACION DE LA COMISION Y EL SEGURO DE DESGRAVAMEN EN LAS CUENTAS CONTABLES.</t>
  </si>
  <si>
    <t>2025-M0673</t>
  </si>
  <si>
    <t>Truncamiento Datos PAN Tarjeta – CICS y Archivos</t>
  </si>
  <si>
    <t>2025-M0692</t>
  </si>
  <si>
    <t>Solucion de Vulnerabilidades Constancia no Adeudo</t>
  </si>
  <si>
    <t>Modificación de la Transacciones del Saraweb del proceso de Emisión y Reposición de Tarjeta de Débito - FASE I</t>
  </si>
  <si>
    <t>2025-M0742</t>
  </si>
  <si>
    <t>Integración del servicio Mobile Attestation para IOS, además de la personalización de las pantallas de bloqueon y captcha (servicio Antibot) para la aplicación banca móvil del BN</t>
  </si>
  <si>
    <t>2025-M0738</t>
  </si>
  <si>
    <t>Generación de Base de datos de Rutas Foráneas en secuencia FISA</t>
  </si>
  <si>
    <t>Ricardo Cuba Mora</t>
  </si>
  <si>
    <t>2025-M0743</t>
  </si>
  <si>
    <t>Integración del servicio Mobile Attestation para ANDROID, además de la personalización de las pantallas de bloqueon y captcha (servicio Antibot) para la aplicación banca móvil del BN</t>
  </si>
  <si>
    <t>2025-M0736</t>
  </si>
  <si>
    <t>MN: SIRE REGISTRO DE COMPRAS</t>
  </si>
  <si>
    <t>2025-M0751</t>
  </si>
  <si>
    <t>Adecuaciones adicionales en el Sistema de Facturación Electrónica para las operaciones de Transferencias Interbancarias Diferidas</t>
  </si>
  <si>
    <t>2025-M0722</t>
  </si>
  <si>
    <t>ME: DESARROLLO DE UNA APLICACION (MVP) PARA EL PRODUCTO FACTORING BN - FASE II</t>
  </si>
  <si>
    <t>2025-M0715</t>
  </si>
  <si>
    <t>ME: BDUC: Complementarios al requerimiento de OPLAFT (PEP).</t>
  </si>
  <si>
    <t>2025-M0739</t>
  </si>
  <si>
    <t>CGMN - GENERAR ORDEN PARA EXTRAER INFORMACION DE CHEQUES DE GERENCIA MN PARA UN RANGO DE TIEMPO DETERMINADO</t>
  </si>
  <si>
    <t>2025-M0740</t>
  </si>
  <si>
    <t>CGME - GENERAR ORDEN PARA EXTRAER INFORMACION DE CHEQUES DE GERENCIA M.E. PARA UN RANGO DE TIEMPO DETERMINADO</t>
  </si>
  <si>
    <t>2025-M0764</t>
  </si>
  <si>
    <t>Implementacion de la Casilla Unica Peru (Ex Casilla unica electronica CUE) en elSTD</t>
  </si>
  <si>
    <t>x</t>
  </si>
  <si>
    <t>CARTERA DE REQUERIMIENTOS DE LA DEMANDA TÁCTICA</t>
  </si>
  <si>
    <t>Datos Generales del Requerimiento</t>
  </si>
  <si>
    <t>Resultado del Comité de Demanda</t>
  </si>
  <si>
    <t>Seguimiento del Requerimiento</t>
  </si>
  <si>
    <t>Indicador Componente de TI</t>
  </si>
  <si>
    <t>DEVOLUCIÓN</t>
  </si>
  <si>
    <t>ID Demanda</t>
  </si>
  <si>
    <t>ID Histórico</t>
  </si>
  <si>
    <t>Tipo de Requerimiento</t>
  </si>
  <si>
    <t>ID Trámite</t>
  </si>
  <si>
    <t>Descripción del Requerimiento</t>
  </si>
  <si>
    <t>Subgerencia</t>
  </si>
  <si>
    <t>Sección</t>
  </si>
  <si>
    <t>Fecha de Solicitud</t>
  </si>
  <si>
    <t>Memorando STD</t>
  </si>
  <si>
    <t>Aplicativo</t>
  </si>
  <si>
    <t>Cartera</t>
  </si>
  <si>
    <t>Canal de Atención</t>
  </si>
  <si>
    <t>Producto</t>
  </si>
  <si>
    <t>Servicio</t>
  </si>
  <si>
    <t>Categoría</t>
  </si>
  <si>
    <t>Tipo</t>
  </si>
  <si>
    <t>Entidad reguladora / Organo de Control</t>
  </si>
  <si>
    <t>N° Norma / N° Informe - N° recomendación</t>
  </si>
  <si>
    <t>Tïtulo de Informe</t>
  </si>
  <si>
    <t>Nro Rec</t>
  </si>
  <si>
    <t>Nro Rec Numeral</t>
  </si>
  <si>
    <t>Fecha de Implem.Requerida</t>
  </si>
  <si>
    <t>Tipo de atención</t>
  </si>
  <si>
    <t>Fecha de Priorización Comité</t>
  </si>
  <si>
    <t>Área Responsable TI</t>
  </si>
  <si>
    <t>Entidad Asignado</t>
  </si>
  <si>
    <t>Macroestado</t>
  </si>
  <si>
    <t>Motivo según estado</t>
  </si>
  <si>
    <t>Fecha registro trámite</t>
  </si>
  <si>
    <t>Fecha Inicio- Desarrollo (PLANIFICADA)</t>
  </si>
  <si>
    <t>Fecha Inicio- Desarrollo</t>
  </si>
  <si>
    <t>Fecha Fin- Desarrollo</t>
  </si>
  <si>
    <t>Fecha Fin- Desarrollo (PLANIFICADA)</t>
  </si>
  <si>
    <t>Fecha Inicio- Calidad</t>
  </si>
  <si>
    <t>Fecha Fin- Calidad</t>
  </si>
  <si>
    <t>Fecha Fin- Calidad (PLANIFICADA)</t>
  </si>
  <si>
    <t>Fecha Inicio- Producción</t>
  </si>
  <si>
    <t>Fecha Fin- Producción</t>
  </si>
  <si>
    <t>Fecha Fin-Planificada</t>
  </si>
  <si>
    <t>Comentarios OPP</t>
  </si>
  <si>
    <t>Gerencia Abr</t>
  </si>
  <si>
    <t>Subgerencia Abr</t>
  </si>
  <si>
    <t>Mes Ingreso</t>
  </si>
  <si>
    <t>Mes Priorización</t>
  </si>
  <si>
    <t>Mes Fin Desa</t>
  </si>
  <si>
    <t>Mes Fin Prod</t>
  </si>
  <si>
    <t>Mes Fin Plan</t>
  </si>
  <si>
    <t>ESTADO FS_INDRA</t>
  </si>
  <si>
    <t>FECHA INICIO</t>
  </si>
  <si>
    <t>FECHA ENTREGA PLANIFICADA</t>
  </si>
  <si>
    <t>FECHA ENTREGA REAL</t>
  </si>
  <si>
    <t>Fecha Ingreso a la Demanda</t>
  </si>
  <si>
    <t>Ingreso x Trimestre</t>
  </si>
  <si>
    <t>Duracion en Dias</t>
  </si>
  <si>
    <t>Duracion en Meses</t>
  </si>
  <si>
    <t>PLANEAMIENTO RQs</t>
  </si>
  <si>
    <t>Última Actividad</t>
  </si>
  <si>
    <t>Último Estado ClearQuest</t>
  </si>
  <si>
    <t>Fecha de último Estado</t>
  </si>
  <si>
    <t>Estado Recomendaciones</t>
  </si>
  <si>
    <t>ID Recomendacion</t>
  </si>
  <si>
    <t>BDG2026</t>
  </si>
  <si>
    <t>Fechas Vencidas</t>
  </si>
  <si>
    <t>MicroCanal</t>
  </si>
  <si>
    <t>MacroCanal</t>
  </si>
  <si>
    <t>Compromiso 180225</t>
  </si>
  <si>
    <t>Compromiso</t>
  </si>
  <si>
    <t>Comentario Compromiso</t>
  </si>
  <si>
    <t>Fecha Fin2</t>
  </si>
  <si>
    <t>Fecha Vencida 2</t>
  </si>
  <si>
    <t>Mes</t>
  </si>
  <si>
    <t xml:space="preserve">Compromiso de Pedro Encalada al 01/04/252
</t>
  </si>
  <si>
    <t>Tabla 2</t>
  </si>
  <si>
    <t>CARTERA PPT</t>
  </si>
  <si>
    <t>FILTRO 27/10</t>
  </si>
  <si>
    <t>DEVOLVER 27</t>
  </si>
  <si>
    <t>ESTADO NO DEVUELTOS 27</t>
  </si>
  <si>
    <t>CRONOGRAMA</t>
  </si>
  <si>
    <t>indicador de Avance</t>
  </si>
  <si>
    <t>% PLANIFICADO</t>
  </si>
  <si>
    <t>GAP</t>
  </si>
  <si>
    <t>RATIO</t>
  </si>
  <si>
    <t>Comienzo Desarrollo OG</t>
  </si>
  <si>
    <t>Comienzo Desarrollo</t>
  </si>
  <si>
    <t>Fin Desarrollo</t>
  </si>
  <si>
    <t>Comienzo Calidad</t>
  </si>
  <si>
    <t>Fin Calidad</t>
  </si>
  <si>
    <t>Comienzo Producción</t>
  </si>
  <si>
    <t>Fin Producción</t>
  </si>
  <si>
    <t>DURACIÓN DESARROLLO DIAS</t>
  </si>
  <si>
    <t>Porcentaje avanzado desarrollo</t>
  </si>
  <si>
    <t>DURACIÓN DESARROLLO HORAS</t>
  </si>
  <si>
    <t>BANCA DIGITAL CRONOGRAMA 20</t>
  </si>
  <si>
    <t>ESTADO AMCRO</t>
  </si>
  <si>
    <t>Prcentaje faltante desarrollo</t>
  </si>
  <si>
    <t>Dias avanzados</t>
  </si>
  <si>
    <t>Dias faltantes</t>
  </si>
  <si>
    <t>HORAS AVANZADAS</t>
  </si>
  <si>
    <t>HORAS RESTANTES</t>
  </si>
  <si>
    <t>mes fin prod cronograma</t>
  </si>
  <si>
    <t>Demanda Táctica</t>
  </si>
  <si>
    <t>COMENTARIO CALIDAD / PROD</t>
  </si>
  <si>
    <t>STATUS CAL/PROD</t>
  </si>
  <si>
    <t>Inicitivas</t>
  </si>
  <si>
    <t>M0532</t>
  </si>
  <si>
    <t>Mantenimiento-Sw</t>
  </si>
  <si>
    <t>2024-T0423</t>
  </si>
  <si>
    <t>2024-M0367</t>
  </si>
  <si>
    <t>Aplicativo CRMY_CRPP Periodo de Gracia</t>
  </si>
  <si>
    <t>Mejoras en los aplicativos de Prestamos con suscripción de Pagaré CRMY_CRPP</t>
  </si>
  <si>
    <t>Servicios Bancarios y Recaudación</t>
  </si>
  <si>
    <t>Soporte Servicios Financieros</t>
  </si>
  <si>
    <t>MEMORANDO N° 00000093 - 2024-BN/3241</t>
  </si>
  <si>
    <t>CRMY-Créditos MIPES</t>
  </si>
  <si>
    <t>Administrativo</t>
  </si>
  <si>
    <t>No Aplica</t>
  </si>
  <si>
    <t>No aplica</t>
  </si>
  <si>
    <t>Evolutivo</t>
  </si>
  <si>
    <t>RIESGOS</t>
  </si>
  <si>
    <t>Normal</t>
  </si>
  <si>
    <t>Sistemas Bancarios</t>
  </si>
  <si>
    <t>FS-Olssa</t>
  </si>
  <si>
    <t>09. Descartado</t>
  </si>
  <si>
    <t>02/02/2026 Se DESCARTA el mantenimiento. El requerimiento será atendido con el mantenimiento 2024-M0368
10/02/25: Según CQ, actualizó el estado a 03. En Desarrollo
15/08/24: Según CQ, actualizó el estado a 01. Registrado
07/08/24: Según CQ, actualizó el estado a 01. Registrado
11/07/24 Se creo el TD y se registro en la demanda tactica
27/06/24 El desarrollo está en proceso.
24/05/2024: Se registró en la demanda integral.</t>
  </si>
  <si>
    <t>2024-II</t>
  </si>
  <si>
    <t>ID 85</t>
  </si>
  <si>
    <t>Finalizada</t>
  </si>
  <si>
    <t>Descartado</t>
  </si>
  <si>
    <t>Pasa a Calidad mar-25, Atendido por OLssa, se reasigna en CQ a Maria Eva.</t>
  </si>
  <si>
    <t>NO</t>
  </si>
  <si>
    <t>Demanda Táctica - 2025</t>
  </si>
  <si>
    <t>M0590</t>
  </si>
  <si>
    <t>2024-T0479</t>
  </si>
  <si>
    <t>2024-M0423</t>
  </si>
  <si>
    <t>Automatización Cobranza de Cuotas CRMY-CRPP</t>
  </si>
  <si>
    <t>Mejora en los aplicativos CRMY-CRPP Automatización Cobranza Cuotas.</t>
  </si>
  <si>
    <t>MEMORANDO N° 00000172 - 2024-BN/3241</t>
  </si>
  <si>
    <t>Estandar</t>
  </si>
  <si>
    <t>02/02/2026 Se DESCARTA el mantenimiento. El requerimiento será atendido con el mantenimiento 2024-M0368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10/02/25: POSPUESTO en CQ, se planifica su atención a partir de abr-25.
10/02/25: Según CQ, actualizó el estado a 10. Paralizado
06/02/52: Usuario manifiesta que se encuentra realizando pruebas, validar con Munarriz.
19/09/24: Según CQ, actualizó el estado a 03. En Desarrollo
03/09/24: Según CQ, actualizó el estado a 02. En Planificación
14/08/2024 Construcción en proceso a cargo de Jorge Andres Munarriz Silva. Se encuentra en planificación de pruebas de usuarios. Se registró en el backlog</t>
  </si>
  <si>
    <t>2024-III</t>
  </si>
  <si>
    <t>ID 84-58</t>
  </si>
  <si>
    <t>Pordefinir</t>
  </si>
  <si>
    <t>Actualiza POSPUESTO en CQ, se planificar su atención a partir de abr-25.
Usuario manifiesta que se encuentra realizando pruebas, validar con Munarriz.</t>
  </si>
  <si>
    <t>REACTIVADO</t>
  </si>
  <si>
    <t>Reactivo</t>
  </si>
  <si>
    <t>M1201</t>
  </si>
  <si>
    <t>2025-T0661</t>
  </si>
  <si>
    <t>Desarrollo Comercial y Proyectos</t>
  </si>
  <si>
    <t>Correo s/n</t>
  </si>
  <si>
    <t>SFAC-Sistema de Factoring</t>
  </si>
  <si>
    <t>Otros</t>
  </si>
  <si>
    <t>Correctivo</t>
  </si>
  <si>
    <t>Regularizado</t>
  </si>
  <si>
    <t>Sistemas Administrativos</t>
  </si>
  <si>
    <t>06/04/26: Según CQ, actualizó el estado a 08. Producción Finalizada
27/03/26: Según CQ, actualizó el estado a 07. En Despliegue
19/03/26: Según CQ, actualizó el estado a 06. Calidad Finalizado
10/03/26: Según CQ, actualizó el estado a 07. En Despliegue
05/03/26: Según CQ, actualizó el estado a 06. Calidad Finalizado
24/12/25: Según CQ, actualizó el estado a 05. En Calidad
15/12/25: Según CQ, actualizó el estado a 04. Desarrollo Finalizado
01/09/25: Según CQ, actualizó el estado a 03. En Desarrollo
28/08/25: Se regularizó su registró en el Backlog.</t>
  </si>
  <si>
    <t>2025-III</t>
  </si>
  <si>
    <t>Procesado</t>
  </si>
  <si>
    <t>M1271</t>
  </si>
  <si>
    <t>2025-T0847</t>
  </si>
  <si>
    <t>Canales Alternos</t>
  </si>
  <si>
    <t>Canales Virtuales</t>
  </si>
  <si>
    <t>MEMORANDO N° 00000496 -2025-BN/3252</t>
  </si>
  <si>
    <t xml:space="preserve">30/03/2026 Se ha solicitado al jefe de construcción procesa con la creación de actividad y asignación de recursos. Luego de ello, de considerarlo necesario, proceder con la paralización
30/12/2025: Cartera reasignada a Omar Sarmiento
28/10/25: Se registró en Backlog. </t>
  </si>
  <si>
    <t>2025-IV</t>
  </si>
  <si>
    <t>BD</t>
  </si>
  <si>
    <t>M1278</t>
  </si>
  <si>
    <t>2025-T0846</t>
  </si>
  <si>
    <t>MEMORANDO N° 00000453 - 2025-BN/3252</t>
  </si>
  <si>
    <t>Agencias</t>
  </si>
  <si>
    <t>Cuenta de Ahorros</t>
  </si>
  <si>
    <t>30/03/2026 Se ha solicitado al jefe de construcción procesa con la creación de actividad y asignación de recursos. Luego de ello, de considerarlo necesario, proceder con la paralización
30/12/2025: Cartera reasignada a Omar Sarmiento
11/11/25: Se registró en el Backlog. Anexo 2 actualizado de ID 2410</t>
  </si>
  <si>
    <t>M0042</t>
  </si>
  <si>
    <t>2023-T0454</t>
  </si>
  <si>
    <t>Permitirá aumentar el número de transacciones de depósito a cuenta
corriente en canal Agentes Multired.</t>
  </si>
  <si>
    <t>Canales Presenciales</t>
  </si>
  <si>
    <t>MEMORANDO N° 00000512 - 2022-BN/3251</t>
  </si>
  <si>
    <t>TMIN-Tarjeta Multired Interfaces</t>
  </si>
  <si>
    <t>Agente BN</t>
  </si>
  <si>
    <t>Analista-BN</t>
  </si>
  <si>
    <t>Falta recursos TI</t>
  </si>
  <si>
    <t>26/01/2026 Coordinar con Vladimir para que se reinicie. De acuerdo a las notas, sería reiniciado en el 2026
04/02/2026: Cartera reasignada aOmar Sarmiento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12/02/25: Según CQ, actualizó el estado a 10. Paralizado. Se coordinará con planeamiento y área usuaria su devolución. Se requiere que Izipay resuelva el error reportado en Producción.
07/08/24: Según CQ, actualizó el estado a 03. En Desarrollo
24/06/2024: Se cambió 'Recurso-Asignado' de FS-Indra a FS-Olssa
27/04/2024: Según CQ, se actualizó el estado de 06. Calidad Finalizado a 07. En Despliegue
05/03/24:Según CQ, actualizó el estado a 17. Certificado
27/02/24:Según CQ, actualizó el estado a 08. Certificado
20/02/24:Según CQ, actualizó el estado a 08. Certificado
20/02/2024: Se confirma con Carlos Linares que se encuentra en proceso de despliegue (en coordinación con Fredy )
19/02/2024: En coordinación con OPP y jefatura se realizará asignación al regreso de vacaciones de Psilva ( 01/02/24-19/02/24). No se ha realizado un traspaso de información solo cambio de recurso.
13/02/2024: Se cambia estado a Certificado según CQ
30/01/2024: Reasignaciòn de cartera de acuerdo al correo de Martin Nicho de fecha 18.01.2024.
09/01/2024: Se actualiza las fechas de calidad según CQ
08/01/24:Según CQ, actualizó el estado a 07. En Calidad
02/01/2024: MMedina confirma que el requerimiento se encuentra en calidad y será atendido por Carlos Linares a su regreso de vacaciones. Pendiente de confirmar fechas por calidad
13/12/2023: COMITÉ DEMANDA REGULARIZACIÓN: Se regulariza su registro según lo aprobado en comité
11/12/2023: Según CQ fue rechazado el 30/11 a Desarrollo. Se envió consulta a Construcción sobre el estado actual del RQ.
20/11/2023: Se actualiza el estado En calidad y FI de calidad de 24/10/2023 a 17/11/2023
06/11/2023: DESA Se informa en comite dep ases a calidad Seman06.11.
10/10/2023: En pruebas unitarias con Izipay. Se cambia Fec Ini a 22Set y FF 30Nov23
05/10/2023: Reuna MM: Está en desarrollo. MM confirma´ra con Juana
18/09/2023: Se reitera pedido a Fabrica ( Jorge Valencia)
11/08/2023: Se cambia de CQ de 2022-M0474 a 2023-M0402.
08/08/2023: P. Encalada envia solicitud a fábrica. Se solicita generación de CQ
07/08/2023: Usuario reconfirma anexo. 07/08/2023: Por derivar a fábrica
04/08/2023: Santiago Garcia confirma opcion 3: "3.Implementar un nuevo control de topes exclusivo para las cuentas corrientes (incluyendo el tipo), el impacto es menor. Sólo afectaría a las cuentas corrientes."
12/06/2023: Vladimir Cajavilca confirma por correo al área usuaria las opciones que se tiene para implementar la solicitud. Se espera confirmación.
05/06/2023: Se confirma vía correo electrónico del 29/05 que el RQ se encuentra priorizado para su atención.
17/05/2023: Se actualiza FF producción a No definido
27/02/2023: En proceso de atención
12/01: Priorizado en comité de demanda del 12/01
05/01: C.ventocilla Confirma priorización según correo del 05/01, y Carlos Quevedo confirma lo siguiente "los reportes para pago de banca celular a las Telcos. El tema de giros en agentes. Por favor priorícelos los pendientes que nos exponga a fraudes o pérdida de dinero."
24/11: Lo revisará Juan. Sigue en paralizado
22/11: Ver MEMORANDO N° 00000512 - 2022-BN/3251
09/11: En reuniones de mesa de trabajo, Construcción de aplicaciones (Mario) indicó re asignar al líder técnico Vladimir Cajavilca.  A la fecha no se ha indicado el nombre del recurso re asignado.
29/09: Se remitió anexo brindado por usuario a Construcción.
12/08: Usuario tiene pruebas el día de hoy con Vladimir. Carlos enviar anexo 2.
29/04: Se incorporó a pedido del usuario, correo: MODIFICACIÓN DE LÍMITE DE LA TRANSACCIÓN DE DEPÓSITO EN CUENTA CORRIENTE EN EL CANAL AGENTES MULTIRED.
Se remitió anexo 2</t>
  </si>
  <si>
    <t>2023-IV</t>
  </si>
  <si>
    <t>Pospuesto</t>
  </si>
  <si>
    <t>01/04/25 Se retomará su atención en coordonación con Izipay y Vladimir. Se activará en el CQ.
Pospuesto y se coordinará con planeamiento y área usuaria su devolución. Se requiere que Izipay resuelva el error reportado en Producción.</t>
  </si>
  <si>
    <t>Agentes</t>
  </si>
  <si>
    <t>M0052</t>
  </si>
  <si>
    <t>2021-T0535</t>
  </si>
  <si>
    <t>MANTENIMIENTO DEL APLICATIVO FICO 
a) Mejoras y nuevas funcionalidades
b) Migración de Data de Base Datos Externa</t>
  </si>
  <si>
    <t>Fideicomisos</t>
  </si>
  <si>
    <t>FICO_Fideicomisos</t>
  </si>
  <si>
    <t>FS-Indra</t>
  </si>
  <si>
    <t>11/03/26: Según CQ, actualizó el estado a 08. Producción Finalizada
18/08/25: Según CQ, actualizó el estado a 07. En Despliegue
16/07/25: Según CQ, actualizó el estado a 06. Calidad Finalizado
21/05/25: Según CQ, actualizó el estado a 05. En Calidad
28/08/24: Según CQ, actualizó el estado a 03. En Desarrollo
07/08/24: Según CQ, actualizó el estado a 02. En Planificación
21/06/2024 Se cambió el recurso asignado de Analista-BN a FS-Indra
10/05/2024: De acuerdo a reporte remitido por M. Barboza de Construcción:  Se esta trabajando con la fabrica INDRA desde el 2 de mayo. Se actualiza el N° de mantenimiento y el estado de registrado a en desarrollo
07/11/2023 En atención al MEMORANDO N° 00000083 - 2023-BN/2542 se cambia de gestor de O. Sarmiento a M.Huamani
31/09/2023 Se cambio estado a Registrado por estar depriorizado por el Usuario.
20/03/23 De acuerdo a reunion con el usuario del 17/03 se despriorizó el requerimiento, cambiando su estado en la demanda a Solicitado.
18/07: Resgistrado en Cartera
MEMORANDO N° 00001775 - 2021-BN/7101 del 15/10/2021</t>
  </si>
  <si>
    <t>Finalizado</t>
  </si>
  <si>
    <t>ID 3</t>
  </si>
  <si>
    <t>Evaluar el descarte con David y Rosario Armas para que la atención figure con el mantenimiento 2024-M0251.</t>
  </si>
  <si>
    <t>M0074</t>
  </si>
  <si>
    <t>2022-T0523</t>
  </si>
  <si>
    <t>Captaciones y Pagaduría</t>
  </si>
  <si>
    <t>Apertura de Cuentas</t>
  </si>
  <si>
    <t>SIUC-Sistema de Información Unica de Clientes</t>
  </si>
  <si>
    <t>27/03/26: Según CQ, actualizó el estado a 07. En Despliegue
24/06/2024: Se cambió 'Recurso-Asignado' de FS-Indra a FS-Olssa. El estado Indra es Rechazado
05/03/24:Según CQ, actualizó el estado a 17. Certificado
27/02/24:Según CQ, actualizó el estado a 08. Certificado
20/02/24:Según CQ, actualizó el estado a 08. Certificado
19/02/2024: En coordinación con OPP y jefatura se realizará asignación al regreso de vacaciones de Psilva ( 01/02/24-19/02/24). No se ha realizado un traspaso de información solo cambio de recurso.
30/01/2024: Reasignaciòn de cartera de acuerdo al correo de Martin Nicho de fecha 18.01.2024.
20/12/23:Según CQ, actualizó el estado a 08. Certificado
13/12/2023: COMITÉ DEMANDA REGULARIZACIÓN: Se regulariza su registro según lo aprobado en comité
16/10/2023: DESA se informa en comite de pases a calidad Sema.16.10.2023.
18/09/2023 DESA el mant.correcto es 202-M0526 se esta atendiendo con ese numero y se informa en comite depases a calidad Sem18.09.
12/12/2022: El requerimiento será atendido por OLSSA, se ha registrado un nuevo mantenimiento 2022-M0556, se solicitará cronograma.
11/11: Se registra por cruce con lista de Fábrica Indra</t>
  </si>
  <si>
    <t>Rechazado</t>
  </si>
  <si>
    <t>Finalizada,Finalizada</t>
  </si>
  <si>
    <t>Ordenado</t>
  </si>
  <si>
    <t>Se encuentra ordenado
Debe pasar a producción después del mantenimiento 2024-M0621.
18/03: Pendiente de explicación para el próximo comité.</t>
  </si>
  <si>
    <t>Dependencia de otro Mantenimiento</t>
  </si>
  <si>
    <t>M0085</t>
  </si>
  <si>
    <t>2023-T0400</t>
  </si>
  <si>
    <t>Se requiere realizar la migración del Aplicativo SIARLADI (SQL Server 2000, Visual Studio 2003) a una plataforma actual (SQL Server, Visual Studio y Sistema Operativo 2019), debido al alto riesgo sobre la continuidad operativa del aplicativo y seguir adecuado a la normatividad vigente.</t>
  </si>
  <si>
    <t>MEMORANDO N° 00000012 - 2022-BN/1202</t>
  </si>
  <si>
    <t>LADI-Lavado de Dinero</t>
  </si>
  <si>
    <t>13/04/2026 Supeditado a los recursos de fábrica
05/09/2025: Cartera reasignada a Juan Carlos Zavaleta
11/08/2025: Cartera reasignada a Percy Silva
20/01/2025 Cartera reasignada a Omar Sarmiento
28/08/24: Según CQ, actualizó el estado a 03. En Desarrollo
15/08/24: Según CQ, actualizó el estado a 02. En Planificación
07/08/24: Según CQ, actualizó el estado a 02. En Planificación
14/03/24 Construcción brindó las nuevas fechas de implementación: 
•	01-feb al 01-mar: Aprender .NET y revisión del código de SIARLADI.
•	08-mar: 1ra. reunión de entendimiento con el usuario. (reunión todos los viernes para verificar los avances).
•	05-Abr: Ver que parte de SIARLADI entraría para la primera parte.
•	29-Abr: Pase a Certificación de la 1ra. parte de SIARLADI.
•	17-Jun: Pase a Certificación de la 2da. parte de SIARLADI.
•	22- Julio: Pase a Certificación de la 3ra. parte de SIARLADI.
•	02-Setiembre: Pase a producción final de SIARLADI completo.
•	(desactivación de la base de datos y links anteriores).
05/03/24 Se paralizo de Dic23 a Feb24 por un tema de disponibilidad de recursos. SIn embargo a partir del    se ha retomado con el desarrollo.
16/02/24: Se paralizó el requerimiento por un tema de disponbilidad de recursos; sin embargo David Coca confirmó que ya se cuenta con los recursos y las fechas son las sgtes:
•	01-feb al 01-mar: Aprender .NET y revisión del código de SIARLADI.
•	08-mar: 1ra. reunión de entendimiento con el usuario.
•	(reunión todos los viernes para verificar los avances).
•	05-Abr: Ver que parte de SIARLADI entraría para la primera parte.
•	29-Abr: Pase a Certificación de la 1ra. parte de SIARLADI.
•	03-Jun: Pase a Certificación de la 2da. parte de SIARLADI.
•	08 Julio: Pase a Certificación de la 3ra. parte de SIARLADI.
•	26 Julio: Pase a producción final de SIARLADI completo.
•	(desactivación de la base de datos y links anteriores).
29/11/2023 En desarrollo, se estima culminar con una primera etapa del desarrollo en el mes de diciembre y su puesta en Producción en el mes de enero 2024.
31/10/2023: El requerimiento se encuentra en proceso de desarrollo. Pendiente revisión y conformidad del cronograma remitido a Paul Alminagorta en base a lo coordinado.
27/09/2023: DESA se cambia de area responsable a Adminitrativos.
28/08/23: De acuerdo a reunión sostenida con Paul Alminagorta (ver acuerdos en correo de fecha 23/08), el desarrollo inició en una nueva fecha 16/08. Se armó un borrador de cronograma, el cual Paul informó que será revisado el 01/09.
14/08/23:Según CQ, actualizó el estado a 02. No Iniciado
31/07/23:Según CQ, actualizó el estado a 02. No Iniciado
18/07/23 De acuerdo a lo coordinado hoy con DCoca la migración se está avanzado, se estima concluir con el mismo el 31/10, Noviembre certificación y primera semana de diciembre en producción.
12/04/23 Mediante correo de hoy DCoca informa el inicio de la migración.
09/03/23 De acuerdo a lo coordinado con Construcción el requerimiento será atendido por la Fábrica Indra. Se encuentran en etapa de evaluación.
06/01-Comité de Demanda TI: Reunion con el usuario para definir el alcance.</t>
  </si>
  <si>
    <t>Asignado</t>
  </si>
  <si>
    <t>pasa a calidad Jun-25</t>
  </si>
  <si>
    <t>M0104</t>
  </si>
  <si>
    <t>2023-T0065</t>
  </si>
  <si>
    <t>Contabilidad</t>
  </si>
  <si>
    <t>SICA-Sistema de Canje Electronico</t>
  </si>
  <si>
    <t>Facturación Electrónica - I</t>
  </si>
  <si>
    <t>Normativo</t>
  </si>
  <si>
    <t>SUNAT</t>
  </si>
  <si>
    <t>R.S. N°193-2020/SUNAT - MODIFICAN LA NORMATIVA SOBRE EMISIÓN ELECTRÓNICA EN RELACIÓN CON LA FACTURA ELECTRÓNICA, EL RECIBO POR HONORARIOS ELECTRÓNICO</t>
  </si>
  <si>
    <t>Heredado</t>
  </si>
  <si>
    <t>11/02/26: Según CQ, actualizó el estado a 08. Producción Finalizada
01/10/25: Según CQ, actualizó el estado a 06. Calidad Finalizado
04/08/25: Según CQ, actualizó el estado a 05. En Calidad
24/07/25: Según CQ, actualizó el estado a 03. En Desarrollo
17/06/2025: Se cambia de gestor de TI de Omar S. a Juan Carlos Z.
05/06/25: Según CQ, actualizó el estado a 05. En Calidad
28/05/25: Según CQ, actualizó el estado a 04. Desarrollo Finalizado
30/01/2024: Reasignaciòn de cartera de acuerdo al correo de Martin Nicho de fecha 18.01.2024.
08/11/2023: Se encuentra en proceso de las pruebas 07INVOICE.
30/10/2023: Se actualizaron las fechas debido a que aún no se realizan las pruebas por parte del área usuaria.
11/10/2023: Se encuentra a la espera del status de dicho requerimiento.
30/05/2023: Se registro las fechas según lo detallado por INDRA y se actualizó el estado ("En Desarrollo")
17/03/2023:En etapa de evaluación, pendiente de absolver una consulta enviada por analista Indra. Luego de ello se sincera la estimación y se enviará los artefactos.
07/02/2023: Operaciones actualizara Anexo 2
25/01/2023: Se revisón requerimeiento con INDRA, Operaciones debe de actualizar Anexo 2 incluyendo nombre de los archivos diarios de cuentas corrientes SIF23 para monedad nacional y MCF96 para moneda extrajera, y fuente de captura para las cuentas de ahora con Norma Fukunaga.
No iniciado, revisión analistas TI y OP.
10/01/2023: Se efectuo revisión con analistas TI y OP. Falta actualizar información para convocar reunión con INDRA.
20/01/2023: Se agendo reunión para el 24/01 para la presentación a INDRA.
NOTA: Dependencia del RQ con ID Histórico 941</t>
  </si>
  <si>
    <t>Entregado</t>
  </si>
  <si>
    <t>Pase a Calidad Feb-25 - Paquete 6</t>
  </si>
  <si>
    <t>M0126</t>
  </si>
  <si>
    <t>2023-T0210</t>
  </si>
  <si>
    <t>Implementación del extorno automático de la transacción Devolución al Tesoro Público (T6) en el canal agente multired operado por Izipay.</t>
  </si>
  <si>
    <t>MEMORANDO N° 00000192 - 2023-BN/3251</t>
  </si>
  <si>
    <t>Cajeros Corresponsales</t>
  </si>
  <si>
    <t>Pagos</t>
  </si>
  <si>
    <t>30/12/2025: Cartera reasignada a Omar Sarmiento
27/06/25: Según CQ, actualizó el estado a 03. En Desarrollo
10/02/25: El desarrollo está terminado, se coordinará con Juan Oliva-Indra para preparar las pruebas.
10/02/25: Según CQ, actualizó el estado a 10. Paralizado.
07/08/24: Según CQ, actualizó el estado a 03. En Desarrollo
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13/12/2023: COMITÉ DEMANDA REGULARIZACIÓN: Se regulariza su registro según lo aprobado en comité
12/12/2023: Se actualizó el estado a En Planificación luego de la revisión interna con el equipo técnico
12/10/2023: Orden Canales Presenciales: 4
21/07/2023: para regularizar en Comité
05/04/2023: Se deriva el memo a Construcción para su atención.
03/04/2023: Se registra solicitud según memo MEMORANDO N° 00000192 - 2023-BN/3251</t>
  </si>
  <si>
    <t>Iniciada</t>
  </si>
  <si>
    <t>1/04/25 Se activará en CQ.
Activar en CQ a iniciado. El desarrollo está terminado, se coordinará con Juan Oliva-Indra para preparar las pruebas.</t>
  </si>
  <si>
    <t>M0135</t>
  </si>
  <si>
    <t>2024-T0089</t>
  </si>
  <si>
    <t>Actualmente en el POAD se cuenta con una opción para consultas - SBS, la misma que viene presentando errores y no genera la información en forma correcta</t>
  </si>
  <si>
    <t>Administración de Personal</t>
  </si>
  <si>
    <t>Registro de Personal</t>
  </si>
  <si>
    <t>POAD_Administración_Portal_Empleado</t>
  </si>
  <si>
    <t>NO APLICA</t>
  </si>
  <si>
    <t>No indica</t>
  </si>
  <si>
    <t xml:space="preserve">13/04/2026 Supeditado a los recursos de fábrica
17/06/2025: Se cambia de gestor de TI de Omar S. a Juan Carlos Z.
14/08/2024 De acuerdo a lo indicado a M.Barboza culminará el 30 de setiembre.
24/06/2024: Se cambió 'Recurso-Asignado' de ' ' a Analista-BN
16/04/24: El rq pasa a la cartera del gestor Omar Sarmiento.
16/04/24 Con correo del 04.04.24, Paul Alminagorta indica que lo actualizo.
Con correo del 02.04.24 se solicita a Paul Alminagorta actualizar en el clearquest el anexo 2 y el nombre del  mantenimiento  2024-M0085, como se acordó en la reunión del 21.03.24.
DICE: : CORREGIR LA OPCIÓN DE REPORTES SBS EN EL POAD
DEBE DECIR: : MEJORA DE LA OPCIÓN DE REPORTES SBS EN EL POAD
19/03/24 Con correo del 19.03.24 se consulta a Paul Alminagosta si el requerimiento es incidente o mantenimiento.
Registrado el 12.02.24 en el clearquest.
30/01/2024: Reasignaciòn de cartera de acuerdo al correo de Martin Nicho de fecha 18.01.2024.
18/01/2024: El área usuaria menciona que este requerimiento es una incidencia y se pide que se pueda validar si es un tema técnico o propio de la SBS
08/01/2024: El analista se encuentra de vacaciones aún no se establece un inicio de su desarrollo
27/12/2023: Se encuentra a la espera de la creación del CQ
17/11/2023: Hasta el momento se sigue a la espera de la creación del CQ
08/11/2023: Sigue pendiente la creación de CQ
25/10/2023: Pendiente creación de CQ, se reitero a jefatura construcción aplicaciones sistemas administrativos
31/08/2023: Se encuentra a la espera de la creación de CQ por parte de David Coca
11/07/2023: De acuerdo con María Barboza queda pendiente la creación de CQ.
04/07/2023: COMITÉ DE DEMANDA TI: Se asignará a Paul Alminagorta, se atenderá despues del SARE
</t>
  </si>
  <si>
    <t>pasa a Calidad Jul-25</t>
  </si>
  <si>
    <t>M0142</t>
  </si>
  <si>
    <t>2023-T0227</t>
  </si>
  <si>
    <t>Reporte</t>
  </si>
  <si>
    <t>Servicios</t>
  </si>
  <si>
    <t>Servicios Generales</t>
  </si>
  <si>
    <t>Por correo del 29.05.23</t>
  </si>
  <si>
    <t>ECOF_Reporte Ecoeficiencia</t>
  </si>
  <si>
    <t>OTROS</t>
  </si>
  <si>
    <t>Decreto Supremo N° 016-2021-MINAM</t>
  </si>
  <si>
    <t>Gestión de Ecoeficiencia en las Entidades de la Administración Pública</t>
  </si>
  <si>
    <t>10/03/26: Según CQ, actualizó el estado a 08. Producción Finalizada
19/01/2025: Cartera reasignada a Maria Barboza
05/09/2025: Cartera reasignada a Omar Sarmiento
17/06/2025: Se cambia de gestor de TI de Omar S. a Luis Alberto I.
27/03/25: De acuerdo a la revisión del status del mantenimiento en el CQ se actualiza su Fecha Fin Compromiso a abril.
18/02/25: Según CQ, actualizó el estado a 07. En Despliegue
16/01/25: Según CQ, actualizó el estado a 08. Producción Finalizada
07/01/25: Según CQ, actualizó el estado a 03. En Desarrollo
05/12/24: Según CQ, actualizó el estado a 05. En Calidad
25/11/24: Según CQ, actualizó el estado a 04. Desarrollo Finalizado
28/08/24: Según CQ, actualizó el estado a 03. En Desarrollo
07/08/24: Según CQ, actualizó el estado a 02. En Planificación
24/06/2024: Se cambió 'Recurso-Asignado' de Analista-BN a FS-Olssa
30/05/24 Devuelto el 24.05.24, Por solicitud del área de producción del BN y en coordinación con el área de desarrollo se procede al rechazo del requerimiento, debido a la demora de subsanación del formulario “Form07_ECOF_PerfilesOpciones.xls” el cual fue observado por el área de seguridad. 
30/04/24-04/04/24 Según CQ. el estado es ordenado el  04.04.24.
27/04/2024: Según CQ, se actualizó el estado de 06. Calidad Finalizado a 07. En Despliegue
16/04/24 En el clearquest esta ordenado el 04.04.24.
03/04/24 En el clearquest esta ordenado desde el 27.03.24.
09/02/24 Con correo del 09.02.24 se solicita a Martin Nicho priorice el requerimiento por ser normativo.
 Con correo del 09.02.24  Paul Alminagorta informa que su requerimiento paso a Calidad.
07/02/24 Construcción BN:  Por correo del 07.02.24 se le consulta a Paul Alminagort cuando va a pasar el requerimiento a calidad, ya que no se ha cumplido con la fecha programada; Paul Alminagort nos indica que  no hay servidores bd ni aplicativo desde ayer 3pm.
24/01/24 Construcción BN: Paul Alminagorta informa que el 25.01.24 remitira el requerimiento a calidad.
......................................................................
29/12/23 Desarrollo: Paul Alminagorta esta gestionando permisos con seguridad de información para la creación de la cuenta integradora del aplicativo ECOF.
21/12/23 Paralizado: Con correo del 21.12.23 se solicita a David Coca el estado del requerimiento, asimismo indicar la fecha de producción, ya que la indicada en la cartera de la demanda es el 30.11.23.
Nos informa Paul Alminagorta y David Coca que esta la 85% y por el momento estan a la espera  de nuevo personal de apoyo.
04/12/23 Con correo del 04.12.23  se consulta  a Paul Alminagorta el estado del requerimiento, ya que en el clearquest sigue en desarrollo.
17/11/23 Con correo del 17.11.23 se consulta a Paul Alminagorta si el requerimiento pasa este año, y el confirma que si.
07/11/23 Con correo del 07.11.23 se consulta a Paul Alminagorta el estado del requerimiento.
19/10/23 Con correo del 19.10.23 Paul Alminagorta nos indica que el 23.10.23 va a volver a exponerlo en la reunión con certificación. 
17/10/23 Con correo del 17.10.23 se consulta a Paul Alminagorta el estado del requerimiento, ya que se realizo la reunión solicitada.
03/10/23 Con correo del 03.10.23 Paul Alminagorta  indica que ha  tenido inconvenientes de estándares con Seguridad Informática que no se resolvió para ECOF y solicita reunión.
Con correo del 03.10.23 se consulta a Paul Alminagorta el estado del requerimiento, ya que debio estar en producción el 29.09.23.
13/09/23 Van a retomar el desarrollo el 18.09.23.
14/07/2023 Se retomara apartir del 15 de agosto
04/07/2023: COMITÉ DE DEMANDA TI: En atención de Paul Alminagorta.
19/06/23 Se informo a calidad  07/06/23 Con correo del 07.06.23, se consulta a Paul Alminagorta el estado del requerimiento, que en el  clearquest esta asignado desde el 23.02.23; el cual indica que hace 2 días lo expuso en certificación y antes del viernes lo va dejar  aprobado en  el clearquest para que empiece su atención.
................................................................................................
31/05/ Se informo a calidad de soluciones                        30/05/23 Se solicita su ingreso a la cartera con correo del 29.05.23 por el gestor  de la demanda Gisela Lopez para su priorización..</t>
  </si>
  <si>
    <t>Transitorio_Procesado</t>
  </si>
  <si>
    <t>M0154</t>
  </si>
  <si>
    <t>2024-T0087</t>
  </si>
  <si>
    <t>Migración a web</t>
  </si>
  <si>
    <t>MEMORANDO N° 00000320 - 2023-BN/3251</t>
  </si>
  <si>
    <t>SALC-Saldos Cajeros</t>
  </si>
  <si>
    <t>ATMs</t>
  </si>
  <si>
    <t>30/12/2025: Cartera reasignada a Omar Sarmiento
11/12/25: Según CQ, actualizó el estado a 10. Paralizado
18/09/25: Según CQ, actualizó el estado a 03. En Desarrollo
15/09/25: Según CQ, actualizó el estado a 04. Desarrollo Finalizado
10/09/25: Según CQ, actualizó el estado a 03. En Desarrollo
07/07/25: Según CQ, actualizó el estado a 05. En Calidad
19/06/25: Según CQ, actualizó el estado a 04. Desarrollo Finalizado
19/09/24: Según CQ, actualizó el estado a 03. En Desarrollo
07/08/24: Según CQ, actualizó el estado a 02. En Planificación
30/04/2024: Según CQ, se actualizó el estado de 04. Desarrollo Finalizado a 05. En Calidad
19/02/2024: En coordinación con OPP y jefatura se realizará asignación al regreso de vacaciones de Psilva ( 01/02/24-19/02/24). No se ha realizado un traspaso de información solo cambio de recurso.
13/02/2024: Se actualiza el N° de tramite de 2024-T0075 a 2024-T0087. Se anula el 2024-T0075 por duplicidad, y se confirma N° mantenimiento 2024-M0083
08/02/2024: Se solicitó generar el Mantenimiento 
06/02/2024: Se confirma el N° trámite: 2024-T0075, y se confirma con Paul ALminagorta que el RQ se encuentra en desarrollo.
30/01/2024: Reasignaciòn de cartera de acuerdo al correo de Martin Nicho de fecha 18.01.2024.
13/12/2023: COMITÉ DEMANDA PRIORIZACION: Requerimiento aprobado
12/10/2023: Orden Canales Presenciales: 3
15/08/2023: REU: En reuna con H.Poma se indicó evaluar si va en comité por dependencia con siscaj
27/06/2023: Se registra según MEMORANDO N° 00000320 - 2023-BN/3251</t>
  </si>
  <si>
    <t>Indra, pasa a calidad abril-25</t>
  </si>
  <si>
    <t>ATM</t>
  </si>
  <si>
    <t>M0198</t>
  </si>
  <si>
    <t>2023-T0777</t>
  </si>
  <si>
    <t>Mejora en el servicio de operaciones VISA DIRECT (AFT)</t>
  </si>
  <si>
    <t>MEMORANDO N° 00000492 - 2023-BN/3252</t>
  </si>
  <si>
    <t>VISA</t>
  </si>
  <si>
    <t>Web Externas</t>
  </si>
  <si>
    <t>SBS</t>
  </si>
  <si>
    <t>MEMO DE INSPECCION N 00015 - 2023, Literal 26a y b
07-2022-DSBE Literal 26.a, 26.d. 26.c.1, 26.c.2
06-2023-DSBE Literal 27.f</t>
  </si>
  <si>
    <t>30/12/2025: Cartera reasignada a Omar Sarmiento
03/09/25: Según CQ, actualizó el estado a 06. Calidad Finalizado
04/08/25: Según CQ, actualizó el estado a 05. En Calidad
30/07/25: Según CQ, actualizó el estado a 04. Desarrollo Finalizado
22/01/25: Vladimir C.  indicó que esta semana pasa a Producción, luego atenderá el  Manteniemiento 2023-M0700: Mejora código respuesta 05
13/01/25: Vladimir C.  indicó que esta semana pasa a Producción, luego atenderá el  Manteniemiento 2023-M0700: Mejora código respuesta 05, se actualizo estado a inciada en el QC
27/08/24: Maribel Medina confirma que ya se encuentra en Desarrollo
07/08/24: Según CQ, actualizó el estado a 02. En Planificación
12/06/2024: Se está avanzando con el análisis (JO). En proceso de analisis para brindar fechas
02/05/2024: MMedina confirma Fab Indfra que la contraparte por parte del BN será Vladimir Cajavilca
25/04/2024: MJMedrano envía evidencia de que el RQ es mandatorio de VISA.
25/01/2024: Usuario confirmó que el nuevo cronograma se indica Jul24 (antes 14/05/24)
02/01/2024: MMedina confirma N° CQ 2023-M0712 y Analista CQ a Vladimir Cajavilca.
22/12/2023 Se registró el trámite en el CQ: 2023-T0777
13/12/2023: COMITÉ DEMANDA PRIORIZACION: Requerimiento aprobado
30/11/2023: Se encuentra atendiendo otros RQs relacionados a VISA o ATMs (mismos recursos)
06/11/2023: Reunión con Maria Jesús Medrano: Se acuerda que este RQ es el reemplazo del ID 1197, puesto que el A2 anterior tiene varios puntos implementados. Pendiente de validar con Construcción el CQ 2023-M0318 y el A2
20/09/2023: Arquitectura da conformidad al documento 
18/09/2023: Se envia correo a Maria Jesus para que confirme el memorando del RQ. 
11/09/2023: P. Encalada confirma que el TDR se encuentra en proceso de firmas|nexo firmado</t>
  </si>
  <si>
    <t>Certificado</t>
  </si>
  <si>
    <t>Pasa a Calidad el 10/02.</t>
  </si>
  <si>
    <t>Visa</t>
  </si>
  <si>
    <t>18/03: 18/03: Se planificará con construcción el pase según correo del Subgerente de construcción.</t>
  </si>
  <si>
    <t>Dependencia técnica</t>
  </si>
  <si>
    <t>M0220</t>
  </si>
  <si>
    <t>2023-T0581</t>
  </si>
  <si>
    <t>Recaudación y Corresponsalía</t>
  </si>
  <si>
    <t>MEMORANDO N° 00000247 - 2023-BN/3243</t>
  </si>
  <si>
    <t>SICT-Sistema de Informacón de Cuentas Corrientes</t>
  </si>
  <si>
    <t>15/04/26: Según CQ, actualizó el estado a 03. En Desarrollo
27/03/26: Según CQ, actualizó el estado a 07. En Despliegue
06/01/25: Según CQ, actualizó el estado a 06. Calidad Finalizado
27/12/24: Según CQ, actualizó el estado a 05. En Calidad
29/11/24: Según CQ, actualizó el estado a 04. Desarrollo Finalizado
27/12/2023 Este mantenimiento será asignado a FS OLSSA.
13/12/2023: COMITÉ DEMANDA REGULARIZACIÓN: Se regulariza su registro según lo aprobado en comité
27/09/2023: Se registra el requerimiento de acuerdo al memo</t>
  </si>
  <si>
    <t>M0243</t>
  </si>
  <si>
    <t>2023-T0770</t>
  </si>
  <si>
    <t>Con guía técnica de VISA</t>
  </si>
  <si>
    <t>MEMORANDO N° 00000602 - 2023-BN/3252</t>
  </si>
  <si>
    <t>POS</t>
  </si>
  <si>
    <t> </t>
  </si>
  <si>
    <t>30/12/2025: Cartera reasignada a Omar Sarmiento
03/09/25: Según CQ, actualizó el estado a 06. Calidad Finalizado
25/08/25: Según CQ, actualizó el estado a 05. En Calidad
22/08/25: Según CQ, actualizó el estado a 04. Desarrollo Finalizado
16/01/25: Maribel M. actualizó en el CQ el estado a iniciado
16/01/25:  Fredy C.  indicó que el desarrollo en el ambiente Host ya culminó pero para pasar al ambiente de Producción se necesita que  Vladimir C.  culmine unos componentes (AFT) y Jaime Salas culmine su desarrollo en el ESPLINK por autorización parcial
15/01/2025: pendiente actualización de estado en CQ a asignado e iniciado
13/01/25: Maribel M. indicó que el proveedor Cesar Santome esta desarrollando este requerimiento y estan realizando pruebas con Vladimir C.
25/11/24: Según CQ, actualizó el estado a 01. Registrado
22/11/24: Según CQ, actualizó el estado a 01. Registrado
28/08/24: Según CQ, actualizó el estado a 01. Registrado
27/08/24: Maribel Medina confirma que ya se encuentra en Planificación
25/04/2024: MJMedrano envía evidencia de que el RQ es mandatorio de VISA.
02/01/2024: MMedina confirma N° CQ 2023-M0708 y Analista CQ a Vladimir Cajavilca.
22/12/2023 Se registró el trámite en el CQ: 2023-T0770
13/12/2023: COMITÉ DEMANDA PRIORIZACION: Requerimiento aprobado
06/11/2023: Reunión con Maria Jesus Medrano: Se registra nuevo requerimiento enviado por MEMORANDO N° 00000602 - 2023-BN/3252</t>
  </si>
  <si>
    <t>Pasa a calidad y producción en paralelo al 2023-M0711.</t>
  </si>
  <si>
    <t>18/03: Se planificará con construcción el pase según correo del Subgerente de construcción.
Está amarrado al 711, 708 y 712.</t>
  </si>
  <si>
    <t>M0244</t>
  </si>
  <si>
    <t>2023-T0775</t>
  </si>
  <si>
    <t>30/12/2025: Cartera reasignada a Omar Sarmiento
03/09/25: Según CQ, actualizó el estado a 06. Calidad Finalizado
25/08/25: Según CQ, actualizó el estado a 05. En Calidad
22/08/25: Según CQ, actualizó el estado a 04. Desarrollo Finalizado
15/04/25: Según CQ, actualizó el estado a 03. En Desarrollo
06/02/25: Se actualiza estado en CQ a POSPUESTO. El desarrollo esta terminado parte BN, pendiente  adecuaciones de Bevertec, no hay rspta se debe escalar con Jaime Salas/Castellano.
Considerar, que dede pasar primero AFT. Se estima pasar a calidad Mar-25.
06/02/25: Según CQ, actualizó el estado a 10. Paralizado
27/01/25: FC comunicó que se realizaron las pruebas pero persiste el error, se coordinó con Bevertec para que continue con la revisón. JS comentó que se ha identificado que es con Sentinel el problema y que se nececsita que un experto en Setinel lo revise.
22/01/25: Fredy C. indicó que se realizaron las pruebas del campor 34 pero continua el error. JS indicó que coordinará con FC luego de la reunión realizar pruebas
17/01/25: Según CQ, actualizó el estado a 01. Registrado
16/01/25: Según CQ, actualizó el estado a 01. Registrado
15/01/25: pendiente actualización en CQ de estado a asignado e iniciado
14/01/25: Jaime S. indicó que se debe probar primero  el campo 34 en el simulador  y  luego hacer ajustes  al 56.  
Fredy C y Jaime S. acuerdan hacer las pruebas del 34 el día de hoy 14/01/25 con el apoyo de Lizet Flores de Bevertec.
02/12/2024: JS indica que ya coordino con FC y el día de mañana le estará entregando la información solicitada para realizar las pruebas
26/11/2024: FC indica que aún esta pendiente la respuesta de JS respecto a las pruebas, JS indica que falta enviar al Host y se necesitan realizar varios cambios, culmina el viernes 29/11/2024
18/11/2024: JS indica que ya tienen el campo 34 y esta a la espera del primer caracter. FC comunica que necesitan hacer pruebas con otro Proveedor y que realizarán pruebas con campo 34, tambien solicita a JS hacer pruebas con el campo 56
04/11/2024: FC indica que aún esta pendiente el envío
28/10/2024, FC solicita que le envie el primer caracter , JS enviara el 56 para activarlo
09/09 MM indica que esta coordinando las pruebas. JS recomienda primero cerrar todos los binarios, que pasen a produccion para luego hacer las pruebas. 
26/08 JS indica que se realizo el cambio, el 34 se va al HOST y este debe ser probado, coordinar pruebas 
24/06/2024: Se cambió 'Recurso-Asignado' de Analista-BN a  ' Desarrollo' 
25/04/2024: MJMedrano envía evidencia de que el RQ es mandatorio de VISA.
23/01/2024: Pedro Encalada confirma aprobación de PCR por correo a Jaime Salas.
10/01/2024: En coordinación con P Encalada se envió correo a J Salas para evaluar el PCR
09/01/2024: En reunión del 09Ene con el usuario y el especialista de Construcción, se acordó que se coordinará con la jefatura de Sistemas Bancarios la generación del PCR correspondiente para su implementación por Bevertec.
02/01/2024: MMedina confirma N° CQ 2023-M0711 y Analista CQ a Vladimir Cajavilca.
22/12/2023 Se registró el trámite en el CQ: 2023-T0775
13/12/2023: COMITÉ DEMANDA PRIORIZACION: Requerimiento aprobado
06/11/2023: Reunión con Maria Jesus Medrano: Se registra nuevo requerimiento enviado por MEMORANDO N° 00000602 - 2023-BN/3252</t>
  </si>
  <si>
    <t>01/04 /25 en atención, se concluye en abril. Se debe activar en CQ.
Se actualiza estado en CQ a POSPUESTO. El desarrollo esta terminado parte BN, pendiente  adecuaciones de Bevertec, no hay rspta se debe escalar con Jaime Salas/Castellano.
Considerar, que dede pasar primero AFT. Se estima pasar a calidad Mar-25.</t>
  </si>
  <si>
    <t>18/03: Se coordinará su fecha de pase a producción.
Está amarrado al 711, 708 y 712.</t>
  </si>
  <si>
    <t>M0245</t>
  </si>
  <si>
    <t>2023-T0793</t>
  </si>
  <si>
    <t>Mejora en el proceso de conciliación de las operaciones VISA</t>
  </si>
  <si>
    <t>MEMORANDO N° 00000452 - 2023-BN/3252</t>
  </si>
  <si>
    <t>BNDA-Data Analítica BN</t>
  </si>
  <si>
    <t>06-2023-DSBE</t>
  </si>
  <si>
    <t>Informe de Inspección</t>
  </si>
  <si>
    <t>N° 27</t>
  </si>
  <si>
    <t>27.f</t>
  </si>
  <si>
    <t>15/04/26: Según CQ, actualizó el estado a 08. Producción Finalizada
19/03/26: Según CQ, actualizó el estado a 06. Calidad Finalizado
10/03/26: Según CQ, actualizó el estado a 07. En Despliegue
26/02/2026 Se coordinó por correo para que producción reciba el apoyo de emerson e inciar el despliegue
30/12/2025: Cartera reasignada a Omar Sarmiento
02/10/25: Según CQ, actualizó el estado a 06. Calidad Finalizado
24/07/25: Según CQ, actualizó el estado a 05. En Calidad
16/04/25: Según CQ, actualizó el estado a 03. En Desarrollo
03/02/25: Según CQ, actualizó el estado a 05. En Calidad
23/01/25: Según CQ, actualizó el estado a 04. Desarrollo Finalizado
15/01/25: Emerson Q. informó que remitió el acta para firma de usuaria. Usuaria envío ese dia el acta firmada.
13/01/2025: Fredy C. indicó que las pruebas se realizaron con los datos de Producción, solamante falta la aprobación del usuario, el BN  debe decidir si pasa a Certificación o a Producción directamente.
02/01/25: Según lo coordinado con Cumplimiento Normativo el 12/12/24, se modifica la categoría de Recomendación a Evolutivo
21/11/2024: FC indica que se estan haciendo pruebas con la información de Producción con la Usuaria Xenia Solis
17/09/2024: Emerson Quecara comunica que necesita que Sistemas Bancarios le remita uno archivo para realizar pruebas con los usuarios
27/08/24: Maribel Medina confirma que este mantenimiento se encuentra en Desarrollo y esta  próximo a  pasar a Calidad
15/08/24: Según CQ, actualizó el estado a 01. Registrado
13/08/2024: Mediante correo la Secc. Administrativa comunica que se encuentra paralizado por tener dependencia con el 2024-M0298 Mejora en el proceso de conciliación de operaciones visa (punto 4): Nuevos reportes reemplazo REPVISA – Parte Host.
07/08/24: Según CQ, actualizó el estado a 01. Registrado
02/07/2024: Se reitera pedido de fecha de implementación a Sist. Admins.
17/05/2024: Se solicita a Irina la planificación del RQ, sin respuesta aun
10/04/2024: El 05Abr24 D Coca confirma a fábrica la inf. de Visa. Pendiente de planificación por parte de fábrica
26/03/2024: Se realizó reunión el 21Mar24 donde se acordó la entrega delos sgtes puntos: (1) Entrega de Fuentes por Paul Alminagorta (2) 2-	Revisar conexión a Base de datos (Oracle) y confirmar la habilitación de la BD - Jorge Mora (3) Inicio de revisión de documentación / fuentes 
14/03/2024: Se actualiza el Lider técnico de acuerdo a lista de FS INdra
20/02/2023: David Coca confirma por correo que no tiene disponibilidad de equipo hasta la 1era semana de marzo. Se reitera el pedido. Martin Nicho reitera solicitud de fecha de implementac.
22/01/2024: Se envia correo a David Coca solicitando fechas de planificación. H Zevallos reconfirma a David Coca
15/01/2024: Se confirma con D. Coca el N° cq 2023-M0701
12/01/2024: Reunión BDigital: C Vventocilla solicitó que se cambiara la categoria de Evolutivo a Correctivo
13/12/2023: COMITÉ DEMANDA PRIORIZACION: Requerimiento aprobado
08/11/2023: Se consulta a  David Coca si el RQ se encuentra en proceso de atención, y confirma que ha solicitado apoyo para los extractores que se tendria que desarrollar con analista de Sistemas Bancarios. Pendiente de confirmar CQ
08/11/2023: Reunión con Maria Jesus Medrano: Se acuerda que este requerimiento solo contemplará el punto 4, puesto que el 2 corresponde al RQ con ID 1515 y el 1 y 3 corresponde al ID 1736.
NOTA: Dependencia del trámite 2023-T0793</t>
  </si>
  <si>
    <t>M0317</t>
  </si>
  <si>
    <t>2024-T0046</t>
  </si>
  <si>
    <t>Incorporación de campos en la Txn 5500 y elaboración de un reporte donde se capturen los datos de la Emisión de cheques de gerencia</t>
  </si>
  <si>
    <t>CGME-Cheques de Gerencia ME.</t>
  </si>
  <si>
    <t>09/03/26: Según CQ, actualizó el estado a 08. Producción Finalizada
03/10/25: Según CQ, actualizó el estado a 06. Calidad Finalizado
25/08/25: Según CQ, actualizó el estado a 05. En Calidad
22/08/25: Según CQ, actualizó el estado a 04. Desarrollo Finalizado
17/06/2025: Se cambia de gestor de TI de Omar S. a Juan Carlos Z.
06/02/2024: El requerimiento se registra debido a que pertenece al proyecto de Fact. Electrónica
NOTA: Dependencia del RQ con ID Histórico 941</t>
  </si>
  <si>
    <t>2024-I</t>
  </si>
  <si>
    <t>Culmina el desarrollo 20 de marzo</t>
  </si>
  <si>
    <t>M0337</t>
  </si>
  <si>
    <t>2024-T0071</t>
  </si>
  <si>
    <t>Actualmente las provisiones procíclicas están desactivadas desde el 2014. Existen cuentas contables
de provisiones procíclicas que presentan saldo (se adjunta saldos a junio 2023). Lo que se necesita es
actualizar o agregar nuevas cuentas contables de provisiones procíclicas. Los saldos de las cuentas
contables de provisiones procíclicas se deben mostrar en el Reporte RCD Previo , RCD Final que es
enviado a la SBS y Anexo 5 previo y final.</t>
  </si>
  <si>
    <t>Riesgos Crediticios y Financieros</t>
  </si>
  <si>
    <t>Evaluación de
Cartera de Créditos</t>
  </si>
  <si>
    <t>MEMORANDO N° 00000018 -
2023-BN/2191</t>
  </si>
  <si>
    <t>COBD-Contabilidad-RCD</t>
  </si>
  <si>
    <t>Resolución SBS N° 03718-2021</t>
  </si>
  <si>
    <t>24/04/26: Según CQ, actualizó el estado a 06. Calidad Finalizado
22/04/26: Según CQ, actualizó el estado a 05. En Calidad
10/04/26: Según CQ, actualizó el estado a 04. Desarrollo Finalizado
19/02/26: Según CQ, actualizó el estado a 03. En Desarrollo
11/02/26: Según CQ, actualizó el estado a 05. En Calidad
19/01/2025: Cartera reasignada a Maria Barboza
05/09/2025: Cartera reasignada a Milagros Huamani
11/08/2025: Cartera reasignada a Percy Silva
20/01/2025 Cartera reasignada a Omar Sarmiento
18/11/24: Según CQ, actualizó el estado a 06. Calidad Finalizado
14/10/24: Según CQ, actualizó el estado a 05. En Calidad
30/09/24: Según CQ, actualizó el estado a 04. Desarrollo Finalizado
28/08/24: Según CQ, actualizó el estado a 03. En Desarrollo
02/07/24 El usuario de riesgos remitió los documentos solicitados en reunion del 21/06, la misma que se encuentran en revisiond e fábrica.
21/06/2024 Se cambió el recurso asignado de Analista-BN a FS-Indra, se sostuvo reunión de entendimiento con Fábrica donde se evidencio que no están las cuentas contables y el flujo definido para el nuevo cálculo de las provisiones procíclicas, la cual serían remitidas para el 27/06.
16/02/2024: COMITE EXCPECIONAL: Se realiza su priorización
Pendiente generar mantenimiento</t>
  </si>
  <si>
    <t>M0387</t>
  </si>
  <si>
    <t>2024-T0150</t>
  </si>
  <si>
    <t>Poner a disposición del cliente la funcionalidad de Afiliación a la Clave Dinámica Digital desde la APP BN integrado al proceso de Generación de Clave de Internet, eliminando la necesidad actual de acudir a una Agencia para validar la identidad del cliente y autorizar la afiliación</t>
  </si>
  <si>
    <t>MEMORANDO N° 00000270 - 2024-BN/3252</t>
  </si>
  <si>
    <t>SABM - Sistema Atencion Banca Movil</t>
  </si>
  <si>
    <t>MV/APP</t>
  </si>
  <si>
    <t>Banca Móvil (APP)</t>
  </si>
  <si>
    <t>Soluciones Digitales</t>
  </si>
  <si>
    <t>18/03/26: Según CQ, actualizó el estado a 06. Calidad Finalizado
12/01/26: Según CQ, actualizó el estado a 05. En Calidad
12/01/26: Según CQ, actualizó el estado a 04. Desarrollo Finalizado
08/01/26: Según CQ, actualizó el estado a 05. En Calidad
30/12/2025: Cartera reasignada a Omar Sarmiento
24/12/25: Según CQ, actualizó el estado a 04. Desarrollo Finalizado
01/12/25: Según CQ, actualizó el estado a 03. En Desarrollo
30/10/25: Según CQ, actualizó el estado a 06. Calidad Finalizado
30/07/25: Según CQ, actualizó el estado a 05. En Calidad
24/07/25: Según CQ, actualizó el estado a 04. Desarrollo Finalizado
23/04/25: Se coordinó con el líder técnico y se estableció como fecha de compromiso el mes de julio.
07/08/24: Según CQ, actualizó el estado a 03. En Desarrollo
26/04/2024: Se confirma la recepción del 
MEMORANDO N° 00000270 - 2024-BN/3252 enviado a la OPP el 25/04/2024.
Ell MEMORANDO  00052-2024-BN/3252 
fue devuelto por Construcción el 29Ene.
25/03/2024: COMITE EXCPECIONAL: Se realiza su priorización
20/03/24 Todavia no ha iniciado por disponibilidad de recursos. Se viene atendiendo de acuerdo al orden de atencion dada por el usuario. Indra y externos.
01/03/2024: Se actualiza el N° TD de 2024-T0149 a  2024-T0150
29/02/2023: Registrado en la demanda integral. Pendiente de regularizar firmas del anexo de acuerdo a directiva y pendiente de envío del memo a la OPP. Priorizado por GG y GTI.</t>
  </si>
  <si>
    <t>ID 47</t>
  </si>
  <si>
    <t>Activar en CQ</t>
  </si>
  <si>
    <t>APP/Web</t>
  </si>
  <si>
    <t>-Sólo está Pendiente de la actividad por parte de las subgerencias  el mecanismo de despliegue.
-Por la migración de los microservicios a OpenShift, es necesario establecer el mecanismo de despliegue en esta plataforma en los 3 ambientes. La SubGerencia de producción coordinara con las otras Subgerencias.
-El área de seguridad se reunirá con calidad para revisar las vulnerabilidades</t>
  </si>
  <si>
    <t>M0389</t>
  </si>
  <si>
    <t>2024-T0152</t>
  </si>
  <si>
    <t>En los resúmenes operativos del monitor web de consultas de las transacciones en el App BN y Multired Virtual debe mostrarse de manera separada la información de las transferencias por contacto y CCI</t>
  </si>
  <si>
    <t>MEMORANDO N° 00000109 - 2024-BN/3252</t>
  </si>
  <si>
    <t>18/03/26: Según CQ, actualizó el estado a 06. Calidad Finalizado
12/01/26: Según CQ, actualizó el estado a 05. En Calidad
12/01/26: Según CQ, actualizó el estado a 04. Desarrollo Finalizado
08/01/26: Según CQ, actualizó el estado a 05. En Calidad
30/12/2025: Cartera reasignada a Omar Sarmiento
24/12/25: Según CQ, actualizó el estado a 04. Desarrollo Finalizado
01/12/25: Según CQ, actualizó el estado a 03. En Desarrollo
30/10/25: Según CQ, actualizó el estado a 06. Calidad Finalizado
30/07/25: Según CQ, actualizó el estado a 05. En Calidad
24/07/25: Según CQ, actualizó el estado a 04. Desarrollo Finalizado
23/04/25: Se coordinó con el líder técnico y se estableció como fecha de compromiso el mes de julio.
07/08/24: Según CQ, actualizó el estado a 03. En Desarrollo
21/06/2024 Se cambió el recurso asignado de Analista-BN a FS-Indra
02/05/2024: Se confirma asignación de N° Mant al TD
24/04/2024: Se solicitó a Construcción asociar el N° TD con el N° de mantenimiento confirmado.
26/03/2024: Construcción confirmó el N° de CQ asociado
25/03/2024: COMITE EXCPECIONAL: Se realiza su priorización
20/03/24 Esta en proceso dentro del paquete de UX (ID 2074)
29/02/2024: Registrado en la demanda integral. Pendiente de firma de Anexo 2 según directiva y pendiente de enviar memo a la OPP
01/03/2024: Memorando derivado a Construcción</t>
  </si>
  <si>
    <t>M0398</t>
  </si>
  <si>
    <t>2024-T0168</t>
  </si>
  <si>
    <t>Se requiere implementar la funcionalidad de cambio de producto entre las tarjetas de créditos personales Clásicas, Gold y Platinum, es decir que puedan pasar de un BIM a otro, transfiriendo todos sus datos administrativos y financieros.</t>
  </si>
  <si>
    <t>Banca Personal</t>
  </si>
  <si>
    <t>Tarjeta de Crédito</t>
  </si>
  <si>
    <t>MEMORANDO N° 00000047 - 2024-BN/3340</t>
  </si>
  <si>
    <t>SITC – Tarjeta de Crédito</t>
  </si>
  <si>
    <t xml:space="preserve">Tarjeta de Crédito </t>
  </si>
  <si>
    <t>Reglamento de Gestión de Conducta de MErcado del Sistema Financiero, Resolución SBS N° 3274-2017 y modificatorias a través de la Resolución SBS 1870-202 y Oficio N° 22607-2020-SBS</t>
  </si>
  <si>
    <t>13/11/25: Según CQ, actualizó el estado a 07. En Despliegue
22/10/25: Según CQ, actualizó el estado a 03. En Desarrollo
11/09/25: Según CQ, actualizó el estado a 05. En Calidad
04/09/25: Según CQ, actualizó el estado a 04. Desarrollo Finalizado
24/07/25: Según CQ, actualizó el estado a 03. En Desarrollo
10/02/25: Pospuesto en CQ. El recurso está atendiendo Tarjeta Tesoro.
06/02/25: Según CQ, actualizó el estado a 10. Paralizado
28/11/24: Según CQ, actualizó el estado a 03. En Desarrollo
25/11/24: Según CQ, actualizó el estado a 03. En Desarrollo
21/11/2024 : PE indico que se atenderá en Febrero por Fab Olssa pero primero se debe culminar con el mantenimiento Tarjeta de Crédito
17/10/2024: PE indico que se derivará a Fab. Olssa en diciembre y sera coordinado por PE
26/09/24: Según CQ, actualizó el estado a 03. En Desarrollo
23/09/2024: Se asigna a Fabrica su atención
25/03/2024: COMITE EXCPECIONAL: Se realiza su priorización
20/03/24 Se atenderá a partir de junio24.</t>
  </si>
  <si>
    <t>Trasitorio_autorizado</t>
  </si>
  <si>
    <t>01/04/25 Se activará en CQ, será derivado a Olssa. y se coordinará con Izipay.
El recurso está atendiendo Tarjeta Tesoro.</t>
  </si>
  <si>
    <t>17/03/26:Están diciendo que se necesita confirmación de jefe de sección sist. bancarios; sin embargo, esto no es correcto ya que la confirmación ya se hizo anteriormente. Tomás se encargará.</t>
  </si>
  <si>
    <t>M0408</t>
  </si>
  <si>
    <t>2024-T0199</t>
  </si>
  <si>
    <t>MEF ha implementado el SRTM, por lo que solicita que el BN brinde el servicio de cobranza, a través de su canal Pasarela de Pagos, así como la acreditación respectiva de lo recaudado de los ingresos depositados en la CUT</t>
  </si>
  <si>
    <t>Recaudación y corresponsalía</t>
  </si>
  <si>
    <t xml:space="preserve"> MEMORANDO N° 00000063 - 2024-BN/3243 </t>
  </si>
  <si>
    <t>SOMP – SISTEMA DE OPERACIONES MULTIPAGOS</t>
  </si>
  <si>
    <t>MEF</t>
  </si>
  <si>
    <t>Pasarela de Pagos Web</t>
  </si>
  <si>
    <t>12/03/26: Según CQ, actualizó el estado a 03. En Desarrollo
10/03/26: Según CQ, actualizó el estado a 05. En Calidad
05/03/26: Según CQ, actualizó el estado a 07. En Despliegue
30/01/26: Según CQ, actualizó el estado a 08. Producción Finalizada
28/01/26: Según CQ, actualizó el estado a 07. En Despliegue
24/07/25: Según CQ, actualizó el estado a 06. Calidad Finalizado
05/03/25: Según CQ, actualizó el estado a 05. En Calidad
27/02/25: Según CQ, actualizó el estado a 04. Desarrollo Finalizado
21/11/2024 Pendiente que MEF termine sus actividades de construcción para iniciar las pruebas Integrales en Desarrollo.
28/08/24: Según CQ, actualizó el estado a 03. En Desarrollo
15/08/24: Según CQ, actualizó el estado a 02. En Planificación
07/08/24: Según CQ, actualizó el estado a 02. En Planificación
27/06/2024 Se encuentra en Proceso en Fábrica desde Marzo 2024
25/03/2024: COMITE EXCPECIONAL: Se realiza su priorización
20/03/24 Se generó el mantenimiento 2024-M0175
15/03/24 Es un requerimiento que debemos atender de manera URGENTE, es un pedido de MEF coordinado con GG.</t>
  </si>
  <si>
    <t>ID 61</t>
  </si>
  <si>
    <t>Págalo</t>
  </si>
  <si>
    <t>M0423</t>
  </si>
  <si>
    <t>2024-T0204</t>
  </si>
  <si>
    <t>Actualmente el BN no procesa los campos indicados en VISA en su guía del mandatorio abril 2024.</t>
  </si>
  <si>
    <t>MEMORANDO N° 00000205 - 2024-BN/3252</t>
  </si>
  <si>
    <t>04/02/2026: Cartera reasignada a Omar Sarmiento</t>
  </si>
  <si>
    <t>ID 63</t>
  </si>
  <si>
    <t>Pospuesta</t>
  </si>
  <si>
    <t>13/02 Se atenderá con TDR</t>
  </si>
  <si>
    <t>M0439</t>
  </si>
  <si>
    <t>2024-T0085</t>
  </si>
  <si>
    <t>Brindar información rápida de la carátula e índice de la publicación, para una vista general de los usuarios interesados como asesores de Presidencia, funcionarios y trabajadores en general.</t>
  </si>
  <si>
    <t>Desarrollo del Talento</t>
  </si>
  <si>
    <t>Capacitación</t>
  </si>
  <si>
    <t>MEMORANDO N° 00000021 - 2024-BN/2334</t>
  </si>
  <si>
    <t>BIBL-Gestión y Consulta de Biblioteca-BN</t>
  </si>
  <si>
    <t>13/04/2026 Supeditado a los recursos de fábrica
17/06/2025: Se cambia de gestor de TI de Omar S. a Juan Carlos Z.
07/01/2025: Se cambia el Recurso Asignado a Analista-BN debido a que el estado de INDRA es Rechazado
19/09/24: Según CQ, actualizó el estado a 03. En Desarrollo
28/08/24: Según CQ, actualizó el estado a 02. En Planificación
24/06/2024: Se cambió 'Recurso-Asignado' de Analista-BN a  ' ' 
"18/04/24 Agendar reunion con el usuario para aclara alcance.
19/03/24 Reunion con area usuaria para aclarar el alcance y generar el mantenimiento."</t>
  </si>
  <si>
    <t>ID 13</t>
  </si>
  <si>
    <t>Pase a Calidad Oct-25</t>
  </si>
  <si>
    <t>M0442</t>
  </si>
  <si>
    <t>2024-T0278</t>
  </si>
  <si>
    <t>Se requiere implementar un nuevo FEE (tarifa) para operaciones efectuadas por clientes foráneos internacionales en el canal ATM del BN</t>
  </si>
  <si>
    <t>MEMORANDO N° 00000073 - 2024-BN/3251</t>
  </si>
  <si>
    <t>STRA - Proyecto de Stratus</t>
  </si>
  <si>
    <t>26/01/26: Según CQ, actualizó el estado a 06. Calidad Finalizado
21/01/26: Según CQ, actualizó el estado a 05. En Calidad
19/01/26: Según CQ, actualizó el estado a 04. Desarrollo Finalizado
30/12/2025: Cartera reasignada a Omar Sarmiento
18/08/25: Según CQ, actualizó el estado a 03. En Desarrollo
11/02/25: Pospuesto por Definición contable con Adaliza, para contar la ventana de pruebas con VISA coordinar con usuario ( Adalguiza y Maria Medrano ).
10/02/25: Según CQ, actualizó el estado a 10. Paralizado
27/01/25: No asistieron a la reunión AA y JP para informar respecto a las 02 tareas pendientes: la solicitud de soporte con Visa y la definición contable, ambas tareas estan pendientes por parte del Usuario, enviaremos correos.
22/01/25: las pruebas de validación de pantalla las esta realizando Adalguiza A. con Mario de Bevertec, FC indicó que estan pendientes 2 tareas: la solicitud de soporte con Visa y la definición contable, ambas tareas estan pendientes por parte del Usuario, se envió correos a los usuarios al respecto para su gestión
14/01/25: Fredy C. indicó que se debe realizar y culminar la prueba completa para saber si se grabo bien la comisión, comentó que solicitó el 09/2024 a Juliana P.  para que coordine la solicitud de soporte con Visa. Al respecto se consultará el estado de coordinación a Juliana P. 
Se acuerda que Adalguiza A. coordinará via Whatsapp las pruebas con Bevertec y el cajero y simulador del BN. Jaime Salas confirma que Mario Sanchez seguira apoyando al BN
Fredy C. indica que esta pendiente la entrega de la parte contable de parte del Equipo de Cristian V. Canales Virtuales.
02/12/2024:FC indica que ha solicitado en reiterdas oportunidades sigue a la espera. respecto a soporte de VISA se ha solicitado respondio que tiene un costo y con eso se podra hacer una prueba completa incluida la parte contable
26/11/2024: FC indica que falta definir  la parte contable  solicitado al equipo de  Cristian Ventocilla las pruebas la realiza la usuaria  Adalguiza , se estan haciendo pruebas limitidas con el usuario pero para las pruebas completas se debe solicitar a VISA previo pago se espera la respuesta del usuario para seguir con las coordinaciones respectivas
18/11/2024: FC indica que se esta avanzando y que se deben considerar 3 puntos importantes:
 1. reglas contables, 2. flujo de pantallas  y 3. reportes (7) mas interfase (1), se necesitan reglas contables y flujo de pantallas. 
Usuarios Adalguiza y Xenia solicitan coordinar un Laboratorio para las pruebas,  FC coordinará las pruebas en el Laboratorio.
17/09 Juliana Palomino está coordinando el cronograma de trabajo
09/09 MM indica que se realizaron pruebas con las tarjetas foráneas, se acordó que el área usuaria enviará el diseño de las pantallas azules. MM indica que se consultará. 
JP indica que  comunicara cuando se realilizará la reunión de Visa con BN, consultarán si la comision es fija o variable, JS recomienda que sea variable
26/08 JS indica que ya se entregó, se debe terminar de probar por parte de los usuarios, programar las pruebas
19/08 JS indica que esta en Pruebas
12/08 J.Salas señala que los desarrollos estasn listos para los 2 ATMs NCR y diebold. Terminado el reporte (14/08), remitirá guia. Parte transaccional ya se puede probar. 
12/08 M.Huamani solicIta la guia de despliegue a BVT. Fredy Canchanya  apoyará en la parte técnica por el área de Construcción.
05/08 Jaime Salas señala que ya entregó el desarrollo al BN, se deben realizar pruebas con los simuladores. El 02/08/2024 ya probó Mario Sanchez de BVT - msanchez@bevertec.com - Cel. 966198682
15/07 Maribel Median gestionará correo para accesos a Mario Sánchez y Lizet Flores de BVT
11/07 Se solicito a Maribel Medina la fecha de inicio de pruebas en ATMs NCR
09/07 Desarrollo terminado en NCR, listo para probar. 
Pendiente del Desarrollo para DIEBOLD  
19/04/2024 El requerimiento es Urgente, por el cual se procederá con la gerencion de l trámite. Será asignado a Bevertec.</t>
  </si>
  <si>
    <t>En Proceso</t>
  </si>
  <si>
    <t>ID 16</t>
  </si>
  <si>
    <t xml:space="preserve">11/02: Pospuesto por Definición contable con Adaliza, para contar la ventana de pruebas con VISA coordinar con usuario ( Adalguiza y Maria Medrano ).
07/02: Se revisará con Maribel y Vladimir en la tarde fecha de compromiso. 
</t>
  </si>
  <si>
    <t>18/03: Se planificará con construcción el pase según correo del Subgerente de construcción.</t>
  </si>
  <si>
    <t>M0443</t>
  </si>
  <si>
    <t>2024-T0264</t>
  </si>
  <si>
    <t>Contar con un sistema que permita el registro de las incidencias relacionadas con la operatividad de los ATMs, a su vez gestionar la trazabilidad de la atención de los mismos, con una base de datos centralizada y reportes gestionables</t>
  </si>
  <si>
    <t>ECAJ-Errores de Cajero Multired</t>
  </si>
  <si>
    <t>Recomendación</t>
  </si>
  <si>
    <t>AUDITORIA INTERNA</t>
  </si>
  <si>
    <t>1) P-008-2022-BN/1400;
2) P-007-2021-BN/1400</t>
  </si>
  <si>
    <t>1) Evaluación del proceso de administración de canales presenciales y virtuales - canal de atención cajeros automáticos
2) EVALUACIÓN DE LOS PROCESOS DE SERVICIOS DE BANCO Y DE SERVICIOS POR CONVENIOS Y DE LA GESTIÓN DE LOS FIDEICOMISOS</t>
  </si>
  <si>
    <t>1) 6
2) 2</t>
  </si>
  <si>
    <t xml:space="preserve">02/03/26: Según CQ, actualizó el estado a 10. Paralizado
13/01/26: Según CQ, actualizó el estado a 03. En Desarrollo
12/01/26: Según CQ, actualizó el estado a 05. En Calidad
30/12/2025: Cartera reasignada a Omar Sarmiento
08/09/25: Según CQ, actualizó el estado a 07. En Despliegue
28/08/25: Según CQ, actualizó el estado a 06. Calidad Finalizado
11/07/25: Según CQ, actualizó el estado a 05. En Calidad
07/07/25: Según CQ, actualizó el estado a 04. Desarrollo Finalizado
02/07/25: Según CQ, actualizó el estado a 05. En Calidad
19/06/25: Según CQ, actualizó el estado a 04. Desarrollo Finalizado
28/08/24: Según CQ, actualizó el estado a 03. En Desarrollo
12/08/24: De acuerdo a lo coordinado con Paul Alminagorta, el desarrollo se encuentra al 95% sin embargo esta pendiente solucionar el problema de accesos ( Host a ISAM ) 
07/08/24: Según CQ, actualizó el estado a 02. En Planificación
24/06/2024: Se cambió 'Recurso-Asignado' de FS-Indra a Analista-BN
18/04/24 Se derivará a FS-indra. Se está trabajando en la re-definición del requerimiento.
19/03/24 Se requiere reunion con el usuario para aclarar el alcance. </t>
  </si>
  <si>
    <t>Implementada</t>
  </si>
  <si>
    <t>181</t>
  </si>
  <si>
    <t>24/04/25: Se dará pase a producción a inicio de Junio
En desarrollo, pasa a Calidad 31.Mar25</t>
  </si>
  <si>
    <t>M0451</t>
  </si>
  <si>
    <t>2024-T0239</t>
  </si>
  <si>
    <t>2024-M0201</t>
  </si>
  <si>
    <t>MC: Crear la opción de consultas en línea para las cuentas corrientes, SIAF, RDR, Ordinarias, Depósitos en garantía y ahorros MN y ME</t>
  </si>
  <si>
    <t>Crear la opción de una consulta en línea en el aplicativo HOST, para las cuentas corrientes, SIAF, RDR, Ordinarias, Depositos en garantia y ahorros de MN y ME</t>
  </si>
  <si>
    <t>Internacional</t>
  </si>
  <si>
    <t>Comercio Exterior</t>
  </si>
  <si>
    <t>MEDH-Depositos Garantia ME</t>
  </si>
  <si>
    <t xml:space="preserve">Cuenta Corriente </t>
  </si>
  <si>
    <t>13/01/26: Según CQ, actualizó el estado a 08. Producción Finalizada
12/01/26: Según CQ, actualizó el estado a 07. En Despliegue
12/01/26: Según CQ, actualizó el estado a 06. Calidad Finalizado
08/01/26: Según CQ, actualizó el estado a 07. En Despliegue
03/12/2025: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04/11/25: Según CQ, actualizó el estado a 05. En Calidad
10/02/25: Según CQ, actualizó el estado a 03. En Desarrollo
19/09/24: Según CQ, actualizó el estado a 03. En Desarrollo
07/08/24: Según CQ, actualizó el estado a 02. En Planificación
27/03/2024: Se registra el requerimiento de tipo urgente</t>
  </si>
  <si>
    <t xml:space="preserve">Junio pasará a calidad será asignado a OLSSA, se reasignará a Eduardo, Norma, Maria Eva. </t>
  </si>
  <si>
    <t>M0455</t>
  </si>
  <si>
    <t>2024-T0231</t>
  </si>
  <si>
    <t>Implementar en los canales APP BN y MV los campos: Nacionalidad, residencia y el nombre del Centro de Labores.</t>
  </si>
  <si>
    <t>MEMORANDO N° 00000215 - 2024-BN/3252</t>
  </si>
  <si>
    <t>SATI-Sistema ATI</t>
  </si>
  <si>
    <t>Reglamento de Gestión de Riesgos de Lavado de Activos y del Financiamiento del Terrorismo aprobado por Resolución N° 2660-2015</t>
  </si>
  <si>
    <t>26/02/2026 Tiene como predecesor al requerimiento de biometria
30/12/2025: Cartera reasignada a Omar Sarmiento
04/11/25: Según CQ, actualizó el estado a 03. En Desarrollo
23/10/25: Según CQ, actualizó el estado a 05. En Calidad
16/10/25: Según CQ, actualizó el estado a 04. Desarrollo Finalizado
23/04/25: Se coordinó con el líder técnico y se estableció como fecha de compromiso el mes de agosto.
03/10/24: Según CQ, actualizó el estado a 03. En Desarrollo
24/06/2024: Se cambió 'Recurso-Asignado' de Analista-BN a  ' '
22/05/2024: Pendiente de confirmación por JRocca sobre 
18/04/24 Se atendera conforme a la interfaz de BDUC este realizado.
03/04/2024: Se registró en la demanda integral
Comprometido con el Directorio para Junio 2024 por campaña de actualización de datos de clientes</t>
  </si>
  <si>
    <t>ID 73</t>
  </si>
  <si>
    <t>M0473</t>
  </si>
  <si>
    <t>2024-T0260</t>
  </si>
  <si>
    <t>Generación de un log de las operaciones VISA y resolución de la incidencia importes diferentes en las operaciones de VISA en la consulta de la transacción TM05</t>
  </si>
  <si>
    <t>Construcción de Aplicaciones</t>
  </si>
  <si>
    <t>INCA - Interfaz Cajeros automaticos</t>
  </si>
  <si>
    <t>04/02/2026: Cartera reasignada a Tomas Calvera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05/09/2025: Cartera reasignada a Omar Sarmiento
11/08/2025: Cartera reasignada a Percy Silva
10/02/25: Se pospuso en CQ. Evaluar Descarte con usuario ( Maria Medrano ) 
10/02/25: Según CQ, actualizó el estado a 10. Paralizado
23/01/2025 Cartera reasignada a Milagros Huamaní
12/06/2024: Se realizó reasignación de Gestor TI de Mónica Osorio a Francisco La Torre.
05/06/2024: Se actualiza el estado de Producción FInalizada a En desarrollo según CQ (Rechazado)
07/05/2024: Carlos Linares confirma que el RQ pasó a producción el 04May24
03/05/2024: El 02May CLinares confirmapase a producción el fds, sin embargo, luego de coordinar el pase con área usuaria, solicitan postergarlo para la sgte semana.
3/05/2024: Según CQ, se actualizó el estado de 05. En Calidad a 06. Calidad Finalizado
30/04/2024: Según CQ, se actualizó el estado de 01. Registrado a 05. En Calidad
15/04/2024: Se registró en la demanda integral. •	Proviene de un incidente reportado por el área usuaria</t>
  </si>
  <si>
    <t xml:space="preserve">01/04/25 Percy evaluará con el usuario su descarte.
Se pospuso. Evaluar Descarte con usuario ( Maria Medrano ) </t>
  </si>
  <si>
    <t>Rev.</t>
  </si>
  <si>
    <t>M0477</t>
  </si>
  <si>
    <t>2024-T0267</t>
  </si>
  <si>
    <t>Implementación de Transacción en línea de la cobranza de las Empresas Públicas de Electricidad Hidroandina, Electroeste, Electronorte, Electrocentro, Electrosur.</t>
  </si>
  <si>
    <t>MEMORANDO N° 00000035 - 2024-BN/3243</t>
  </si>
  <si>
    <t>RECA-Recaudacion</t>
  </si>
  <si>
    <t>GG</t>
  </si>
  <si>
    <t xml:space="preserve">Servicios Bancarios Diversos </t>
  </si>
  <si>
    <t>Jorge Lucio Ruedas Fernandez/Fiorella Emma Galvan Soto</t>
  </si>
  <si>
    <t>10/03/26: Según CQ, actualizó el estado a 08. Producción Finalizada
10/10/24: Según CQ, actualizó el estado a 06. Calidad Finalizado
01/10/24: Según CQ, actualizó el estado a 05. En Calidad
23/09/24: Según CQ, actualizó el estado a 04. Desarrollo Finalizado
03/07/2024 Se ingreso en la máscara las entidades eléctricas para que puedan realizar prueba de conexión, aún se está trabajando.
17/04/2024: Se registró en la demanda integral.</t>
  </si>
  <si>
    <t>ID 22</t>
  </si>
  <si>
    <t>M0482</t>
  </si>
  <si>
    <t>2024-T0277</t>
  </si>
  <si>
    <t>Integración del Sistema del Banco de la Nación con el nuevo sistema comercial SEDAPAL para recaudación en línea</t>
  </si>
  <si>
    <t>MEMORANDO N° 00000041 - 2024-BN/3243</t>
  </si>
  <si>
    <t>10/03/26: Según CQ, actualizó el estado a 08. Producción Finalizada
02/07/25: Según CQ, actualizó el estado a 07. En Despliegue
30/06/25: Según CQ, actualizó el estado a 06. Calidad Finalizado
20/06/25: Según CQ, actualizó el estado a 05. En Calidad
19/06/25: Según CQ, actualizó el estado a 04. Desarrollo Finalizado
21/11/2024 El mantenimiento se encuentra pospuesto, se planteó una solución temporal que esta validando el equipo de SEDAPAL.
03/07/2024 Se ha solictado Data de Pruebas.
19/04/2024: Registrado en al demanda integral. Requerimiento solicitado por GG</t>
  </si>
  <si>
    <t>ID 37</t>
  </si>
  <si>
    <t xml:space="preserve">OLSSA, dependencia con nuevo Hub de integración. </t>
  </si>
  <si>
    <t>M0486</t>
  </si>
  <si>
    <t>2024-T0346</t>
  </si>
  <si>
    <t xml:space="preserve">Corresponde a cambios en el Host para la Mejora en el proceso de conciliación de las operaciones VISA - Reportes </t>
  </si>
  <si>
    <t>REP-VISA</t>
  </si>
  <si>
    <t>Dependencia Usuario</t>
  </si>
  <si>
    <t>27/02/26: Según CQ, actualizó el estado a 10. Paralizado
26/02: cambiar estado en el CQ a Pralizado
04/02/2026: Cartera reasignada a Tomas Calvera
05/09/2025: Cartera reasignada a Omar Sarmiento
11/08/2025: Cartera reasignada a Percy Silva
17/06/2025: Se cambia de gestor de TI de Percy S. a Milagros H.
16/04/25: Según CQ, actualizó el estado a 03. En Desarrollo
14/02/25: Según CQ, actualizó el estado a 06. Calidad Finalizado
06/02/25: Según CQ, actualizó el estado a 05. En Calidad
29/01/25: Según CQ, actualizó el estado a 04. Desarrollo Finalizado
23/01/2025 Cartera reasignada a Milagros Huamaní
02/01/25: Según lo coordinado con Cumplimiento Normativo el 12/12/24, se modifica la categoría de Recomendación a Evolutivo
22/11/24: Según CQ, actualizó el estado a 03. En Desarrollo
21/11/2024: FC En etapa de Certificación con Open
08/11/24: Según CQ, actualizó el estado a 03. En Desarrollo
10/10/2024: Maribel Medina indica en el CQ que se aprueba cuando pase el mantenimiento de OPEN  (2023-M0701)
28/08/24: Según CQ, actualizó el estado a 03. En Desarrollo
07/08/24: Según CQ, actualizó el estado a 02. En Planificación
08/07/2024: Es un requerimiento hijo asociado a una recomendación 
03/07/2024: Maribel Medina confirma que el RQ se encuentra en atención por recurso de Fabrica Indra (Fredy Canchanya), fecha fin de desarrollo 15.07. 
27/05/2024: Se registró en la demanda Integral. Se registró en la demanda Táctica y  corresponde a la parte host del RQ; ID 1827
NOTA: Dependencia del trámite 2023-T0793</t>
  </si>
  <si>
    <t>M0493</t>
  </si>
  <si>
    <t>2024-T0292</t>
  </si>
  <si>
    <t>Actualización del Reporte 5A Encaje adelantado por normativas de ente regulador BCRP</t>
  </si>
  <si>
    <t>Caja y Valores</t>
  </si>
  <si>
    <t>Soporte Mesa de Dinero</t>
  </si>
  <si>
    <t>MEMORANDO N° 00000010 - 2024-BN/3216</t>
  </si>
  <si>
    <t>PSAI-Proyecto Mantenimiento SAI</t>
  </si>
  <si>
    <t xml:space="preserve">23/03/26: Según CQ, actualizó el estado a 08. Producción Finalizada
30/01/26: Según CQ, actualizó el estado a 07. En Despliegue
14/10/25: Según CQ, actualizó el estado a 03. En Desarrollo
31/07/25: Según CQ, actualizó el estado a 05. En Calidad
30/07/25: Según CQ, actualizó el estado a 04. Desarrollo Finalizado
28/08/24: Según CQ, actualizó el estado a 03. En Desarrollo
15/08/24: Según CQ, actualizó el estado a 01. Registrado
07/08/24: Según CQ, actualizó el estado a 01. Registrado
27/06/2024 Se encuetra Asigando a Fábrica desde Junio 2024.
24/06/2024: Se cambió 'Recurso-Asignado' de FS-Indra a  ' ' 
22/05/24 Se iniciará su atención.
25/04/2024: Se registró en la demanda Integral </t>
  </si>
  <si>
    <t>ID 108</t>
  </si>
  <si>
    <t>Se remitirá a Indra para su evaluación.</t>
  </si>
  <si>
    <t>M0497</t>
  </si>
  <si>
    <t>2024-T0357</t>
  </si>
  <si>
    <t>2024-M0345</t>
  </si>
  <si>
    <t>MC: Actualización de opciones en el sistema de claves del aplicativo RSUP</t>
  </si>
  <si>
    <t>Se requiere independizar y normalización de términos de las opciones según corresponda, lo que permitirá una adecuada asignación de roles y evitar riesgos debido a una segregación de funciones inadecuadas.</t>
  </si>
  <si>
    <t>Compensaciones</t>
  </si>
  <si>
    <t>Remuneraciones Pensiones y Subsidios</t>
  </si>
  <si>
    <t>MEMORANDO N° 00000850 - 2024-BN/2321</t>
  </si>
  <si>
    <t>RHPP- Recursos humanos planillas</t>
  </si>
  <si>
    <t>Walter Tito Valencia</t>
  </si>
  <si>
    <t>13/01/26: Según CQ, actualizó el estado a 08. Producción Finalizada
12/01/26: Según CQ, actualizó el estado a 07. En Despliegue
12/01/26: Según CQ, actualizó el estado a 06. Calidad Finalizado
08/01/26: Según CQ, actualizó el estado a 07. En Despliegue
05/01/26: Según CQ, actualizó el estado a 06. Calidad Finalizado
17/12/2025: Se reactiva mantenimiento debido a movimiento dentro del CQ post-devolución (27-10-25)
05/12/25: Según CQ, actualizó el estado a 05. En Calidad
03/12/2025: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17/06/2025: Se cambia de gestor de TI de Omar S. a Juan Carlos Z.
14/08/2024 Se prolongo su atención toda vexz que e analista se encuentra atendiendo desarrollos de SENTINEL
07/08/24: Según CQ, actualizó el estado a 03. En Desarrollo
24/06/2024: Se cambió 'Recurso-Asignado' de Analista-BN a  ' ' 
22/05/24 Se prioriza por ser un correctivo. Se Iniciará su atención luego del ID2241.
02/05/2024: Se registra en la demanda Integral.</t>
  </si>
  <si>
    <t>ID 107</t>
  </si>
  <si>
    <t>Colocar en el Clearquest POSPUESTO</t>
  </si>
  <si>
    <t>M0506</t>
  </si>
  <si>
    <t>2024-T0342</t>
  </si>
  <si>
    <t>2024-M0295</t>
  </si>
  <si>
    <t>Mejoras a la funcionalidad de Contrataciones hasta 8UIT - Oracle EBS</t>
  </si>
  <si>
    <t>Mejoras de acuerdo a lo remendado por Auditoría</t>
  </si>
  <si>
    <t>Compras</t>
  </si>
  <si>
    <t>Programación, Evaluación y Compras Menores</t>
  </si>
  <si>
    <t>MEMORANDO N° 00000599 - 2024-BN-2663</t>
  </si>
  <si>
    <t>OSAI -: Oracle Sistema Administrativo Integrado</t>
  </si>
  <si>
    <t>Oracle</t>
  </si>
  <si>
    <t>P-022-2019-BN/1400</t>
  </si>
  <si>
    <t>Evaluación del proceso de seguimiento y control logístico</t>
  </si>
  <si>
    <t>N° 2</t>
  </si>
  <si>
    <t>2.b</t>
  </si>
  <si>
    <t>13/01/26: Según CQ, actualizó el estado a 08. Producción Finalizada
05/09/2025: Cartera reasignada a Omar Sarmiento
19/08/25: Según CQ, actualizó el estado a 07. En Despliegue
07/07/25: Según CQ, actualizó el estado a 06. Calidad Finalizado
17/06/2025: Se cambia de gestor de TI de Omar S. a Luis Alberto I.
22/05/25: Según CQ, actualizó el estado a 05. En Calidad
07/05/25: Según CQ, actualizó el estado a 04. Desarrollo Finalizado
28/08/24: Según CQ, actualizó el estado a 03. En Desarrollo
15/08/24: Según CQ, actualizó el estado a 02. En Planificación
07/08/24: Según CQ, actualizó el estado a 02. En Planificación
31/05/24 Según CQ esta registrado el 27.05.24, esta registrado en el aplicativo de Indra y lo atenderá Rosana Bermejo.
22/05/24 Se prioriza, para su atención por Fabrica.</t>
  </si>
  <si>
    <t>ID 100</t>
  </si>
  <si>
    <t>33</t>
  </si>
  <si>
    <t>Indra, pasa a Calidad el 28-Febrero-25</t>
  </si>
  <si>
    <t>M0525</t>
  </si>
  <si>
    <t>2024-T0364</t>
  </si>
  <si>
    <t>Depuración de Datos Inconsistentes, correos electrónicos y celulares en BDUC</t>
  </si>
  <si>
    <t>MEMORANDO N° 00000297 - 2024-BN/3111</t>
  </si>
  <si>
    <t>24/04/26: Según CQ, actualizó el estado a 03. En Desarrollo
10/04/26: Según CQ, actualizó el estado a 04. Desarrollo Finalizado
25/03/26: Según CQ, actualizó el estado a 03. En Desarrollo
18/03/26: Según CQ, actualizó el estado a 04. Desarrollo Finalizado
26/01/26: Según CQ, actualizó el estado a 03. En Desarrollo
26/11/25: Según CQ, actualizó el estado a 05. En Calidad
21/11/25: Según CQ, actualizó el estado a 04. Desarrollo Finalizado
28/08/24: Según CQ, actualizó el estado a 03. En Desarrollo
15/08/24: Según CQ, actualizó el estado a 02. En Planificación
07/08/24: Según CQ, actualizó el estado a 02. En Planificación
31/05/2024: Se registró en el Backlog de requerimientos y se generó trámite para el inicio de su atención.. Solicitado por GG</t>
  </si>
  <si>
    <t>ID 134</t>
  </si>
  <si>
    <t>Pasa a Calidad en mar-25</t>
  </si>
  <si>
    <t>M0526</t>
  </si>
  <si>
    <t>2024-T0372</t>
  </si>
  <si>
    <t>MEMORANDO N° 00000312 - 2024-BN/3111</t>
  </si>
  <si>
    <t>DPAH- Deposito de Ahorros MN</t>
  </si>
  <si>
    <t>Cumplimiento Normativo</t>
  </si>
  <si>
    <t>AUDITORIA EXTERNA</t>
  </si>
  <si>
    <t xml:space="preserve">Caipo y Asociados S. Civil, de R.L. - KPMG  </t>
  </si>
  <si>
    <t>Memorándum de Recomendaciones sobre Aspectos de Control Interno, Contable y Otros al 31 de diciembre de 2023</t>
  </si>
  <si>
    <t xml:space="preserve">I.6i </t>
  </si>
  <si>
    <t>I.6i (RA)</t>
  </si>
  <si>
    <t>23/03/26: Según CQ, actualizó el estado a 08. Producción Finalizada
30/01/26: Según CQ, actualizó el estado a 07. En Despliegue
21/04/25: Según CQ, actualizó el estado a 06. Calidad Finalizado
27/02/25: Según CQ, actualizó el estado a 05. En Calidad
21/02/25: Según CQ, actualizó el estado a 04. Desarrollo Finalizado
07/01/2025: Se cambia el Recurso Asignado a Analista-BN debido a que el estado de INDRA es Rechazado
28/08/24: Según CQ, actualizó el estado a 03. En Desarrollo
15/08/24: Según CQ, actualizó el estado a 02. En Planificación
13/08/2024 Esta pendiente que fabrica remita el cronograma definitivo para planificar los plazos en certificación y produccón.
07/08/24: Según CQ, actualizó el estado a 02. En Planificación
10/06/2024: Se registró en el Backlog de requerimientos</t>
  </si>
  <si>
    <t>ID 130</t>
  </si>
  <si>
    <t>2419</t>
  </si>
  <si>
    <t xml:space="preserve">Debe entrar en febrero a calidad. </t>
  </si>
  <si>
    <t>M0533</t>
  </si>
  <si>
    <t>2024-T0424</t>
  </si>
  <si>
    <t>Se requiere Mostrar los nombres completos de los aplicativos CRMY Y CRPP, ya sea por consultar , desembolsar o recupero de crédito para la atención de la cartera Banca Gobierno Nacional</t>
  </si>
  <si>
    <t>MEMORANDO N° 00000092 - 2024-BN/3241</t>
  </si>
  <si>
    <t>CRPP- Cobranzas Municipales</t>
  </si>
  <si>
    <t>28/08/24: Según CQ, actualizó el estado a 03. En Desarrollo
15/08/24: Según CQ, actualizó el estado a 02. En Planificación
07/08/24: Según CQ, actualizó el estado a 02. En Planificación
11/07/24 Se creo el TD y se registro en la demanda tactica
27/06/24 El desarrollo está en proceso.
24/05/2024: Se registró en la demanda integral.</t>
  </si>
  <si>
    <t>ID 81</t>
  </si>
  <si>
    <t>M0534</t>
  </si>
  <si>
    <t>2024-T0433</t>
  </si>
  <si>
    <t>2024-M0431</t>
  </si>
  <si>
    <t>Actualizar la interface del mantenimiento 2018-M0564 para incluir la inclusión de duplicados de cronogramas y la comisión por envío físico de estado de cuenta en la emisión de boletas electrónicas del Crédito Hipotecario.</t>
  </si>
  <si>
    <t>Crédito Hipotecario</t>
  </si>
  <si>
    <t>MEMORANDO N° 00000060 - 2024-BN-3341</t>
  </si>
  <si>
    <t>CRHP-Sistema Creditos Hipotecarios</t>
  </si>
  <si>
    <t>R.S. N° 193-2020/SUNAT</t>
  </si>
  <si>
    <t>13/01/26: Según CQ, actualizó el estado a 08. Producción Finalizada
05/01/26: Según CQ, actualizó el estado a 07. En Despliegue
21/08/25: Según CQ, actualizó el estado a 06. Calidad Finalizado
24/07/25: Según CQ, actualizó el estado a 05. En Calidad
17/07/25: Según CQ, actualizó el estado a 04. Desarrollo Finalizado
17/06/2025: Se cambia de gestor de TI de Omar S. a Juan Carlos Z.
28/08/24: Según CQ, actualizó el estado a 03. En Desarrollo
20/08/24: Según CQ, actualizó el estado a 02. En Planificación
31/07/2024 Javier Urquiaga en reunión co los usuarios de FE del área de finanzas acordaron que eliminarian algunos puntos del alcance por lo que enviarían un correo con las precisiones.(Correo miércoles 24/07/2024 16:50)
16/07/2024 Se registró en el Backlog de requerimientos y se genero el tramite documentario. Es hijo del requerimiento ID 941
NOTA: Dependencia del trámite 2022-T0144</t>
  </si>
  <si>
    <t>ID 167-93</t>
  </si>
  <si>
    <t>En cierre de construcción pasará a Calidad en quincena de febrero. -  Paquete 6</t>
  </si>
  <si>
    <t>M0535</t>
  </si>
  <si>
    <t>2024-T0444</t>
  </si>
  <si>
    <t>Se requiere que el aplicativo O7Invoice contenga toda la informacion de comprobantes de pago que se genere por las operaciones de cargo procesados en las cuentas de ahorro que se graban diariamente en el archivo de movimiento diario DPAH</t>
  </si>
  <si>
    <t>Administración de Cuentas y Pagaduría</t>
  </si>
  <si>
    <t>MEMORANDO N° 00000705 - 2024-BN-3191</t>
  </si>
  <si>
    <t>30/01/26: Según CQ, actualizó el estado a 08. Producción Finalizada
26/01/26: Según CQ, actualizó el estado a 07. En Despliegue
14/08/25: Según CQ, actualizó el estado a 06. Calidad Finalizado
26/06/25: Según CQ, actualizó el estado a 05. En Calidad
19/06/25: Según CQ, actualizó el estado a 04. Desarrollo Finalizado
17/06/2025: Se cambia de gestor de TI de Omar S. a Juan Carlos Z.
28/08/24: Según CQ, actualizó el estado a 02. En Planificación
24/07/2024 Se registró en el Backlog de requerimientos, se genero el tramite documentario y se registro en la demanda tactica
NOTA: Dependencia del trámite 2022-T0144</t>
  </si>
  <si>
    <t>ID 159</t>
  </si>
  <si>
    <t>Se coordinará con el area usuaria si la necesidad persiste.</t>
  </si>
  <si>
    <t>M0556</t>
  </si>
  <si>
    <t>2024-T0510</t>
  </si>
  <si>
    <t>Correcto acceso al Módulo RBFF y correcta ejecución del archivo de publicados.</t>
  </si>
  <si>
    <t>MEMORANDO N° 00000031 - 2024-BN/3243</t>
  </si>
  <si>
    <t>PRCA- Prestamos Corresponsalia Agro</t>
  </si>
  <si>
    <t xml:space="preserve">07/01/25: Según CQ, actualizó el estado a 06. Calidad Finalizado
28/11/24: Según CQ, actualizó el estado a 05. En Calidad
26/11/24: Según CQ, actualizó el estado a 04. Desarrollo Finalizado
30/09/24: Según CQ, actualizó el estado a 03. En Desarrollo
27/06/24 Se revisará en un prox. comité cuando el recurso se libere. Se evaluará su envío a Fábrica.
22/05/2024: A ser evaluado con J Rueda. Para revisar en Prox. Comité. Falta capacidad operativa.
24/04/2024: Se registró en la demanda Integral </t>
  </si>
  <si>
    <t>ID 30</t>
  </si>
  <si>
    <t>18/03: 18/03: Analista indicó lo siguiente: 'Componentes no se pueden desplegar, ya que las Actas de Seguridad están en Proceso por parte de Recaudación.</t>
  </si>
  <si>
    <t>M0595</t>
  </si>
  <si>
    <t>2024-T0475</t>
  </si>
  <si>
    <t>El SARE no cuenta con el detalle solicitado en la Resolución SBS 04036-2022, el cual es de carácter normativo/obligatorio.</t>
  </si>
  <si>
    <t>Experiencia de Cliente y Reclamos</t>
  </si>
  <si>
    <t>Reclamos</t>
  </si>
  <si>
    <t>MEMORANDO N° 00000080 - 2024-BN/7832</t>
  </si>
  <si>
    <t>SARE_Atención de Reclamos</t>
  </si>
  <si>
    <t xml:space="preserve">Cobranzas </t>
  </si>
  <si>
    <t>Resolución S.B.S. N° 04036 - 2022</t>
  </si>
  <si>
    <t>19/01/2025: Cartera reasignada a Maria Barboza
03/12/2025: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23/01/2025 Cartera reasignada a Milagros Huamaní
23/08/2024:  Se registró en el Backlog de requerimientos.</t>
  </si>
  <si>
    <t>QC-215</t>
  </si>
  <si>
    <t>Pase a calidad abril-25</t>
  </si>
  <si>
    <t>M0596</t>
  </si>
  <si>
    <t>2024-T0505</t>
  </si>
  <si>
    <t>Reducción a 5 minutos de los extornos para tasas canal ventanilla.</t>
  </si>
  <si>
    <t>MEMORANDO N° 00000132 - 2024-BN/3243</t>
  </si>
  <si>
    <t xml:space="preserve">Pagos </t>
  </si>
  <si>
    <t>08/05/26: Según CQ, actualizó el estado a 03. En Desarrollo
19/03/25: Según CQ, actualizó el estado a 06. Calidad Finalizado
07/03/25: Según CQ, actualizó el estado a 05. En Calidad
04/03/25: Según CQ, actualizó el estado a 04. Desarrollo Finalizado
03/09/24: Según CQ, actualizó el estado a 03. En Desarrollo
28/08/2024:  Se registró en el Backlog de requerimientos.</t>
  </si>
  <si>
    <t>ID 162</t>
  </si>
  <si>
    <t>Desarrollo Terminado x JRueda, pasa a Calidad Feb-25 con Mantenimiento de saraweb (merge Feb.25) (2024-M0267)</t>
  </si>
  <si>
    <t>18/03: Analista indicó lo siguiente: 'Se ha pedido a las áreas usuarias respectivas si se va RECHAZAR y/o DEVOLVER a desarrollo.</t>
  </si>
  <si>
    <t>Dependencia de usuario</t>
  </si>
  <si>
    <t>M0604</t>
  </si>
  <si>
    <t>2024-T0531</t>
  </si>
  <si>
    <t>MEMORANDO N° 00000430 - 2024-BN-3252</t>
  </si>
  <si>
    <t>R.S N° 193-2020/SUNAT</t>
  </si>
  <si>
    <t>15/08/25: Según CQ, actualizó el estado a 06. Calidad Finalizado
11/08/25: Según CQ, actualizó el estado a 05. En Calidad
07/08/25: Según CQ, actualizó el estado a 04. Desarrollo Finalizado
17/06/2025: Se cambia de gestor de TI de Omar S. a Juan Carlos Z.
09/09/24: Según CQ, actualizó el estado a 02. En Planificación
05/09/2024:  Se registró en el Backlog de requerimientos.
NOTA: Dependencia del RQ con ID Histórico 941</t>
  </si>
  <si>
    <t>QC-212</t>
  </si>
  <si>
    <t>24/04/25: Se tiene que Posponer en CQ debido a que no se tiene registor. de comisiones. Lucila Choy  indicó qeue se hará manualmente por el momento.</t>
  </si>
  <si>
    <t>M0606</t>
  </si>
  <si>
    <t>2024-T0533</t>
  </si>
  <si>
    <t>2024-M0462</t>
  </si>
  <si>
    <t>Emisión de Comprobantes de pago por la comisión por reposición de la nueva tarjeta multired</t>
  </si>
  <si>
    <t>ATCA-Adm.Tarjetas Cajero Automático</t>
  </si>
  <si>
    <t>26/01/26: Según CQ, actualizó el estado a 08. Producción Finalizada
18/12/25: Según CQ, actualizó el estado a 06. Calidad Finalizado
17/12/25: Según CQ, actualizó el estado a 05. En Calidad
17/11/25: Según CQ, actualizó el estado a 03. En Desarrollo
27/10/25: Según CQ, actualizó el estado a 05. En Calidad
22/10/25: Según CQ, actualizó el estado a 04. Desarrollo Finalizado
17/06/2025: Se cambia de gestor de TI de Omar S. a Juan Carlos Z.
05/09/2024:  Se registró en el Backlog de requerimientos.
NOTA: Dependencia del RQ con ID Histórico 941</t>
  </si>
  <si>
    <t>ID 224</t>
  </si>
  <si>
    <t>- Paquete 7</t>
  </si>
  <si>
    <t>M0698</t>
  </si>
  <si>
    <t>2024-T0557</t>
  </si>
  <si>
    <t>MEMORANDO N° 00000188 - 2024-BN-6210</t>
  </si>
  <si>
    <t>PGCO-Pago de Comisiones</t>
  </si>
  <si>
    <t>10/03/26: Según CQ, actualizó el estado a 10. Paralizado
04/03/26: Según CQ, actualizó el estado a 03. En Desarrollo
27/02/26: Según CQ, actualizó el estado a 04. Desarrollo Finalizado
17/06/2025: Se cambia de gestor de TI de Omar S. a Juan Carlos Z.
10/10/24: Según CQ, actualizó el estado a 03. En Desarrollo
18/09/2024:  Se registró en el Backlog de requerimientos. Se generó TD 
NOTA: Dependencia del RQ con ID Histórico 941</t>
  </si>
  <si>
    <t>QC-240</t>
  </si>
  <si>
    <t>M0699</t>
  </si>
  <si>
    <t>2024-T0558</t>
  </si>
  <si>
    <t>2024-M0528</t>
  </si>
  <si>
    <t>Emisión de Comprobantes de pago por las comisiones de uso del canal ATM BN</t>
  </si>
  <si>
    <t>MEMORANDO N° 00000387 - 2024-BN-3251</t>
  </si>
  <si>
    <t>14/01/26: Según CQ, actualizó el estado a 08. Producción Finalizada
12/01/26: Según CQ, actualizó el estado a 07. En Despliegue
21/08/25: Según CQ, actualizó el estado a 06. Calidad Finalizado
11/08/25: Según CQ, actualizó el estado a 05. En Calidad
07/08/25: Según CQ, actualizó el estado a 04. Desarrollo Finalizado
17/06/2025: Se cambia de gestor de TI de Omar S. a Juan Carlos Z.
10/10/24: Según CQ, actualizó el estado a 03. En Desarrollo
18/09/2024:  Se registró en el Backlog de requerimientos. Se generó TD 
NOTA: Dependencia del RQ con ID Histórico 941</t>
  </si>
  <si>
    <t>QC-241</t>
  </si>
  <si>
    <t>M0728</t>
  </si>
  <si>
    <t>2024-T0614</t>
  </si>
  <si>
    <t>2024-M0546</t>
  </si>
  <si>
    <t>Efectuar cambios en la Transacción 3210 Sedapal</t>
  </si>
  <si>
    <t>MEMORANDO N° 00000192 - 2024-BN/3243</t>
  </si>
  <si>
    <t>PGOL-Pagos En Línea</t>
  </si>
  <si>
    <t>12/01/26: Según CQ, actualizó el estado a 09. Descartado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03/03/2025: De acuerdo a lo coordinado la Fecha Fin Planificación pasará a marzo.
14/10/2024: Según CQ, actualizó el estado a 03. En Desarrollo
09/10/2024 Se registró en el backlog, se creó el tramite y se priorizó a la demanda tactica</t>
  </si>
  <si>
    <t>2024-IV</t>
  </si>
  <si>
    <t>QC-256</t>
  </si>
  <si>
    <t>M0751</t>
  </si>
  <si>
    <t>2024-T0647</t>
  </si>
  <si>
    <t>18/05/26: Según CQ, actualizó el estado a 06. Calidad Finalizado
12/05/26: Según CQ, actualizó el estado a 06. Calidad Finalizado
08/05/26: Según CQ, actualizó el estado a 06. Calidad Finalizado
04/05/26: Según CQ, actualizó el estado a 06. Calidad Finalizado
27/04/26: Según CQ, actualizó el estado a 06. Calidad Finalizado
22/04/26: Según CQ, actualizó el estado a 06. Calidad Finalizado
20/04/26: Según CQ, actualizó el estado a 06. Calidad Finalizado
15/04/26: Según CQ, actualizó el estado a 08. Producción Finalizada
27/03/26: Según CQ, actualizó el estado a 06. Calidad Finalizado
27/03/26: Según CQ, actualizó el estado a 06. Calidad Finalizado
25/03/26: Según CQ, actualizó el estado a 06. Calidad Finalizado
24/03/26: Según CQ, actualizó el estado a 08. Producción Finalizada
23/03/26: Según CQ, actualizó el estado a 06. Calidad Finalizado
19/03/26: Según CQ, actualizó el estado a 06. Calidad Finalizado
18/03/26: Según CQ, actualizó el estado a 06. Calidad Finalizado
17/03/26: Según CQ, actualizó el estado a 06. Calidad Finalizado
05/03/26: Según CQ, actualizó el estado a 06. Calidad Finalizado
02/03/26: Según CQ, actualizó el estado a 06. Calidad Finalizado
27/02/26: Según CQ, actualizó el estado a 06. Calidad Finalizado
25/02/26: Según CQ, actualizó el estado a 06. Calidad Finalizado
19/02/26: Según CQ, actualizó el estado a 06. Calidad Finalizado
12/01/26: Según CQ, actualizó el estado a 06. Calidad Finalizado
09/01/2026: Se cambia del trámite 2024-T0701 al trámite 2024-T0647
16/12/2024: Se está asignando la Fecha de Priorización de Comité (31/10/2024) como Fecha de Solicitud a TI. [Regularizado]
22/11/24: Según CQ, actualizó el estado a 08. Producción Finalizada
21/11/24: Según CQ, actualizó el estado a 08. Producción Finalizada
20/11/24: Según CQ, actualizó el estado a 03. En Desarrollo
19/11/24: Según CQ, actualizó el estado a 03. En Desarrollo
18/11/24: Según CQ, actualizó el estado a 03. En Desarrollo
12/11/24: Según CQ, actualizó el estado a 03. En Desarrollo
07/11/24: Según CQ, actualizó el estado a 03. En Desarrollo
06/11/24: Según CQ, actualizó el estado a 03. En Desarrollo
05/11/24: Según CQ, actualizó el estado a 03. En Desarrollo
30/10/2024 Se registró en el Backlog</t>
  </si>
  <si>
    <t xml:space="preserve">EN proceso desarrollo por parte del proveedor de Banck Trade. Usuario Juan Carlos Carrasco, confirmará estado, de acuerdo a ello se paralizará en el CQ </t>
  </si>
  <si>
    <t>18/03: Analista indicó lo siguiente: Pendiente de autorización del Usuario (Lucila Choy) para el pase a producción. Depende del mantenimiento host: 2023-M0386 que se encuentra en estado "Asignado".</t>
  </si>
  <si>
    <t>M0757</t>
  </si>
  <si>
    <t>2024-T0667</t>
  </si>
  <si>
    <t>Identificar a las PEP declarado por el cliente, para ello se requiere realizar cambios en el módulo PEP de la BDUC.</t>
  </si>
  <si>
    <t>Prevención</t>
  </si>
  <si>
    <t>MEMORANDO N° 00000074 - 2024-BN/1202</t>
  </si>
  <si>
    <t>Mejoras Tecnológicas</t>
  </si>
  <si>
    <t>04-2024-DSBE</t>
  </si>
  <si>
    <t>N° 7; 25</t>
  </si>
  <si>
    <t>7c; 25a</t>
  </si>
  <si>
    <t>Abr-2025; Dic-2025</t>
  </si>
  <si>
    <t>10/04/26: Según CQ, actualizó el estado a 06. Calidad Finalizado
05/03/26: Según CQ, actualizó el estado a 05. En Calidad
03/03/26: Según CQ, actualizó el estado a 04. Desarrollo Finalizado
19/02/26: Según CQ, actualizó el estado a 03. En Desarrollo
17/12/25: Según CQ, actualizó el estado a 05. En Calidad
15/12/25: Según CQ, actualizó el estado a 04. Desarrollo Finalizado
05/09/2025: Cartera reasignada a Juan Carlos Zavaleta
11/08/2025: Cartera reasignada a Percy Silva
05/08/2025: Se actualiza columna cartera por la denominación "Mejoras Tecnológicas"
29/04/2025 De acuerdo a cronograma remitido a TitoPareja, la fecha de pase a  producción es el 24/09/2025.
02/04/25: Según CQ, actualizó el estado a 03. En Desarrollo
10/02/25: Pospuesto en CQ. Se retoma en mar-25 y pasa a Calidad en May-25
10/02/25: Según CQ, actualizó el estado a 10. Paralizado
07/02/25 En reunion con CN-Diego Villaverte y Oplaft se actualiza la categoría del requerimiento a Recomendación.
20/01/2025 Cartera reasignada a Omar Sarmiento
22/11/24: Según CQ, actualizó el estado a 03. En Desarrollo
"17/09/2024:  Se registró en el Backlog de requerimientos.
16/09/24 Se informó al usuario que el requerimiento será tratado como un evolutivo, considerando cerrar primero los compromisos que se tienen para el presente año 2024."</t>
  </si>
  <si>
    <t>QC-230</t>
  </si>
  <si>
    <t>1. En Proceso
2. Implementada
3. En Proceso
4. En Proceso</t>
  </si>
  <si>
    <t>1. 2963
2. 3019
3. 3020
4. 3021</t>
  </si>
  <si>
    <t>01/04/25 Asignado a Indra, se activará en CQ.
Se actualiza a Pospuesto, se retoma en mar-25 y pasa a Calidad en May-25</t>
  </si>
  <si>
    <t>M0768</t>
  </si>
  <si>
    <t>2024-T0719</t>
  </si>
  <si>
    <t>MEMORANDO N° 00000225 - 2024-BN/3241</t>
  </si>
  <si>
    <t>AUDITORIA INTERNA / AUDITORÍA EXTERNA</t>
  </si>
  <si>
    <t>P-011-2024-BN/1400
Memorándum de Recomendaciones sobre Aspectos de Control Interno, Contable y Otros al 31 de diciembre de 2024</t>
  </si>
  <si>
    <t>Evaluación de los Saldos y Movimientos de las Operaciones en Trámite, así como su antiguedad
Memorándum de Recomendaciones sobre Aspectos de Control Interno, Contable y Otros al 31 de diciembre de 2024</t>
  </si>
  <si>
    <t>N° 4
I.7</t>
  </si>
  <si>
    <t>4.2
I.7.i - I.7.ii</t>
  </si>
  <si>
    <t>1. 30/06/2026
2. 31/10/2025
3. 31/10/2025</t>
  </si>
  <si>
    <t>25/03/26: Según CQ, actualizó el estado a 08. Producción Finalizada
17/03/26: Según CQ, actualizó el estado a 07. En Despliegue
04/03/26: Según CQ, actualizó el estado a 06. Calidad Finalizado
19/02/26: Según CQ, actualizó el estado a 05. En Calidad
11/02/26: Según CQ, actualizó el estado a 04. Desarrollo Finalizado
03/12/24: Según CQ, actualizó el estado a 03. En Desarrollo
02/12/2024:  Se registró en el Backlog de requerimientos, se creó trámite y se registró en la cartera.</t>
  </si>
  <si>
    <t>QC-249</t>
  </si>
  <si>
    <t>1. En Proceso
2. Implementada
3. En Evaluación</t>
  </si>
  <si>
    <t>1. 2772
2. 3145
3. 3146</t>
  </si>
  <si>
    <t>M0790</t>
  </si>
  <si>
    <t>2024-T0665</t>
  </si>
  <si>
    <t>04/02/2026: Cartera reasignada a Tomas Calvera
05/09/2025: Cartera reasignada a Omar Sarmiento
11/08/2025: Cartera reasignada a Percy Silva
17/06/2025: Se cambia de gestor de TI de Omar S. a Milagros H.
27/03/25: De acuerdo a la revisión del status del mantenimiento en el CQ se actualiza su Fecha Fin Compromiso a abril.
18/02/25: Según CQ, actualizó el estado a 07. En Despliegue
20/01/2025 Cartera reasignada a Omar Sarmiento
16/01/25: Según CQ, actualizó el estado a 08. Producción Finalizada
27/12/24: Según CQ, actualizó el estado a 03. En Desarrollo
27/12/2024: Se registró en el Backlog como trámite Rugularizado</t>
  </si>
  <si>
    <t>17/03/26: Este tiene un microservicio en la plataforma de Kubernetes, y se va a activar.</t>
  </si>
  <si>
    <t>M0801</t>
  </si>
  <si>
    <t>2024-T0770</t>
  </si>
  <si>
    <t>MEMORANDO N° 00000448 - 2024-BN/3251</t>
  </si>
  <si>
    <t>Resolución S.B.S. N° 504 - 2021</t>
  </si>
  <si>
    <t>30/01/26: Según CQ, actualizó el estado a 08. Producción Finalizada
30/12/2025: Cartera reasignada a Omar Sarmiento
30/10/25: Según CQ, actualizó el estado a 06. Calidad Finalizado
07/08/25: Según CQ, actualizó el estado a 05. En Calidad
04/08/25: Según CQ, actualizó el estado a 04. Desarrollo Finalizado
02/04/25: Según CQ, actualizó el estado a 03. En Desarrollo
19/03/25: Según CQ, actualizó el estado a 10. Paralizado
13/01/25: Maribel M.  indicó que envió el 09/01/25 a Jaime S. el  PCR para la revisión del requerimiento, estan a la espera de la respuesta
02/01/25: Según CQ, actualizó el estado a 03. En Desarrollo
30/12/2024:  Se registró en el Backlog de requerimientos, se creó trámite y se registró en la demanda priorizada.</t>
  </si>
  <si>
    <t>QC-298</t>
  </si>
  <si>
    <t>1/04/2025 Fue derivado a Indra y se activará en CQ.</t>
  </si>
  <si>
    <t>M0808</t>
  </si>
  <si>
    <t>2025-T0043</t>
  </si>
  <si>
    <t>MEMORANDO N° 00000700 - 2024-BN/3111</t>
  </si>
  <si>
    <t>SAVE-Sistema de Atención en Ventanillas</t>
  </si>
  <si>
    <t>Resolución SBS N° 3274-2017 "Reglamento de Gestión de Conducta de Mercado del Sistema Financiero"</t>
  </si>
  <si>
    <t>30/10/25: Según CQ, actualizó el estado a 03. En Desarrollo
30/10/25: Según CQ, actualizó el estado a 07. En Despliegue
01/10/25: Según CQ, actualizó el estado a 03. En Desarrollo
25/09/25: Según CQ, actualizó el estado a 10. Paralizado
13/05/25: Se cambia Categoría de Normativo a Recomendación para darle seguimiento a Informe asignado
06/02/25: Según CQ, actualizó el estado a 03. En Desarrollo
17/01/2025: Se creó trámite y se registró en la demanda priorizada. Autorizados por la Jefatura de la Subgerencia de Construcción de Aplicaciones
13/01/2025: Se registró en el Backlog de requerimientos.</t>
  </si>
  <si>
    <t>2025-I</t>
  </si>
  <si>
    <t>QC-335</t>
  </si>
  <si>
    <t>2912</t>
  </si>
  <si>
    <t>Se asigna en CQ a Rossana Rojas - Indra. Pasa Calidad Abr-25.</t>
  </si>
  <si>
    <t>M0812</t>
  </si>
  <si>
    <t>2025-T0053</t>
  </si>
  <si>
    <t>Proyecto de Migración y Optimización de la Aplicación Distribuida (OPEN) Base de Datos Única de Clientes - BDUC (Módulo de Apertura Masiva) a la Actual Plataforma Tecnológica de Hardware y Software del BN - MIGRACIÓN DE DATACOM SERVER A TRAMAS</t>
  </si>
  <si>
    <t>HOJA DE ENVÍO N° 00000004 - 2025-BN/2561</t>
  </si>
  <si>
    <t>106-VIG/2019-DSB"E"</t>
  </si>
  <si>
    <t>Visita de inspección SBS 2019</t>
  </si>
  <si>
    <t>6.f.i</t>
  </si>
  <si>
    <t>10/04/26: Según CQ, actualizó el estado a 08. Producción Finalizada
06/04/26: Según CQ, actualizó el estado a 06. Calidad Finalizado
04/03/26: Según CQ, actualizó el estado a 05. En Calidad
03/03/26: Según CQ, actualizó el estado a 04. Desarrollo Finalizado
02/03/26: Según CQ, actualizó el estado a 03. En Desarrollo
25/02/26: Según CQ, actualizó el estado a 04. Desarrollo Finalizado
16/02/26: Según CQ, actualizó el estado a 03. En Desarrollo
04/02/2026: Cartera reasignada a Tomas Calvera
24/12/25: Según CQ, actualizó el estado a 05. En Calidad
05/09/2025: Cartera reasignada a Omar Sarmiento
11/08/2025: Cartera reasignada a Percy Silva
05/08/2025: Se actualiza columna cartera por la denominación "Mejoras Tecnológicas"
23/01/2025 Cartera reasignada a Milagros Huamaní
23/01/25: Según CQ, actualizó el estado a 03. En Desarrollo
21/01/2025: Se registró en el Backlog, se creó trámite y se priorizó.</t>
  </si>
  <si>
    <t>QC-367</t>
  </si>
  <si>
    <t>1404</t>
  </si>
  <si>
    <t>En atención de Indra, su atención se prolonga par el sgte año 2026.</t>
  </si>
  <si>
    <t>M0814</t>
  </si>
  <si>
    <t>2025-T0065</t>
  </si>
  <si>
    <t>MEMORANDO N° 00000020 - 2025-BN/3243</t>
  </si>
  <si>
    <t>09/03/26: Según CQ, actualizó el estado a 08. Producción Finalizada
23/02/26: Según CQ, actualizó el estado a 06. Calidad Finalizado
16/02/26: Según CQ, actualizó el estado a 05. En Calidad
03/02/26: Según CQ, actualizó el estado a 04. Desarrollo Finalizado
28/01/26: Según CQ, actualizó el estado a 03. En Desarrollo
12/01/26: Según CQ, actualizó el estado a 05. En Calidad
12/01/26: Según CQ, actualizó el estado a 04. Desarrollo Finalizado
08/01/26: Según CQ, actualizó el estado a 05. En Calidad
24/12/25: Según CQ, actualizó el estado a 04. Desarrollo Finalizado
04/02/25: Según CQ, actualizó el estado a 03. En Desarrollo
23/01/2025: Se creó trámite y se registró en la demanda priorizada</t>
  </si>
  <si>
    <t>QC-350</t>
  </si>
  <si>
    <t>Pasa calidad mar-25</t>
  </si>
  <si>
    <t>M0819</t>
  </si>
  <si>
    <t>2025-T0083</t>
  </si>
  <si>
    <t>2025-M0082</t>
  </si>
  <si>
    <t>Incorporación de Carga Automática EMAPICA</t>
  </si>
  <si>
    <t>MEMORANDO N° 00000153 - 2024-BN/3243</t>
  </si>
  <si>
    <t>PGCU-Pagos de Cupones</t>
  </si>
  <si>
    <t>26/01/26: Según CQ, actualizó el estado a 08. Producción Finalizada
12/01/26: Según CQ, actualizó el estado a 05. En Calidad
29/12/25: Según CQ, actualizó el estado a 04. Desarrollo Finalizado
24/03/25: Según CQ, actualizó el estado a 03. En Desarrollo
29/01/2025: Se creó trámite y se registró en la demanda priorizada</t>
  </si>
  <si>
    <t>QC-226</t>
  </si>
  <si>
    <t>M0831</t>
  </si>
  <si>
    <t>2025-T0111</t>
  </si>
  <si>
    <t>MEMORANDO N° 00000009 -2025-BN/3241</t>
  </si>
  <si>
    <t>SSOC-Sistema Soporte de Créditos</t>
  </si>
  <si>
    <t xml:space="preserve">Préstamos Multired </t>
  </si>
  <si>
    <t>04/05/26: Según CQ, actualizó el estado a 08. Producción Finalizada
17/03/26: Según CQ, actualizó el estado a 07. En Despliegue
16/03/26: Según CQ, actualizó el estado a 06. Calidad Finalizado
24/12/25: Según CQ, actualizó el estado a 05. En Calidad
04/12/25: Según CQ, actualizó el estado a 04. Desarrollo Finalizado
24/07/25: Según CQ, actualizó el estado a 03. En Desarrollo
10/02/25: Pospuesto en CQ. Se derivará a Olssa-Pedro, se inicia atención a partir de abr-25, se estima pase a calidad jun-25. Se generó mantenimiento, se asignó a Pedro y actualizó a POSPUESTO.
10/02/25: Según CQ, actualizó el estado a 10. Paralizado
04/02/2025: Se registró en el Backlog, se creó trámite y se priorizó.</t>
  </si>
  <si>
    <t>01/04/25 Se iniciará en mayo25 con Olssa.
Se derivará a Olssa-Pedro, se inicia atención a partir de abr-25, se estima pase a calidad jun-25. Se generará mantenimiento, se asignará a Pedro y actualiza a POSPUESTO.</t>
  </si>
  <si>
    <t>17/03/26: Se expuso antes de que se pusiera certificado. Entonces debería estar ordenado.</t>
  </si>
  <si>
    <t>M0832</t>
  </si>
  <si>
    <t>2025-T0112</t>
  </si>
  <si>
    <t>MEMORANDO N° 00000097 -2025-BN/3191</t>
  </si>
  <si>
    <t>SIDG-Sistema de Datos Generales Clientes</t>
  </si>
  <si>
    <t>15/04/26: Según CQ, actualizó el estado a 08. Producción Finalizada
06/04/26: Según CQ, actualizó el estado a 06. Calidad Finalizado
16/03/26: Según CQ, actualizó el estado a 05. En Calidad
04/03/26: Según CQ, actualizó el estado a 04. Desarrollo Finalizado
02/04/25: Según CQ, actualizó el estado a 03. En Desarrollo
04/02/2025: Se registró en el Backlog, se creó trámite y se priorizó.</t>
  </si>
  <si>
    <t>QC-353</t>
  </si>
  <si>
    <t>01/04/25 Se remitirá a Indra.
Se genera mantenimiento y se asignará a Indra-Johnny Roca. Se planificar el inicio en mar-25, pase a calidad jun-25</t>
  </si>
  <si>
    <t>M0834</t>
  </si>
  <si>
    <t>2023-T0474</t>
  </si>
  <si>
    <t>Incrementar los beneficios de la empresa a corto y mediano plazo, por medio de la optimización de las funcionalidades: Disponibilidad del servidor, Seguridad, etc</t>
  </si>
  <si>
    <t>106-VIG/2019-DSB"E</t>
  </si>
  <si>
    <t>11/02/26: Según CQ, actualizó el estado a 07. En Despliegue
12/01/26: Según CQ, actualizó el estado a 10. Paralizado
05/08/2025: Se actualiza columna cartera por la denominación "Mejoras Tecnológicas"
05/02/2025: De acuerdo a lo solicitado por la OPP y Jefatura de Construcción s ehabilita el mantenimiento. Ademas se actualiza el tipo de EVOLUTIVO  a RECOMENDACIÓN.
24/06/2024: Se cambió 'Recurso-Asignado' de ' ' a FS-Indra
10/06/2024: En cumplimiento del acuerdo 4.6 del acta Comité de demanda del 03.05.24 y lo remitido en memo N° 087; Se descarta el requerimiento.
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13/12/2023: COMITÉ DEMANDA REGULARIZACIÓN: Se regulariza su registro según lo aprobado en comité
06/10/2023: Se registra el requerimiento según a solicitud del equipo de Construcción en el correo de 06.10.2023</t>
  </si>
  <si>
    <t>17/03/26: Pasó a transitorio en febrero y se llevará a cabo una reunión el 19/03/26.</t>
  </si>
  <si>
    <t>M0836</t>
  </si>
  <si>
    <t>2023-T0418</t>
  </si>
  <si>
    <t>2023-M0369</t>
  </si>
  <si>
    <t>Generación de Expedientes según Tipo de Régimen – Fase 1</t>
  </si>
  <si>
    <t>Se requiere la generación de expedientes virtuales por tipo de régimen: General, Simplificado y reforzado.</t>
  </si>
  <si>
    <t>MEMORANDO N° 00000054 - 2024-BN/1202</t>
  </si>
  <si>
    <t>26/01/26: Según CQ, actualizó el estado a 08. Producción Finalizada
05/09/2025: Cartera reasignada a Juan Carlos Zavaleta
11/08/2025: Cartera reasignada a Percy Silva
05/08/2025: Se actualiza columna cartera por la denominación "Mejoras Tecnológicas"
03/07/25: Según CQ, actualizó el estado a 06. Calidad Finalizado
07/05/25: Según CQ, actualizó el estado a 05. En Calidad
22/04/25: Según CQ, actualizó el estado a 04. Desarrollo Finalizado
21/04/25: Según CQ, actualizó el estado a 03. En Desarrollo
27/02/25: Según CQ, actualizó el estado a 05. En Calidad
20/02/25: Según CQ, actualizó el estado a 04. Desarrollo Finalizado
06/02/25: Se resgistró en el Backlog y se priorizó.
04/02/25 Se regulariza su registro.</t>
  </si>
  <si>
    <t>Canvia termino el desarrollo, pasa a Calidad Feb-25</t>
  </si>
  <si>
    <t>M0839</t>
  </si>
  <si>
    <t>2025-T0132</t>
  </si>
  <si>
    <t>Resolución S.B.S. N°504-2021</t>
  </si>
  <si>
    <t>26/01/26: Según CQ, actualizó el estado a 06. Calidad Finalizado
16/01/26: Según CQ, actualizó el estado a 05. En Calidad
30/12/2025: Cartera reasignada a Omar Sarmiento
04/04/25: Según CQ, actualizó el estado a 03. En Desarrollo
19/03/25: Según CQ, actualizó el estado a 10. Paralizado
10/02/25: Según CQ, actualizó el estado a 03. En Desarrollo
07/02/2025: Se creó trámite y se registró en la Demanda Priorizada.</t>
  </si>
  <si>
    <t>QC-297</t>
  </si>
  <si>
    <t>01/04/25 Se activará en CQ y derivará a Indra.
Se debe posponer en CQ. Se coordinará con el usuario para planificar su atención.</t>
  </si>
  <si>
    <t>19/03: Analista indicó lo siguiente: No pasará a producción se coordinara con Construcción</t>
  </si>
  <si>
    <t>Despriorización de usuario</t>
  </si>
  <si>
    <t>M0867</t>
  </si>
  <si>
    <t>2025-T0106</t>
  </si>
  <si>
    <t>Para casos presentados en clientes con tarjetas de débito bloqueadas posterior al uso de ATM y sin comunicación precisa y oportuna del bloqueo.</t>
  </si>
  <si>
    <t>30/12/2025: Cartera reasignada a Omar Sarmiento
24/12/25: Según CQ, actualizó el estado a 10. Paralizado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20/02/25: Según CQ, actualizó el estado a 03. En Desarrollo
17/02/2025: Se registró en el Backlog como trámite Rugularizado</t>
  </si>
  <si>
    <t>QC-283</t>
  </si>
  <si>
    <t>Asignada</t>
  </si>
  <si>
    <t>M0874</t>
  </si>
  <si>
    <t>2025-T0247</t>
  </si>
  <si>
    <t>Sistema de Pagos</t>
  </si>
  <si>
    <t>MEMORANDO N° 00000031 -2025-BN/3116</t>
  </si>
  <si>
    <t>15/09/25: Según CQ, actualizó el estado a 09. Descartado
03/04/25: Según CQ, actualizó el estado a 03. En Desarrollo
13/03/2025: Se creó trámite y se registró en la Demanda Priorizada.</t>
  </si>
  <si>
    <t>QC-384</t>
  </si>
  <si>
    <t>1/04/2025 Fue derivado a Olssa. Se generará mantenimiento y se asignará a Norma.</t>
  </si>
  <si>
    <t>REACTIVADO CONSTRUCCIÓN 26</t>
  </si>
  <si>
    <t>M0886</t>
  </si>
  <si>
    <t>2025-T0206</t>
  </si>
  <si>
    <t>MEMORANDO N° 00000010 - 2025-BN/3116</t>
  </si>
  <si>
    <t xml:space="preserve">Transferencias de recursos </t>
  </si>
  <si>
    <t>Maribel Marlene Medina Molina/Pedro Jose Encalada Huertas</t>
  </si>
  <si>
    <t>06/04/26: Según CQ, actualizó el estado a 03. En Desarrollo
25/02/26: Según CQ, actualizó el estado a 05. En Calidad
12/02/26: Según CQ, actualizó el estado a 04. Desarrollo Finalizado
27/10/25: Según CQ, actualizó el estado a 03. En Desarrollo
08/09/25: Según CQ, actualizó el estado a 05. En Calidad
03/09/25: Según CQ, actualizó el estado a 04. Desarrollo Finalizado
25/08/25: Según CQ, actualizó el estado a 03. En Desarrollo
19/06/25: Según CQ, actualizó el estado a 05. En Calidad
20/05/25: Según CQ, actualizó el estado a 04. Desarrollo Finalizado
27/03/25: Según CQ, actualizó el estado a 03. En Desarrollo
24/03/25: Se regularizó registro en Backlog.</t>
  </si>
  <si>
    <t>QC-358</t>
  </si>
  <si>
    <t>M0891</t>
  </si>
  <si>
    <t>2025-T0241</t>
  </si>
  <si>
    <t>10/03/26: Según CQ, actualizó el estado a 08. Producción Finalizada
04/02/2026: Cartera reasignada a Tomas Calvera
02/02/26: Según CQ, actualizó el estado a 07. En Despliegue
28/01/26: Según CQ, actualizó el estado a 05. En Calidad
26/01/26: Según CQ, actualizó el estado a 03. En Desarrollo
09/09/25: Según CQ, actualizó el estado a 05. En Calidad
05/09/2025: Cartera reasignada a Omar Sarmiento
25/08/25: Según CQ, actualizó el estado a 04. Desarrollo Finalizado
11/08/2025: Cartera reasignada a Percy Silva
05/08/25: Según CQ, actualizó el estado a 03. En Desarrollo
24/03/25: Se regularizó registro en Backlog.</t>
  </si>
  <si>
    <t>1/04/2025 Fue derivado a Indra. No requiere mantenimiento.</t>
  </si>
  <si>
    <t>M0892</t>
  </si>
  <si>
    <t>2025-T0199</t>
  </si>
  <si>
    <t>M0895</t>
  </si>
  <si>
    <t>2025-T0173</t>
  </si>
  <si>
    <t>2025-M0148</t>
  </si>
  <si>
    <t>INTERFAZ SISTEMA CONTABILIDAD BASE DE DATOS (COBD) Y BANK TRADE- BNKT</t>
  </si>
  <si>
    <t xml:space="preserve">Crédito Documentario </t>
  </si>
  <si>
    <t>14/01/26: Según CQ, actualizó el estado a 08. Producción Finalizada
24/07/25: Según CQ, actualizó el estado a 07. En Despliegue
27/03/25: Según CQ, actualizó el estado a 03. En Desarrollo
24/03/25: Se regularizó registro en Backlog.</t>
  </si>
  <si>
    <t/>
  </si>
  <si>
    <t>M0896</t>
  </si>
  <si>
    <t>2025-T0193</t>
  </si>
  <si>
    <t>2025-M0171</t>
  </si>
  <si>
    <t>Actualización de Tablas de Parámetros de Prestamos Multired y de Tarjeta de Crédito</t>
  </si>
  <si>
    <t>Préstamo Multired</t>
  </si>
  <si>
    <t>PRAH - Prestamos Multired</t>
  </si>
  <si>
    <t>26/01/26: Según CQ, actualizó el estado a 08. Producción Finalizada
21/01/26: Según CQ, actualizó el estado a 07. En Despliegue
29/09/25: Según CQ, actualizó el estado a 06. Calidad Finalizado
18/08/25: Según CQ, actualizó el estado a 05. En Calidad
25/07/25: Según CQ, actualizó el estado a 04. Desarrollo Finalizado
27/03/25: Según CQ, actualizó el estado a 03. En Desarrollo
24/03/25: Se regularizó registro en Backlog.</t>
  </si>
  <si>
    <t>M0901</t>
  </si>
  <si>
    <t>2025-T0238</t>
  </si>
  <si>
    <t>MEMORANDO N° 00000037 -2024-BN/3243</t>
  </si>
  <si>
    <t xml:space="preserve">24/03/2026 Devuelto de Certificación por detectar incidencias en el escaneo de Seguridad.
12/01/26: Según CQ, actualizó el estado a 10. Paralizado
02/04/25: Según CQ, actualizó el estado a 03. En Desarrollo
10/03/25: Se creó trámite.
29/08/2024: Por evaluar jorge rueda y valery 
27/06/24 Se revisará en un prox. comité cuando el recurso se libere.
22/05/24 No se cuenta con recursos para atender temas de Págalo.
24/04/2024: Se registró en la demanda Integral </t>
  </si>
  <si>
    <t>01/04/25 se derivará a Olssa, y se asignará a JRueda.</t>
  </si>
  <si>
    <t>M0915</t>
  </si>
  <si>
    <t>2025-T0162</t>
  </si>
  <si>
    <t>Riesgos Crediticios</t>
  </si>
  <si>
    <t>MEMORANDO N° 000000004- 2025-BN-1520</t>
  </si>
  <si>
    <t>Resolución SBS N° 4345-2023</t>
  </si>
  <si>
    <t>19/01/2025: Cartera reasignada a Maria Barboza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05/09/2025: Cartera reasignada a Milagros Huamani
11/08/2025: Cartera reasignada a Percy Silva
21/04/25: Según CQ, actualizó el estado a 03. En Desarrollo
20/02/2025: Se registró en el Backlog, se creó trámite y se priorizó.</t>
  </si>
  <si>
    <t>QC-347</t>
  </si>
  <si>
    <t>Repetido</t>
  </si>
  <si>
    <t>Depende de las nuevas normas que entran en vigencia en el año 2027 x la SBS</t>
  </si>
  <si>
    <t>M0922</t>
  </si>
  <si>
    <t>2025-T0205</t>
  </si>
  <si>
    <t>MEMORANDO N° 00000004 - 2025-BN/2320</t>
  </si>
  <si>
    <t>Big Data</t>
  </si>
  <si>
    <t>30/01/26: Según CQ, actualizó el estado a 08. Producción Finalizada
21/11/25: Según CQ, actualizó el estado a 06. Calidad Finalizado
30/10/25: Según CQ, actualizó el estado a 05. En Calidad
22/10/25: Según CQ, actualizó el estado a 04. Desarrollo Finalizado
19/09/25: Según CQ, actualizó el estado a 03. En Desarrollo
18/08/25: Según CQ, actualizó el estado a 05. En Calidad
12/08/25: Según CQ, actualizó el estado a 04. Desarrollo Finalizado
17/06/2025: Se cambia de gestor de TI de Omar S. a Juan Carlos Z.
01/04/25: Según CQ, actualizó el estado a 03. En Desarrollo
03/03/2025: Se registró en el Backlog y se creó trámite.</t>
  </si>
  <si>
    <t>QC-403</t>
  </si>
  <si>
    <t>M0923</t>
  </si>
  <si>
    <t>2025-T0210</t>
  </si>
  <si>
    <t>18/05/26: Según CQ, actualizó el estado a 08. Producción Finalizada
30/01/26: Según CQ, actualizó el estado a 07. En Despliegue
21/11/25: Según CQ, actualizó el estado a 06. Calidad Finalizado
24/10/25: Según CQ, actualizó el estado a 05. En Calidad
16/10/25: Según CQ, actualizó el estado a 04. Desarrollo Finalizado
19/09/25: Según CQ, actualizó el estado a 03. En Desarrollo
18/08/25: Según CQ, actualizó el estado a 05. En Calidad
12/08/25: Según CQ, actualizó el estado a 04. Desarrollo Finalizado
17/06/2025: Se cambia de gestor de TI de Omar S. a Juan Carlos Z.
28/05/25: Según CQ, actualizó el estado a 03. En Desarrollo
05/03/2025: Se registró en el Backlog y se creó trámite.</t>
  </si>
  <si>
    <t>17/03/26: Aún no se ejecuta. Hasta el viernes está planificado ejecturalo.</t>
  </si>
  <si>
    <t>M0924</t>
  </si>
  <si>
    <t>2025-T0211</t>
  </si>
  <si>
    <t>30/01/26: Según CQ, actualizó el estado a 08. Producción Finalizada
17/12/25: Según CQ, actualizó el estado a 06. Calidad Finalizado
30/10/25: Según CQ, actualizó el estado a 05. En Calidad
27/10/25: Según CQ, actualizó el estado a 04. Desarrollo Finalizado
19/09/25: Según CQ, actualizó el estado a 03. En Desarrollo
18/08/25: Según CQ, actualizó el estado a 05. En Calidad
12/08/25: Según CQ, actualizó el estado a 04. Desarrollo Finalizado
17/06/2025: Se cambia de gestor de TI de Omar S. a Juan Carlos Z.
28/05/25: Según CQ, actualizó el estado a 03. En Desarrollo
05/03/2025: Se registró en el Backlog y se creó trámite.</t>
  </si>
  <si>
    <t>M0925</t>
  </si>
  <si>
    <t>2025-T0212</t>
  </si>
  <si>
    <t>23/03/26: Según CQ, actualizó el estado a 08. Producción Finalizada
19/03/26: Según CQ, actualizó el estado a 07. En Despliegue
12/02/26: Según CQ, actualizó el estado a 06. Calidad Finalizado
30/01/26: Según CQ, actualizó el estado a 05. En Calidad
14/01/26: Según CQ, actualizó el estado a 03. En Desarrollo
24/12/25: Según CQ, actualizó el estado a 05. En Calidad
15/12/25: Según CQ, actualizó el estado a 04. Desarrollo Finalizado
17/06/2025: Se cambia de gestor de TI de Omar S. a Juan Carlos Z.
28/05/25: Según CQ, actualizó el estado a 03. En Desarrollo
05/03/2025: Se registró en el Backlog y se creó trámite.</t>
  </si>
  <si>
    <t>M0926</t>
  </si>
  <si>
    <t>2025-T0213</t>
  </si>
  <si>
    <t>M0927</t>
  </si>
  <si>
    <t>2025-T0214</t>
  </si>
  <si>
    <t>23/03/26: Según CQ, actualizó el estado a 08. Producción Finalizada
19/03/26: Según CQ, actualizó el estado a 07. En Despliegue
12/02/26: Según CQ, actualizó el estado a 06. Calidad Finalizado
28/01/26: Según CQ, actualizó el estado a 05. En Calidad
14/01/26: Según CQ, actualizó el estado a 03. En Desarrollo
24/12/25: Según CQ, actualizó el estado a 05. En Calidad
15/12/25: Según CQ, actualizó el estado a 04. Desarrollo Finalizado
17/06/2025: Se cambia de gestor de TI de Omar S. a Juan Carlos Z.
01/04/25: Según CQ, actualizó el estado a 03. En Desarrollo
05/03/2025: Se registró en el Backlog y se creó trámite.</t>
  </si>
  <si>
    <t>M0944</t>
  </si>
  <si>
    <t>2025-T0332</t>
  </si>
  <si>
    <t>Este desarrollo tiene como objetivo minimizar el riesgo de errores manuales en los procesos asociados a la línea de crédito para Instituciones Financieras Intermediarias (IFIs).</t>
  </si>
  <si>
    <t>Inclusión Financiera</t>
  </si>
  <si>
    <t>Banca Privada</t>
  </si>
  <si>
    <t>MEMORANDO N° 00000005 - 2025-BN/8412</t>
  </si>
  <si>
    <t>CRLA-Créditos – Líneas Aprobadas</t>
  </si>
  <si>
    <t>Préstamos Institucionales</t>
  </si>
  <si>
    <t>23/03/26: Pospuesto por Construcción  por no contar con Recurso TI disponible.
15/12/25: Según CQ, actualizó el estado a 10. Paralizado
15/09/25: Según CQ, actualizó el estado a 03. En Desarrollo
04/04/25: Se creó trámite en CQ y se priorizó.</t>
  </si>
  <si>
    <t>2025-II</t>
  </si>
  <si>
    <t>QC-326</t>
  </si>
  <si>
    <t>M0949</t>
  </si>
  <si>
    <t>2025-T0339</t>
  </si>
  <si>
    <t>MEJORAS EN EL CANAL DE PÁGALO Y INCORPORACIÓN DE OSINERGMIN Y CONAFOVICER - Incorporación de nuevas entidades públicas en el canal Págalo.pe - DISEÑO</t>
  </si>
  <si>
    <t>Actualmente existen trámites que solo se recaudan a través de las agencias del BN, lo que obliga a los ciudadanos acercarse a las oficinas de manera presencial a realizar sus pagos, generando pérdida de tiempo y dinero al trasladarse.</t>
  </si>
  <si>
    <t>MEMORANDO N° 00000154 - 2025-BN/3252</t>
  </si>
  <si>
    <t>Angela Rocio Risco Vega/Adolfo Martin Escobar Bustamante/Jorge Lucio Ruedas Fernandez</t>
  </si>
  <si>
    <t>26/02/2026 El req. fue atendido por la FS llegando hasta el diseño. Se ha creado el mantenimiento 2026- M0008 en la cartera de operaciones donde se culminará la tención.
30/12/2025: Cartera reasignada a Omar Sarmiento
21/04/25: Según CQ, actualizó el estado a 03. En Desarrollo
07/04/25: Se creó trámite en CQ
25/03/25: Se registró en el Backlog.</t>
  </si>
  <si>
    <t>QC-434</t>
  </si>
  <si>
    <t>Finalizada,Finalizada,Finalizada</t>
  </si>
  <si>
    <t>M0969</t>
  </si>
  <si>
    <t>2025-T0372</t>
  </si>
  <si>
    <t>MEMORANDO N° 00000369 - 2024-BN/3111</t>
  </si>
  <si>
    <t>23/03/26: Según CQ, actualizó el estado a 03. En Desarrollo
19/03/26: Según CQ, actualizó el estado a 05. En Calidad
15/01/26: Según CQ, actualizó el estado a 07. En Despliegue
21/08/25: Según CQ, actualizó el estado a 06. Calidad Finalizado
18/08/25: Según CQ, actualizó el estado a 05. En Calidad
11/08/25: Según CQ, actualizó el estado a 04. Desarrollo Finalizado
23/04/25: Según CQ, actualizó el estado a 03. En Desarrollo
16/04/2025: Se registró en el Backlog y se generó trámite</t>
  </si>
  <si>
    <t>M0971</t>
  </si>
  <si>
    <t>2025-T0314</t>
  </si>
  <si>
    <t>Proceso para la eliminación automática de firmas Saraweb Branch – MEF
(Batch/Mainframe)</t>
  </si>
  <si>
    <t>MEMORANDO N° 00000571 -2024-BN/3111</t>
  </si>
  <si>
    <t>SIGN- Registro de Firmas</t>
  </si>
  <si>
    <t>Saraweb Sign</t>
  </si>
  <si>
    <t>02/02/26: Según CQ, actualizó el estado a 03. En Desarrollo
30/01/26: Según CQ, actualizó el estado a 07. En Despliegue
28/01/26: Según CQ, actualizó el estado a 06. Calidad Finalizado
05/01/26: Según CQ, actualizó el estado a 05. En Calidad
24/12/25: Según CQ, actualizó el estado a 04. Desarrollo Finalizado
01/10/25: Según CQ, actualizó el estado a 03. En Desarrollo
01/04/2025: Se registró en el Backlog y se generó trámite</t>
  </si>
  <si>
    <t>QC-250</t>
  </si>
  <si>
    <t>M0972</t>
  </si>
  <si>
    <t>2025-T0364</t>
  </si>
  <si>
    <t>2025-M0298</t>
  </si>
  <si>
    <t>Desactivación del servicio BIM relacionado a la Cuenta DNI</t>
  </si>
  <si>
    <t>La desactivación del servicio BIM relacionado a la Cuenta DNI, por estar en trámite la resolución de contrato con el proveedor del servicio.</t>
  </si>
  <si>
    <t>MEMORANDO N° 00000042 - 2025-BN/7901</t>
  </si>
  <si>
    <t>PCDI-Proyecto Cuenta DNI</t>
  </si>
  <si>
    <t>14/01/26: Según CQ, actualizó el estado a 08. Producción Finalizada
30/12/2025: Cartera reasignada a Omar Sarmiento
23/04/25: Según CQ, actualizó el estado a 07. En Despliegue
10/04/2025: Se registró en el Backlog y se generó trámite</t>
  </si>
  <si>
    <t>QC-95</t>
  </si>
  <si>
    <t>M1018</t>
  </si>
  <si>
    <t>2025-T0306</t>
  </si>
  <si>
    <t>11/03/26: Según CQ, actualizó el estado a 08. Producción Finalizada
03/03/26: Según CQ, actualizó el estado a 07. En Despliegue
08/09/25: Según CQ, actualizó el estado a 07. En Despliegue
07/05/25: Según CQ, actualizó el estado a 03. En Desarrollo
29/04/2025: Se regularizó requerimiento en el Backlog.</t>
  </si>
  <si>
    <t>M1020</t>
  </si>
  <si>
    <t>2025-T0290</t>
  </si>
  <si>
    <t>Caja y Valores en Custodia</t>
  </si>
  <si>
    <t>15/04/26: Según CQ, actualizó el estado a 07. En Despliegue
07/05/25: Según CQ, actualizó el estado a 03. En Desarrollo
29/04/2025: Se regularizó requerimiento en el Backlog.</t>
  </si>
  <si>
    <t>M1021</t>
  </si>
  <si>
    <t>2025-T0345</t>
  </si>
  <si>
    <t>2025-M0293</t>
  </si>
  <si>
    <t>MC: BN y  SEDAPAL, adecuar los digitos de referencia de 7 Digitos, para facilitar los datos en el archivo conciliatorio y continuar con la cobranza</t>
  </si>
  <si>
    <t>14/01/26: Según CQ, actualizó el estado a 08. Producción Finalizada
07/05/25: Según CQ, actualizó el estado a 07. En Despliegue
29/04/2025: Se regularizó requerimiento en el Backlog.</t>
  </si>
  <si>
    <t>M1023</t>
  </si>
  <si>
    <t>2025-T0367</t>
  </si>
  <si>
    <t>Aplicación y Control de Planillas</t>
  </si>
  <si>
    <t>SAHE-Sistema de Administracion Horas Extras</t>
  </si>
  <si>
    <t>05/05/26: Según CQ, actualizó el estado a 03. En Desarrollo
27/02/26: Según CQ, actualizó el estado a 10. Paralizado
15/01/26: Según CQ, actualizó el estado a 03. En Desarrollo
26/11/25: Según CQ, actualizó el estado a 05. En Calidad
24/11/25: Según CQ, actualizó el estado a 04. Desarrollo Finalizado
15/07/25: Según CQ, actualizó el estado a 03. En Desarrollo
17/06/2025: Se cambia de gestor de TI de Omar S. a Juan Carlos Z.
29/04/2025: Se regularizó requerimiento en el Backlog.</t>
  </si>
  <si>
    <t>M1024</t>
  </si>
  <si>
    <t>2025-T0323</t>
  </si>
  <si>
    <t>07/05/25: Según CQ, actualizó el estado a 03. En Desarrollo
29/04/2025: Se regularizó requerimiento en el Backlog.</t>
  </si>
  <si>
    <t>QC-317</t>
  </si>
  <si>
    <t>M1025</t>
  </si>
  <si>
    <t>2025-T0365</t>
  </si>
  <si>
    <t>04/02/2026: Cartera reasignada a Tomas Calvera
05/09/2025: Cartera reasignada a Omar Sarmiento
11/08/2025: Cartera reasignada a Percy Silva
07/05/25: Según CQ, actualizó el estado a 07. En Despliegue
29/04/2025: Se regularizó requerimiento en el Backlog.</t>
  </si>
  <si>
    <t>17/03/26: Se expuso, pero aún no se pasa a producción. Se está coordinando con Luis Almeyrda (Analista calidad), para q diga en que momento pasarlo a ordenado. (Seguro en el comité de 18/03/2026)</t>
  </si>
  <si>
    <t>M1030</t>
  </si>
  <si>
    <t>2025-T0388</t>
  </si>
  <si>
    <t>Cultura Organizacional</t>
  </si>
  <si>
    <t xml:space="preserve">Oficinas Compartidas </t>
  </si>
  <si>
    <t>03/10/25: Según CQ, actualizó el estado a 03. En Desarrollo
25/08/25: Según CQ, actualizó el estado a 05. En Calidad
14/08/25: Según CQ, actualizó el estado a 03. En Desarrollo
17/06/2025: Se cambia de gestor de TI de Omar S. a Juan Carlos Z.
29/04/2025: Se regularizó requerimiento en el Backlog.</t>
  </si>
  <si>
    <t>M1031</t>
  </si>
  <si>
    <t>2025-T0302</t>
  </si>
  <si>
    <t>12/05/26: Según CQ, actualizó el estado a 05. En Calidad
04/05/26: Según CQ, actualizó el estado a 04. Desarrollo Finalizado
20/04/26: Según CQ, actualizó el estado a 03. En Desarrollo
04/02/2026: Cartera reasignada a Tomas Calvera
30/01/26: Según CQ, actualizó el estado a 05. En Calidad
12/01/26: Según CQ, actualizó el estado a 04. Desarrollo Finalizado
26/11/25: Según CQ, actualizó el estado a 03. En Desarrollo
24/11/25: Según CQ, actualizó el estado a 05. En Calidad
19/11/25: Según CQ, actualizó el estado a 04. Desarrollo Finalizado
05/09/2025: Cartera reasignada a Omar Sarmiento
11/08/2025: Cartera reasignada a Percy Silva
07/05/25: Según CQ, actualizó el estado a 03. En Desarrollo
29/04/2025: Se regularizó requerimiento en el Backlog.</t>
  </si>
  <si>
    <t>En_Certificación</t>
  </si>
  <si>
    <t>M1038</t>
  </si>
  <si>
    <t>2025-T0425</t>
  </si>
  <si>
    <t>MEMORANDO N° 00000188 - 2024-BN/3116</t>
  </si>
  <si>
    <t>Multired Virtual (Web)</t>
  </si>
  <si>
    <t>24/03/2026 Requerimiento no priorizado por el usuario.
05/12/25: Según CQ, actualizó el estado a 10. Paralizado
12/05/25: Según CQ, actualizó el estado a 03. En Desarrollo
08/05/25: Se registró en el Backlog y se generó trámite</t>
  </si>
  <si>
    <t>QC-333</t>
  </si>
  <si>
    <t>APP/WEB</t>
  </si>
  <si>
    <t>M1039</t>
  </si>
  <si>
    <t>2025-T0424</t>
  </si>
  <si>
    <t>M1043</t>
  </si>
  <si>
    <t>2025-T0444</t>
  </si>
  <si>
    <t>MEMORANDO N° 00000270 -2025-BN/3111</t>
  </si>
  <si>
    <t>02/06/25: Según CQ, actualizó el estado a 07. En Despliegue
20/05/25: Según CQ, actualizó el estado a 03. En Desarrollo
19/05/25: Se registró en el Backlog y se generó trámite</t>
  </si>
  <si>
    <t>QC-132</t>
  </si>
  <si>
    <t>M1049</t>
  </si>
  <si>
    <t>2025-T0458</t>
  </si>
  <si>
    <t>MEMORANDO N° 00000408 -2025-BN/3191</t>
  </si>
  <si>
    <t>Agente Multired</t>
  </si>
  <si>
    <t>19/05/26: Según CQ, actualizó el estado a 04. Desarrollo Finalizado
15/07/25: Según CQ, actualizó el estado a 03. En Desarrollo
09/07/25: Según CQ, actualizó el estado a 05. En Calidad
02/07/25: Según CQ, actualizó el estado a 04. Desarrollo Finalizado
20/06/25: Según CQ, actualizó el estado a 03. En Desarrollo
22/05/25: Se registró en el Backlog y se creó trámite.</t>
  </si>
  <si>
    <t>QC-439</t>
  </si>
  <si>
    <t>Aprobado</t>
  </si>
  <si>
    <t>M1052</t>
  </si>
  <si>
    <t>2025-T0473</t>
  </si>
  <si>
    <t>Mejora del proceso de actualización y sectorización que debe realizarse de manera diaria</t>
  </si>
  <si>
    <t>Estudios Económicos y Financieros</t>
  </si>
  <si>
    <t>Estadísticas y Estudios Económicos</t>
  </si>
  <si>
    <t>MEMORANDO N° 0000007 - 2025-BN3444</t>
  </si>
  <si>
    <t>FICM-Finanzas Cuentas Monetarias</t>
  </si>
  <si>
    <t>30/01/26: Según CQ, actualizó el estado a 08. Producción Finalizada
26/01/26: Según CQ, actualizó el estado a 07. En Despliegue
14/01/26: Según CQ, actualizó el estado a 06. Calidad Finalizado
05/12/25: Según CQ, actualizó el estado a 05. En Calidad
01/12/25: Según CQ, actualizó el estado a 04. Desarrollo Finalizado
03/10/25: Según CQ, actualizó el estado a 03. En Desarrollo
17/06/2025: Se cambia de gestor de TI de Omar S. a Juan Carlos Z.</t>
  </si>
  <si>
    <t>QC-100</t>
  </si>
  <si>
    <t>M1053</t>
  </si>
  <si>
    <t>2025-T0474</t>
  </si>
  <si>
    <t>MEMORANDO N° 00000086 -2025-BN/3116</t>
  </si>
  <si>
    <t>Rutinarios Saraweb</t>
  </si>
  <si>
    <t>Ventanilla - Saraweb</t>
  </si>
  <si>
    <t xml:space="preserve">05/06/25: Según CQ, actualizó el estado a 03. En Desarrollo
</t>
  </si>
  <si>
    <t>M1058</t>
  </si>
  <si>
    <t>2025-T0484</t>
  </si>
  <si>
    <t>MEMORANDO N° 00000030 - 2025-BN/1202</t>
  </si>
  <si>
    <t xml:space="preserve">07/11/25: Según CQ, actualizó el estado a 07. En Despliegue
09/10/25: Según CQ, actualizó el estado a 05. En Calidad
03/10/25: Según CQ, actualizó el estado a 04. Desarrollo Finalizado
05/09/2025: Cartera reasignada a Juan Carlos Zavaleta
11/08/2025: Cartera reasignada a Percy Silva
05/06/25: Según CQ, actualizó el estado a 03. En Desarrollo
28/25/25: Se registró en el Backlog y se creó trámite </t>
  </si>
  <si>
    <t>QC-136</t>
  </si>
  <si>
    <t>M1063</t>
  </si>
  <si>
    <t>2025-T0439</t>
  </si>
  <si>
    <t>MEMORANDO N° 00000464 - 2024-BN/3251</t>
  </si>
  <si>
    <t>26/02/2026 El final de desarrollo (julio) está condicionado a que la nueva FS inicie su atención en abril
30/12/2025: Cartera reasignada a Omar Sarmiento
09/06/25: Según CQ, actualizó el estado a 03. En Desarrollo
25/11/2024: Se registró en el Backlog</t>
  </si>
  <si>
    <t>M1082</t>
  </si>
  <si>
    <t>2025-T0433</t>
  </si>
  <si>
    <t>P-005-2019-BN/1400</t>
  </si>
  <si>
    <t>Evaluación Cuatrimestral de la Clasificación de la Cartera de Créditos al III Cuatrimestre 2018</t>
  </si>
  <si>
    <t>4.b</t>
  </si>
  <si>
    <t>09/06/25: Según CQ, actualizó el estado a 07. En Despliegue
30/05/25: Según CQ, actualizó el estado a 03. En Desarrollo
28/05/2025: Se regularizó requerimiento en el Backlog.</t>
  </si>
  <si>
    <t>226</t>
  </si>
  <si>
    <t>M1083</t>
  </si>
  <si>
    <t>2025-T0398</t>
  </si>
  <si>
    <t>2025-M0337</t>
  </si>
  <si>
    <t>ME: AUTOMATIZACION DE LOS PROCESOS DE ARCHIVOS DE DOCUMENTOS(SGAC)</t>
  </si>
  <si>
    <t>Archivo Central</t>
  </si>
  <si>
    <t>SGAC-Sistema de Gestión Archivo Central</t>
  </si>
  <si>
    <t>16/01/26: Según CQ, actualizó el estado a 08. Producción Finalizada
14/11/25: Según CQ, actualizó el estado a 07. En Despliegue
29/09/25: Según CQ, actualizó el estado a 06. Calidad Finalizado
05/09/2025: Cartera reasignada a Omar Sarmiento
04/08/25: Según CQ, actualizó el estado a 05. En Calidad
01/08/25: Según CQ, actualizó el estado a 04. Desarrollo Finalizado
24/07/25: Según CQ, actualizó el estado a 03. En Desarrollo
28/05/2025: Se regularizó requerimiento en el Backlog.</t>
  </si>
  <si>
    <t>M1088</t>
  </si>
  <si>
    <t>2025-T0476</t>
  </si>
  <si>
    <t xml:space="preserve">ME: Implementación de Servicio en Línea y sin Base de Datos - Osinergmin -Hub de integración
</t>
  </si>
  <si>
    <t>SHUB_Hub de Integración</t>
  </si>
  <si>
    <t>10/03/26: Según CQ, actualizó el estado a 08. Producción Finalizada
14/11/25: Según CQ, actualizó el estado a 07. En Despliegue
03/11/25: Según CQ, actualizó el estado a 06. Calidad Finalizado
18/08/25: Según CQ, actualizó el estado a 05. En Calidad
05/08/25: Según CQ, actualizó el estado a 04. Desarrollo Finalizado
30/05/25: Según CQ, actualizó el estado a 03. En Desarrollo
28/05/2025: Se regularizó requerimiento en el Backlog.</t>
  </si>
  <si>
    <t>M1097</t>
  </si>
  <si>
    <t>2025-T0505</t>
  </si>
  <si>
    <t>MEMORANDO N° 00000052 - 2024-BN/3252</t>
  </si>
  <si>
    <t>18/03/26: Según CQ, actualizó el estado a 06. Calidad Finalizado
12/01/26: Según CQ, actualizó el estado a 05. En Calidad
05/01/26: Según CQ, actualizó el estado a 04. Desarrollo Finalizado
30/12/2025: Cartera reasignada a Omar Sarmiento
01/12/25: Según CQ, actualizó el estado a 03. En Desarrollo
30/10/25: Según CQ, actualizó el estado a 06. Calidad Finalizado
20/08/25: Según CQ, actualizó el estado a 05. En Calidad
15/08/25: Según CQ, actualizó el estado a 04. Desarrollo Finalizado
27/06/25: Según CQ, actualizó el estado a 03. En Desarrollo
04/06/25: Se registró en el Backlog y se creó trámite.</t>
  </si>
  <si>
    <t>Relacionado al mantenimiento 2024-M0146</t>
  </si>
  <si>
    <t>M1098</t>
  </si>
  <si>
    <t>2025-T0506</t>
  </si>
  <si>
    <t>18/03/26: Según CQ, actualizó el estado a 06. Calidad Finalizado
12/01/26: Según CQ, actualizó el estado a 05. En Calidad
12/01/26: Según CQ, actualizó el estado a 04. Desarrollo Finalizado
08/01/26: Según CQ, actualizó el estado a 05. En Calidad
05/01/26: Según CQ, actualizó el estado a 04. Desarrollo Finalizado
30/12/2025: Cartera reasignada a Omar Sarmiento
01/12/25: Según CQ, actualizó el estado a 03. En Desarrollo
30/10/25: Según CQ, actualizó el estado a 06. Calidad Finalizado
20/08/25: Según CQ, actualizó el estado a 05. En Calidad
15/08/25: Según CQ, actualizó el estado a 04. Desarrollo Finalizado
27/06/25: Según CQ, actualizó el estado a 03. En Desarrollo
04/06/25: Se registró en el Backlog y se creó trámite.</t>
  </si>
  <si>
    <t>M1104</t>
  </si>
  <si>
    <t>2025-T0563</t>
  </si>
  <si>
    <t>Transferir de forma diaria los datos de las tablas BNDJF11, BNDJF12, BNDJ13 que corresponden a la base 060, al repositorio de BIGDATA para el acceso de los usuarios de la Sección Depósitos Judiciales y Administrativos</t>
  </si>
  <si>
    <t>Depósitos Judiciales y Administrativos</t>
  </si>
  <si>
    <t>MEMORANDO N° 00000049 - 2025-BN/3212</t>
  </si>
  <si>
    <t>DEJA-Depositos judiciales y administrativos</t>
  </si>
  <si>
    <t xml:space="preserve">29/04/26: Según CQ, actualizó el estado a 03. En Desarrollo
02/03/26: Según CQ, actualizó el estado a 10. Paralizado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06/11/25: Según CQ, actualizó el estado a 09. Descartado
18/06/25: Se registró en el Backlog. </t>
  </si>
  <si>
    <t>M1105</t>
  </si>
  <si>
    <t>2025-T0540</t>
  </si>
  <si>
    <t>2025-M0641</t>
  </si>
  <si>
    <t xml:space="preserve">Biometría Dactilar para la Transacción 0550  </t>
  </si>
  <si>
    <t>MEMORANDO N° 00000141 - 2025-BN/3243</t>
  </si>
  <si>
    <t>Saraweb</t>
  </si>
  <si>
    <t>14/01/26: Según CQ, actualizó el estado a 08. Producción Finalizada
12/01/26: Según CQ, actualizó el estado a 07. En Despliegue
12/01/26: Según CQ, actualizó el estado a 06. Calidad Finalizado
08/01/26: Según CQ, actualizó el estado a 07. En Despliegue
15/12/25: Según CQ, actualizó el estado a 06. Calidad Finalizado
02/12/25: Según CQ, actualizó el estado a 05. En Calidad
01/12/25: Según CQ, actualizó el estado a 03. En Desarrollo
27/11/25: Según CQ, actualizó el estado a 07. En Despliegue
21/11/25: Según CQ, actualizó el estado a 06. Calidad Finalizado
22/10/25: Según CQ, actualizó el estado a 05. En Calidad
20/10/25: Según CQ, actualizó el estado a 04. Desarrollo Finalizado
01/10/25: Según CQ, actualizó el estado a 03. En Desarrollo
18/06/25: Se registró en el Backlog y se generó trámite</t>
  </si>
  <si>
    <t>M1109</t>
  </si>
  <si>
    <t>2025-T0565</t>
  </si>
  <si>
    <t>Contar con los datos de familiares de primer grado de afinidad y segundo grado de consanguinidad, a fin de que sean utilizados en los procesos del Seguro de Vida Ley</t>
  </si>
  <si>
    <t>Asistencia y Bienestar</t>
  </si>
  <si>
    <t>MEMORANDO N° 00000630 -2025-BN/4113</t>
  </si>
  <si>
    <t>POEM_Portal del Empleado</t>
  </si>
  <si>
    <t>Decreto Legislativo N° 688 Ley de consolidación de Beneficios Sociales y sus normas modificatorias, complementarias y reglaentarias</t>
  </si>
  <si>
    <t xml:space="preserve">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24/07/25: Según CQ, actualizó el estado a 10. Paralizado
18/06/25: Se registró en el Backlog. </t>
  </si>
  <si>
    <t>M1111</t>
  </si>
  <si>
    <t>2025-T0502</t>
  </si>
  <si>
    <t>Generar un reporte  mensual por producto – Crédito reprogramado
Generar un proceso  para actualizar el campo P76_TREPROGRA</t>
  </si>
  <si>
    <t>MEMORANDO N° 00000145 - 2025-BN/3347</t>
  </si>
  <si>
    <t>P-009-2024-BN/1400</t>
  </si>
  <si>
    <t>Revisión del adecuado cumplimiento de las disposiciones regulatorias sobre los créditos reprogramados en el marco de oficios emitidos por la SBS</t>
  </si>
  <si>
    <t>N° 4</t>
  </si>
  <si>
    <t xml:space="preserve">23/03/26: Pospuesto por el usuario Omar Cribillero, por prioridad de otros mantenimiento en calidad, cabe indicar que el desarrollo esta culminado.
15/12/25: Según CQ, actualizó el estado a 10. Paralizado
15/09/25: Según CQ, actualizó el estado a 03. En Desarrollo
04/04/25: Se creó trámite en CQ y se priorizó.
15/12/25: Según CQ, actualizó el estado a 10. Paralizado
15/09/25: Según CQ, actualizó el estado a 03. En Desarrollo
04/04/25: Se creó trámite en CQ y se priorizó.
27/02/26: Según CQ, actualizó el estado a 10. Paralizado
12/09/25: Según CQ, actualizó el estado a 03. En Desarrollo
08/09/25: Según CQ, actualizó el estado a 05. En Calidad
04/09/25: Según CQ, actualizó el estado a 04. Desarrollo Finalizado
27/06/25: Según CQ, actualizó el estado a 03. En Desarrollo
24/06/25: Se registró en el Backlog. </t>
  </si>
  <si>
    <t>2740</t>
  </si>
  <si>
    <t>M1112</t>
  </si>
  <si>
    <t>2025-T0485</t>
  </si>
  <si>
    <t>04/02/2026: Cartera reasignada a Tomas Calvera
05/09/2025: Cartera reasignada a Omar Sarmiento
11/08/2025: Cartera reasignada a Percy Silva
27/06/25: Según CQ, actualizó el estado a 03. En Desarrollo
25/06/2025: Se regularizó requerimiento en el Backlog.</t>
  </si>
  <si>
    <t>M1114</t>
  </si>
  <si>
    <t>2025-T0510</t>
  </si>
  <si>
    <t>ME :INCLUSIÓN DE TASAS DE DNI ELECTRÓNICO DE RENIEC Y PASAPORTE BIOMÉTRICO DE MIGRACIONES</t>
  </si>
  <si>
    <t>26/02/2026 El final de desarrollo (julio) está condicionado a que la nueva FS inicie su atención en abril
30/12/2025: Cartera reasignada a Omar Sarmiento
27/06/25: Según CQ, actualizó el estado a 03. En Desarrollo
25/06/2025: Se regularizó requerimiento en el Backlog.</t>
  </si>
  <si>
    <t>M1115</t>
  </si>
  <si>
    <t>2025-T0511</t>
  </si>
  <si>
    <t>ACTUALIZACIÓN DE DEPENDENCIAS Y DISTRITOS JUDICIALES PARA EL PAGO DE TASAS DEL PODER JUDICIAL EN EL CANAL AG</t>
  </si>
  <si>
    <t>M1120</t>
  </si>
  <si>
    <t>2025-T0573</t>
  </si>
  <si>
    <t>2025-M0517</t>
  </si>
  <si>
    <t>MEJORA EN LOS PROCESOS EVALUACIÓN DEL SISTEMA SIEP - EVALUACIÓN DE COMPETENCIAS LABORALES</t>
  </si>
  <si>
    <t>La implementación de los nuevos lineamientos de la Guía Pictográfica Gestión del Desempeño del corporativo FONAFE, subsanar las incidencias presentadas en el último proceso de evaluación de competencias y optimizar la experiencia del usuario para un mejor posicionamiento de la herramienta y del proceso en el Banco</t>
  </si>
  <si>
    <t>Desarrollo Profesional</t>
  </si>
  <si>
    <t>MEMORANDO N° 00000035 -2025-BN/4111</t>
  </si>
  <si>
    <t>SIEP - Sistema Integral de Evaluacion de Personal</t>
  </si>
  <si>
    <t>14/01/26: Según CQ, actualizó el estado a 08. Producción Finalizada
12/01/26: Según CQ, actualizó el estado a 07. En Despliegue
10/12/25: Según CQ, actualizó el estado a 05. En Calidad
05/12/25: Según CQ, actualizó el estado a 04. Desarrollo Finalizado
24/07/25: Según CQ, actualizó el estado a 03. En Desarrollo
26/06/2025: Se registró requerimiento en el Backlog.</t>
  </si>
  <si>
    <t>M1134</t>
  </si>
  <si>
    <t>2025-T0627</t>
  </si>
  <si>
    <t>2025-M0521</t>
  </si>
  <si>
    <t>Restricción Abonos Encargos Reversión</t>
  </si>
  <si>
    <t>Restricción de Abonos SARA WEB y Host para cuentas de tipo 16 encargos SIAF</t>
  </si>
  <si>
    <t>MEMORANDO N° 00000779 - 2024-BN/3191</t>
  </si>
  <si>
    <t>Todos los canales</t>
  </si>
  <si>
    <t>15/01/26: Según CQ, actualizó el estado a 08. Producción Finalizada
18/12/25: Según CQ, actualizó el estado a 06. Calidad Finalizado
26/11/25: Según CQ, actualizó el estado a 05. En Calidad
19/11/25: Según CQ, actualizó el estado a 04. Desarrollo Finalizado
25/07/25: Según CQ, actualizó el estado a 03. En Desarrollo
05/08/2024:  Se registró en el Backlog de requerimientos.</t>
  </si>
  <si>
    <t>M1143</t>
  </si>
  <si>
    <t>2025-T0605</t>
  </si>
  <si>
    <t xml:space="preserve">MEMORANDO N° 00000058 - 2025-BN/3345 </t>
  </si>
  <si>
    <t>15/04/26: Según CQ, actualizó el estado a 08. Producción Finalizada
10/04/26: Según CQ, actualizó el estado a 07. En Despliegue
07/11/25: Según CQ, actualizó el estado a 05. En Calidad
06/11/25: Según CQ, actualizó el estado a 04. Desarrollo Finalizado
25/07/25: Según CQ, actualizó el estado a 03. En Desarrollo
07/07/2025: Se registró en el Backlog y se creó trámite</t>
  </si>
  <si>
    <t>M1145</t>
  </si>
  <si>
    <t>2025-T0606</t>
  </si>
  <si>
    <t>MEMORANDO N° 00000167 -2025-BN/3243</t>
  </si>
  <si>
    <t>SUTE-Sunat Pago Facil</t>
  </si>
  <si>
    <t>16/03/26: Según CQ, actualizó el estado a 07. En Despliegue
26/01/26: Según CQ, actualizó el estado a 06. Calidad Finalizado
13/10/25: Según CQ, actualizó el estado a 05. En Calidad
07/10/25: Según CQ, actualizó el estado a 04. Desarrollo Finalizado
25/07/25: Según CQ, actualizó el estado a 03. En Desarrollo
07/07/2025: Se registró en el Backlog</t>
  </si>
  <si>
    <t>17/03/26: Recién se ha expuesto, está en proceso de despligue, están en el tiempo adecuado.</t>
  </si>
  <si>
    <t>M1148</t>
  </si>
  <si>
    <t>2025-T0612</t>
  </si>
  <si>
    <t>MEMORANDO N° 00000229 -2025-BN/3111</t>
  </si>
  <si>
    <t>20/04/26: Según CQ, actualizó el estado a 03. En Desarrollo
15/04/26: Según CQ, actualizó el estado a 05. En Calidad
09/03/26: Según CQ, actualizó el estado a 07. En Despliegue
23/02/26: Según CQ, actualizó el estado a 06. Calidad Finalizado
03/02/26: Según CQ, actualizó el estado a 05. En Calidad
12/01/26: Según CQ, actualizó el estado a 04. Desarrollo Finalizado
08/01/26: Según CQ, actualizó el estado a 03. En Desarrollo por Dependencia con otros mantenimientos.
29/12/25: Según CQ, actualizó el estado a 04. Desarrollo Finalizado
25/07/25: Según CQ, actualizó el estado a 03. En Desarrollo
09/07/2025: Se registró en el Backlog</t>
  </si>
  <si>
    <t>M1149</t>
  </si>
  <si>
    <t>2025-T0622</t>
  </si>
  <si>
    <t>MEMORANDO N° 00000034 - 2025-BN/3340</t>
  </si>
  <si>
    <t>Informe de Inspección N° 00004 - 2024 - DSBE</t>
  </si>
  <si>
    <t>N°19</t>
  </si>
  <si>
    <t>19.a, 19.d</t>
  </si>
  <si>
    <t>23/03/26: Pospuesto por Construcción  por no contar con Recurso TI disponible.
15/12/25: Según CQ, actualizó el estado a 10. Paralizado
15/09/25: Según CQ, actualizó el estado a 03. En Desarrollo
04/04/25: Se creó trámite en CQ y se priorizó.
27/02/26: Según CQ, actualizó el estado a 10. Paralizado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25/07/25: Según CQ, actualizó el estado a 03. En Desarrollo
14/07/2025: Se registró en el Backlog y se creó trámite</t>
  </si>
  <si>
    <t>1. En Proceso
2. En Proceso</t>
  </si>
  <si>
    <t>1. 3000
2. 3003</t>
  </si>
  <si>
    <t>M1151</t>
  </si>
  <si>
    <t>2025-T0629</t>
  </si>
  <si>
    <t>MEMORANDO N° 00000156 - 2025-BN/3212</t>
  </si>
  <si>
    <t>09/03/26: Según CQ, actualizó el estado a 08. Producción Finalizada
02/03/26: Según CQ, actualizó el estado a 06. Calidad Finalizado
25/02/26: Según CQ, actualizó el estado a 05. En Calidad
19/02/26: Según CQ, actualizó el estado a 04. Desarrollo Finalizado
12/01/26: Según CQ, actualizó el estado a 03. En Desarrollo
12/01/26: Según CQ, actualizó el estado a 05. En Calidad
06/01/26: Según CQ, actualizó el estado a 03. En Desarrollo
21/11/25: Según CQ, actualizó el estado a 05. En Calidad
19/11/25: Según CQ, actualizó el estado a 04. Desarrollo Finalizado
23/09/25: Según CQ, actualizó el estado a 03. En Desarrollo
18/07/2025: Se registró en el Backlog y se creó trámite</t>
  </si>
  <si>
    <t>M1158</t>
  </si>
  <si>
    <t>2025-T0591</t>
  </si>
  <si>
    <t>04/02/2026: Cartera reasignada a Tomas Calvera
05/09/2025: Cartera reasignada a Omar Sarmiento
11/08/2025: Cartera reasignada a Percy Silva
25/07/25: Según CQ, actualizó el estado a 03. En Desarrollo
25/07/2025: Se registró en el Backlog como regularizado.</t>
  </si>
  <si>
    <t>M1159</t>
  </si>
  <si>
    <t>2025-T0602</t>
  </si>
  <si>
    <t>2025-M0491</t>
  </si>
  <si>
    <t>PM Sin Seguro de Desgravamen – Factibilidad y Aprobación</t>
  </si>
  <si>
    <t>Resolución SBS N° 0890-2025</t>
  </si>
  <si>
    <t>26/01/26: Según CQ, actualizó el estado a 08. Producción Finalizada
26/11/25: Según CQ, actualizó el estado a 06. Calidad Finalizado
10/10/25: Según CQ, actualizó el estado a 05. En Calidad
09/10/25: Según CQ, actualizó el estado a 04. Desarrollo Finalizado
19/09/25: Según CQ, actualizó el estado a 03. En Desarrollo
02/09/25: Según CQ, actualizó el estado a 05. En Calidad
01/09/25: Según CQ, actualizó el estado a 04. Desarrollo Finalizado
25/07/25: Según CQ, actualizó el estado a 03. En Desarrollo
25/07/2025: Se registró en el Backlog como regularizado.</t>
  </si>
  <si>
    <t>M1163</t>
  </si>
  <si>
    <t>2025-T0037</t>
  </si>
  <si>
    <t xml:space="preserve">Garantizar la construcción de los procesos batch del Sistema Tarjeta Tesoro, que permitan generar los reportes operativos y contables requerido por las áreas usuarias del BN. </t>
  </si>
  <si>
    <t>04/02/2026: Cartera reasignada a Tomas Calvera
05/09/2025: Cartera reasignada a Omar Sarmiento
11/08/2025: Cartera reasignada a Percy Silva
25/07/25: Según CQ, actualizó el estado a 03. En Desarrollo
17/02/2025: Se registró en el Backlog como trámite Rugularizado.
19/02/2025: Se priorizó en el Portafolio de Demanda Estratégica.</t>
  </si>
  <si>
    <t>M1164</t>
  </si>
  <si>
    <t>2025-T0088</t>
  </si>
  <si>
    <t>2025-M0079</t>
  </si>
  <si>
    <t>INCLUIR EN EL MODULO DE GESTION LA OPCION DE REGISTRO, ACTUALIZACION Y CONSULTA DE LOS ATRIBUTOS DE LA TARJETA DE CREDITO Y TARJETAS DE TESORO.</t>
  </si>
  <si>
    <t>Se requiere incluir en el módulo de gestión la opción de registro, modificación y consulta de los atributos de la tarjeta de crédito y tarjeta tesoro, actualización de correo electrónico y celular.</t>
  </si>
  <si>
    <t>12/01/26: Según CQ, actualizó el estado a 08. Producción Finalizada
12/01/26: Según CQ, actualizó el estado a 07. En Despliegue
08/01/26: Según CQ, actualizó el estado a 08. Producción Finalizada
14/11/25: Según CQ, actualizó el estado a 07. En Despliegue
25/07/25: Según CQ, actualizó el estado a 06. Calidad Finalizado
26/03/2025: Se registró en el Portafolio de Proyectos bajo el requerimiento hijo del proyecto Tarjeta Tesoro ID 2314.
17/02/2025: Se registró en el Backlog como trámite Rugularizado</t>
  </si>
  <si>
    <t>M1165</t>
  </si>
  <si>
    <t>2025-T0164</t>
  </si>
  <si>
    <t>27/02/26: Según CQ, actualizó el estado a 10. Paralizado
04/02/2026: Cartera reasignada a Omar Sarmiento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25/07/25: Según CQ, actualizó el estado a 03. En Desarrollo
12/05/2025: Se registró en el Portafolio de Proyecto de Demanda Estratégica.
24/03/25: Se regularizó registro en Backlog. Requerimiento asociado a tarjeta tesoro</t>
  </si>
  <si>
    <t>M1167</t>
  </si>
  <si>
    <t>2025-T0649</t>
  </si>
  <si>
    <t>SIRE REGISTRO DE VENTAS</t>
  </si>
  <si>
    <t>Actualmente los citados registros se generan desde el Módulo de Cuentas por Pagar y FAH FE Administrador del Sistema Oracle Financial. Sin embargo, conforme a las nuevas disposiciones, se requiere la creación o modificación del Registro de Ventas e Ingresos y Registro de Compras</t>
  </si>
  <si>
    <t>Tributación</t>
  </si>
  <si>
    <t>MEMORANDO N° 00000040 - 2025-BN/2501</t>
  </si>
  <si>
    <t>R.S 112-2021/SUNAT</t>
  </si>
  <si>
    <t>20/04/26: Según CQ, actualizó el estado a 05. En Calidad
15/04/26: Según CQ, actualizó el estado a 04. Desarrollo Finalizado
13/04/2026 En desarrollo y se proyecta pasar a Calidad en los próximos días
28/08/25: Según CQ, actualizó el estado a 03. En Desarrollo
02/07/2025: Se registró requerimiento en el Backlog. RQ forma parte de Facturación Electrónica.</t>
  </si>
  <si>
    <t>M1169</t>
  </si>
  <si>
    <t>2025-T0651</t>
  </si>
  <si>
    <t>Identificación de riesgos cambiario crediticio para los clientes minoristas bajo los criterios consignados en la Resolución SBS Nº 00774-2025 Y creación de BD de clientes minoristas expuestos a riesgo cambiario crediticio.</t>
  </si>
  <si>
    <t>Evaluación de Cartera de Créditos</t>
  </si>
  <si>
    <t>MEMORANDO N° 00000030 - 2025-BN/2191</t>
  </si>
  <si>
    <t>Resolución SBS N° 00774-2025</t>
  </si>
  <si>
    <t>06/04/26: Según CQ, actualizó el estado a 05. En Calidad
23/03/26: Según CQ, actualizó el estado a 04. Desarrollo Finalizado
19/01/2025: Cartera reasignada a Maria Barboza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05/09/2025: Cartera reasignada a Milagros Huamani
11/08/2025: Cartera reasignada a Percy Silva
22/07/2025: Se registró en el Backlog</t>
  </si>
  <si>
    <t>El Usuario realizo observaciones en calidad y se estan validando para su correción</t>
  </si>
  <si>
    <t>M1172</t>
  </si>
  <si>
    <t>2025-T0653</t>
  </si>
  <si>
    <t>MEMORANDO N° 00000330 - 2025-BN/3252</t>
  </si>
  <si>
    <t xml:space="preserve">08/05/26: Según CQ, actualizó el estado a 07. En Despliegue
29/04/26: Según CQ, actualizó el estado a 06. Calidad Finalizado
30/01/26: Según CQ, actualizó el estado a 05. En Calidad
12/01/26: Según CQ, actualizó el estado a 04. Desarrollo Finalizado
12/01/26: Según CQ, actualizó el estado a 03. En Desarrollo
30/12/2025: Cartera reasignada a Omar Sarmiento
02/09/25: Según CQ, actualizó el estado a 03. En Desarrollo
</t>
  </si>
  <si>
    <t>M1177</t>
  </si>
  <si>
    <t>2025-T0676</t>
  </si>
  <si>
    <t>2025-M0556</t>
  </si>
  <si>
    <t>Actualización de Factores en las bases de datos de los reportes ARCHNIV_F y REPORTNIV_F</t>
  </si>
  <si>
    <t>MEMORANDO N° 00000034 - 2025-BN/2191</t>
  </si>
  <si>
    <t>P-028-2024-BN/1400</t>
  </si>
  <si>
    <t>Evaluación del Riesgo de sobreendeudamiento</t>
  </si>
  <si>
    <t>N°1</t>
  </si>
  <si>
    <t>1.a, 1.b</t>
  </si>
  <si>
    <t>1. 31/12/2025
2. 31/07/2026</t>
  </si>
  <si>
    <t xml:space="preserve">14/01/26: Según CQ, actualizó el estado a 08. Producción Finalizada
12/01/26: Según CQ, actualizó el estado a 07. En Despliegue
12/01/26: Según CQ, actualizó el estado a 06. Calidad Finalizado
08/01/26: Según CQ, actualizó el estado a 07. En Despliegue
04/12/25: Según CQ, actualizó el estado a 06. Calidad Finalizado
13/11/25: Según CQ, actualizó el estado a 05. En Calidad
07/11/25: Según CQ, actualizó el estado a 04. Desarrollo Finalizado
05/09/2025: Cartera reasignada a Milagros Huamani
25/08/25: Según CQ, actualizó el estado a 03. En Desarrollo
</t>
  </si>
  <si>
    <t>1. Implementada
2. En Proceso</t>
  </si>
  <si>
    <t>1. 3167
2. 3168</t>
  </si>
  <si>
    <t>M1183</t>
  </si>
  <si>
    <t>2025-T0687</t>
  </si>
  <si>
    <t>MEMORANDO N° 00000134 -2023-BN/3252</t>
  </si>
  <si>
    <t>SIAT - Sistema de Atributos</t>
  </si>
  <si>
    <t xml:space="preserve">26/02/2025 Primero debe pasar  2026-M0046 en el canal saraweb estimado para el 27 de febrero. Luego se retomará su atencion. Nivel de avance 60%
30/12/2025: Cartera reasignada a Omar Sarmiento
25/08/25: Según CQ, actualizó el estado a 03. En Desarrollo
</t>
  </si>
  <si>
    <t>M1184</t>
  </si>
  <si>
    <t>2025-T0688</t>
  </si>
  <si>
    <t>2025-M0579</t>
  </si>
  <si>
    <t xml:space="preserve">Implementación de API 35 y Gestión de Certificados de Seguridad Cuenta DNI 
</t>
  </si>
  <si>
    <t>Implementación de API 35 y Gestión de Certificados de Seguridad Cuenta DNI</t>
  </si>
  <si>
    <t>MEMORANDO N° 00000058 - 2025-BN/7901</t>
  </si>
  <si>
    <t xml:space="preserve">14/01/26: Según CQ, actualizó el estado a 08. Producción Finalizada
30/12/2025: Cartera reasignada a Omar Sarmiento
23/09/25: Según CQ, actualizó el estado a 07. En Despliegue
25/08/25: Según CQ, actualizó el estado a 03. En Desarrollo
</t>
  </si>
  <si>
    <t>M1192</t>
  </si>
  <si>
    <t>2025-T0711</t>
  </si>
  <si>
    <t>MEMORANDO N° 00000165 - 2025-BN/3347</t>
  </si>
  <si>
    <t>15/04/26: Según CQ, actualizó el estado a 08. Producción Finalizada
23/03/26: Según CQ, actualizó el estado a 07. En Despliegue
27/02/26: Según CQ, actualizó el estado a 06. Calidad Finalizado
19/02/26: Según CQ, actualizó el estado a 05. En Calidad
03/02/26: Según CQ, actualizó el estado a 04. Desarrollo Finalizado
09/01/2026: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24/07/2025: Se registró en el Backlog</t>
  </si>
  <si>
    <t>REACTIVADO 26</t>
  </si>
  <si>
    <t>M1197</t>
  </si>
  <si>
    <t>2025-T0699</t>
  </si>
  <si>
    <t>2025-M0589</t>
  </si>
  <si>
    <t>Generación de Base de Datos (Maestro) de Rutas Foráneas e Inclusión de rutas foráneas en secuencias FISA del proceso de Traslado de Fondos a nivel nacional (OPCF)</t>
  </si>
  <si>
    <t>Programación y Distribución de Fondos</t>
  </si>
  <si>
    <t>MEMORANDO N° 00000030 - 2025-BN/3135</t>
  </si>
  <si>
    <t>FISA-Finanzas Saldos</t>
  </si>
  <si>
    <t>13/01/26: Según CQ, actualizó el estado a 08. Producción Finalizada
03/12/2025: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04/11/25: Según CQ, actualizó el estado a 05. En Calidad
25/09/25: Según CQ, actualizó el estado a 03. En Desarrollo
27/08/25: Se registró en el Backlog y se creó trámite.</t>
  </si>
  <si>
    <t>M1198</t>
  </si>
  <si>
    <t>2025-T0658</t>
  </si>
  <si>
    <t>04/02/2026: Cartera reasignada a Tomas Calvera
05/09/2025: Cartera reasignada a Omar Sarmiento
01/09/25: Según CQ, actualizó el estado a 03. En Desarrollo
28/08/25: Se regularizó su registró en el Backlog.</t>
  </si>
  <si>
    <t>M1199</t>
  </si>
  <si>
    <t>2025-T0654</t>
  </si>
  <si>
    <t>01/09/25: Según CQ, actualizó el estado a 03. En Desarrollo
28/08/25: Se regularizó su registró en el Backlog.</t>
  </si>
  <si>
    <t>M1200</t>
  </si>
  <si>
    <t>2025-T0655</t>
  </si>
  <si>
    <t>Dayna Evelin Ribbeck Rivera</t>
  </si>
  <si>
    <t>27/04/26: Según CQ, actualizó el estado a 10. Paralizado
19/01/2025: Cartera reasignada a Maria Barboza
04/11/25: Según CQ, actualizó el estado a 03. En Desarrollo
30/10/25: Según CQ, actualizó el estado a 04. Desarrollo Finalizado
01/09/25: Según CQ, actualizó el estado a 03. En Desarrollo
28/08/25: Se regularizó su registró en el Backlog.</t>
  </si>
  <si>
    <t>M1203</t>
  </si>
  <si>
    <t>2025-T0694</t>
  </si>
  <si>
    <t>04/02/2026: Cartera reasignada a Tomas Calvera
22/10/25: Según CQ, actualizó el estado a 03. En Desarrollo
05/09/2025: Cartera reasignada a Omar Sarmiento
01/09/25: Según CQ, actualizó el estado a 04. Desarrollo Finalizado
28/08/25: Se regularizó su registró en el Backlog.</t>
  </si>
  <si>
    <t>M1205</t>
  </si>
  <si>
    <t>2025-T0681</t>
  </si>
  <si>
    <t>04/02/2026: Cartera reasignada a Tomas Calvera
13/11/25: Según CQ, actualizó el estado a 03. En Desarrollo
31/10/25: Según CQ, actualizó el estado a 04. Desarrollo Finalizado
05/09/2025: Cartera reasignada a Omar Sarmiento
01/09/25: Según CQ, actualizó el estado a 03. En Desarrollo
28/08/25: Se regularizó su registró en el Backlog.</t>
  </si>
  <si>
    <t>M1206</t>
  </si>
  <si>
    <t>2025-T0674</t>
  </si>
  <si>
    <t>M1208</t>
  </si>
  <si>
    <t>2025-T0704</t>
  </si>
  <si>
    <t>HOJA DE ENVIO N° 00000005 - 2025-BN-2550</t>
  </si>
  <si>
    <t>14/11/25: Según CQ, actualizó el estado a 07. En Despliegue
09/09/25: Según CQ, actualizó el estado a 06. Calidad Finalizado
08/09/25: Según CQ, actualizó el estado a 05. En Calidad
02/09/25: Según CQ, actualizó el estado a 04. Desarrollo Finalizado
29/08/25: Se registró en el Backlog y se creó trámite.</t>
  </si>
  <si>
    <t>17/03/26: Es proyecto. Habían varios programas, faltan 2 programas, producción envió correo; para que esté 100% terminado.</t>
  </si>
  <si>
    <t>M1211</t>
  </si>
  <si>
    <t>2025-T0722</t>
  </si>
  <si>
    <t>27/02/26: Según CQ, actualizó el estado a 06. Calidad Finalizado
16/01/26: Según CQ, actualizó el estado a 05. En Calidad
12/01/26: Según CQ, actualizó el estado a 04. Desarrollo Finalizado
12/01/26: Según CQ, actualizó el estado a 03. En Desarrollo
06/01/26: Según CQ, actualizó el estado a 04. Desarrollo Finalizado
04/09/25: Según CQ, actualizó el estado a 03. En Desarrollo
04/09/25: Se registró en el Backlog y se creó trámite.</t>
  </si>
  <si>
    <t>18/03: Pendiente de coordinar la fecha de pase con el usuario</t>
  </si>
  <si>
    <t>M1219</t>
  </si>
  <si>
    <t>2025-T0727</t>
  </si>
  <si>
    <t>MEMORANDO N° 00000146 - 2025-BN/3116</t>
  </si>
  <si>
    <t>24/03/2026 Requerimiento tiene dependencia del mantenimiento 2024-M0146
02/03/26: Según CQ, actualizó el estado a 10. Paralizado
15/09/25: Según CQ, actualizó el estado a 03. En Desarrollo
05/09/25: Se registró en el Backlog y se creó trámite.</t>
  </si>
  <si>
    <t>Iniciada,Iniciada</t>
  </si>
  <si>
    <t>M1220</t>
  </si>
  <si>
    <t>2025-T0728</t>
  </si>
  <si>
    <t>2025-M0616</t>
  </si>
  <si>
    <t>Implementación de las nuevas estructuras en los mensajes Swift en el sistema BankTrade (BNKT)</t>
  </si>
  <si>
    <t>MEMORANDO N° 00000034 - 2025-BN/3223</t>
  </si>
  <si>
    <t>BNKT - Sistema de Comercio Exterior</t>
  </si>
  <si>
    <t>13/01/26: Según CQ, actualizó el estado a 08. Producción Finalizada
12/01/26: Según CQ, actualizó el estado a 07. En Despliegue
12/01/26: Según CQ, actualizó el estado a 06. Calidad Finalizado
08/01/26: Según CQ, actualizó el estado a 07. En Despliegue
01/12/25: Según CQ, actualizó el estado a 06. Calidad Finalizado
04/11/25: Según CQ, actualizó el estado a 05. En Calidad
15/09/25: Según CQ, actualizó el estado a 03. En Desarrollo
05/09/25: Se registró en el Backlog y se creó trámite.</t>
  </si>
  <si>
    <t>M1221</t>
  </si>
  <si>
    <t>2025-T0730</t>
  </si>
  <si>
    <t>2025-M0614</t>
  </si>
  <si>
    <t>Gestion y Adecuacion del trratamiento de operaciones rechazadas con codigo 05 – “Do  Not Honor”</t>
  </si>
  <si>
    <t>MEMORANDO N° 00000420 - 2025-BN/3252</t>
  </si>
  <si>
    <t>Resolución SBS N° 6523 - 2013</t>
  </si>
  <si>
    <t>14/01/26: Según CQ, actualizó el estado a 08. Producción Finalizada
25/09/25: Según CQ, actualizó el estado a 07. En Despliegue
15/09/25: Según CQ, actualizó el estado a 03. En Desarrollo
08/09/25: Se registró en el Backlog y se creo tramite</t>
  </si>
  <si>
    <t>M1226</t>
  </si>
  <si>
    <t>2025-T0739</t>
  </si>
  <si>
    <t>03/02/26: Según CQ, actualizó el estado a 06. Calidad Finalizado
16/12/25: Según CQ, actualizó el estado a 05. En Calidad
02/12/25: Según CQ, actualizó el estado a 04. Desarrollo Finalizado
16/09/25: Según CQ, actualizó el estado a 03. En Desarrollo
12/09/25: Se registró en el Backlog</t>
  </si>
  <si>
    <t>-25/03/2026: Se adjunta correo de usuario (24/03/2026) donde indica se encuentra a la espera de respuesta por parte del MEF.
24/03: Se envió correo al usuario con fecha límite para mañana 25/03.
'18/03: Pendiente de respuesta de usuario.</t>
  </si>
  <si>
    <t>M1228</t>
  </si>
  <si>
    <t>2025-T0745</t>
  </si>
  <si>
    <t>2025-M0626</t>
  </si>
  <si>
    <t>Alojamiento recaudación y cobros de comisión Notas de Abono Ministerio de Trabajo</t>
  </si>
  <si>
    <t>MEMORANDO N° 00000215 -2025-BN/3243</t>
  </si>
  <si>
    <t>REPA- Recaudacion Proceso Batch</t>
  </si>
  <si>
    <t>12/01/26: Según CQ, actualizó el estado a 09. Descartado
18/09/25: Según CQ, actualizó el estado a 03. En Desarrollo
16/09/25: Se registró en el Backlog
16/09/25: Se creo Tramite</t>
  </si>
  <si>
    <t>M1232</t>
  </si>
  <si>
    <t>2025-T0750</t>
  </si>
  <si>
    <t>MEMORANDO N° 00000345 - 2025-BN/3251</t>
  </si>
  <si>
    <t>30/12/2025: Cartera reasignada a Omar Sarmiento
19/09/25: Según CQ, actualizó el estado a 03. En Desarrollo
17/09/25: Se registro en Backlog
17/09/25: Se creo Trámite</t>
  </si>
  <si>
    <t>M1239</t>
  </si>
  <si>
    <t>2025-T0761</t>
  </si>
  <si>
    <t>2025-M0640</t>
  </si>
  <si>
    <t>Generación masiva de Estados de Cuenta Alimentista</t>
  </si>
  <si>
    <t>MEMORANDO N° 00000206 -2025-BN/3212</t>
  </si>
  <si>
    <t>ECAI_Estado de Cuentas de Ahorro Intranet</t>
  </si>
  <si>
    <t>Norma Fukunaga Fuentes/Luis Enrique Almeyda Pachas</t>
  </si>
  <si>
    <t>06/02/26: Según CQ, actualizó el estado a 09. Descartado
02/10/25: Según CQ, actualizó el estado a 03. En Desarrollo
22/09/25: Se registró en Backlog
22/09/25: Se creo tiramite</t>
  </si>
  <si>
    <t>Descartada,Descartada</t>
  </si>
  <si>
    <t>M1241</t>
  </si>
  <si>
    <t>2025-T0766</t>
  </si>
  <si>
    <t>2025-M0646</t>
  </si>
  <si>
    <t>Elaboración de reportes con información de los aportes privados cuenta recaudadora tipo 54</t>
  </si>
  <si>
    <t>MEMORANDO N° 00000017 -2025-BN/3190</t>
  </si>
  <si>
    <t xml:space="preserve">26/01/26: Según CQ, actualizó el estado a 08. Producción Finalizada
15/01/26: Según CQ, actualizó el estado a 07. En Despliegue
12/01/26: Según CQ, actualizó el estado a 06. Calidad Finalizado
24/12/25: Según CQ, actualizó el estado a 05. En Calidad
18/12/2025: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02/10/25: Según CQ, actualizó el estado a 03. En Desarrollo
25/09/25: Se registró en Backlog
25/09/25: Se creo tramite
Se han concordado emitir los reportes, sin hacer ninguna variación de los programas, que originan los datos a ser impresos en los reportes solicitados.
</t>
  </si>
  <si>
    <t>M1243</t>
  </si>
  <si>
    <t>2025-T0770</t>
  </si>
  <si>
    <t>TPCT-Sistema Transaccional TP</t>
  </si>
  <si>
    <t>04/02/2026: Cartera reasignada a Tomas Calvera
16/01/26: Según CQ, actualizó el estado a 07. En Despliegue
16/01/2026: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02/10/25: Según CQ, actualizó el estado a 03. En Desarrollo
01/10/25: Se regularizó su registró en el Backlog.</t>
  </si>
  <si>
    <t>17/03/26: Se pidió que pasara a procesado el 17/03/26, pero aún no se hace. Armando ya le pidió a Miriam que lo haga.</t>
  </si>
  <si>
    <t>M1246</t>
  </si>
  <si>
    <t>2025-T0774</t>
  </si>
  <si>
    <t>GTGI-Giros y Transferencias Moneda Nacional</t>
  </si>
  <si>
    <t xml:space="preserve">Giros </t>
  </si>
  <si>
    <t>27/03/26: Según CQ, actualizó el estado a 08. Producción Finalizada
19/02/26: Según CQ, actualizó el estado a 07. En Despliegue
21/01/26: Según CQ, actualizó el estado a 06. Calidad Finalizado
15/01/26: Según CQ, actualizó el estado a 04. Desarrollo Finalizado
05/01/26: Según CQ, actualizó el estado a 03. En Desarrollo
09/10/25: Según CQ, actualizó el estado a 05. En Calidad
03/10/25: Según CQ, actualizó el estado a 04. Desarrollo Finalizado
02/10/25: Según CQ, actualizó el estado a 03. En Desarrollo
01/10/25: Se regularizó su registró en el Backlog.</t>
  </si>
  <si>
    <t>M1247</t>
  </si>
  <si>
    <t>2025-T0762</t>
  </si>
  <si>
    <t>MEMORANDO N° 00000040 - 2025-BN/3190</t>
  </si>
  <si>
    <t>MVPE-Multired Virtual para Empresas</t>
  </si>
  <si>
    <t>02/10/25: Según CQ, actualizó el estado a 03. En Desarrollo
01/10/25: Se regularizó su registró en el Backlog.</t>
  </si>
  <si>
    <t>M1252</t>
  </si>
  <si>
    <t>2025-T0794</t>
  </si>
  <si>
    <t>MEMORANDO N° 00000308 - 2025-BN/3252</t>
  </si>
  <si>
    <t>05/05/26: Según CQ, actualizó el estado a 05. En Calidad
24/04/26: Según CQ, actualizó el estado a 04. Desarrollo Finalizado
27/03/2026 Se solicito a Joan Ponce una fecha concreta para iniciar las pruebas de desarrollo.
25/02/2026 Se solicitó al área usuaria dar conformidad a los scripts para culminar la etapa de desarrollo
30/12/2025: Cartera reasignada a Omar Sarmiento
30/10/25: Según CQ, actualizó el estado a 03. En Desarrollo
05/08/2025: Se registró en el Backlog
13/10/2025; Se creo Tramite</t>
  </si>
  <si>
    <t>M1258</t>
  </si>
  <si>
    <t>2025-T0752</t>
  </si>
  <si>
    <t>MEMORANDO N° 00000210 -2025-BN/3243</t>
  </si>
  <si>
    <t>30/10/25: Según CQ, actualizó el estado a 03. En Desarrollo
17/09/25: Se registro en Backlog
17/09/25: Se creo trámite</t>
  </si>
  <si>
    <t>M1261</t>
  </si>
  <si>
    <t>2025-T0772</t>
  </si>
  <si>
    <t>MODA-Módulo de Banco Abonos Dólares</t>
  </si>
  <si>
    <t>20/04/26: Según CQ, actualizó el estado a 08. Producción Finalizada
10/04/26: Según CQ, actualizó el estado a 07. En Despliegue
23/03/26: Según CQ, actualizó el estado a 06. Calidad Finalizado
10/03/26: Según CQ, actualizó el estado a 07. En Despliegue
04/02/2026: Cartera reasignada a Tomas Calvera
10/12/25: Según CQ, actualizó el estado a 06. Calidad Finalizado
04/11/25: Según CQ, actualizó el estado a 05. En Calidad
30/10/25: Según CQ, actualizó el estado a 04. Desarrollo Finalizado
01/10/25: Se regularizó su registró en el Backlog.</t>
  </si>
  <si>
    <t>M1262</t>
  </si>
  <si>
    <t>2025-T0773</t>
  </si>
  <si>
    <t>27/02/26: Según CQ, actualizó el estado a 10. Paralizado
04/02/2026: Cartera reasignada a Tomas Calvera
26/01/26: Según CQ, actualizó el estado a 03. En Desarrollo
04/11/25: Según CQ, actualizó el estado a 05. En Calidad
30/10/25: Según CQ, actualizó el estado a 04. Desarrollo Finalizado
30/10/25: Según CQ, actualizó el estado a 03. En Desarrollo
01/10/25: Se regularizó su registró en el Backlog.</t>
  </si>
  <si>
    <t>M1264</t>
  </si>
  <si>
    <t>2025-T0803</t>
  </si>
  <si>
    <t>Banca Institucional</t>
  </si>
  <si>
    <t>Banca de Gobierno Subnacional</t>
  </si>
  <si>
    <t>MEMORANDO N° 00000233 - 2025-BN/8422</t>
  </si>
  <si>
    <t>25/02/26: Según CQ, actualizó el estado a 08. Producción Finalizada
30/10/25: Según CQ, actualizó el estado a 07. En Despliegue
16/10/25: Se registró en Backlog. 
16/10/25: Se creo Tramite</t>
  </si>
  <si>
    <t>M1267</t>
  </si>
  <si>
    <t>2025-T0824</t>
  </si>
  <si>
    <t>MEMORANDO N° 00000411 -2025-BN/3251</t>
  </si>
  <si>
    <t>30/12/2025: Cartera reasignada a Omar Sarmiento
30/10/25: Se registró en Backlog. 
30/10/25: Se creo tramite</t>
  </si>
  <si>
    <t>M1269</t>
  </si>
  <si>
    <t>2025-T0834</t>
  </si>
  <si>
    <t>Banca Seguros</t>
  </si>
  <si>
    <t>MEMORANDO N° 00000101 - 2025-BN/3345</t>
  </si>
  <si>
    <t>PGSG-Pagos Seguros(Oncológico-Sepelio)</t>
  </si>
  <si>
    <t>26/01/26: Según CQ, actualizó el estado a 06. Calidad Finalizado
12/01/26: Según CQ, actualizó el estado a 05. En Calidad
29/12/25: Según CQ, actualizó el estado a 04. Desarrollo Finalizado
6/11/25: Se registró en Backlog. 
6/11/25: Se creo Tramite
Analista asignado : Pedro Encalada</t>
  </si>
  <si>
    <t>18/03: Pendiente de respuesta de usuario. Se expusieron, sin embargo, pendiente de respuesta por parte de usuario.</t>
  </si>
  <si>
    <t>M1270</t>
  </si>
  <si>
    <t>2025-T0841</t>
  </si>
  <si>
    <t>HOJA DE ENVIO N° 00000002 - 2025-BN/3344</t>
  </si>
  <si>
    <t xml:space="preserve">23/03/26: Pospuesto por Construcción por dependencia, se atenderá cuando el mantenimiento 2025-M0494 pase a Producción.
15/12/25: Según CQ, actualizó el estado a 10. Paralizado
15/09/25: Según CQ, actualizó el estado a 03. En Desarrollo
04/04/25: Se creó trámite en CQ y se priorizó.
27/02/26: Según CQ, actualizó el estado a 10. Paralizado
12/01/26: Según CQ, actualizó el estado a 03. En Desarrollo
12/01/26: Según CQ, actualizó el estado a 04. Desarrollo Finalizado
08/01/26: Según CQ, actualizó el estado a 03. En Desarrollo
29/12/25: Según CQ, actualizó el estado a 04. Desarrollo Finalizado
13/11/25: Según CQ, actualizó el estado a 03. En Desarrollo
02/10/25: Se registró en Backlog. 
10/11/25 Se creo Tramite
RQ hijo de ID 2913
</t>
  </si>
  <si>
    <t>M1273</t>
  </si>
  <si>
    <t>2025-T0817</t>
  </si>
  <si>
    <t>09/02/26: Según CQ, actualizó el estado a 06. Calidad Finalizado
16/01/26: Según CQ, actualizó el estado a 05. En Calidad
13/01/26: Según CQ, actualizó el estado a 04. Desarrollo Finalizado
13/11/25: Según CQ, actualizó el estado a 03. En Desarrollo
11/11/25: Se regularizó su registró en el Backlog.</t>
  </si>
  <si>
    <t>-Se expusieron. Usuario indicó 'por correo que no se ejecute.</t>
  </si>
  <si>
    <t>M1274</t>
  </si>
  <si>
    <t>2025-T0789</t>
  </si>
  <si>
    <t>SENT-Proyecto Sentinel</t>
  </si>
  <si>
    <t>04/02/2026: Cartera reasignada a Tomas Calvera
13/11/25: Según CQ, actualizó el estado a 03. En Desarrollo
11/11/25: Se regularizó su registró en el Backlog.</t>
  </si>
  <si>
    <t>M1275</t>
  </si>
  <si>
    <t>2025-T0797</t>
  </si>
  <si>
    <t>13/11/25: Según CQ, actualizó el estado a 03. En Desarrollo
11/11/25: Se regularizó su registró en el Backlog.</t>
  </si>
  <si>
    <t>M1276</t>
  </si>
  <si>
    <t>2025-T0798</t>
  </si>
  <si>
    <t>30/01/26: Según CQ, actualizó el estado a 08. Producción Finalizada
26/01/26: Según CQ, actualizó el estado a 07. En Despliegue
13/11/25: Según CQ, actualizó el estado a 03. En Desarrollo
11/11/25: Se regularizó su registró en el Backlog.</t>
  </si>
  <si>
    <t>Transitorio_Ordenado</t>
  </si>
  <si>
    <t>M1277</t>
  </si>
  <si>
    <t>2025-T0818</t>
  </si>
  <si>
    <t>27/03/26: Según CQ, actualizó el estado a 08. Producción Finalizada
09/03/26: Según CQ, actualizó el estado a 07. En Despliegue
27/02/26: Según CQ, actualizó el estado a 06. Calidad Finalizado
12/01/26: Según CQ, actualizó el estado a 05. En Calidad
12/01/26: Según CQ, actualizó el estado a 03. En Desarrollo
08/01/26: Según CQ, actualizó el estado a 05. En Calidad
13/11/25: Según CQ, actualizó el estado a 03. En Desarrollo
11/11/25: Se regularizó su registró en el Backlog.</t>
  </si>
  <si>
    <t>M1280</t>
  </si>
  <si>
    <t>2025-T0862</t>
  </si>
  <si>
    <t>Seguridad Informática</t>
  </si>
  <si>
    <t>Control de Operaciones de Seguridad</t>
  </si>
  <si>
    <t>INFORME N° 00000038 - 2025-BN/2532</t>
  </si>
  <si>
    <t>16/04/26: Se estan realizando pruebas para con el ATTESTATION . Entre equipo de construccion, seguridad y el proveedor RADWARE
04/02/2026: Cartera reasignada a Tomas Calvera</t>
  </si>
  <si>
    <t>M1281</t>
  </si>
  <si>
    <t>2025-T0867</t>
  </si>
  <si>
    <t>MEMORANDO N° 00000042 -2025-BN/3135</t>
  </si>
  <si>
    <t xml:space="preserve">13/02/26: Según CQ, actualizó el estado a 08. Producción Finalizada
30/01/26: Según CQ, actualizó el estado a 06. Calidad Finalizado
15/01/26: Según CQ, actualizó el estado a 05. En Calidad
13/01/26: Según CQ, actualizó el estado a 04. Desarrollo Finalizado
</t>
  </si>
  <si>
    <t>M1282</t>
  </si>
  <si>
    <t>2025-T0870</t>
  </si>
  <si>
    <t>M1283</t>
  </si>
  <si>
    <t>2025-T0872</t>
  </si>
  <si>
    <t>SIRE REGISTRO DE COMPRAS</t>
  </si>
  <si>
    <t>R.S. N° 112-2021/SUNAT</t>
  </si>
  <si>
    <t xml:space="preserve">20/04/26: Según CQ, actualizó el estado a 05. En Calidad
15/04/26: Según CQ, actualizó el estado a 04. Desarrollo Finalizado
13/04/26 Acta firmada y falta autorización de JdS en CQ para su pase a Calidad
15/12/25: Según CQ, actualizó el estado a 02. En Planificación
</t>
  </si>
  <si>
    <t>M1284</t>
  </si>
  <si>
    <t>2025-T0884</t>
  </si>
  <si>
    <t>Complemento del Mant 2023-M0052 para resolver observaciones considerando las transacciones internas de los canales Saraweb y Banca Empresarial</t>
  </si>
  <si>
    <t>MEMORANDO N° 00000157 - 2025-BN/3116</t>
  </si>
  <si>
    <t xml:space="preserve">04/05/26: Según CQ, actualizó el estado a 10. Paralizado
06/04/26: Según CQ, actualizó el estado a 03. En Desarrollo
02/03/26: Según CQ, actualizó el estado a 05. En Calidad
25/02/26: Según CQ, actualizó el estado a 04. Desarrollo Finalizado
</t>
  </si>
  <si>
    <t>M1285</t>
  </si>
  <si>
    <t>2025-T0850</t>
  </si>
  <si>
    <t xml:space="preserve">09/03/26: Según CQ, actualizó el estado a 05. En Calidad
28/01/26: Según CQ, actualizó el estado a 03. En Desarrollo
15/12/25: Según CQ, actualizó el estado a 02. En Planificación
</t>
  </si>
  <si>
    <t>M1286</t>
  </si>
  <si>
    <t>2025-T0842</t>
  </si>
  <si>
    <t xml:space="preserve">10/04/26: Según CQ, actualizó el estado a 06. Calidad Finalizado
05/03/26: Según CQ, actualizó el estado a 05. En Calidad
03/03/26: Según CQ, actualizó el estado a 04. Desarrollo Finalizado
19/02/26: Según CQ, actualizó el estado a 03. En Desarrollo
12/01/26: Según CQ, actualizó el estado a 05. En Calidad
12/01/26: Según CQ, actualizó el estado a 04. Desarrollo Finalizado
08/01/26: Según CQ, actualizó el estado a 05. En Calidad
05/01/26: Según CQ, actualizó el estado a 04. Desarrollo Finalizado
</t>
  </si>
  <si>
    <t>M1287</t>
  </si>
  <si>
    <t>2025-T0874</t>
  </si>
  <si>
    <t>CGMN-Cheques de Gerencia MN.</t>
  </si>
  <si>
    <t xml:space="preserve">04/02/26: Según CQ, actualizó el estado a 08. Producción Finalizada
30/01/26: Según CQ, actualizó el estado a 07. En Despliegue
28/01/26: Según CQ, actualizó el estado a 06. Calidad Finalizado
15/01/26: Según CQ, actualizó el estado a 05. En Calidad
12/01/26: Según CQ, actualizó el estado a 04. Desarrollo Finalizado
12/01/26: Según CQ, actualizó el estado a 03. En Desarrollo
08/01/26: Según CQ, actualizó el estado a 04. Desarrollo Finalizado
</t>
  </si>
  <si>
    <t>M1288</t>
  </si>
  <si>
    <t>2025-T0875</t>
  </si>
  <si>
    <t xml:space="preserve">05/02/26: Según CQ, actualizó el estado a 08. Producción Finalizada
30/01/26: Según CQ, actualizó el estado a 07. En Despliegue
28/01/26: Según CQ, actualizó el estado a 06. Calidad Finalizado
15/01/26: Según CQ, actualizó el estado a 05. En Calidad
12/01/26: Según CQ, actualizó el estado a 04. Desarrollo Finalizado
12/01/26: Según CQ, actualizó el estado a 03. En Desarrollo
08/01/26: Según CQ, actualizó el estado a 04. Desarrollo Finalizado
</t>
  </si>
  <si>
    <t>M1289</t>
  </si>
  <si>
    <t>2025-T0891</t>
  </si>
  <si>
    <t>2025-M0759</t>
  </si>
  <si>
    <t>Alta Disponibilidad Sistema SCIT</t>
  </si>
  <si>
    <t>MEMORANDO N° 00000048 -2025-BN/3216</t>
  </si>
  <si>
    <t>SCIT_Sistema Cambios Inversiones Tesoreria</t>
  </si>
  <si>
    <t>Renta Fija</t>
  </si>
  <si>
    <t>Compra y venta de moneda</t>
  </si>
  <si>
    <t xml:space="preserve">15/01/26: Según CQ, actualizó el estado a 08. Producción Finalizada
12/01/26: Según CQ, actualizó el estado a 07. En Despliegue
12/01/26: Según CQ, actualizó el estado a 06. Calidad Finalizado
08/01/26: Según CQ, actualizó el estado a 07. En Despliegue
24/12/25: Según CQ, actualizó el estado a 06. Calidad Finalizado
16/12/25: Según CQ, actualizó el estado a 04. Desarrollo Finalizado
</t>
  </si>
  <si>
    <t>M1290</t>
  </si>
  <si>
    <t>2025-T0895</t>
  </si>
  <si>
    <t>Tramité Documentario</t>
  </si>
  <si>
    <t>MEMORANDO N° 00000107 -2025-BN/2202</t>
  </si>
  <si>
    <t>STD4 - Actualización del STD a la versión 4.0</t>
  </si>
  <si>
    <t>19/01/2025: Cartera reasignada a Maria Barboza</t>
  </si>
  <si>
    <t>M1291</t>
  </si>
  <si>
    <t>2025-T0861</t>
  </si>
  <si>
    <t>2025-M0731</t>
  </si>
  <si>
    <t>Actualización por aplicación de nuevo certificado de seguridad para el dominio bancamovil.bn.com.pe (Plataforma Android)</t>
  </si>
  <si>
    <t xml:space="preserve">12/01/26: Según CQ, actualizó el estado a 08. Producción Finalizada
16/12/25: Según CQ, actualizó el estado a 07. En Despliegue
</t>
  </si>
  <si>
    <t>Transitorio_Regularizado</t>
  </si>
  <si>
    <t>M1292</t>
  </si>
  <si>
    <t>2025-T0880</t>
  </si>
  <si>
    <t>2025-M0747</t>
  </si>
  <si>
    <t>OCTAVO MANTENIMIENTO PREVENTIVO EN SISTEMA DE TRÁMITE DOCUMENTARIO STD</t>
  </si>
  <si>
    <t>MEMORANDO N° 00000108 - 2025-BN/2202</t>
  </si>
  <si>
    <t>Pedro David Coca Rosales</t>
  </si>
  <si>
    <t xml:space="preserve">12/01/26: Según CQ, actualizó el estado a 08. Producción Finalizada
12/01/26: Según CQ, actualizó el estado a 06. Calidad Finalizado
08/01/26: Según CQ, actualizó el estado a 07. En Despliegue
16/12/25: Según CQ, actualizó el estado a 06. Calidad Finalizado
</t>
  </si>
  <si>
    <t>M1293</t>
  </si>
  <si>
    <t>2023-T0606</t>
  </si>
  <si>
    <t>2023-M0546</t>
  </si>
  <si>
    <t>Journal Diebold</t>
  </si>
  <si>
    <t>MEMORANDO N° 00000432 - 2023-BN/3251</t>
  </si>
  <si>
    <t>Tarjeta de Crédito Foránea</t>
  </si>
  <si>
    <t xml:space="preserve">22/04/26: Según CQ, actualizó el estado a 03. En Desarrollo
04/03/26: Según CQ, actualizó el estado a 05. En Calidad
25/02/26: Según CQ, actualizó el estado a 04. Desarrollo Finalizado
</t>
  </si>
  <si>
    <t>M1294</t>
  </si>
  <si>
    <t>2025-T0812</t>
  </si>
  <si>
    <t>2025-M0688</t>
  </si>
  <si>
    <t>Servicio de Pagaduría SBS FSD Cooperativas (renombrar código 0087)</t>
  </si>
  <si>
    <t>MEMORANDO N° 00000242 - 2025-BN/3243</t>
  </si>
  <si>
    <t>13/04/26: Según CQ, actualizó el estado a 08. Producción Finalizada
24/02/2026: Se reactiva por actividad en el CQ del mantenimiento
15/01/2026: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24/10/25: Se registró en Backlog. 
24/10/25: Se creo Tramite</t>
  </si>
  <si>
    <t>Demanda Táctica - 2026</t>
  </si>
  <si>
    <t>M1295</t>
  </si>
  <si>
    <t>2026-T0130</t>
  </si>
  <si>
    <t>2026-M0150</t>
  </si>
  <si>
    <t>Implementación API REST - Migración de Pago de Servicios</t>
  </si>
  <si>
    <t>Producción</t>
  </si>
  <si>
    <t>Operaciones de la Infraestructura Tecnológica</t>
  </si>
  <si>
    <t>MEMORANDO N° 00000097 - 2025-BN/2573</t>
  </si>
  <si>
    <t>PGTE-Pagos de Telefónica</t>
  </si>
  <si>
    <t>16/04/26: El pase aun no se da ya que dicho mantenimietno implican DCOM SERVER
3/11/25: Se registró en Backlog
23/03/26: Se registro tramite</t>
  </si>
  <si>
    <t>M1296</t>
  </si>
  <si>
    <t>2025-T0898</t>
  </si>
  <si>
    <t>2025-M0767</t>
  </si>
  <si>
    <t>Cambios de mandatorios de mensajes Swift</t>
  </si>
  <si>
    <t>MEMORANDO N° 00000048 - 2025-BN/3216</t>
  </si>
  <si>
    <t xml:space="preserve">13/04/26: Según CQ, actualizó el estado a 08. Producción Finalizada
12/12/25: Se registró en el Backlog.
12/12/25: Se creo trámite
Requerimiento Complementario a Recomendación de Auditoría Interna  </t>
  </si>
  <si>
    <t>M1297</t>
  </si>
  <si>
    <t>2025-T0899</t>
  </si>
  <si>
    <t>2025-M0768</t>
  </si>
  <si>
    <t>Extraccion periodica de la informacion del sistema SYGNUS que se encuentra en el entorno de Open Distribuido</t>
  </si>
  <si>
    <t xml:space="preserve">13/04/26: Según CQ, actualizó el estado a 08. Producción Finalizada
12/12/25: Se registró en el Backlog.
12/12/25: Se creo trámite
</t>
  </si>
  <si>
    <t>M1298</t>
  </si>
  <si>
    <t>2025-T0901</t>
  </si>
  <si>
    <t>Inscripción de Códigos UNP</t>
  </si>
  <si>
    <t>MEMORANDO N° 00000235 - 2025-BN/3243</t>
  </si>
  <si>
    <t>16/12/25: Se registró en el Backlog.
16/12/25: Se creo trámite
Rutinario</t>
  </si>
  <si>
    <t>M1299</t>
  </si>
  <si>
    <t>2025-T0902</t>
  </si>
  <si>
    <t>Incorporación de Códigos UNE_UNPRG_UNAJ</t>
  </si>
  <si>
    <t>MEMORANDO N° 00000227 - 2025-BN/3243</t>
  </si>
  <si>
    <t>M1300</t>
  </si>
  <si>
    <t>Identificación de riesgos cambiario crediticio para los clientes minoristas</t>
  </si>
  <si>
    <t>MEMORANDO N° 00000045 - 2025-BN/2191</t>
  </si>
  <si>
    <t>13/04/26: Según CQ, actualizó el estado a 05. En Calidad
16/12/25: Se registró en el Backlog.
16/12/25: Tramite del ID 2936
Olssa</t>
  </si>
  <si>
    <t>M1301</t>
  </si>
  <si>
    <t>2025-T0904</t>
  </si>
  <si>
    <t>2025-M0773</t>
  </si>
  <si>
    <t xml:space="preserve">Creación de Base de Datos de Clientes No Minoristas Expuestos a Riesgo Cambiario Crediticio
</t>
  </si>
  <si>
    <t>13/04/26: Según CQ, actualizó el estado a 05. En Calidad
16/12/25: Se registró en el Backlog.
16/12/25: Se creo trámite
Olssa</t>
  </si>
  <si>
    <t>M1302</t>
  </si>
  <si>
    <t>2025-T0905</t>
  </si>
  <si>
    <t>Pago Electrónico Embargos Sunat</t>
  </si>
  <si>
    <t>MEMORANDO N° 00000255 - 2025-BN/3243</t>
  </si>
  <si>
    <t>16/12/25: Se registró en el Backlog.
16/12/25: Se creo trámite
Requerimiento MEF</t>
  </si>
  <si>
    <t>M1303</t>
  </si>
  <si>
    <t>2025-T0907</t>
  </si>
  <si>
    <t>2026-M0004</t>
  </si>
  <si>
    <t>Actualización de tabla de Aranceles Indecopi</t>
  </si>
  <si>
    <t>MEMORANDO N° 00000268 - 2025-BN/3243</t>
  </si>
  <si>
    <t>RECC-Recaudación Cobranza Coactiva</t>
  </si>
  <si>
    <t>Págalo.pe (APP-Web)</t>
  </si>
  <si>
    <t xml:space="preserve">13/04/26: Según CQ, actualizó el estado a 08. Producción Finalizada
17/12/25: Se registró en el Backlog.
17/12/25: Se creo trámite
</t>
  </si>
  <si>
    <t>M1304</t>
  </si>
  <si>
    <t>2025-T0908</t>
  </si>
  <si>
    <t xml:space="preserve">Incorporar 2 tipos de documento en la transacción 9120 Indecopi  </t>
  </si>
  <si>
    <t>MEMORANDO N° 00000269 - 2025-BN/3243</t>
  </si>
  <si>
    <t xml:space="preserve">17/12/25: Se registró en el Backlog.
17/12/25: Se creo trámite
</t>
  </si>
  <si>
    <t>M1305</t>
  </si>
  <si>
    <t>2025-T0909</t>
  </si>
  <si>
    <t>2026-M0005</t>
  </si>
  <si>
    <t>Reportes de Ahorros</t>
  </si>
  <si>
    <t>MEMORANDO N° 00001465 - 2025-BN/3191</t>
  </si>
  <si>
    <t>M1306</t>
  </si>
  <si>
    <t>2025-T0910</t>
  </si>
  <si>
    <t>2026-M0009</t>
  </si>
  <si>
    <t>Funcionabilidad de la Transacción Sara web 1470</t>
  </si>
  <si>
    <t>MEMORANDO N° 00000687 - 2025-BN/3111</t>
  </si>
  <si>
    <t xml:space="preserve">13/04/26: Según CQ, actualizó el estado a 03. En Desarrollo
18/12/25: Se registró en el Backlog.
18/12/25: Se creo trámite
</t>
  </si>
  <si>
    <t>M1307</t>
  </si>
  <si>
    <t>2025-T0911</t>
  </si>
  <si>
    <t>2026-M0012</t>
  </si>
  <si>
    <t xml:space="preserve">Generación diaria de Archivo Plano de Tasas  </t>
  </si>
  <si>
    <t>MEMORANDO N° 00000240 - 2025-BN/3243</t>
  </si>
  <si>
    <t xml:space="preserve">13/04/26: Según CQ, actualizó el estado a 08. Producción Finalizada
18/12/25: Se registró en el Backlog.
18/12/25: Se creo trámite
</t>
  </si>
  <si>
    <t>M1308</t>
  </si>
  <si>
    <t>2025-T0912</t>
  </si>
  <si>
    <t>2026-M0025</t>
  </si>
  <si>
    <t xml:space="preserve">Nueva Escala - SAI-Oracle </t>
  </si>
  <si>
    <t>Selección de Personal</t>
  </si>
  <si>
    <t>MEMORANDO N° 00001791 - 2025-BN/2335</t>
  </si>
  <si>
    <t xml:space="preserve">13/04/26: Según CQ, actualizó el estado a 08. Producción Finalizada
23/12/25: Se registró en el Backlog.
23/12/25: Se creo trámite
</t>
  </si>
  <si>
    <t>M1309</t>
  </si>
  <si>
    <t>2025-T0914</t>
  </si>
  <si>
    <t>2025-M0774</t>
  </si>
  <si>
    <t>Independización de opciones en el sistema de claves del aplicativo RSIP_RHSC Registro de Personal_Compensaciones</t>
  </si>
  <si>
    <t>MEMORANDO N° 00000621 - 2024-BN/2332</t>
  </si>
  <si>
    <t>RHDL- Recursos humanos datos laborale</t>
  </si>
  <si>
    <t>M1310</t>
  </si>
  <si>
    <t>2026-T0003</t>
  </si>
  <si>
    <t>2026-M0061</t>
  </si>
  <si>
    <t>CONSULTA DE AHORROS MN, AHORROS ME, CTAS CTES MN Y CTAS CTES ME EN PLATAFORMA DE BIGDATA</t>
  </si>
  <si>
    <t>MEMORANDO N° 00001459 - 2025-BN/3191</t>
  </si>
  <si>
    <t xml:space="preserve">13/04/26: Según CQ, actualizó el estado a 03. En Desarrollo
05/01/26: Se registró en el Backlog.
05/01/26: Se creo trámite 
BIGDATA
</t>
  </si>
  <si>
    <t>M1311</t>
  </si>
  <si>
    <t>2026-T0006</t>
  </si>
  <si>
    <t>2026-M0008</t>
  </si>
  <si>
    <t>Actualización de tabla de Aranceles Indecopi Servicio Osinergmin</t>
  </si>
  <si>
    <t>Jorge Lucio Ruedas Fernandez/Angela Rocio Risco Vega</t>
  </si>
  <si>
    <t xml:space="preserve">13/04/26: Según CQ, actualizó el estado a 03. En Desarrollo
05/01/26: Se registró en el Backlog.
05/01/26: Se creo trámite 
</t>
  </si>
  <si>
    <t>M1312</t>
  </si>
  <si>
    <t>2026-T0009</t>
  </si>
  <si>
    <t>2026-M0013</t>
  </si>
  <si>
    <t>Eliminar Papeletas de Convalidación Cuerpo Banco - 2026</t>
  </si>
  <si>
    <t>MEMORANDO N° 00000125 - 2025-BN/3100</t>
  </si>
  <si>
    <t xml:space="preserve">13/04/26: Según CQ, actualizó el estado a 06. Calidad Finalizado
06/01/26: Se registró en el Backlog.
06/01/26: Se creo trámite 
</t>
  </si>
  <si>
    <t>M1313</t>
  </si>
  <si>
    <t>2026-T0014</t>
  </si>
  <si>
    <t>2026-M0015</t>
  </si>
  <si>
    <t>MN: Extracción de Datos Adquirencia VISA Prevención de Fraude (Servidor Data Lake)</t>
  </si>
  <si>
    <t>Prevención del Fraude</t>
  </si>
  <si>
    <t>Monitoreo y Respuesta del Fraude</t>
  </si>
  <si>
    <t>MEMORANDO N° 00000003 - 2026-BN/2211</t>
  </si>
  <si>
    <t>Resolución 2286 - 2024</t>
  </si>
  <si>
    <t xml:space="preserve">13/04/26: Según CQ, actualizó el estado a 03. En Desarrollo
08/01/26: Se registró en el Backlog.
08/01/26: Se creo trámite 
</t>
  </si>
  <si>
    <t>M1314</t>
  </si>
  <si>
    <t>2026-T0019</t>
  </si>
  <si>
    <t>2026-M0018</t>
  </si>
  <si>
    <t>Gestión y adecuación proceso de contabilización para las operaciones en los cajeros automaticos depositarios</t>
  </si>
  <si>
    <t>Innovación Digital</t>
  </si>
  <si>
    <t>MEMORANDO N° 00000218 - 2025-BN/7920</t>
  </si>
  <si>
    <t>Ricardo Cuba Mora/Irina Zakharova</t>
  </si>
  <si>
    <t xml:space="preserve">13/04/26: Según CQ, actualizó el estado a 03. En Desarrollo
09/01/26: Se registró en el Backlog.
12/01/26: Se creo trámite 
</t>
  </si>
  <si>
    <t>M1315</t>
  </si>
  <si>
    <t>2026-T0023</t>
  </si>
  <si>
    <t>2026-M0024</t>
  </si>
  <si>
    <t>Automatización del proceso de otorgamiento de uniforme 2026</t>
  </si>
  <si>
    <t>MEMORANDO N° 00000025 - 2026-BN/4113</t>
  </si>
  <si>
    <t xml:space="preserve">13/04/26: Según CQ, actualizó el estado a 08. Producción Finalizada
13/01/26: Se registró en el Backlog.
13/01/26: Se creo trámite 
</t>
  </si>
  <si>
    <t>M1316</t>
  </si>
  <si>
    <t>2026-T0025</t>
  </si>
  <si>
    <t>2026-M0026</t>
  </si>
  <si>
    <t>IMPLEMENTACIÓN DE ESCALA SALARIAL EN LOS SISTEMAS DE RECURSOS HUMANOS EN ENTORNO HOST Y ORACLE</t>
  </si>
  <si>
    <t>MEMORANDO N° 00002118 - 2025-BN/2332</t>
  </si>
  <si>
    <t xml:space="preserve">08/05/26: Según CQ, actualizó el estado a 05. En Calidad
04/05/26: Según CQ, actualizó el estado a 04. Desarrollo Finalizado
13/04/26: Según CQ, actualizó el estado a 03. En Desarrollo
14/01/26: Se registró en el Backlog.
14/01/26: Se creo trámite 
</t>
  </si>
  <si>
    <t>M1317</t>
  </si>
  <si>
    <t>2026-T0026</t>
  </si>
  <si>
    <t>Reportes Host para Cajeros Depositarios</t>
  </si>
  <si>
    <t>MEMORANDO N° 00000219 - 2025-BN/7920</t>
  </si>
  <si>
    <t xml:space="preserve">14/01/26: Se registró en el Backlog.
14/01/26: Se creo trámite 
</t>
  </si>
  <si>
    <t>M1318</t>
  </si>
  <si>
    <t>2026-T0033</t>
  </si>
  <si>
    <t>2026-M0033</t>
  </si>
  <si>
    <t>CAMBIO DE NOMBRES DE REPORTES DE CONTROL DE MANTENIMIENTO 2024-M0380 REPOSICION TOKEN</t>
  </si>
  <si>
    <t>Centralización y Procesamiento Contable</t>
  </si>
  <si>
    <t>MEMORANDO N° 00000004 - 2025-BN/6210</t>
  </si>
  <si>
    <t xml:space="preserve">13/04/26: Según CQ, actualizó el estado a 07. En Despliegue
16/01/26: Se registró en el Backlog.
16/01/26: Se creo trámite 
Facturacion electronica
</t>
  </si>
  <si>
    <t>M1319</t>
  </si>
  <si>
    <t>2026-T0037</t>
  </si>
  <si>
    <t>2026-M0037</t>
  </si>
  <si>
    <t>Adecuación de Boleta de Pago a Nueva Escala Salarial Vigente desde Mayo de 2026</t>
  </si>
  <si>
    <t>MEMORANDO N° 00000090 - 2026-BN/2321</t>
  </si>
  <si>
    <t>CPCE-Cero Papel Casilla Electrónica</t>
  </si>
  <si>
    <t xml:space="preserve">13/04/26: Según CQ, actualizó el estado a 03. En Desarrollo
19/01/26: Se registró en el Backlog.
19/01/26: Se creo trámite 
</t>
  </si>
  <si>
    <t>M1320</t>
  </si>
  <si>
    <t>2026-T0045</t>
  </si>
  <si>
    <t>2026-M0046</t>
  </si>
  <si>
    <t>2024-T0023 Enrolamiento en línea comercio electrónico - SARA</t>
  </si>
  <si>
    <t>MEMORANDO N° 00000134 - 2023-BN/3252</t>
  </si>
  <si>
    <t>Monica del Pilar Garcia Campana/Rossana Rojas Alvaro</t>
  </si>
  <si>
    <t xml:space="preserve">13/04/26: Según CQ, actualizó el estado a 03. En Desarrollo
27/01/26: Se registró en el Backlog.
27/01/26: Se creo trámite 
</t>
  </si>
  <si>
    <t>M1321</t>
  </si>
  <si>
    <t>2026-T0046</t>
  </si>
  <si>
    <t>2026-M0045</t>
  </si>
  <si>
    <t xml:space="preserve">Adecuación Mensajes Swift  </t>
  </si>
  <si>
    <t>MEMORANDO N° 00000005 - 2026-BN/3216</t>
  </si>
  <si>
    <t xml:space="preserve">Depósitos a Plazo Fijo </t>
  </si>
  <si>
    <t xml:space="preserve">13/04/26: Según CQ, actualizó el estado a 08. Producción Finalizada
27/01/26: Se registró en el Backlog.
27/01/26: Se creo trámite 
</t>
  </si>
  <si>
    <t>M1322</t>
  </si>
  <si>
    <t>2026-T0051</t>
  </si>
  <si>
    <t>2026-M0059</t>
  </si>
  <si>
    <t>Transferencia de información de crédito hipotecario al repositorio BigData</t>
  </si>
  <si>
    <t>MEMORANDO N° 00000059 - 2025-BN/2192</t>
  </si>
  <si>
    <t>13/04/26: Según CQ, actualizó el estado a 08. Producción Finalizada
29/01/26: Se registró en el Backlog.
29/01/26: Se creo trámite 
BIG DATA Recomendacion SBS</t>
  </si>
  <si>
    <t>M1323</t>
  </si>
  <si>
    <t>2026-T0052</t>
  </si>
  <si>
    <t>2026-M0060</t>
  </si>
  <si>
    <t>Transferencia de información del COBD al repositorio BigData</t>
  </si>
  <si>
    <t xml:space="preserve">13/04/26: Según CQ, actualizó el estado a 08. Producción Finalizada
29/01/26: Se registró en el Backlog.
29/01/26: Se creo trámite 
BIG DATA
</t>
  </si>
  <si>
    <t>M1324</t>
  </si>
  <si>
    <t>2026-T0057</t>
  </si>
  <si>
    <t>2026-M0055</t>
  </si>
  <si>
    <t>Modificación Tasa de Interés Compra de Deuda</t>
  </si>
  <si>
    <t>MEMORANDO N° 00000082 - 2026-BN3347</t>
  </si>
  <si>
    <t>13/04/26: Según CQ, actualizó el estado a 08. Producción Finalizada
31/03/2026: fue retirada el día de hoy de la Ficha de Iniciativas, debido a que ya se encuentra registrada en el Backlog y viene siendo atendida. 
Cabe indicar que esta iniciativa formaba parte de la lista de prioridad 1.
02/02/2026: Se registró en el Backlog.
02/02/2026: Se creó trámite.
Analista asignado : Pedro Encalada</t>
  </si>
  <si>
    <t>M1325</t>
  </si>
  <si>
    <t>2026-T0058</t>
  </si>
  <si>
    <t>2026-M0056</t>
  </si>
  <si>
    <t>Validación nombre del Tarjeta Habiente en transacción ANI</t>
  </si>
  <si>
    <t>MEMORANDO N° 00000008 - 2026-BN/3252</t>
  </si>
  <si>
    <t>Mandato Visa - Account Name Inquiry (ANI) - Validación del nombre de titular de la tarjeta en transacciones electrónicas</t>
  </si>
  <si>
    <t>13/04/26: Según CQ, actualizó el estado a 03. En Desarrollo
02/02/2026: Se registró en el Backlog.
02/02/2026: Se creó trámite.</t>
  </si>
  <si>
    <t>M1326</t>
  </si>
  <si>
    <t>2026-T0059</t>
  </si>
  <si>
    <t>2026-M0078</t>
  </si>
  <si>
    <t>Requerimiento Proyecto y Optimización de la aplicación SACH</t>
  </si>
  <si>
    <t>MEMORANDO N° 00000012 - 2026-BN/2560</t>
  </si>
  <si>
    <t>16/04/26: El pase aun no se da ya que dicho mantenimietno implican DCOM SERVER
13/04/26: Según CQ, actualizó el estado a 03. En Desarrollo
03/02/2026: Se registró en el Backlog.
03/02/2026: Se creó trámite.</t>
  </si>
  <si>
    <t>M1327</t>
  </si>
  <si>
    <t>2026-T0060</t>
  </si>
  <si>
    <t>2026-M0079</t>
  </si>
  <si>
    <t>Proyecto Migración y Optimización de la Aplicación BDUC</t>
  </si>
  <si>
    <t>MEMORANDO N° 00000013 - 2026-BN/2560</t>
  </si>
  <si>
    <t>13/04/26: Según CQ, actualizó el estado a 03. En Desarrollo
03/02/2026: Se registró en el Backlog.
03/02/2026: Se creó trámite.</t>
  </si>
  <si>
    <t>M1328</t>
  </si>
  <si>
    <t>2026-T0063</t>
  </si>
  <si>
    <t>2026-M0058</t>
  </si>
  <si>
    <t>Transferencia de Información del GRF10 y tipo de cambio al repositorio BIGDATA</t>
  </si>
  <si>
    <t>MEMORANDO N° 00000008 - 2026-BN/2192</t>
  </si>
  <si>
    <t>M1329</t>
  </si>
  <si>
    <t>2026-T0064</t>
  </si>
  <si>
    <t>2026-M0067</t>
  </si>
  <si>
    <t>Reporte Depósitos Judiciales Administrativos Pendientes de Cancelación</t>
  </si>
  <si>
    <t>MEMORANDO N° 00000031 - 2026-BN/3212</t>
  </si>
  <si>
    <t>13/04/26: Según CQ, actualizó el estado a 08. Producción Finalizada
05/02/2026: Se registró en el Backlog.
05/02/2026: Se creó trámite.</t>
  </si>
  <si>
    <t>M1330</t>
  </si>
  <si>
    <t>2026-T0065</t>
  </si>
  <si>
    <t>2026-M0064</t>
  </si>
  <si>
    <t>INCA: Mandatorio VISA Habilitación del servicio Account FundsTransfer (AFT) para el procesamiento de transferencias en tiempo real.</t>
  </si>
  <si>
    <t>MEMORANDO N° 00000026 - 2026-BN/3252</t>
  </si>
  <si>
    <t>Mandato VISA - Account Funds Tranfer (AFT) - Procesamiento en tiempo real como Emisor</t>
  </si>
  <si>
    <t>13/04/26: Según CQ, actualizó el estado a 03. En Desarrollo
05/02/2026: Se registró en el Backlog.
05/02/2026: Se creó trámite.</t>
  </si>
  <si>
    <t>M1331</t>
  </si>
  <si>
    <t>2026-T0070</t>
  </si>
  <si>
    <t>2026-M0069</t>
  </si>
  <si>
    <t>MN: Decimo Mantenimiento Preventivo/Correctivo del Sistema Tramite Documentario</t>
  </si>
  <si>
    <t>MEMORANDO N° 00000008 - 2026-BN/2202</t>
  </si>
  <si>
    <t xml:space="preserve">Sistemas administrativos </t>
  </si>
  <si>
    <t>13/04/26: Según CQ, actualizó el estado a 08. Producción Finalizada
06/02/2026: Se registró en el Backlog.
06/02/2026: Se creó trámite.</t>
  </si>
  <si>
    <t>M1332</t>
  </si>
  <si>
    <t>2026-T0073</t>
  </si>
  <si>
    <t>2026-M0071</t>
  </si>
  <si>
    <t>Tarjeta de Crédito sin Seguro de Desgravamen (Ampliación)</t>
  </si>
  <si>
    <t>HOJA DE ENVIO N° 00000001 - 2026-BN/3344</t>
  </si>
  <si>
    <t>05/05/26: Según CQ, actualizó el estado a 03. En Desarrollo
29/04/26: Según CQ, actualizó el estado a 04. Desarrollo Finalizado
13/04/26: Según CQ, actualizó el estado a 03. En Desarrollo
10/02/2026: Se registró en el Backlog.
10/02/2026: Se creó trámite.</t>
  </si>
  <si>
    <t>M1333</t>
  </si>
  <si>
    <t>2026-T0077</t>
  </si>
  <si>
    <t>2026-M0077</t>
  </si>
  <si>
    <t>Renombrar, Reporte y Comisiones Códigos Transacción de Desembolso</t>
  </si>
  <si>
    <t>27/04/26: Según CQ, actualizó el estado a 09. Descartado
13/04/26: Según CQ, actualizó el estado a 03. En Desarrollo
11/02/2026: Se registró en el Backlog.
11/02/2026: Se creó trámite.</t>
  </si>
  <si>
    <t>Descartada</t>
  </si>
  <si>
    <t>M1334</t>
  </si>
  <si>
    <t>2026-T0078</t>
  </si>
  <si>
    <t>2026-M0076</t>
  </si>
  <si>
    <t>Catalogados Scotiabank</t>
  </si>
  <si>
    <t>MEMORANDO N° 00000243 - 2025-BN/3243</t>
  </si>
  <si>
    <t>13/04/26: Según CQ, actualizó el estado a 08. Producción Finalizada
11/02/2026: Se registró en el Backlog.
11/02/2026: Se creó trámite.</t>
  </si>
  <si>
    <t>M1335</t>
  </si>
  <si>
    <t>2026-T0089</t>
  </si>
  <si>
    <t>2026-M0089</t>
  </si>
  <si>
    <t>Información CDJS por número de expediente</t>
  </si>
  <si>
    <t>MEMORANDO N° 00000011 - 2026-BN/3212</t>
  </si>
  <si>
    <t>13/04/26: Según CQ, actualizó el estado a 08. Producción Finalizada
19/02/2026: Se registró en el Backlog.
19/02/2026: Se creó trámite.</t>
  </si>
  <si>
    <t>M1336</t>
  </si>
  <si>
    <t>2026-T0090</t>
  </si>
  <si>
    <t>Trasferencias Interbancarias Inmediatas CCE - Proyecto Masivas y Antifraude CCE</t>
  </si>
  <si>
    <t>MEMORANDO N° 00000020 - 2026-BN/3116</t>
  </si>
  <si>
    <t>19/02/2026: Se registró en el Backlog.
19/02/2026: Se creó trámite.</t>
  </si>
  <si>
    <t>M1337</t>
  </si>
  <si>
    <t>2026-T0091</t>
  </si>
  <si>
    <t>2026-M0090</t>
  </si>
  <si>
    <t>Creación de RPA - Embargos Judiciales</t>
  </si>
  <si>
    <t>MEMORANDO N° 00000030 - 2026-BN/3212</t>
  </si>
  <si>
    <t>RPAI-Robotic Process Automation Integration</t>
  </si>
  <si>
    <t>13/04/26: Según CQ, actualizó el estado a 05. En Calidad
19/02/2026: Se registró en el Backlog.
19/02/2026: Se creó trámite.</t>
  </si>
  <si>
    <t>M1338</t>
  </si>
  <si>
    <t>REPORTE DE PLANTA DE PENSIONISTAS</t>
  </si>
  <si>
    <t>Administración de Relaciones Laborales y Previsionales</t>
  </si>
  <si>
    <t>MEMORANDO N° 00000122 - 2026-BN/2336</t>
  </si>
  <si>
    <t>23/02/2026: Se registró en el Backlog.
23/02/2026: Se creó trámite.</t>
  </si>
  <si>
    <t>M1339</t>
  </si>
  <si>
    <t>2026-T0100</t>
  </si>
  <si>
    <t>2026-M0097</t>
  </si>
  <si>
    <t>Onceavo Mantenimiento Preventivo/Correctivo del Sistema Tramite Documentario</t>
  </si>
  <si>
    <t>Solicitud de Cambio STD-SC-01</t>
  </si>
  <si>
    <t>13/04/26: Según CQ, actualizó el estado a 08. Producción Finalizada
26/02/2026: Se registró en el Backlog.
26/02/2026: Se creó trámite.</t>
  </si>
  <si>
    <t>M1340</t>
  </si>
  <si>
    <t>2026-T0102</t>
  </si>
  <si>
    <t>2026-M0100</t>
  </si>
  <si>
    <t>Actualizar el monto minimo de costo a S/1.00 en el canal Págalo.pe (App y Web)</t>
  </si>
  <si>
    <t>MEMORANDO N° 00000047 - 2026-BN-3252</t>
  </si>
  <si>
    <t>26/02/2026: Se registró en el Backlog.
26/02/2026: Se creó trámite.</t>
  </si>
  <si>
    <t>Registrado</t>
  </si>
  <si>
    <t>M1341</t>
  </si>
  <si>
    <t>2026-T0105</t>
  </si>
  <si>
    <t>2026-M0102</t>
  </si>
  <si>
    <t xml:space="preserve">Cámara de Compensación
Electrónica (CCE) - Proyecto LUMEN
</t>
  </si>
  <si>
    <t>MEMORANDO N° 00000031 - 2026-BN/3116</t>
  </si>
  <si>
    <t>SSTI-SIX STI TRANSFERENCIAS INTERBANCARIAS</t>
  </si>
  <si>
    <t>19/05/26: Según CQ, actualizó el estado a 08. Producción Finalizada
24/04/26: Según CQ, actualizó el estado a 06. Calidad Finalizado
13/04/26: Según CQ, actualizó el estado a 05. En Calidad
03/03/2026: Se registró en el Backlog.
02/03/2026: Se creó trámite.</t>
  </si>
  <si>
    <t>M1342</t>
  </si>
  <si>
    <t>2026-T0106</t>
  </si>
  <si>
    <t>2026-M0103</t>
  </si>
  <si>
    <t>PARÁMETROS PARA EL OTORGAMIENTO DE PRÉSTAMOS MULTIRED A 72 MESES</t>
  </si>
  <si>
    <t>MEMORANDO N° 00000043 - 2026-BN/3347</t>
  </si>
  <si>
    <t>13/04/26: Según CQ, actualizó el estado a 08. Producción Finalizada
31/03/2026: fue retirada el día de hoy de la Ficha de Iniciativas, debido a que ya se encuentra registrada en el Backlog y viene siendo atendida. 
Cabe indicar que esta iniciativa formaba parte de la lista de prioridad 1.
04/03/2026: Se registró en el Backlog.
04/03/2026: Se creó trámite.</t>
  </si>
  <si>
    <t>M1343</t>
  </si>
  <si>
    <t>2026-T0107</t>
  </si>
  <si>
    <t>2026-M0114</t>
  </si>
  <si>
    <t>MENSAJE PROMOCIONAL POR LA SEMANA MUNDIAL DEL AHORRO, DÉCIMA EDICIÓN</t>
  </si>
  <si>
    <t>Desarrollo y Seguimiento</t>
  </si>
  <si>
    <t>MEMORANDO N° 00000016 - 2026-BN/8411</t>
  </si>
  <si>
    <t>13/04/26: Según CQ, actualizó el estado a 03. En Desarrollo
31/03/2026: fue retirada el día de hoy de la Ficha de Iniciativas, debido a que ya se encuentra registrada en el Backlog y viene siendo atendida. 
Cabe indicar que esta iniciativa formaba parte de la lista de prioridad 1.
04/03/2026: Se registró en el Backlog.
04/03/2026: Se creó trámite.</t>
  </si>
  <si>
    <t>M1344</t>
  </si>
  <si>
    <t>2026-T0108</t>
  </si>
  <si>
    <t>2026-M0121</t>
  </si>
  <si>
    <t>MENSAJE PROMOCIONAL POR LA SEMANA MUNDIAL DEL AHORRO, X EDICIÓN</t>
  </si>
  <si>
    <t>19/05/26: Según CQ, actualizó el estado a 05. En Calidad
24/04/26: Según CQ, actualizó el estado a 06. Calidad Finalizado
20/04/26: Según CQ, actualizó el estado a 05. En Calidad
13/04/26: Según CQ, actualizó el estado a 04. Desarrollo Finalizado
31/03/2026: fue retirada el día de hoy de la Ficha de Iniciativas, debido a que ya se encuentra registrada en el Backlog y viene siendo atendida. 
Cabe indicar que esta iniciativa formaba parte de la lista de prioridad 1.
04/03/2026: Se registró en el Backlog.
04/03/2026: Se creó trámite.</t>
  </si>
  <si>
    <t>Devuelto</t>
  </si>
  <si>
    <t>M1345</t>
  </si>
  <si>
    <t>2026-T0111</t>
  </si>
  <si>
    <t>2026-M0106</t>
  </si>
  <si>
    <t>Cargos Recurrente_Tarjetas Vencidas</t>
  </si>
  <si>
    <t>MEMORANDO N° 00000024 - 2026-BN-3252</t>
  </si>
  <si>
    <t>13/04/26: Según CQ, actualizó el estado a 03. En Desarrollo
05/03/2026: Se registró en el Backlog.
05/03/2026: Se creó trámite.</t>
  </si>
  <si>
    <t>M1346</t>
  </si>
  <si>
    <t>2026-T0117</t>
  </si>
  <si>
    <t>2026-M0110</t>
  </si>
  <si>
    <t>MN: Doceavo Mantenimiento Preventivo/Correctivo del Sistema Tramite Documentario</t>
  </si>
  <si>
    <t>MEMORANDO N° 00000019 - 2026-BN/2202</t>
  </si>
  <si>
    <t>13/04/26: Según CQ, actualizó el estado a 08. Producción Finalizada
13/03/2026: Se registró en el Backlog.
13/03/2026: Se creó trámite.</t>
  </si>
  <si>
    <t>M1347</t>
  </si>
  <si>
    <t>2026-T0122</t>
  </si>
  <si>
    <t>2026-M0122</t>
  </si>
  <si>
    <t>Actualización de campos en el caso de 9611 en el módulo BICOC: Modificación de Resultado de Investigación, Fechas y Hora ROS (OC) y Correlativos ROS y ROI</t>
  </si>
  <si>
    <t>MEMORANDO N° 00000007 -2026-BN/1200</t>
  </si>
  <si>
    <t>Herbert Christian Rojas Matos</t>
  </si>
  <si>
    <t>13/04/26: Según CQ, actualizó el estado a 08. Producción Finalizada
17/03/2026: Se registró en el Backlog.
17/03/2026: Se creó trámite.</t>
  </si>
  <si>
    <t>M1348</t>
  </si>
  <si>
    <t>2026-T0129</t>
  </si>
  <si>
    <t>2026-M0120</t>
  </si>
  <si>
    <t>Enlace o botón de libro de reclamaciones digital en Págalo.pe</t>
  </si>
  <si>
    <t>MEMORANDO N° 00000074 -2026-BN/3252</t>
  </si>
  <si>
    <t>Sistemas bancarios</t>
  </si>
  <si>
    <t>08/05/26: Según CQ, actualizó el estado a 08. Producción Finalizada
13/04/26: Según CQ, actualizó el estado a 07. En Despliegue
20/03/2026: Se registró en el Backlog.
20/03/2026: Se creó trámite.</t>
  </si>
  <si>
    <t>M1349</t>
  </si>
  <si>
    <t>2026-T0132</t>
  </si>
  <si>
    <t>Plan de creación de Cuenta DNI en Core BN</t>
  </si>
  <si>
    <t>MEMORANDO N° 00000138 - 2026-BN/3111</t>
  </si>
  <si>
    <t>24/03/2026: Se registró en el Backlog.
24/03/2026: Se creó trámite.</t>
  </si>
  <si>
    <t>M1350</t>
  </si>
  <si>
    <t>2026-T0144</t>
  </si>
  <si>
    <t>2026-M0136</t>
  </si>
  <si>
    <t>AUTOMATIZACIÓN DEL PROCESO DE OTORGAMIENTO DE TARJETAS DE PRESTACIÓN ALIMENTARIA</t>
  </si>
  <si>
    <t>MEMORANDO N° 00000138 - 2026-BN4113</t>
  </si>
  <si>
    <t>Ley de Prestaciones Alimentarias</t>
  </si>
  <si>
    <t xml:space="preserve">22/04/26: Según CQ, actualizó el estado a 07. En Despliegue
13/04/26: Según CQ, actualizó el estado a 03. En Desarrollo
30/03/2026: Se registró en el Backlog.
31/03/2026: Se creo tramite
</t>
  </si>
  <si>
    <t>M1351</t>
  </si>
  <si>
    <t>2026-T0141</t>
  </si>
  <si>
    <t>2026-M0134</t>
  </si>
  <si>
    <t>Operatividad en Cuentas de Organizaciones Políticas</t>
  </si>
  <si>
    <t>MEMORANDO N° 00000660 - 2026-BN3191</t>
  </si>
  <si>
    <t xml:space="preserve">18/05/26: Según CQ, actualizó el estado a 05. En Calidad
08/05/26: Según CQ, actualizó el estado a 04. Desarrollo Finalizado
13/04/26: Según CQ, actualizó el estado a 03. En Desarrollo
30/03/2026: Se registró en el Backlog.
30/03/2026: Se creo tramite
</t>
  </si>
  <si>
    <t>M1352</t>
  </si>
  <si>
    <t>2026-T0146</t>
  </si>
  <si>
    <t>Requerimiento de Almacenamiento y consulta del Log de Auditoria de BDUC</t>
  </si>
  <si>
    <t>MEMORANDO N° 00000348 -2026-BN/3111</t>
  </si>
  <si>
    <t xml:space="preserve">31/03/2026: Se registró en el Backlog.
31/03/2026: Se creo tramite
</t>
  </si>
  <si>
    <t>M1353</t>
  </si>
  <si>
    <t>2026-T0147</t>
  </si>
  <si>
    <t>Implementación del RADI en su FASE II para la integración de los sistemas del banco para la comercialización de seguros optativos.</t>
  </si>
  <si>
    <t>MEMORANDO N° 00000024 - 2026-BN3345</t>
  </si>
  <si>
    <t xml:space="preserve">31/03/2026: Se registró en el Backlog.
Lista de prioridad 1
</t>
  </si>
  <si>
    <t>M1354</t>
  </si>
  <si>
    <t>2026-T0149</t>
  </si>
  <si>
    <t>2026-M0142</t>
  </si>
  <si>
    <t>Limites Operativos en las Cuentas de Partidos Políticos</t>
  </si>
  <si>
    <t xml:space="preserve">31/03/2026: Se registró en el Backlog.
01/04/2026: Se creó trámite
</t>
  </si>
  <si>
    <t>M1355</t>
  </si>
  <si>
    <t>2026-T0150</t>
  </si>
  <si>
    <t>2026-M0156</t>
  </si>
  <si>
    <t>ACTUALIZACIÓN DE FORMATO ACCIÓN DESPLAZAMIENTO DE PERSONA</t>
  </si>
  <si>
    <t>MEMORANDO N° 00000337 - 2026-BN2335</t>
  </si>
  <si>
    <t xml:space="preserve">20/04/26: Según CQ, actualizó el estado a 03. En Desarrollo
01/04/2026: Se registró en el Backlog.
01/04/2026: Se creó tramite
</t>
  </si>
  <si>
    <t>M1356</t>
  </si>
  <si>
    <t>2026-T0151</t>
  </si>
  <si>
    <t>2026-M0157</t>
  </si>
  <si>
    <t>Actualizar Datos primarios de Trabajadores que ingresaron con nueva escala</t>
  </si>
  <si>
    <t xml:space="preserve">20/04/26: Según CQ, actualizó el estado a 03. En Desarrollo
01/04/2026: Se registró en el Backlog.
06/04/2026: Se creó tramite
</t>
  </si>
  <si>
    <t>M1357</t>
  </si>
  <si>
    <t>2026-T0152</t>
  </si>
  <si>
    <t>2026-M0158</t>
  </si>
  <si>
    <t>Restablecer Grilla en Oracle (ADP)</t>
  </si>
  <si>
    <t xml:space="preserve">18/05/26: Según CQ, actualizó el estado a 05. En Calidad
08/05/26: Según CQ, actualizó el estado a 04. Desarrollo Finalizado
20/04/26: Según CQ, actualizó el estado a 03. En Desarrollo
01/04/2026: Se registró en el Backlog.
06/04/2026: Se creó tramite
</t>
  </si>
  <si>
    <t>M1358</t>
  </si>
  <si>
    <t>2026-T0155</t>
  </si>
  <si>
    <t>2026-M0140</t>
  </si>
  <si>
    <t>Migración de Datos Hacia Big Data-Hito 1 Productos pasivos</t>
  </si>
  <si>
    <t>Innovación y Transformación Digital</t>
  </si>
  <si>
    <t>Datos y Analítica Avanzada</t>
  </si>
  <si>
    <t>MEMORANDO N° 00000015 - 2026-BN/7820</t>
  </si>
  <si>
    <t xml:space="preserve">12/05/26: Según CQ, actualizó el estado a 05. En Calidad
13/04/26: Según CQ, actualizó el estado a 03. En Desarrollo
07/04/2026: Se registró en el Backlog.
07/04/2026: Se creó tramite
</t>
  </si>
  <si>
    <t>Observado_Certificacion</t>
  </si>
  <si>
    <t>=SI(
   O(
     [@[Estado TI]]="09. Descartado";
     [@[Comienzo Desarrollo]]="";
     [@[Fin Producción]]=""
   );
   "";
   [@[% PLANIFICADO]][@[% COMPLETADO]]
)</t>
  </si>
  <si>
    <t>M0580</t>
  </si>
  <si>
    <t>2024-T0310</t>
  </si>
  <si>
    <t>04/02/2026: Cartera reasignada a Tomas Calvera
18/12/25: Según CQ, actualizó el estado a 03. En Desarrollo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05/09/2025: Cartera reasignada a Omar Sarmiento
11/08/2025: Cartera reasignada a Percy Silva
14/03/2025: Maribel M. indicó que está a la espera de la confirmación del usuario para poder cerrar el mantenimiento en el CQ
23/01/2025 Cartera reasignada a Milagros Huamaní
13/08/24 Requerimiento se viene atendiendo por Construcción.</t>
  </si>
  <si>
    <t>M1359</t>
  </si>
  <si>
    <t>2026-T0173</t>
  </si>
  <si>
    <t>2026-M0167</t>
  </si>
  <si>
    <t>Desarrollo de Vulnerabilidades de  SARE  INTERNET</t>
  </si>
  <si>
    <t>MEMORANDO N° 00000055 - 2026-BN/7840</t>
  </si>
  <si>
    <t xml:space="preserve">19/05/26: Según CQ, actualizó el estado a 03. En Desarrollo
22/04/2026: Se registró en el Backlog.
22/04/2026: Se creó tramite
</t>
  </si>
  <si>
    <t>M1360</t>
  </si>
  <si>
    <t>2026-T0176</t>
  </si>
  <si>
    <t>2026-M0168</t>
  </si>
  <si>
    <t>Agregar especificaciones normativas en el SARE y actualizaciones  (Libro de Reclamaciones)</t>
  </si>
  <si>
    <t>MEMORANDO N° 00000059 - 2026-BN/7840</t>
  </si>
  <si>
    <t>M1361</t>
  </si>
  <si>
    <t>2026-T0174</t>
  </si>
  <si>
    <t>2026-M0165</t>
  </si>
  <si>
    <t>Mensajería Swift MT940 y MT950</t>
  </si>
  <si>
    <t>MEMORANDO N° 00000018 -2026-BN/3216</t>
  </si>
  <si>
    <t xml:space="preserve">19/05/26: Según CQ, actualizó el estado a 05. En Calidad
22/04/2026: Se registró en el Backlog.
22/04/2026: Se creó tramite
</t>
  </si>
  <si>
    <t>M1362</t>
  </si>
  <si>
    <t>2026-T0095</t>
  </si>
  <si>
    <t>DNI (ANVERSO Y REVERSO) EN APLICATIVO FACTORING BN</t>
  </si>
  <si>
    <t>MEMORANDO N° 00000004 - 2026-BN/8403</t>
  </si>
  <si>
    <t>6/05/2026: Se registró en el Backlog.
6/05/2026: Se creo Trámite
Analista: David Coca</t>
  </si>
  <si>
    <t>M1363</t>
  </si>
  <si>
    <t>2026-T0008</t>
  </si>
  <si>
    <t>2026-M0011</t>
  </si>
  <si>
    <t>ANEXO_2_IN_PROCESOBATCH</t>
  </si>
  <si>
    <t>19/05/26: Según CQ, actualizó el estado a 05. En Calidad
06/05/26: Se regularizó su registró en el Backlog.</t>
  </si>
  <si>
    <t>M1364</t>
  </si>
  <si>
    <t>2026-T0054</t>
  </si>
  <si>
    <t>2026-M0052</t>
  </si>
  <si>
    <t>ME: IMPLEMENTACIÓN DE NUEVA ESCALA SALARIAL EN LOS SISTEMAS DE RECURSOS HUMANOS - ENTORNO HOST - ADP</t>
  </si>
  <si>
    <t>19/05/26: Según CQ, actualizó el estado a 08. Producción Finalizada
06/05/26: Se regularizó su registró en el Backlog.</t>
  </si>
  <si>
    <t>M1365</t>
  </si>
  <si>
    <t>2026-T0074</t>
  </si>
  <si>
    <t>2026-M0072</t>
  </si>
  <si>
    <t>ME: CONTROLES PARA EL PROCESO DE COBRANZA AUTOMÁTICA DE PRÉSTAMO MULTIRED - AHORROS</t>
  </si>
  <si>
    <t>19/05/26: Según CQ, actualizó el estado a 03. En Desarrollo
06/05/26: Se regularizó su registró en el Backlog.</t>
  </si>
  <si>
    <t>M1366</t>
  </si>
  <si>
    <t>2025-T0888</t>
  </si>
  <si>
    <t>2025-M0755</t>
  </si>
  <si>
    <t>SOPORTE PARA LA INTEGRACION DE LOS CAJEROS MULTIFUNCIONALES Y REPORTES DE CONCILIACION VISA</t>
  </si>
  <si>
    <t>M1367</t>
  </si>
  <si>
    <t>2026-T0056</t>
  </si>
  <si>
    <t>2026-M0054</t>
  </si>
  <si>
    <t>MODIFICAR EL MODULO DE ORACLE RH PARA PERMITIR LA CONVIVENCIA DE MOVIMIENTOS HORIZONTALES DE ADPS EN EL FORMATO ANTERIOR DE CARGO, CATEGORIA Y LOS MOVIMIENTOS HORIZONTALES DE ADPS EN EL FORMATO ACTUAL</t>
  </si>
  <si>
    <t>M1368</t>
  </si>
  <si>
    <t>2025-T0889</t>
  </si>
  <si>
    <t>2025-M0756</t>
  </si>
  <si>
    <t>PROYECTO APERTURA DE CUENTAS DE PARTIDOS POLITICOS</t>
  </si>
  <si>
    <t>SITB-Sistema de Transacciones Bancarias</t>
  </si>
  <si>
    <t>M1369</t>
  </si>
  <si>
    <t>2025-T0892</t>
  </si>
  <si>
    <t>2025-M0760</t>
  </si>
  <si>
    <t>ME:  LEVANTAR VULNERABILIDADES OWASP  LOS TICKET DE ATENCION 2024-M0252 Y 2025-M0535</t>
  </si>
  <si>
    <t>06/05/26: Se regularizó su registró en el Backlog.</t>
  </si>
  <si>
    <t>M1370</t>
  </si>
  <si>
    <t>2025-T0886</t>
  </si>
  <si>
    <t>2025-M0753</t>
  </si>
  <si>
    <t>MEJORA EN LOS PROCESOS MENSUALES- NO INCLUIR COMPROBANTES CONTABLES DE FIN DE MES LA INFORMACION DE LAS CUENTAS DE  TC. CASTIGADAS</t>
  </si>
  <si>
    <t>M1371</t>
  </si>
  <si>
    <t>2026-T0061</t>
  </si>
  <si>
    <t>2026-M0057</t>
  </si>
  <si>
    <t>MC:TABULACIÓN DEL RCD</t>
  </si>
  <si>
    <t>M1372</t>
  </si>
  <si>
    <t>2025-T0879</t>
  </si>
  <si>
    <t>2025-M0746</t>
  </si>
  <si>
    <t>EL PODER JUDICIAL NECESITA ACTUALIZAR SU TUPA PARA EL PERIODO 2025 DEBIENDO CAMBIAR LA GLOSA DE LOS CONCEPTOS Y LOS IMPORTES.</t>
  </si>
  <si>
    <t>M1373</t>
  </si>
  <si>
    <t>2025-T0887</t>
  </si>
  <si>
    <t>2025-M0754</t>
  </si>
  <si>
    <t>SOPORTE PARA LA ATENCION DE INCIDENCIAS VISA Y CAMBIOS MANDATARIOS</t>
  </si>
  <si>
    <t>M1374</t>
  </si>
  <si>
    <t>2025-T0877</t>
  </si>
  <si>
    <t>2025-M0744</t>
  </si>
  <si>
    <t>ACTUALIZACION DE COMPONENTES DE LLAVE ZEK TARJETA TESORO</t>
  </si>
  <si>
    <t>M1375</t>
  </si>
  <si>
    <t>2025-T0881</t>
  </si>
  <si>
    <t>2025-M0748</t>
  </si>
  <si>
    <t>MODIFICACION DE TABLAS LOG DE LAS TABLAS INTERMEDIAS ORACLE</t>
  </si>
  <si>
    <t>N°</t>
  </si>
  <si>
    <t>Indicador</t>
  </si>
  <si>
    <t>PROYECTO</t>
  </si>
  <si>
    <t>Gestor</t>
  </si>
  <si>
    <t>% Completado</t>
  </si>
  <si>
    <t>Fecha Inicio</t>
  </si>
  <si>
    <t>Fecha Fin</t>
  </si>
  <si>
    <t>Esfuerzo Total</t>
  </si>
  <si>
    <t>Esfuerzo Utilizado</t>
  </si>
  <si>
    <t>Total Esfuerzo Pendiente 
(horas desarrollo)</t>
  </si>
  <si>
    <t>EN CURSO 🟢</t>
  </si>
  <si>
    <t>Cuenta DNI (Cloud)</t>
  </si>
  <si>
    <t>Milagros Huamaní</t>
  </si>
  <si>
    <t>EN RIESGO 🟡</t>
  </si>
  <si>
    <t>Quiosco Multimedia</t>
  </si>
  <si>
    <t>Pedro Peña</t>
  </si>
  <si>
    <t>Cajeros Depositarios</t>
  </si>
  <si>
    <t>Alcides Quicano</t>
  </si>
  <si>
    <t>ATRASADO 🔴</t>
  </si>
  <si>
    <t>Banca Móvil / Banca por Internet</t>
  </si>
  <si>
    <t>Elia Muñoz</t>
  </si>
  <si>
    <t>Pagaduría</t>
  </si>
  <si>
    <t>Riesgo Operacional</t>
  </si>
  <si>
    <t>Lizzet  Sanchez</t>
  </si>
  <si>
    <t>Sentinel</t>
  </si>
  <si>
    <t>Lizzet Sanchez</t>
  </si>
  <si>
    <t>NO INICIADO</t>
  </si>
  <si>
    <t xml:space="preserve">Adquisición e instalación de 454 Cajeros Automáticos y SVGD´s </t>
  </si>
  <si>
    <t xml:space="preserve">Proyecto de Transformación Digital del Banco de la Nación </t>
  </si>
  <si>
    <t>BID</t>
  </si>
  <si>
    <t>Yamela Valenzuela</t>
  </si>
  <si>
    <t xml:space="preserve">   Gestión Documental Digital </t>
  </si>
  <si>
    <t>BID-C1</t>
  </si>
  <si>
    <t xml:space="preserve">   Uso de canales de comunicación digital</t>
  </si>
  <si>
    <t xml:space="preserve">   Aplicación de Metodología Ágil</t>
  </si>
  <si>
    <t xml:space="preserve">   Estrategia de Transformación Digital y Metodología incorporando perspectiva de genero y diversidad</t>
  </si>
  <si>
    <t xml:space="preserve">   Optimización e Integración de Procesos del Core del BN con Perspectiva de Género y Diversidad</t>
  </si>
  <si>
    <t xml:space="preserve">   Gestión del cambio con enfoque de género y diversidad </t>
  </si>
  <si>
    <t xml:space="preserve">   Metodología de aprendizaje para la Transformación Digital de Banca con inclusión financiera y con enfoque de género y diversidad </t>
  </si>
  <si>
    <t xml:space="preserve">   Programas de capacitación de temas priorizados</t>
  </si>
  <si>
    <t xml:space="preserve">   Adquisición de equipos tecnológicos especializados para los canales presenciales (para agencias piloto).</t>
  </si>
  <si>
    <t xml:space="preserve">   Optimización de canales Digitales, Servicios financieros y de mercadeo </t>
  </si>
  <si>
    <t xml:space="preserve">   Diseño e implementación de estrategia de fortalecimiento institucional de género y diversidad</t>
  </si>
  <si>
    <t xml:space="preserve">   Core Bancario Implementado</t>
  </si>
  <si>
    <t>BID-C2</t>
  </si>
  <si>
    <t xml:space="preserve">   Sistema de Recaudación y Canal Págalo.pe Implementados</t>
  </si>
  <si>
    <t xml:space="preserve">   Capacitación en Metodologías Desarrollo de Software </t>
  </si>
  <si>
    <t xml:space="preserve">   Tecnologías escalables implementadas</t>
  </si>
  <si>
    <t xml:space="preserve">   Nuevos Procesos de Gestión y protección de datos</t>
  </si>
  <si>
    <t xml:space="preserve">   Actualización de la Metodologia de Desarrollo de Sotfware</t>
  </si>
  <si>
    <t xml:space="preserve">   Adquisiciones de infraestructura tecnologica - CCD Chiclayo</t>
  </si>
  <si>
    <t>BID-C3</t>
  </si>
  <si>
    <t xml:space="preserve">   Servicios especializados de ciberseguridad (ADV, EH, Threat Intel, IR)</t>
  </si>
  <si>
    <t xml:space="preserve">   Centro de Operaciones de ciberseguridad (SOC)</t>
  </si>
  <si>
    <t xml:space="preserve">   Adecuación de las políticas de gestión de riesgo de ciberseguridad</t>
  </si>
  <si>
    <t xml:space="preserve">   Planes de acción para cumplimiento del SGSIC (Sistema de Gestión de Seguridad de la Información y Ciberseguridad) </t>
  </si>
  <si>
    <t xml:space="preserve">   Planes de acción para cumplimiento de Payment Card Industry - PCI DSS </t>
  </si>
  <si>
    <t xml:space="preserve">   Actualización de los planes de contingencia y recuperación ante desastres.</t>
  </si>
  <si>
    <t xml:space="preserve">   Servicio de protección y control de acceso IAM SSO</t>
  </si>
  <si>
    <t xml:space="preserve">   Herramientas de Ciberseguridad</t>
  </si>
  <si>
    <t xml:space="preserve">   Prueba de planes de contingencia </t>
  </si>
  <si>
    <t xml:space="preserve">   Antibots (Web Application Firewall, API protection y bots)</t>
  </si>
  <si>
    <t xml:space="preserve">   Seguridad en el Ciclo de Desarrollo de Sotfware</t>
  </si>
  <si>
    <t xml:space="preserve">   Seguridad en la nube</t>
  </si>
  <si>
    <t xml:space="preserve">   Vault Server</t>
  </si>
  <si>
    <t>&lt;10%</t>
  </si>
  <si>
    <t>&gt;= 10% || &lt; 20%</t>
  </si>
  <si>
    <t>&gt;= 20%</t>
  </si>
  <si>
    <t>Aun no inicia la  Ejecución</t>
  </si>
  <si>
    <t>FINALIZADO</t>
  </si>
  <si>
    <t>Etapa I: MVP2</t>
  </si>
  <si>
    <t>Desarrollo</t>
  </si>
  <si>
    <t>Calidad</t>
  </si>
  <si>
    <t>Etapa I: MVP3</t>
  </si>
  <si>
    <t>MVP 1</t>
  </si>
  <si>
    <t>MVP 2</t>
  </si>
  <si>
    <t>MVP 3</t>
  </si>
  <si>
    <t>MVP 4</t>
  </si>
  <si>
    <t>FASE 1</t>
  </si>
  <si>
    <t>FASE 2</t>
  </si>
  <si>
    <t>EN RIESGO 🟠</t>
  </si>
  <si>
    <t xml:space="preserve">  Desarrollo</t>
  </si>
  <si>
    <t xml:space="preserve">  Calidad</t>
  </si>
  <si>
    <t xml:space="preserve">  Producción</t>
  </si>
  <si>
    <t xml:space="preserve">  Entregable 7 (fase 1, fase 2, fase 3)</t>
  </si>
  <si>
    <t>Oplaft</t>
  </si>
  <si>
    <t xml:space="preserve">  Entregable 9</t>
  </si>
  <si>
    <t>Fraudes</t>
  </si>
  <si>
    <t xml:space="preserve">  Entregable 12 (fase 1, fase 2)</t>
  </si>
  <si>
    <t>Total de Mantenimientos =</t>
  </si>
  <si>
    <t>Agregar % planificado y completado. 
Cuando se filtre por etapa q aparezca mantenimiento</t>
  </si>
  <si>
    <t>IV TRIM-2024</t>
  </si>
  <si>
    <t>IV TRIM-2025</t>
  </si>
  <si>
    <t>I SEMESTRE-2026</t>
  </si>
  <si>
    <t>II SEMESTRE-2026</t>
  </si>
  <si>
    <t>ID</t>
  </si>
  <si>
    <t>d</t>
  </si>
  <si>
    <t>ESTADO CQ</t>
  </si>
  <si>
    <t>ESTADO MACRO</t>
  </si>
  <si>
    <t>1. DESARROLLO</t>
  </si>
  <si>
    <t>2. CALIDAD</t>
  </si>
  <si>
    <t>3. DESPLIEGUE</t>
  </si>
  <si>
    <t>4. PRODUCCIÓN</t>
  </si>
  <si>
    <t>5. DESCARTADO</t>
  </si>
  <si>
    <t>6. PARALIZADO</t>
  </si>
  <si>
    <t>GERENCIA</t>
  </si>
  <si>
    <t>Total de Requerimientos</t>
  </si>
  <si>
    <t>En Proceso Mantenimientos</t>
  </si>
  <si>
    <t>En Desarrollo Mantenimientos</t>
  </si>
  <si>
    <t>Horas consumidas por CRONOGRAMA</t>
  </si>
  <si>
    <t>INCIDENCIAS</t>
  </si>
  <si>
    <t>Horas consumidas INCIDENCIAS</t>
  </si>
  <si>
    <t>Horas a consumir mantenimiento</t>
  </si>
  <si>
    <t>En proceso proyectos</t>
  </si>
  <si>
    <t>Horas a consumir proyectos</t>
  </si>
  <si>
    <t>Total de Horas</t>
  </si>
  <si>
    <t>% Horas asignadas según Capacidad</t>
  </si>
  <si>
    <t>Bolsa de horas asignadas</t>
  </si>
  <si>
    <t>Diferencia bolsa de horas - Total de horas proyectadas</t>
  </si>
  <si>
    <t>Total de Horas
27-10-25</t>
  </si>
  <si>
    <t>Diferencia bolsa de horas - Total de horas proyectadas
27-10-25</t>
  </si>
  <si>
    <t>Red de Agencias</t>
  </si>
  <si>
    <t>Oficialía de CN</t>
  </si>
  <si>
    <t>Planeamiento y Control de Gestión</t>
  </si>
  <si>
    <t>Total general</t>
  </si>
  <si>
    <t>Nro de Recursos</t>
  </si>
  <si>
    <t>CAPACIDAD MENSUAL</t>
  </si>
  <si>
    <t>MESES</t>
  </si>
  <si>
    <t>CAPACIDAD BN</t>
  </si>
  <si>
    <t>CAPACIDAD TOTAL</t>
  </si>
  <si>
    <t>CAPACIDAD FS</t>
  </si>
  <si>
    <t>HORAS PRODUCTIVAS</t>
  </si>
  <si>
    <t>Festivo</t>
  </si>
  <si>
    <t>Columna1</t>
  </si>
  <si>
    <t>Fecha</t>
  </si>
  <si>
    <t>AÑO NUEVO</t>
  </si>
  <si>
    <t>DÍA NO LABORABLE SECTOR PÚBLICO</t>
  </si>
  <si>
    <t>JUEVES Y VIERNES SANTOS</t>
  </si>
  <si>
    <t>DÍA DEL TRABAJO</t>
  </si>
  <si>
    <t>SAN PEDRO Y SAN PABLO</t>
  </si>
  <si>
    <t>INDEPENDENCIA DEL PERÚ</t>
  </si>
  <si>
    <t>CELEBRACIÓN DE LA INDEPENDENCIA</t>
  </si>
  <si>
    <t>SANTA ROSA DE LIMA</t>
  </si>
  <si>
    <t>COMBATE DE ANGAMOS</t>
  </si>
  <si>
    <t>TODOS LOS SANTOS</t>
  </si>
  <si>
    <t>INMACULADA CONCEPCIÓN</t>
  </si>
  <si>
    <t>NAVIDAD</t>
  </si>
  <si>
    <t>Requerimiento</t>
  </si>
  <si>
    <t>Indicador de avance</t>
  </si>
  <si>
    <t>Seccion</t>
  </si>
  <si>
    <t>ESTADO TI</t>
  </si>
  <si>
    <t>Inicio Desarrollo</t>
  </si>
  <si>
    <t>Horas_Mant</t>
  </si>
  <si>
    <t>Etiquetas de fila</t>
  </si>
  <si>
    <t>Cuenta de ID Mantenimiento</t>
  </si>
  <si>
    <t>(en blanco)</t>
  </si>
  <si>
    <t>Irina Zakharova</t>
  </si>
  <si>
    <t>Adolfo Martin Escobar Bustamante</t>
  </si>
  <si>
    <t>Recuento</t>
  </si>
  <si>
    <t>Estado</t>
  </si>
  <si>
    <t>Fecha Registro</t>
  </si>
  <si>
    <t>FechaUltimoEstado</t>
  </si>
  <si>
    <t>Duración</t>
  </si>
  <si>
    <t>Duración horas</t>
  </si>
  <si>
    <t>2026-M0179</t>
  </si>
  <si>
    <t>Promedio de Duración</t>
  </si>
  <si>
    <t>2026-M0164</t>
  </si>
  <si>
    <t>2026-M0080</t>
  </si>
  <si>
    <t>2026-M0073</t>
  </si>
  <si>
    <t>2026-M0003</t>
  </si>
  <si>
    <t>2025-M0763</t>
  </si>
  <si>
    <t>2025-M0601</t>
  </si>
  <si>
    <t>2026-M0177</t>
  </si>
  <si>
    <t>2025-M0290</t>
  </si>
  <si>
    <t>2026-M0173</t>
  </si>
  <si>
    <t>2025-M0778</t>
  </si>
  <si>
    <t>2025-M0717</t>
  </si>
  <si>
    <t>2026-M0131</t>
  </si>
  <si>
    <t>2025-M0636</t>
  </si>
  <si>
    <t>2026-M0163</t>
  </si>
  <si>
    <t>2026-M0044</t>
  </si>
  <si>
    <t>2026-M0126</t>
  </si>
  <si>
    <t>2025-M0620</t>
  </si>
  <si>
    <t>2026-M0031</t>
  </si>
  <si>
    <t>2025-M0769</t>
  </si>
  <si>
    <t>2025-M0695</t>
  </si>
  <si>
    <t>2025-M0633</t>
  </si>
  <si>
    <t>2026-M0160</t>
  </si>
  <si>
    <t>2026-M0112</t>
  </si>
  <si>
    <t>2026-M0016</t>
  </si>
  <si>
    <t>2025-M0594</t>
  </si>
  <si>
    <t>2026-M0135</t>
  </si>
  <si>
    <t>2026-M0039</t>
  </si>
  <si>
    <t>2025-M0613</t>
  </si>
  <si>
    <t>2025-M0547</t>
  </si>
  <si>
    <t>2026-M0130</t>
  </si>
  <si>
    <t>2026-M0125</t>
  </si>
  <si>
    <t>2025-M0151</t>
  </si>
  <si>
    <t>2026-M0107</t>
  </si>
  <si>
    <t>2026-M0048</t>
  </si>
  <si>
    <t>2025-M0772</t>
  </si>
  <si>
    <t>2025-M0497</t>
  </si>
  <si>
    <t>2026-M0098</t>
  </si>
  <si>
    <t>2025-M0409</t>
  </si>
  <si>
    <t>2025-M0542</t>
  </si>
  <si>
    <t>2025-M0514</t>
  </si>
  <si>
    <t>2025-M0726</t>
  </si>
  <si>
    <t>2025-M0581</t>
  </si>
  <si>
    <t>2025-M0580</t>
  </si>
  <si>
    <t>2025-M0554</t>
  </si>
  <si>
    <t>2026-M0040</t>
  </si>
  <si>
    <t>2026-M0021</t>
  </si>
  <si>
    <t>2025-M0019</t>
  </si>
  <si>
    <t>2025-M0599</t>
  </si>
  <si>
    <t>2025-M0531</t>
  </si>
  <si>
    <t>2026-M0010</t>
  </si>
  <si>
    <t>2025-M0741</t>
  </si>
  <si>
    <t>2025-M0513</t>
  </si>
  <si>
    <t>2025-M0509</t>
  </si>
  <si>
    <t>2025-M0486</t>
  </si>
  <si>
    <t>2025-M0485</t>
  </si>
  <si>
    <t>2025-M0487</t>
  </si>
  <si>
    <t>2025-M0481</t>
  </si>
  <si>
    <t>2025-M0460</t>
  </si>
  <si>
    <t>2025-M0451</t>
  </si>
  <si>
    <t>2025-M0459</t>
  </si>
  <si>
    <t>2025-M0458</t>
  </si>
  <si>
    <t>2025-M0428</t>
  </si>
  <si>
    <t>2025-M0418</t>
  </si>
  <si>
    <t>2025-M0410</t>
  </si>
  <si>
    <t>2025-M0399</t>
  </si>
  <si>
    <t>2025-M0400</t>
  </si>
  <si>
    <t>2025-M0401</t>
  </si>
  <si>
    <t>2025-M0388</t>
  </si>
  <si>
    <t>2025-M0384</t>
  </si>
  <si>
    <t>2025-M0385</t>
  </si>
  <si>
    <t>2025-M0357</t>
  </si>
  <si>
    <t>2025-M0348</t>
  </si>
  <si>
    <t>2025-M0349</t>
  </si>
  <si>
    <t>2025-M0338</t>
  </si>
  <si>
    <t>2025-M0335</t>
  </si>
  <si>
    <t>2025-M0336</t>
  </si>
  <si>
    <t>2025-M0334</t>
  </si>
  <si>
    <t>2025-M0327</t>
  </si>
  <si>
    <t>2025-M0309</t>
  </si>
  <si>
    <t>2025-M0310</t>
  </si>
  <si>
    <t>2025-M0305</t>
  </si>
  <si>
    <t>2025-M0256</t>
  </si>
  <si>
    <t>2025-M0302</t>
  </si>
  <si>
    <t>2025-M0269</t>
  </si>
  <si>
    <t>2025-M0276</t>
  </si>
  <si>
    <t>2025-M0265</t>
  </si>
  <si>
    <t>2025-M0254</t>
  </si>
  <si>
    <t>2025-M0249</t>
  </si>
  <si>
    <t>2025-M0242</t>
  </si>
  <si>
    <t>2025-M0232</t>
  </si>
  <si>
    <t>2025-M0234</t>
  </si>
  <si>
    <t>2025-M0216</t>
  </si>
  <si>
    <t>2025-M0004</t>
  </si>
  <si>
    <t>2025-M0189</t>
  </si>
  <si>
    <t>2025-M0187</t>
  </si>
  <si>
    <t>2025-M0178</t>
  </si>
  <si>
    <t>2025-M0154</t>
  </si>
  <si>
    <t>2025-M0145</t>
  </si>
  <si>
    <t>2025-M0140</t>
  </si>
  <si>
    <t>2025-M0126</t>
  </si>
  <si>
    <t>2025-M0064</t>
  </si>
  <si>
    <t>2025-M0051</t>
  </si>
  <si>
    <t>2025-M0043</t>
  </si>
  <si>
    <t>2025-M0030</t>
  </si>
  <si>
    <t>Cant_Mantenimiento</t>
  </si>
  <si>
    <t>CARTERA DE REQUERIMIENTOS DE HARDWARE</t>
  </si>
  <si>
    <t>Datos PAGTIC</t>
  </si>
  <si>
    <t>Líder Usuario</t>
  </si>
  <si>
    <t>Recurso Indra</t>
  </si>
  <si>
    <t xml:space="preserve">Es MMCC de Otras Gerencias? </t>
  </si>
  <si>
    <t>Proviene del Comité de Riesgos?</t>
  </si>
  <si>
    <t>Macroestado2</t>
  </si>
  <si>
    <t>Grupo PAG. TIC 2023</t>
  </si>
  <si>
    <t>Estado PAG. TIC 2024</t>
  </si>
  <si>
    <t>Grupo PAG. TIC 2024</t>
  </si>
  <si>
    <t>Estado TI 2023</t>
  </si>
  <si>
    <t>Nro Mantenimiento</t>
  </si>
  <si>
    <t>Producción Según CQ</t>
  </si>
  <si>
    <t>Estado según INDRA</t>
  </si>
  <si>
    <t>Estado según OLSSA</t>
  </si>
  <si>
    <t>Últ. Estado CQ</t>
  </si>
  <si>
    <t>Gerencia PAGTIC</t>
  </si>
  <si>
    <t>Fecha Ingreso a  la Demanda</t>
  </si>
  <si>
    <t>Validación ISA</t>
  </si>
  <si>
    <t>Fecha de Informe de Recomendacion</t>
  </si>
  <si>
    <t>Fecha de Compromiso</t>
  </si>
  <si>
    <t>M0063</t>
  </si>
  <si>
    <t>2022-MH0001</t>
  </si>
  <si>
    <t>Mantenimiento-Hw</t>
  </si>
  <si>
    <t>Reemplazo de 195 cámaras SVGD Eliense en ATM's</t>
  </si>
  <si>
    <t>Instalación de un sistema de video de grabación digital que vincula las transacciones en línea de los cajeros automáticos con instantáneas y videos cortos activados por sensor de movimiento para 195 cajeros automáticos de la marca NCR</t>
  </si>
  <si>
    <t>Jackelin Jara</t>
  </si>
  <si>
    <t>Vladimir Cajavilca</t>
  </si>
  <si>
    <t>Francisco La Torre</t>
  </si>
  <si>
    <t>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19/12/2023: Se solicita a JOchoa y Santiago Garcia confirmación del cierre del RQ. Pendiente de respuesta.
13/12/2023: COMITÉ DEMANDA REGULARIZACIÓN: Se regulariza su registro según lo aprobado en comité
22/11/2023: MNicho solicitó a Juliana Palomino que confirme su implementación para el cierre correspondiente. Pendiente de Respuesta de área usuaria.
21/11/2024: Felix Ochoa indicó en correo "COMO SE INFORMO ANTERIORMENTE LA SECCIÓN CANALES PRESENCIALES COMO ÁREA LÍDER DEL PROYECTO DEBE REMITIR LA FECHA DE FINALIZACIÓN DEL DESPLIEGUE"
30/01: Según correo de Juliana Palomino del 17/01/23, se encuentran en la etapa 3, Instalación de 195 SVGD, con un plazo de 180 días calendario. Correo compartido por Calidad. Implementación depende de área usuaria
30/01/2023: Se cambia de estado de En Certificación a Certificado según CQ
06/09: Se encuentra encaminado pero con una incidencia de alta disponibilidad. Estimación al 16/09.
17/08: Fue solicitado formalmente por el usuario, a pedido del comité del 15/08 con la Gerencia General. Además a la fecha de hoy se observa que el requerimiento ya se encuentra en calidad.</t>
  </si>
  <si>
    <t>No</t>
  </si>
  <si>
    <t>NUEVOS</t>
  </si>
  <si>
    <t>M0123</t>
  </si>
  <si>
    <t>2021-PH0006</t>
  </si>
  <si>
    <t>ATENCION LP 0007-2020 BN 150 CAJEROS DIEBOLD</t>
  </si>
  <si>
    <t>LOS CAJEROS AUTOMATICOS MARCA DIEBOLD, ADQUIRIDOS POR LA LP 0007 BN 150 CAJEROS DIEBOLD, SON CAJEROS CON SO WINDOWS 10, SERIRA PARA INCREMENTAR LOS PUNTOS DE ATENCION A NIVEL NACIONAL.
LAS PRUEBAS REALIZADAS POR LAS SECCIONES CANALES PRESENCIALES Y LA SECCION SOPORTE A PLATAFORMAS, SON DE CARACTER TECNICA Y FUNCIONALES.</t>
  </si>
  <si>
    <t>Pablo Arias</t>
  </si>
  <si>
    <t xml:space="preserve">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19/12/2023: Se solicita a JOchoa y Santiago Garcia confirmación del cierre del RQ. Pendiente de respuesta.
13/12/2023: COMITÉ DEMANDA REGULARIZACIÓN: Se regulariza su registro según lo aprobado en comité
22/11/2023: MNicho solicitó a Juliana Palomino que confirme su implementación para el cierre correspondiente. Pendiente de Respuesta de área usuaria.
21/11/2024: Felix Ochoa indicó en correo "COMO SE INFORMO ANTERIORMENTE LA SECCIÓN CANALES PRESENCIALES COMO ÁREA LÍDER DEL PROYECTO DEBE REMITIR LA FECHA DE FINALIZACIÓN DEL DESPLIEGUE"
03/04/2023: Se formaliza su ingreso a la demanda según Comité de Marzo 2023 </t>
  </si>
  <si>
    <t>M0124</t>
  </si>
  <si>
    <t>2022-PH0002</t>
  </si>
  <si>
    <t>Implementación de Core en ATMs Diebold - LP-006-20</t>
  </si>
  <si>
    <t>Implementación de Core para la actualización del Sistema Operativo en cajeros automáticos Diebold adquiridos mediante la licitación pública N° 006-2021-BN</t>
  </si>
  <si>
    <t>Jacinto Atoche</t>
  </si>
  <si>
    <t xml:space="preserve">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13/12/2023: COMITÉ DEMANDA REGULARIZACIÓN: Se regulariza su registro según lo aprobado en comité
21/11/2024: Felix Ochoa indicó en correo "LA IMPLEMENTACION DE SISTEMA OPERATIVO WINDOWS 10  EN ATMS DIEBOLD CON CORE FOR OPTEVA FINALIZO EL MIERCOLES 20/09/2023"
03/04/2023: Se formaliza su ingreso a la demanda según Comité de Marzo 2023 </t>
  </si>
  <si>
    <t>M0259</t>
  </si>
  <si>
    <t>2022-MH0004</t>
  </si>
  <si>
    <t>Proyecto 2022 – generacion de imágenes para arrendamiento</t>
  </si>
  <si>
    <t>Tecnologías de información</t>
  </si>
  <si>
    <t>Soporte de la Infraestructura Tecnológica</t>
  </si>
  <si>
    <t>11/03/24-6/2/24 Con correo del 06.02.24 se le solicita a Martin Nicho (Calidad) designar a quien correponda la actualización en el clearquest.
29/01/24 Con correo del 29.01.24 se solicita a Martin Nicho  (Calidad)  indicar si el requerimiento ya paso a producción.
.............................................................
21/12/23 En el clearquest esta certificado desde el 06.01.23.
13/12/2023: COMITÉ DEMANDA REGULARIZACIÓN: Se regulariza su registro según lo aprobado en comité</t>
  </si>
  <si>
    <t>M0260</t>
  </si>
  <si>
    <t>2022-MH0005</t>
  </si>
  <si>
    <t>Actualizacion certificado digital</t>
  </si>
  <si>
    <t>11/03/24-6/2/24 Con correo del 06.02.24 se le solicita a Martin Nicho (Calidad) designar a quien correponda la actualización en el clearquest.
29/01/24  Con correo del 29.01.24 se solicita a Martin Nicho  (Calidad)  indicar si el requerimiento ya paso a producción.
..............................................................
21/12/23  En el clearquest esta certificado desde el 24.11.22.
13/12/2023: COMITÉ DEMANDA REGULARIZACIÓN: Se regulariza su registro según lo aprobado en comité</t>
  </si>
  <si>
    <t>M0261</t>
  </si>
  <si>
    <t>2023-MH0015</t>
  </si>
  <si>
    <t>Actualizacion del software base del pinpad verifon</t>
  </si>
  <si>
    <t>11/03/24-6/2/24 Con correo del 06.02.24 se le solicita a Martin Nicho (Calidad) designar a quien correponda la actualización en el clearquest.
29/01/24  Con correo del 29.01.24 se solicita a Martin Nicho  (Calidad)  indicar si el requerimiento ya paso a producción.
21/12/23 En el clearquest esta certificado desde el 15.05.23.
13/12/2023: COMITÉ DEMANDA REGULARIZACIÓN: Se regulariza su registro según lo aprobado en comité</t>
  </si>
  <si>
    <t>M0315</t>
  </si>
  <si>
    <t>GenerarTramite</t>
  </si>
  <si>
    <t>GenerarCQ</t>
  </si>
  <si>
    <t>Exadata:Adquisición e implementación de productos para los procesos contables, administrativos y de gestión.</t>
  </si>
  <si>
    <t>Adquisición e Implementación de Productos para los Procesos Contables, Administrativos, Presupuestales y de Gestión:
1.1. SERVICIOS DE IMPLEMENTACIÓN
a) Ambiente Productivo de EBS, OFSAA, OBI y HYPERION
b) Reinstalación del servidor Exadata Database Machine modelo X5-2
c) Ambientes de Desarrollo y Certificación de EBS, OFSAA, OBI y HYPERION
d) Ambiente Productivo ORABN (según alcance)
e) Ambientes de Desarrollo y Certificación de ORABN (según alcance)
1.2. SERVICIO DE MONITOREO ESPECIALIZADO
a) Instancias de base de datos E-Business Suite (EBS) y ORABN (Exadata del nodo principal del ambiente de Producción y Contingencia, incluyendo el hardware Exadata).</t>
  </si>
  <si>
    <t>Soporte de Infraestructura Tecnológica</t>
  </si>
  <si>
    <t>Orlando Manco</t>
  </si>
  <si>
    <t>Soporte de Infraestructura</t>
  </si>
  <si>
    <t>Doris Zumaeta</t>
  </si>
  <si>
    <t>24/06/2024: Se cambió 'Recurso-Asignado' de Analista-BN a  ' ' 
11/03/24 Actualmente se encuentra en las gestiones para preparación del exadat X5.
6/2/24 Actualmente  se tenia tres pendientes para que liberen al X5 los cules son: Lentitud, Notificaciones y activación de un proceso en el módulo de Inventario, los tres ya se realizarón por lo cual David Coca debe liberar el exadata X5, en paralelo se esta realizando la planificación del exadata 5 por medio del OEDA  y las revisiones de la presiciones por parte TSNET y ORACLE.
Con correo del 06.02.24  Saul Rosales  informar que ya se realizo el noveno transitorio sin ningún problema
25/01/24 Por medio del mantenimiento 2023-M0438 Servicio De Implementación - Exadata X9 - Migracion Aplicaciones Open, se esta realizandolos transitorios que estabilizan el EBS.
........................................................................
21/12/23 Los tres mantenimientos paso a producción:
-2023-M0012 Migración Oracle EBS​
-2023-M0437  Migración Oracle HYPERION, OFSSA y OBIIE
-2023-M0438 Aplicaciones Open, se encuentra en estabilización.
Pendiente reunión para la preparación del X5.
04/12/23 La fecha para el pase a producción de los siguientes mantenimientos:
-2023-M0012 Migración Oracle EBS​, la migración comenzo el 01.12.23 hasta el 03.12.23, se esta realizando pruebas con usuarios.
-2023-M0438 Aplicaciones Open, en prueba con los analistas.
-2023-M0437  Migración Oracle HYPERION, OFSSA y OBIIE, se esta realizando pruebas con usuario, el pase a producción se realizó la semana pasada.
25/11/23 La fecha para el pase a producción de los siguientes mantenimientos es  el 25.11.23.​
2023-M0012 Migración Oracle EBS​
2023-M0437  Migración Oracle HYPERION, OFSSA y OBIIE
​2023-M0438 Aplicaciones Open .   ​
2. Pruebas de validación por los usuarios  el 27 y 28 de noviembre.​
 3. BN solicitó información sobre el taller que pidieron para el OAS. TSNET indicó que aún está en revisión.​
02/11/23 Avance 64%, Reunión con TSNET 25.10.23,La fecha prevista para pase a producción EBS actualizada debido a las dependencias que se describen en los puntos posteriores es 18.11.23, no pudiendo ser antes debido a que el BN estará en cierre mensual entre el 31.10.23 y quincena de noviembre. Se necesita asegurar Certificación EBS (incluyendo aplicativos distribuidos open y host), pruebas alta disponibilidad, validación de Seguridad.
20/10/23 Avance 62%, Reunión con TSNET 18.10.23 pendientes:
Ambiente de desarrollo (Avance 98%):
•Las pruebas de los aplicativos que consumen la BD de EBS, está pendiente finalizar Trade Live por parte de TSNET, ya que el usuario reporto una incidencia; Por lo cual esta pendiente culminar la guía de despliegue hasta mitigar la incidencia.
•El 20.10.23 David Coca remite las guías de despliegue a Calidad de OFSSA, OBIEE Y Hyperion a calidad, evaluación el 23.10.323.
Ambiente de Calidad (Avance 98%):
•Pendiente por TSNET resolver el incidente del botón de aprobación para cerrar las pruebas de Contabilidad y proceder con la certificación.
Servidores:
•Pruebas de HA (Switch-over, Switch-back y Fail-over): TSNET está avanzando con las pruebas en OBIEE y OFSAA. En el caso de EBS, se requiere primero cerrar los incidentes y certificación de Calidad. Una vez finalizada las pruebas de TSNET, se debe coordinar con Operaciones, Soporte, Producción y Arquitectura para ejecutar pruebas conjuntas.
•Pruebas de Seguridad: Está pendiente la habilitación de Database Vault por parte de TSNET y el fabricante. Se requiere una semana de pruebas y habilitación de Database Vault en Test para EBS por parte de TSNET y el fabricante.
•Sobre los requerimientos para los servidores de producción, en reunión del 18-10-23, se acordó la estrategia de empezar por la entrega del servidor de aplicación de EBS el 24 o 25-10. BN propone como opción la fecha de 28-10-23 en caso se requiera sea lo más actual antes del pase a producción el 28-10-23.
•Antes de definir las fechas para la entrega de los demás servidores de aplicaciones (OFSAA, OBIEE y Hyperion), se deberá primero definir las actividades pendientes (pruebas de Calidad, HA y Seguridad).
Taller:
•BN solicitó información sobre el taller que pidieron para el OAS. TSNET indicó que aún está en revisión.
06/09/23 Avance:
-Avance general: 58% 
-Tarea 78: Pendiente reseteo de password ADMIN Hyperion. Se estará creando SR a Oracle. RESPONSABLE: TSNET
-Tarea 119: Se está revisando errores en OBIEE reportado por usuario. RESPONSABLE: TSNET
-Tarea 123: Progreso de pruebas de aplicativos de BN al 56% según reportado en correo previo. Está en lado nuestro la solución del error en las pruebas de facturación electrónica, esperamos tener novedades antes de terminar hoy. RESPONSABLE: TSNET
-Tarea 128: Se envió el documento actualizado para el pase a Certificación de EBS. Pendiente confirmación de BN e inicio de pruebas. RESPONSABLE: BANCO DE LA NACIÓN
-Tarea 641: Se envió el documento actualizado de informe de OAS para aprobación del BN. Pendiente respuesta. RESPONSABLE: BANCO DE LA NACIÓN
14/07/23 Status de avance
ORABN_MGIN pasó a producción el 06-07-23. ORABN_BANCA MÓVIL pasó a producción el 02-07-23.
Las pruebas de EBS están a un 88% de avance al corte del 11-07-23. Pruebas de Contabilidad General, FAH y Reportes finalizaron al 100%, Pruebas en aplicativos que consumen BD EBS está al 27% de avance al corte del 11-07-2023, 
08/06/23 Avance de la semana:
-Reunión de seguimiento el 07.06.23
1. Jorge Mora va a realizar el pase a certificación del aplicativo MGIN-Gestión de Incidencias (Permisos y Movilidades) el 07.06.23.
2. Marilú Córdova, realizo el pase a certificación del aplicativo Banca Móvil.
3. La pruebas en el aplicativo EBC está al 40%.
4.TSNET reinició la Migración de Hyperion, sigue con problemas técnicos, solicitan reunión.
5.Sigue pendiente las pruebas del Oracle Discoverer, problemas en la cadena de conexión.
6.TSNT revisó al interno las Licencias del Oracle Analitycs Server– El Área Comercial valido que cuentan con ellas y pueden ser utilizadas, se está coordinando para su instalación.
11/05/23 Avance de la semana:
-Reunión de seguimiento el 09.05.23
1.Se entego la instancia del aplicativo MGIN-Gestión de Incidencias (Permisos y Movilidades) por correo el 10.05.23 a David Coca , el analista encargado de realizar la migración es Jorge Mora.
2.El  09.05.23 se convoco a reunión a los administradores, indicandoles que Julian Flores de TSNET les va apoyarde  si tuvieran algún error en el sistema  y que tenian que remitir sus avances.
3.TSNET reinició la Migraciónde  Hyperion, actualmente  sigue presenta problemas  tecnicos y  tiene abierto un SR con Oracle por un error en el Weblogic, planificado para terminar el 18.05.23.
4.Sigue pendiente las pruebas del Oracle Discoverer, el personal de TSNET tiene que terminar de revisar procedimiento de conexión del Discoverer Administrator, para culminar con estas pruebas, pendiente que reinstalen el aplicativo en la pc del usuario.
5.TSNT revisó al interno las Licencias del Oracle Analitycs Server– El Área Comercial valido que cuentan con ellas y pueden ser utilizadas, se esta coordinando para su instalación.
6. Las pruebas en Banca Movil tiene un avanze de 62%, falta probar los bacheros.
7. La creación del File System  se entrego a Marilu Cordova por correo del 10.05.23.
12/04/23 En reunión  del 11.04.23 con TSNET se vieron los siguientes puntos:
1.Se acordó en reunión que el aplicativo MGIN-Gestión de Incidencias (Permisos y Movilidades sería el reemplazo del O7INVOICE (Facturación Electronica), pero que se necesitarían una nueva programación, para calcular el tiempo de migración por parte de Oracle.
2. El 10.04.23 se remite un correo con los casos de prueba a los usuarios de los módulos Contabilidad General y FAH,asimismo el 17.04.23 , se signara un personal de TSNET para ayudar a los usuarioa en las pruebas.
3.TSNET reinició la Migraciónde  Hyperion, actualmente  sigue presenta problemas  tecnicos y  tiene abierto un SR con Oracle por un error en el Weblogic.
4.Sigue pendiente las pruebas del Oracle Discoverer, el personal de TSNET tiene que terminar de revisar procedimiento de conexión del Discoverer Administrator, para culminar con estas pruebas.
5.TSNT revisó al interno las Licencias del Oracle Analitycs Server– El Área Comercial valido que cuentan con ellas y pueden ser utilizadas, se esta coordinando para su instalación.
6. Las pruebas en Banca Movil tiene un avanze de 43%.
7. Oracle  ya reviso la información solicitada para la creación del File System en el servidor de base datos,  lo atenderá el 17.04.23.
21/04/23 En reunión  del 18.04.23 con TSNET se vieron los siguientes puntos y los avances de la semana:
1.Se acordó en reunión del 12.04.23  que el aplicativo MGIN-Gestión de Incidencias (Permisos y Movilidades sería el reemplazo del O7INVOICE (Facturación Electronica), pero que se necesitarían una nueva programación, para calcular el tiempo de migración por parte de Oracle, que dará su respuesta el 21.04.23.
2.El 20.04.23 se remitió el nuevo link a los usuarios de los módulos del EBC, para que realicen las pruebas, adicionalmente los direcciones se anexarón al DNS para su funcionamiento correcto ,asimismo el 19.04.23 , asignarón al analista temporal Julian Flores  para el apoyo en las pruebas funcionales en el ambiente test.
3.TSNET reinició la Migraciónde  Hyperion, actualmente  sigue presenta problemas  tecnicos y  tiene abierto un SR con Oracle por un error en el Weblogic.
4.Sigue pendiente las pruebas del Oracle Discoverer, el personal de TSNET tiene que terminar de revisar procedimiento de conexión del Discoverer Administrator, para culminar con estas pruebas.
5.TSNT revisó al interno las Licencias del Oracle Analitycs Server– El Área Comercial valido que cuentan con ellas y pueden ser utilizadas, se esta coordinando para su instalación.
6. Las pruebas en Banca Movil tiene un avanze de 48%.
7. Oracle  ya reviso la información solicitada para la creación del File System en el servidor de base datos,  lo entregará el 20.04.23, estamos en espera que nos respondan.
12/04/23 En reunión  del 11.04.23 con TSNET se vieron los siguientes puntos:
1.Se acordó en reunión que el aplicativo MGIN-Gestión de Incidencias (Permisos y Movilidades sería el reemplazo del O7INVOICE (Facturación Electronica), pero que se necesitarían una nueva programación, para calcular el tiempo de migración por parte de Oracle.
2. El 10.04.23 se remite un correo con los casos de prueba a los usuarios de los módulos Contabilidad General y FAH,asimismo el 17.04.23 , se signara un personal de TSNET para ayudar a los usuarioa en las pruebas.
3.TSNET reinició la Migraciónde  Hyperion, actualmente  sigue presenta problemas  tecnicos y  tiene abierto un SR con Oracle por un error en el Weblogic.
4.Sigue pendiente las pruebas del Oracle Discoverer, el personal de TSNET tiene que terminar de revisar procedimiento de conexión del Discoverer Administrator, para culminar con estas pruebas.
5.TSNT revisó al interno las Licencias del Oracle Analitycs Server– El Área Comercial valido que cuentan con ellas y pueden ser utilizadas, se esta coordinando para su instalación.
6. Las pruebas en Banca Movil tiene un avanze de 43%.
7. Oracle  ya reviso la información solicitada para la creación del File System en el servidor de base datos,  lo atenderá el 17.04.23.
05/04/23 En reunión  del 04.04.23 con TSNET se vieron los siguientes puntos:
1. Se  defino la fecha  para  la nueva migración del O7INVOICE, que es el  28.04.23,ya que depende del  mantenimiento: 2022-M0451 Implementación del FILESERVER, lo que ocasiona un retraso de 3 meses, asimismo se ha solicitado a Martin Nicho acelerar las pruebas ya que depende dos proyectos este pase.
2. Se terminó con la migración del EBS ,OBI y OFSSA .Ya esta listo para las pruebas internas, y  la empresa TSNET remitio claves y link  para comenzar las pruebas, asimismo nos reunimos el 05.04.23 para definir los casos de prueba ,la cual se remitirán el día de hoy.
3.TSNET reinició la Migraciónde  Hyperion, actualmente  sigue presenta problemas  tecnicos y  tiene abierto un SR con Oracle por un error en el Weblogic.
4.Sigue pendiente las pruebas del Oracle Discoverer, el personal de TSNET tiene que terminar de revisar procedimiento de conexión del Discoverer Administrator, para culminar con estas pruebas.
5.TSNT revisó al interno las Licencias del Oracle Analitycs Server– El Área Comercial valido que cuentan con ellas y pueden ser utilizadas, se esta coordinando para su instalación.
6. Las pruebas en Banca Movil tiene un avanze de 35%.
7. Oracle  ya reviso la información solicitada para la creación del File System en el servidor de base datos,  lo atenderá después de semana santa.
29/03/23  En reunión  del 28.03.23 con TSNET se vieron los siguientes puntos:
1. Se  defino la fecha  para  la nueva migración del O7INVOICE, que es el  28.04.23,ya que depende del  mantenimiento: 2022-M0451 Implementación del FILESERVER, lo que ocasiona un retraso de 3 meses.
2. Se terminó con la migración del EBS ,OBI y OFSSA .Ya esta listo para las pruebas internas, y  la empresa TSNET remitio claves y link  para comenzar las pruebas, asimismo se esta coordinando para los casos de prueba.
3.TSNET reinició la Migraciónde  Hyperion, actualmente  sigue presenta problemas  tecnicos y  tiene abierto un SR con Oracle por un error en el Weblogic.
4.Sobre las pruebas del Oracle Discoverer, se va a reagendar una reunión para el lunes 03-04-23, para poder revisar procedimiento de conexión del Discoverer Administrator, que es el que falta conectar para culminar con estas pruebas.
5.TSNT revisó al interno las Licencias del Oracle Analitycs Server– El Área Comercial valido que cuentan con ellas y pueden ser utilizadas 
6. Las pruebas en Banca Movil tiene un avanze de 29%.
7. Oracle indicó que para la creación del File System en el servidor de base datos, requiere información que ha solicitado al BN.
28/03/23 Resumen:
1.Tsnet remite la clave para el aceso al ambiente test y los link.
2.Se posterga las pruebas en el discovery,  para el 28.03.23,hay problemas en la instalación por la versión.
22/03/23 En reunión  del 21.03.23 con TSNET se vieron los siguientes puntos:
1. Se  defino la fecha  para  la nueva migración del O7INVOICE, que es el  28.04.23,ya que depende del  mantenimiento: 2022-M0451 Implementación del FILESERVER, lo que ocasiona un retraso de 3 meses.
2. Se terminó con la migración del EBS ,OBI y OFSSA .Ya esta listo para las pruebas internas, sin embargo la empresa TSNET todavía no culmina la creación de los usuarios y claves para comenzar las pruebas, ni remiten los link correspondientes.
3.TSNET reinició la Migraciónde  Hyperion, actualmente presenta problemas  tecnicos y  tiene abierto un SR con Oracle por un error en el Weblogic.
4.El BN envió correo para atender las pruebas del Oracle Discoverer, que las realizará TSNET, David Coca envió un correo indicando que se realizaran en la Maquina del el jefe de Sección de Control Patrimonial el Sr. Rogelio Delgado en el Piso 14 de la Sede San Borja, el Jueves 23 de marzo a las 10 am. Respecto a este punto, Fernando Avellaneda indicó que este aplicativo estaba obsoleto y se debería instalar el Analytics Server en reemplazo del mismo o como complemento. (Se dará una respuesta en una reunión programada)
15/03/23 En reunión  del 14.03.23 con TSNET se vieron los siguientes puntos:
1. Se  defino la fecha  para  la nueva migración del O7INVOICE, que es el  28.04.23,ya que depende del  mantenimiento: 2022-M0451 Implementación del FILESERVER, lo que ocasiona un retraso de 3 meses.
2. Se terminó con la migración del EBS ,OBI y OFSSA .Ya esta listo para las pruebas internas, sin embargo esta pendiente  por TSNET ,que remitan el link y los password, para comenzar las pruebas.
3.TSNET reinició la Migraciónde  Hyperion, actualmente presenta problemas  tecnicos.
08/03/23 En reunión  del 07.03.23 con TSNET se vieron los siguientes puntos:
1. Se advierte el riesgo que no se haya definido  fecha  para  la nueva migración del O7INVOICE,  ya que depende del  mantenimiento: 2022-M0451 Implementación del FILESERVER, que esta en proceso, para lo cual se esta realizando reuniones para destrabar el mantenimiento indicado.
2. Se terminó con la migración del EBS y OBI .Ya esta listo para las pruebas internas, sin embargo esta pendiente  por TSNET ,que remitan el link y los password, para comenzar las pruebas.
3.TSNET reinició la Migraciónde OFSAA y Hyperion, actualmente presenta problemas  tecnicos.
28/02/23 Con correo del 28.02.23  se solicita a David Coca nos indique los analistas que van a realizar las pruebas  a EBS y OBIEE.
Con correo del 28.02.23 se solicita reunión con Marilu  Cordava para el 01.03.23, la cual indica que el 01.03.23  empieza las pruebas  y acepta la reunión para las 3pm.
21/02/23 En reunión del 21.02.23 con TSNET, se advierte el riesgo que no se haya definido  fecha  para  la nueva migración del O7INVOICE, por consecuencia el Proyecto tendrá un retraso en la Migración del ORABN.
20/02/23 Con correo del 20.02.23 se vuelve a consultar a a la empresa Angkor el avance respecto a la solución de las vulnerabilidades encontradas.
17/02/23 Con correo del 17.02.23 la empresa Angkor indica que a nivel de servidor ya se habilitó y se ejecuto el appscan , sin embargo  esta en proceso de evaluación  y revisión del informe que el BN le ha enviado.
14/02/23 En reunión del 14.02.23 con TSNET, se advierte el riesgo que no se haya definido  fecha  para  la nueva migración del O7INVOICE, por consecuencia el Proyecto tendrá un retraso en la Migración del ORABN.
13/02/23 Con correo del 13.02.23 David Coca nos indica que el proveedor Angkor viene trabajando en el mantenimiento: 2022-M0451 Implementación del FILESERVER y se ha encontrado errores de vulnerabilidades medias con el APPSCAN, ellos manifiestan que se soluciona haciendo un UPGDRADE del servidor SRV1DFAEL1 (Versión más actualizada del Sistema Operativo y IIS), actualmente ya se le han asignado el nuevo servidor: SRV1DFAEL2 y se está gestionando los accesos con Seguridad Informática.
Este mantenimiento es pre-requisito para la atención del Proyecto Migración EXADATA en lo concerniente a O7Invoice y el Proyecto de Facturación Electrónica
10/02/23  Se reitera con correo del 10.02.23  a David coca nos de una fecha estimada de la salida a producción con las mejoras del aplicativo 07INVOICE, porque ha quedado pendiente volver a migrar el 07INVOICE en una nueva iteración, ya que está generando atraso en el cronograma.
Asimismo, se entrego el servidor adicional que solicito TSNET.
07/02/23 Reunión con TSNET para el seguimiento del proyecto.
03/02/23 Con correos del 03.02.23 se le informa a TSNET lo siguiente:
-Se entrega el servidor adicional solicitado para la aplicación Hyperion ambiente test, con el S.O Oracle Linux 7.
-Que no se va a reducir el tiempo de pruebas en del BN-SABM (Banca Móvil). 
02/02/23 Con correo del 02.02.23  se le solicita a David coca nos de una fecha estimada de la salida a producción con las mejoras del aplicativo 07INVOICE, porque ha quedado pendiente volver a migrar el 07INVOICE en una nueva iteración, ya que está generando atraso en el cronograma.
26/01/23 El proyecto se encuentra en la fase de ejecución, actualmente Jeannet Requena nos informa : 
- El 27 de enero se realizara una reunión con TSNET para actualizar el cronograma con lo solicitado por construcción y calidad, sin cambiar la fecha de finalización del proyecto.
-TSNETreiniciará la generación del backup de la instancia EBS que se coordinará para la ventana de tiempo del sábado 28 de enero ,Responsable TSNET y BN
-El 23 de enero se volverá a migrar el O 7 INVOICE con el apoyo del BN en una nueva iteración que se realizará después de la salida en producción, Responsable ORACLE y BN
…………………………………………………
28/09: Se está relevando el cronograma con el proveedor TSNet.
17/01: Se le dio la buena pro al proveedor TSNet. Pendiente de firma de contrato. Tiempo estimado 540 dias.</t>
  </si>
  <si>
    <t>M0424</t>
  </si>
  <si>
    <t xml:space="preserve">Relevamiento de la situación actual de la Plataforma MIDDLEWARE (Plataforma transaccional Core Bancario). </t>
  </si>
  <si>
    <t>Hub de Integración, WAS, MQ</t>
  </si>
  <si>
    <t>Soporte de la Infraestructura Tecnólogica</t>
  </si>
  <si>
    <t>MEMORANDO N° 00000009 - 2024-BN/8300</t>
  </si>
  <si>
    <t>Felix Rondón</t>
  </si>
  <si>
    <t>01. Registrado</t>
  </si>
  <si>
    <t>24/06/2024: Se cambió 'Recurso-Asignado' de Analista-BN a  ' ' 
25/03/2024: COMITE EXCPECIONAL: Se realiza su priorización
20/03/2024 El 29/03 Culmina Relevamiento de Comunicacines Relevamiento de Transacciones se definirá tiempos una vez culminadas las reuniones preliminares con el equipo ténico.
Estado: En Ejecución</t>
  </si>
  <si>
    <t>M0425</t>
  </si>
  <si>
    <t>Migración de versión de Datacom Server</t>
  </si>
  <si>
    <t>POC de Migración de versión de Datacom Server v15</t>
  </si>
  <si>
    <t>Ingrid Torres</t>
  </si>
  <si>
    <t>24/06/2024: Se cambió 'Recurso-Asignado' de Analista-BN a  ' ' 
25/03/2024: COMITE EXCPECIONAL: Se realiza su priorización
20/03/2024 Estado: Finalizado
Resultados de POC
PRIMER ESCENARIO: Utilizando la conexión con DCOMSVR15 a través del proxy con server 15.
RESULTADO: NO SATISFACTORIO
SEGUNDO ESCENARIO : Utilizando la conexión directa TCP/IP al mainframe (sin proxy).
RESULTADO: NO SATISFACTORIO
Conclusiones:
La versión de datacomserver 15.0 no es compatible con los componentes de las aplicaciones incluidas en la POC (BDUC).
Enfocar los esfuerzos de recursos hacia la migración a tramas (Objetivo principal).
Remitir el plan de actividades con el cronograma detallado el viernes 23/02</t>
  </si>
  <si>
    <t>M0426</t>
  </si>
  <si>
    <t>Relevamiento de la situación actual de la Migración del SARAWEB de 32 a 64 bits y cambio del protocolo de comunicaciones de SNA a TCP/IP</t>
  </si>
  <si>
    <t>Migración del SARAWEB de 32 a 64 bits y cambio del protocolo de comunicaciones de SNA a TCP/IP</t>
  </si>
  <si>
    <t>Arquitectura de TIC</t>
  </si>
  <si>
    <t>Arquitectura de Datos y Aplicaciones</t>
  </si>
  <si>
    <t>Fernando Avellaneda</t>
  </si>
  <si>
    <t>Carlos Ramirez</t>
  </si>
  <si>
    <t xml:space="preserve">24/06/2024: Se cambió 'Recurso-Asignado' de Analista-BN a  ' ' 
25/03/2024: COMITE EXCPECIONAL: Se realiza su priorización
20/03/24 Estado: No iniciado
Se cuenta con el cronograma
Inicio: 02/01/2024
Fin: 30/09/2024
Remitir el plan de actividades con el cronograma detallado el viernes 23/02
</t>
  </si>
  <si>
    <t>M0427</t>
  </si>
  <si>
    <t>Plan de acción App Movil</t>
  </si>
  <si>
    <t>Plan de acción para mejorar el servicio del canal App Movil</t>
  </si>
  <si>
    <t>Edward Torres</t>
  </si>
  <si>
    <t>24/06/2024: Se cambió 'Recurso-Asignado' de Analista-BN a  ' ' 
25/03/2024: COMITE EXCPECIONAL: Se realiza su priorización
20/03/24 Estado: En Ejecución
Se cuenta con el cronograma
Inicio: 01/12/2023
Fin: 30/04/2024</t>
  </si>
  <si>
    <t>M0428</t>
  </si>
  <si>
    <t>Migración de Datacom Server a Tramas</t>
  </si>
  <si>
    <t>Hector Zevallos</t>
  </si>
  <si>
    <t>Johnny Rocca</t>
  </si>
  <si>
    <t>24/06/2024: Se cambió 'Recurso-Asignado' de Analista-BN a  ' ' 
25/03/2024: COMITE EXCPECIONAL: Se realiza su priorización
20/03/24 Estado: En Ejecución
Se cuenta con el cronograma
Inicio: 21/02/2023
Fin: 17/10/2024</t>
  </si>
  <si>
    <t>M0429</t>
  </si>
  <si>
    <t>Plan de acción Págalo</t>
  </si>
  <si>
    <t>Plan de acción para mejorar el servicio del canal App Págalo</t>
  </si>
  <si>
    <t>Por definir</t>
  </si>
  <si>
    <t>24/06/2024: Se cambió 'Recurso-Asignado' de Analista-BN a  ' ' 
25/03/2024: COMITE EXCPECIONAL: Se realiza su priorización
20/03/24 Estado: No iniciado
Se incorpora en reunión de seguimiento.
Pendiente definir responsable y equipo a cargo del Plan</t>
  </si>
  <si>
    <t>M0457</t>
  </si>
  <si>
    <t>ME: Pruebas de actualización e informes de componentes AGILIS y XFS ATMs  Diebold</t>
  </si>
  <si>
    <t>Pruebas de actualización e informes de componentes AGILIS y XFS ATMs  Diebold</t>
  </si>
  <si>
    <t>24/06/2024: Se cambió 'Recurso-Asignado' de Analista-BN a  ' ' 
12/06/2024: Se realizó reasignación de Gestor TI de Mónica Osorio a Francisco La Torre.
03/04/2024: Se registró en la demanda integral y se encuentra en CERTIFICACION y lo están atendiendo con este mantenimiento: 2023-MH0027</t>
  </si>
  <si>
    <t>(Varios elementos)</t>
  </si>
  <si>
    <t>Cuenta de ID Demanda</t>
  </si>
  <si>
    <t>2026-3</t>
  </si>
  <si>
    <t>2026-4</t>
  </si>
  <si>
    <t>2026-5</t>
  </si>
  <si>
    <t>2026-8</t>
  </si>
  <si>
    <t>2026-6</t>
  </si>
  <si>
    <t>2026-9</t>
  </si>
  <si>
    <t>2026-7</t>
  </si>
  <si>
    <t>2026-12</t>
  </si>
  <si>
    <t>2027-3</t>
  </si>
  <si>
    <t>2026-10</t>
  </si>
  <si>
    <t>2027-4</t>
  </si>
  <si>
    <t>2027-1</t>
  </si>
  <si>
    <t>Suma de HORAS RESTANTES</t>
  </si>
  <si>
    <t>Sin Cronograma 🔵</t>
  </si>
  <si>
    <t>PARALIZADO ⚪</t>
  </si>
  <si>
    <t>DEMANDA TÁCTICA: GENERAL</t>
  </si>
  <si>
    <t>TABLA 1: DISTRIBUCIÓN DE RQS POR ESTADO TI</t>
  </si>
  <si>
    <t>(Todas)</t>
  </si>
  <si>
    <t>TOTAL GENERAL</t>
  </si>
  <si>
    <t>PORCENTAJE</t>
  </si>
  <si>
    <t>TABLA 2: DISTRIBUCIÓN DE RQS CULMINADOS Y ACTIVOS POR GERENCIA</t>
  </si>
  <si>
    <t>Clasificación</t>
  </si>
  <si>
    <t>Activos</t>
  </si>
  <si>
    <t>Culminado</t>
  </si>
  <si>
    <t>%</t>
  </si>
  <si>
    <t>DEMANDA TACTICA: CULMINADOS</t>
  </si>
  <si>
    <t>TABLA 4: DISTRIBUCIÓN DE RQS CULMINADOS</t>
  </si>
  <si>
    <t>03. Culminado</t>
  </si>
  <si>
    <t>Total General</t>
  </si>
  <si>
    <t>Total Demanda Táctica - 2025</t>
  </si>
  <si>
    <t>Total Demanda Táctica - 2026</t>
  </si>
  <si>
    <t>Total (en blanco)</t>
  </si>
  <si>
    <t>2026-01</t>
  </si>
  <si>
    <t>2026-02</t>
  </si>
  <si>
    <t>2026-03</t>
  </si>
  <si>
    <t>2026-04</t>
  </si>
  <si>
    <t>2026-05</t>
  </si>
  <si>
    <t>2025-12</t>
  </si>
  <si>
    <t>Porcentaje</t>
  </si>
  <si>
    <t>DEMANDA TACTICA: ACTIVOS</t>
  </si>
  <si>
    <t>TABLA 7: DISTRIBUCIÓN DE RQS ACTIVOS POR GERENCIA</t>
  </si>
  <si>
    <t>TOTAL</t>
  </si>
  <si>
    <t>TABLA 8: DISTRIBUCIÓN DE RQS ACTIVOS POR CATEGORÍA</t>
  </si>
  <si>
    <t>TABLA 9: DISTRIBUCIÓN DE RQS ACTIVOS POR ESTADO TI</t>
  </si>
  <si>
    <t>TABLA 10 :DISTRIBUCIÓN DE RQS ACTIVOS EN DESARROLLO POR CATEGORÍA</t>
  </si>
  <si>
    <t>TABLA 11 :DISTRIBUCIÓN DE RQS ACTIVOS EN DESARROLLO POR GERENCIA</t>
  </si>
  <si>
    <t>DEMANDA TÁCTICA: RECOMENDACIONES CN</t>
  </si>
  <si>
    <t>TABLA 12: DISTRIBUCIÓN DE RQS DE RECOMENDACIONES POR ESTADO CN</t>
  </si>
  <si>
    <t>TABLA 14: DISTRIBUCIÓN DE RQS ACTIVOS POR FIN PROD CRONOGRAMA</t>
  </si>
  <si>
    <t>2026-11</t>
  </si>
  <si>
    <t>LEYENDA</t>
  </si>
  <si>
    <t>&lt;10% de diferencia entre lo planificado y completado</t>
  </si>
  <si>
    <t>&gt;= 10% || &lt; 20% de diferencia entre lo planificado y completado</t>
  </si>
  <si>
    <t>&gt;= 20% de diferencia entre lo planificado y completado</t>
  </si>
  <si>
    <t>Mantenimeinto Pospuesto</t>
  </si>
  <si>
    <t>Sin Cronograma</t>
  </si>
  <si>
    <t>Pendiente de Cronograma</t>
  </si>
  <si>
    <t>Etiquetas de columna</t>
  </si>
  <si>
    <t>* El mantenimiento 2025-M0161 (07. En Despliegue) se considera como Producción Finalizada según Construcción y por ende tiene Mes Fin Producción Abril</t>
  </si>
  <si>
    <t>COMPROMISO DEMANDA TÁCTICA - COMPROMISO</t>
  </si>
  <si>
    <t>COMPROMISO DEMANDA TÁCTICA - COMPROMISO VENCIDOS</t>
  </si>
  <si>
    <t>COMPROMISO DEMANDA TÁCTICA - COMPROMISO NO DEFINIDO</t>
  </si>
  <si>
    <t>2023-07</t>
  </si>
  <si>
    <t>No definido</t>
  </si>
  <si>
    <t>2024-01</t>
  </si>
  <si>
    <t>2024-08</t>
  </si>
  <si>
    <t>2024-10</t>
  </si>
  <si>
    <t>2025-03</t>
  </si>
  <si>
    <t>2025-04</t>
  </si>
  <si>
    <t>2025-06</t>
  </si>
  <si>
    <t>2025-07</t>
  </si>
  <si>
    <t>2025-08</t>
  </si>
  <si>
    <t>2025-09</t>
  </si>
  <si>
    <t>2025-10</t>
  </si>
  <si>
    <t>2025-11</t>
  </si>
  <si>
    <t>2026-06</t>
  </si>
  <si>
    <t>2026-07</t>
  </si>
  <si>
    <t>1. En Proceso
2. En Proceso
3. En Proceso</t>
  </si>
  <si>
    <t>Demanda táctica - ESTADOS:</t>
  </si>
  <si>
    <t>Macro estado</t>
  </si>
  <si>
    <t>Definición</t>
  </si>
  <si>
    <t>Estado PAG.TIC</t>
  </si>
  <si>
    <t>Estado TI Proyectos</t>
  </si>
  <si>
    <t>Grupo Estado Proyectos</t>
  </si>
  <si>
    <t>01. No Iniciado</t>
  </si>
  <si>
    <t>Requerimientos nuevos ingresados a la cartera de Demanda de TI.  Aún no se le ha asignado un recurso o el recurso se encuentra atendiendo otros requerimientos de mayor prioridad.</t>
  </si>
  <si>
    <t>Planificación</t>
  </si>
  <si>
    <t>EN PROCESO</t>
  </si>
  <si>
    <t> Fue asignado el recurso y se encuentran estimando el tiempo de atención o está Pendiente de inicio de actividades de desarrollo.</t>
  </si>
  <si>
    <t>02. En Proceso</t>
  </si>
  <si>
    <t>Aquellos requerimientos que se encuentran en proceso de desarrollo y/o pruebas con usuario en ambiente de Desarrollo.</t>
  </si>
  <si>
    <t>03. En Ejecución</t>
  </si>
  <si>
    <t>Requerimientos con desarrollo culminado, listo para pruebas en certificación</t>
  </si>
  <si>
    <t>Aquellos requerimientos que se encuentran en proceso de pruebas en ambiente de certificación</t>
  </si>
  <si>
    <t>Aquellos requerimientos que fueron certificados (pruebas de calidad).</t>
  </si>
  <si>
    <t>Aquellos requerimientos que están iniciando las actividades de despliegue en ambiente de producción.</t>
  </si>
  <si>
    <t>Aquellos requerimientos que se encuentran desplegados en Producción.</t>
  </si>
  <si>
    <t>04. Finalizado</t>
  </si>
  <si>
    <t>EN PRODUCCION</t>
  </si>
  <si>
    <t>05. Descartado</t>
  </si>
  <si>
    <t>Para requerimientos desestimados por el usuario, devueltos por cambio total del Anexo o requerimientos duplicados.</t>
  </si>
  <si>
    <t>06. Descartado</t>
  </si>
  <si>
    <t>DESCARTADO</t>
  </si>
  <si>
    <t>04. Paralizado</t>
  </si>
  <si>
    <t>Aquellos requerimientos que se encuentran en pausa por falta de recursos, disponibilidad de usuario, dependencia de otro requerimiento, dependencia de proveedor o actualización del anexo.</t>
  </si>
  <si>
    <t>05. Paralizado</t>
  </si>
  <si>
    <t>11. Demanda Histórica</t>
  </si>
  <si>
    <t>06. Demanda Histórica</t>
  </si>
  <si>
    <t>Requerimientos que culminaron antes del 2024.</t>
  </si>
  <si>
    <t>Demanda Histórica</t>
  </si>
  <si>
    <t>10. Demanda Histórica</t>
  </si>
  <si>
    <t>-</t>
  </si>
  <si>
    <t>revisar definición lineas abajo</t>
  </si>
  <si>
    <t>Estado CQ</t>
  </si>
  <si>
    <t>Estado Requerimiento</t>
  </si>
  <si>
    <t>Comentarios</t>
  </si>
  <si>
    <t>Actualizar Demanda?</t>
  </si>
  <si>
    <t>ESTADOS MACRO</t>
  </si>
  <si>
    <t>01. No iniciado</t>
  </si>
  <si>
    <t>SIN USO</t>
  </si>
  <si>
    <t>Analista de desarrollo asignado</t>
  </si>
  <si>
    <t>Rechazado por calidad para corrección por parte de Desarrollo</t>
  </si>
  <si>
    <t>Desarrollo aprobado por Jefatura</t>
  </si>
  <si>
    <t>Si</t>
  </si>
  <si>
    <t>Producción devuelve el requerimiento a Calidad</t>
  </si>
  <si>
    <t>Definiciones</t>
  </si>
  <si>
    <t>Definicion</t>
  </si>
  <si>
    <t>Requerimiento que tiene como finalidad mejorar, cambiar o incorporar procesos en el funcionamiento de un sistema de información, aplicativo o modulo ya existente y/o implementado.</t>
  </si>
  <si>
    <t>Requerimiento que tiene como finalidad corregir una determinada funcionalidad de un sistema de información, aplicativo o modulo ya existente y/o implementado.</t>
  </si>
  <si>
    <t>Requerimiento que deviene de una entidad reguladora y/o supervisora del Sistema Financiero (SBS, Contraloría, BCRP, SMV), así como requerimientos que devienen de las Normas y/o regulaciones de las marcas de tarjeta (Visa, Mastercard).</t>
  </si>
  <si>
    <t>Requerimiento que atiende la petición de algún órgano de control interno (Auditoría Interna, OCI, Planes de Acción de Riesgos) o externo (Auditoría Externa, SBS, entre otros).</t>
  </si>
  <si>
    <t>Mejora de Procesos</t>
  </si>
  <si>
    <t>Tecnológica</t>
  </si>
  <si>
    <t>Motivo de paralización</t>
  </si>
  <si>
    <t>Dependencia otro requerimiento</t>
  </si>
  <si>
    <t>Actualización de Anexo</t>
  </si>
  <si>
    <t>Despriorizado por usuario</t>
  </si>
  <si>
    <t>Dependencia del proveedor</t>
  </si>
  <si>
    <t>Duplicidad de Req.</t>
  </si>
  <si>
    <t>Por antigüedad mayor a 2 años</t>
  </si>
  <si>
    <t>Atendido en otro mantenimiento</t>
  </si>
  <si>
    <t>Acuerdo Comité Demanda TI</t>
  </si>
  <si>
    <t>Evaluación de Descarte</t>
  </si>
  <si>
    <t>Otro</t>
  </si>
  <si>
    <t>Coordinación Fábrica</t>
  </si>
  <si>
    <t>Registrado en Demanda Estratégica</t>
  </si>
  <si>
    <t>Nombre corto</t>
  </si>
  <si>
    <t>Nombre Validación</t>
  </si>
  <si>
    <t>Nombre Reporte PAGTIC</t>
  </si>
  <si>
    <t>Nombre Gerencia</t>
  </si>
  <si>
    <t>Titular</t>
  </si>
  <si>
    <t>Logística</t>
  </si>
  <si>
    <t>ADMINISTRACIÓN Y LOGÍSTICA</t>
  </si>
  <si>
    <t>OPERACIONES</t>
  </si>
  <si>
    <t>Raquel Vargas</t>
  </si>
  <si>
    <t>Auditoría Interna</t>
  </si>
  <si>
    <t>Auditoria</t>
  </si>
  <si>
    <t>AUDITORÍA INTERNA</t>
  </si>
  <si>
    <t>BANCA DIGITAL</t>
  </si>
  <si>
    <t>Hector Poma</t>
  </si>
  <si>
    <t>Percy Silva</t>
  </si>
  <si>
    <t>B. Digital</t>
  </si>
  <si>
    <t>B.Digital</t>
  </si>
  <si>
    <t>PRODUCTOS E INCLUSIÓN FINANCIERA</t>
  </si>
  <si>
    <t>Daniel Vega Lazo</t>
  </si>
  <si>
    <t>Comunicaciones y Relaciones institucionales</t>
  </si>
  <si>
    <t>Comunicac.</t>
  </si>
  <si>
    <t>COMUNICACIONES Y REL. INSTITUCIONALES</t>
  </si>
  <si>
    <t>TECNOLOGÍAS DE INFORMACIÓN</t>
  </si>
  <si>
    <t>Feban</t>
  </si>
  <si>
    <t>GERENCIA GENERAL / RECLAMOS</t>
  </si>
  <si>
    <t>David Valverde</t>
  </si>
  <si>
    <t>Finanzas</t>
  </si>
  <si>
    <t>FINANZAS Y TESORERÍA</t>
  </si>
  <si>
    <t xml:space="preserve">PLANEAMIENTO Y CONTROL DE GESTIÓN </t>
  </si>
  <si>
    <t>Sidgar Ticahuanca</t>
  </si>
  <si>
    <t>Operac.</t>
  </si>
  <si>
    <t>Monica Díaz Zapata</t>
  </si>
  <si>
    <t>Gerencia Gral.</t>
  </si>
  <si>
    <t>GerenciaGral.</t>
  </si>
  <si>
    <t>GERENCIA GENERAL</t>
  </si>
  <si>
    <t>RECURSOS HUMANOS Y CULTURA</t>
  </si>
  <si>
    <t>Carmen Silvia Benites Varas</t>
  </si>
  <si>
    <t>Innovación</t>
  </si>
  <si>
    <t>INNOVACIÓN Y TRANSFORMACIÓN DIGITAL</t>
  </si>
  <si>
    <t>Gisella Gladys López Samanez</t>
  </si>
  <si>
    <t>Legal</t>
  </si>
  <si>
    <t>LEGAL</t>
  </si>
  <si>
    <t>Oscar Tello</t>
  </si>
  <si>
    <t>PLAFT</t>
  </si>
  <si>
    <t>OFICIALÍA DE PREVENCION DE LA/FT</t>
  </si>
  <si>
    <t>OFICIALÍA DE PREVENCIÓN DE LAVADO DE ACTIVOS Y FINANCIAMIENTO DEL TERRORISMO</t>
  </si>
  <si>
    <t>Tito Hugo Pareja Calderon</t>
  </si>
  <si>
    <t>Lizzet Sánchez</t>
  </si>
  <si>
    <t>Planeamiento</t>
  </si>
  <si>
    <t>PLANEAMIENTO Y CTRL. GEST.</t>
  </si>
  <si>
    <t>RED DE AGENCIAS</t>
  </si>
  <si>
    <t>Angiela Pahuara</t>
  </si>
  <si>
    <t>Productos</t>
  </si>
  <si>
    <t>INNOVACIÓN Y TRANSFORMACIÓN DIGITAL / ANALÍTICA</t>
  </si>
  <si>
    <t>Jaquinne Pinedo Tauma</t>
  </si>
  <si>
    <t>RRHH</t>
  </si>
  <si>
    <t>OFICIALÍA DE CUMPLIMIENTO NORMATIVO Y CONDUCTA DE MERCADO</t>
  </si>
  <si>
    <t>Jimena Toledo  Morote</t>
  </si>
  <si>
    <t>Red Ag.</t>
  </si>
  <si>
    <t>RedAg.</t>
  </si>
  <si>
    <t>RED AGENCIAS</t>
  </si>
  <si>
    <t>COMUNICACIONES Y RELACIONES INSTITUCIONALES</t>
  </si>
  <si>
    <t xml:space="preserve">Andres Toribio </t>
  </si>
  <si>
    <t>Kathery Grande Arroyo</t>
  </si>
  <si>
    <t>TI</t>
  </si>
  <si>
    <t>ÓRGANO DE CONTROL INSTITUCIONAL</t>
  </si>
  <si>
    <t>William Percy Galvez Ascencio</t>
  </si>
  <si>
    <t>Isabel Condori</t>
  </si>
  <si>
    <t>OficialíaCN</t>
  </si>
  <si>
    <t>OFICIALÍA DE C.NORMATIVO y C.MERCADO</t>
  </si>
  <si>
    <t>ÓRGANO DE AUDITORIA INTERNA</t>
  </si>
  <si>
    <t>Miguel Casma Salcedo</t>
  </si>
  <si>
    <t>Órgano de Control Institucional</t>
  </si>
  <si>
    <t>OCI</t>
  </si>
  <si>
    <t>OrganoControl</t>
  </si>
  <si>
    <t>validar</t>
  </si>
  <si>
    <t>Seguridad</t>
  </si>
  <si>
    <t>Infraestructura</t>
  </si>
  <si>
    <t>Auditoría de Procesos</t>
  </si>
  <si>
    <t>AuditoríaProcesos</t>
  </si>
  <si>
    <t>Auditoría Forense</t>
  </si>
  <si>
    <t>AuditoríaForense</t>
  </si>
  <si>
    <t>Cuenta DNI</t>
  </si>
  <si>
    <t>CuentaDNI</t>
  </si>
  <si>
    <t>InnovaciónDigital</t>
  </si>
  <si>
    <t>CanalesAlternos</t>
  </si>
  <si>
    <t>Prensa Institucional</t>
  </si>
  <si>
    <t>PrensaInstitucional</t>
  </si>
  <si>
    <t>Publicidad y Posicionamiento de Marca</t>
  </si>
  <si>
    <t>PublicidadPosicionamientoMarca</t>
  </si>
  <si>
    <t>Presupuesto</t>
  </si>
  <si>
    <t>EconómicosFinancieros</t>
  </si>
  <si>
    <t>Mesa de Dinero</t>
  </si>
  <si>
    <t>MesaDinero</t>
  </si>
  <si>
    <t>CaptacionesPagaduría</t>
  </si>
  <si>
    <t>BancariosRecaudación</t>
  </si>
  <si>
    <t>CajaValores</t>
  </si>
  <si>
    <t>ClienteReclamos</t>
  </si>
  <si>
    <t>Datos y Análitica Avanzada</t>
  </si>
  <si>
    <t>DatosAvanzada</t>
  </si>
  <si>
    <t>Asuntos Procesales</t>
  </si>
  <si>
    <t>AsuntosProcesales</t>
  </si>
  <si>
    <t>Asuntos Bancarios y Financieros</t>
  </si>
  <si>
    <t>AsuntosBancariosFinancieros</t>
  </si>
  <si>
    <t>Asuntos Administrativos</t>
  </si>
  <si>
    <t>AsuntosAdministrativos</t>
  </si>
  <si>
    <t>OficialíaPLAFT</t>
  </si>
  <si>
    <t>Desarrollo Organizacional</t>
  </si>
  <si>
    <t>DesarrolloOrganizacional</t>
  </si>
  <si>
    <t>Gestión de Calidad</t>
  </si>
  <si>
    <t>GestiónCalidad</t>
  </si>
  <si>
    <t>BancaInstitucional</t>
  </si>
  <si>
    <t>BancaPersonal</t>
  </si>
  <si>
    <t>InclusiónFinanciera</t>
  </si>
  <si>
    <t>Productos Pasivos</t>
  </si>
  <si>
    <t>ProductosPasivos</t>
  </si>
  <si>
    <t>AdministraciónPersonal</t>
  </si>
  <si>
    <t>DesarrolloTalento</t>
  </si>
  <si>
    <t>Gestión de Cliente</t>
  </si>
  <si>
    <t>GestiónCliente</t>
  </si>
  <si>
    <t>Macroregión Lima</t>
  </si>
  <si>
    <t>MacroregiónLima</t>
  </si>
  <si>
    <t>PrevenciónFraude</t>
  </si>
  <si>
    <t>Riesgos de Operaciones y Tecnología</t>
  </si>
  <si>
    <t>OperacionesTecnología</t>
  </si>
  <si>
    <t>CrediticiosFinancieros</t>
  </si>
  <si>
    <t>Cobranzas y Recuperaciones</t>
  </si>
  <si>
    <t>CobranzasRecuperaciones</t>
  </si>
  <si>
    <t>Oficina de Seguridad Informática</t>
  </si>
  <si>
    <t>SeguridadInformática</t>
  </si>
  <si>
    <t>Oficina de Proyectos y Procesos de TIC</t>
  </si>
  <si>
    <t>ProyectosProcesosTIC</t>
  </si>
  <si>
    <t>ArquitecturaTIC</t>
  </si>
  <si>
    <t>ConstrucciónAplicaciones</t>
  </si>
  <si>
    <t>Conducta de Mercado</t>
  </si>
  <si>
    <t>ConductaMercado</t>
  </si>
  <si>
    <t>Cumplimiento Normativo e Integridad</t>
  </si>
  <si>
    <t>NormativoIntegridad</t>
  </si>
  <si>
    <t>Investigación</t>
  </si>
  <si>
    <t>Segmentos</t>
  </si>
  <si>
    <t>Inteligencia Comercial</t>
  </si>
  <si>
    <t>InteligenciaComercial</t>
  </si>
  <si>
    <t>ComercialProyectos</t>
  </si>
  <si>
    <t>Areas de TI</t>
  </si>
  <si>
    <t>Recurso Asignado</t>
  </si>
  <si>
    <t>Locador-BN</t>
  </si>
  <si>
    <t>Proveedor</t>
  </si>
  <si>
    <t>Tipo de Atención</t>
  </si>
  <si>
    <t>Descripción</t>
  </si>
  <si>
    <t>Acción</t>
  </si>
  <si>
    <t>Autorizados por</t>
  </si>
  <si>
    <t>Urgente</t>
  </si>
  <si>
    <t>G. General</t>
  </si>
  <si>
    <t>Priorización inmediata</t>
  </si>
  <si>
    <t xml:space="preserve">Requerimientos que afectan la continuidad operativa y debe abordarse de forma inmediata para que clientes o empleados puedan seguir utilizando un servicio, o para proteger los sistemas contra una amenaza. Estos cambios surgen de un error o amenaza imprevistos </t>
  </si>
  <si>
    <t xml:space="preserve">Alta Dirección </t>
  </si>
  <si>
    <t>&lt; a 40 hrs</t>
  </si>
  <si>
    <t xml:space="preserve">Corresponde a requerimientos recurrentes o habituales que suponen un riesgo bajo y por lo general, suponen un desarrollo de nomás de 40 horas hombre. </t>
  </si>
  <si>
    <t>Construcción</t>
  </si>
  <si>
    <t>Priorizado en comité</t>
  </si>
  <si>
    <t xml:space="preserve">Corresponden a requerimientos que pueden entrar en la cola habitual de gestión para la evaluación y aprobación. </t>
  </si>
  <si>
    <t xml:space="preserve">Comité </t>
  </si>
  <si>
    <t>Hijos de Proy.</t>
  </si>
  <si>
    <t>Piratas</t>
  </si>
  <si>
    <t>Canal de atención</t>
  </si>
  <si>
    <t>Call Center</t>
  </si>
  <si>
    <t>BIM</t>
  </si>
  <si>
    <t>Plataforma SUNAT</t>
  </si>
  <si>
    <t>E-Commerce</t>
  </si>
  <si>
    <t xml:space="preserve">Carta Fianza </t>
  </si>
  <si>
    <t xml:space="preserve">Garantía Bancaria Contragarantizada </t>
  </si>
  <si>
    <t xml:space="preserve">Carta Fianza Contragarantizada </t>
  </si>
  <si>
    <t>Carta de Crédito Standby</t>
  </si>
  <si>
    <t xml:space="preserve">Compensación por Tiempo de Servicios </t>
  </si>
  <si>
    <t>Depósitos en Garantía</t>
  </si>
  <si>
    <t xml:space="preserve">Certificados Bancarios </t>
  </si>
  <si>
    <t>Seguros</t>
  </si>
  <si>
    <t xml:space="preserve">Custodia de valores </t>
  </si>
  <si>
    <t xml:space="preserve">Tarjeta de Crédito Foránea </t>
  </si>
  <si>
    <t>Registro de Datos / Entrega de Documentos</t>
  </si>
  <si>
    <t xml:space="preserve">Fideicomisos y Comisiones de Confianza </t>
  </si>
  <si>
    <t>Gestores</t>
  </si>
  <si>
    <t>Luis Alberto Ingar</t>
  </si>
  <si>
    <t>revisar</t>
  </si>
  <si>
    <t>Auditoria  Financiera y Administrativa</t>
  </si>
  <si>
    <t>CumplimientoNormativoIntegridad</t>
  </si>
  <si>
    <t>Seguridad Física y Electrónica</t>
  </si>
  <si>
    <t>Procedimientos de Selección</t>
  </si>
  <si>
    <t xml:space="preserve">Servicios Generales </t>
  </si>
  <si>
    <t>Formulación y Asignación de Presupuesto</t>
  </si>
  <si>
    <t>Estudios Financieros</t>
  </si>
  <si>
    <t>Administración de Créditos y Garantías</t>
  </si>
  <si>
    <t>Operaciones Bancarias Moneda Extranjera</t>
  </si>
  <si>
    <t>Experiencia de Cliente</t>
  </si>
  <si>
    <t>Gestión de Datos</t>
  </si>
  <si>
    <t>Procesos Judiciales y Administrativos</t>
  </si>
  <si>
    <t>Banca de Gobierno Nacional</t>
  </si>
  <si>
    <t>Continuidad del Negocio</t>
  </si>
  <si>
    <t>Canales y Negociación</t>
  </si>
  <si>
    <t>Ciberseguridad</t>
  </si>
  <si>
    <t>Gestión Administrativa y Procesos de TIC</t>
  </si>
  <si>
    <t>Atención  a Usuario</t>
  </si>
  <si>
    <t>Gestión de Procesos de Seguridad</t>
  </si>
  <si>
    <t>Control Patrimonial</t>
  </si>
  <si>
    <t>Seguimiento y Evaluación de Presupuesto</t>
  </si>
  <si>
    <t>Estados Financieros e Informes Contables</t>
  </si>
  <si>
    <t>Análitica Avanzada</t>
  </si>
  <si>
    <t>Procesos Laborales</t>
  </si>
  <si>
    <t>Políticas de Seguridad de Información</t>
  </si>
  <si>
    <t>Información y Estrategia</t>
  </si>
  <si>
    <t>Demanda y Proyectos</t>
  </si>
  <si>
    <t>Arquitectura Tecnológica</t>
  </si>
  <si>
    <t>Seguimiento Administrativo de Contratos</t>
  </si>
  <si>
    <t>Almacén</t>
  </si>
  <si>
    <t>Mesa de Ayuda</t>
  </si>
  <si>
    <t>Riesgos de Operación</t>
  </si>
  <si>
    <t>Riesgos Financieros</t>
  </si>
  <si>
    <t>Control Financiero</t>
  </si>
  <si>
    <t>Control de Calidad</t>
  </si>
  <si>
    <t>Crédito Vehicular</t>
  </si>
  <si>
    <t>Seguridad y Salud en el Trabajo</t>
  </si>
  <si>
    <t>Responsabilidad Social y Relaciones Públicas</t>
  </si>
  <si>
    <t>SMV</t>
  </si>
  <si>
    <t>MED</t>
  </si>
  <si>
    <t>FONAFE</t>
  </si>
  <si>
    <t>OCI / CONTRALORIA</t>
  </si>
  <si>
    <t>BCRP</t>
  </si>
  <si>
    <t>BCRP/SBS</t>
  </si>
  <si>
    <t>CONGRESO DE LA REPÚBLICA</t>
  </si>
  <si>
    <t>AUDITORIA INTERNA / SBS</t>
  </si>
  <si>
    <t>Microcanal</t>
  </si>
  <si>
    <t>Macrocanal2</t>
  </si>
  <si>
    <t>Banca Movil</t>
  </si>
  <si>
    <t>Banca Empresarial</t>
  </si>
  <si>
    <t>Multired Virtual</t>
  </si>
  <si>
    <t>Pagalo.pe</t>
  </si>
  <si>
    <t>Clientes (BDUC)</t>
  </si>
  <si>
    <t>Ventanilla</t>
  </si>
  <si>
    <t>ATM-Agentes-VISA</t>
  </si>
  <si>
    <t>Créditos Hipotecarios</t>
  </si>
  <si>
    <t>Tarjeta Tesoro</t>
  </si>
  <si>
    <t>Préstamos Multired</t>
  </si>
  <si>
    <t>Infraestructura, seguridad y plataforma central</t>
  </si>
  <si>
    <t>Otros Requerimientos</t>
  </si>
  <si>
    <t>BackOffice</t>
  </si>
  <si>
    <t>Extractores de Sentinel</t>
  </si>
  <si>
    <t>Interoperabilidad</t>
  </si>
  <si>
    <t>Aplicativos</t>
  </si>
  <si>
    <t>Micro</t>
  </si>
  <si>
    <t>Macro</t>
  </si>
  <si>
    <t>AFCS-Adm. Formularios de Consultas y Sugerencias</t>
  </si>
  <si>
    <t>AHME-Deposito Ahorros</t>
  </si>
  <si>
    <t>AHSB-Formatos SBS</t>
  </si>
  <si>
    <t>AHTS-Depositos CTS</t>
  </si>
  <si>
    <t>BNWS-Servicios Web Banco de la Nación</t>
  </si>
  <si>
    <t>CCME_Cheques Certficados ME</t>
  </si>
  <si>
    <t>CCTE-Adm. Autorizaciones Individuales</t>
  </si>
  <si>
    <t>CO84-Asiento contable de cada transacción-COF84</t>
  </si>
  <si>
    <t>COCE-Emision Comprobantes Electronicos</t>
  </si>
  <si>
    <t>COGT-Contabilidad General Transacciones</t>
  </si>
  <si>
    <t>COMP - Sistema de config. parámetros globales</t>
  </si>
  <si>
    <t>DJAE_Depositos Judiciales Adm de Embargo</t>
  </si>
  <si>
    <t>DPDE - Administración de Dinero Electrónico</t>
  </si>
  <si>
    <t>ECCI_Estados de Ctas Ctes x Intranet</t>
  </si>
  <si>
    <t>ESPL - ESPLINK Servidor STRATUS</t>
  </si>
  <si>
    <t>EXTR - Transf. al  exterior via SWIFT</t>
  </si>
  <si>
    <t>FIAD-Fideicomisos Administración</t>
  </si>
  <si>
    <t>FIOD - Finanzas Operaciones Diarias</t>
  </si>
  <si>
    <t>FISE Finanzas Sectorizacion</t>
  </si>
  <si>
    <t>FIWE_Fideicomisos Web</t>
  </si>
  <si>
    <t>FOTK-Mantenimiento de Fotochecks</t>
  </si>
  <si>
    <t>GGFT-Fideicomiso de Telefonica</t>
  </si>
  <si>
    <t>IMCA-IMPRESION DE CARTILLAS</t>
  </si>
  <si>
    <t>LBTR-Liquidación Bruta en Tiempo Real</t>
  </si>
  <si>
    <t>LICA-Lista Integral de Chequeo de Agencias</t>
  </si>
  <si>
    <t>MERD_Remesas en Moneda Extranjera</t>
  </si>
  <si>
    <t>MFTP-Módulo Fideicomisos Telefónica del Perú</t>
  </si>
  <si>
    <t>MGIN -  Módulgo Gestión de Incidencias</t>
  </si>
  <si>
    <t>MWBM -Modulo Web Banca Movil</t>
  </si>
  <si>
    <t>OPCF - Operaciones conciliación facturas ETVs</t>
  </si>
  <si>
    <t>PGCL - Proyecto Gestión de Contartos Logistica</t>
  </si>
  <si>
    <t>PITF-Pagos de ITF</t>
  </si>
  <si>
    <t>POAH  Registro Unico de Poderes</t>
  </si>
  <si>
    <t>READ-Recaudacion Aduanas</t>
  </si>
  <si>
    <t>RHAS-Recursos Humanos Asistencia</t>
  </si>
  <si>
    <t>SABMWEB-Modulo Administrativo SABM</t>
  </si>
  <si>
    <t>SACL_Atención Clientes x Internet</t>
  </si>
  <si>
    <t>SCAJ-Sistema de Cajeros</t>
  </si>
  <si>
    <t>SCRE_Sistema Consultas de Reniec</t>
  </si>
  <si>
    <t>SGAT-Sistema Gestión de Cajeros ATM</t>
  </si>
  <si>
    <t>SGCN-Sistema de Gestion de cumplimiento Normativo</t>
  </si>
  <si>
    <t>SGHU -  Sistema Gestor de Huella</t>
  </si>
  <si>
    <t>SIAN-Sistema de Anexos</t>
  </si>
  <si>
    <t>SICP-Sistema Cero Papel</t>
  </si>
  <si>
    <t>SIER - Eestado De La Red Sucursales y Agencias</t>
  </si>
  <si>
    <t>SIFA-Sistema de Facturas</t>
  </si>
  <si>
    <t>SIMS-Software de Envío de Correos Electrónicos</t>
  </si>
  <si>
    <t>SIMU_Simuladores Web</t>
  </si>
  <si>
    <t>SIPT_Posición Clientes</t>
  </si>
  <si>
    <t>SIVA-Sistema Interno de Valoración de Aporte</t>
  </si>
  <si>
    <t>SIVA-Sistema Valorización de Aporte</t>
  </si>
  <si>
    <t>SIVC - Sistema de Valores en Custodia</t>
  </si>
  <si>
    <t>SLSB - Sist. Levantamiento Secreto Bancario</t>
  </si>
  <si>
    <t>SPCL-Sistema de Posición de Clientes</t>
  </si>
  <si>
    <t>SPPP-Sistema Pago de Planillas de la PNP</t>
  </si>
  <si>
    <t>SSMC-Sistema de Seguimiento de Medidas Correctivas</t>
  </si>
  <si>
    <t>STCL-Sistema de Claves</t>
  </si>
  <si>
    <t>STDQ_Tramite Documentario</t>
  </si>
  <si>
    <t>TINL - SISTEMAS DE COMUNICACIÓN TRANSFER EN LINEA</t>
  </si>
  <si>
    <t>TOLD-Sistema Despachador de Transacciones</t>
  </si>
  <si>
    <t>VIBF-Validación de Identidad con Biometría Facial</t>
  </si>
  <si>
    <t>WSCR_WS_Consulta_Recaudaciones</t>
  </si>
  <si>
    <t>DEMANDA TÁCTICA - DESCRIPCIÓN DE CAMPOS</t>
  </si>
  <si>
    <t>Tipo de Dato</t>
  </si>
  <si>
    <t>Columna en Tabla</t>
  </si>
  <si>
    <t>Información obtenida</t>
  </si>
  <si>
    <t>ID único de la Demanda Táctica</t>
  </si>
  <si>
    <t>Alfanumérico, 5</t>
  </si>
  <si>
    <t>Automático</t>
  </si>
  <si>
    <t>Información de la base histórica</t>
  </si>
  <si>
    <t>Numérico</t>
  </si>
  <si>
    <t>Backlog</t>
  </si>
  <si>
    <t>Trámite generado en CQ</t>
  </si>
  <si>
    <t>Alfanumérico, 10</t>
  </si>
  <si>
    <t>Mantenimiento generado en CQ</t>
  </si>
  <si>
    <t>ClearQuest</t>
  </si>
  <si>
    <t>Nombre corto del requerimiento</t>
  </si>
  <si>
    <t>Alfanumérico, 100</t>
  </si>
  <si>
    <t>Descripcion corta del requerimiento</t>
  </si>
  <si>
    <t>Texto, 100</t>
  </si>
  <si>
    <t>Listar los nombres de las Gerencias</t>
  </si>
  <si>
    <t>Anexo2</t>
  </si>
  <si>
    <t>Listar los nombres de las Subgerencias que pertenecen a cada Gerencia</t>
  </si>
  <si>
    <t>Listar los nombres de las Secciones que pertenecen a cada Subgerencia</t>
  </si>
  <si>
    <t>Fecha de Ingreso del Memorando a OPP</t>
  </si>
  <si>
    <t>MEMORANDO</t>
  </si>
  <si>
    <t>Numero del documento con el que llega el requerimiento por STD (Memorando/Hoja de Envío)</t>
  </si>
  <si>
    <t>Texto</t>
  </si>
  <si>
    <t>Nombre del aplicativo impactado por el desarrollo del mantenimiento. Información extraida del ClearQuest</t>
  </si>
  <si>
    <t xml:space="preserve">Descripción libre que represente a que producto/servicio está asociado el desarrollo: Ejm. Credito Hipotecario, Sentinel, Saraweb, STD, Ivanti, </t>
  </si>
  <si>
    <t>Listar la lista de canales de atención definida</t>
  </si>
  <si>
    <t>Listar la lista de productos definidos</t>
  </si>
  <si>
    <t>Listar la lista de servicios definidos</t>
  </si>
  <si>
    <t>Listar las categorías definidas: Evolutivo, Correctivo, Normativo y Recomendación</t>
  </si>
  <si>
    <t>Listar las entidades definidas</t>
  </si>
  <si>
    <t>Describir la norma / Informe / recomendación asociada</t>
  </si>
  <si>
    <t>Nombre del Informe asociado</t>
  </si>
  <si>
    <t>Número de la Recomendación asociada</t>
  </si>
  <si>
    <t>Nombre del Numeral del Número de la Recomendación asociada</t>
  </si>
  <si>
    <t>Registrar fecha de implementación exigida</t>
  </si>
  <si>
    <t>Es la clasificación que se asigna a cada requerimiento registrado en el Backlog, según su nivel de prioridad o condición</t>
  </si>
  <si>
    <t>Fecha del comité en la que se priorizó el requerimiento</t>
  </si>
  <si>
    <t>Sección de la Subgerencia de Construcción encargada de el desarrollo del requerimiento</t>
  </si>
  <si>
    <t>Entidad responsable del desarrollo del mantenimiento</t>
  </si>
  <si>
    <t>Encargado de darle desarrollo y seguimiento al mantenimento</t>
  </si>
  <si>
    <t>Gestor de OPP encargado de darle seguimiento al mantenimiento</t>
  </si>
  <si>
    <t>Estado del mantenimiento según su proceso de avance en el ciclo de vida del software</t>
  </si>
  <si>
    <t>Agrupación de requerimientos en 5 macroestado: No Iniciado, En Proceso, Culminaod, Paralizado y Descartado</t>
  </si>
  <si>
    <r>
      <rPr>
        <sz val="11"/>
        <color rgb="FF000000"/>
        <rFont val="Calibri"/>
        <family val="2"/>
        <scheme val="minor"/>
      </rPr>
      <t xml:space="preserve">Motivo por el cual el requerimiento se encuentra en Estado TI </t>
    </r>
    <r>
      <rPr>
        <b/>
        <i/>
        <sz val="11"/>
        <color rgb="FF000000"/>
        <rFont val="Calibri"/>
        <family val="2"/>
        <scheme val="minor"/>
      </rPr>
      <t>09.Descartado</t>
    </r>
    <r>
      <rPr>
        <sz val="11"/>
        <color rgb="FF000000"/>
        <rFont val="Calibri"/>
        <family val="2"/>
        <scheme val="minor"/>
      </rPr>
      <t xml:space="preserve"> o </t>
    </r>
    <r>
      <rPr>
        <b/>
        <i/>
        <sz val="11"/>
        <color rgb="FF000000"/>
        <rFont val="Calibri"/>
        <family val="2"/>
        <scheme val="minor"/>
      </rPr>
      <t>10.Paralizado</t>
    </r>
  </si>
  <si>
    <t>Fecha en la que se creó el trámite asociado al requerimiento</t>
  </si>
  <si>
    <r>
      <rPr>
        <sz val="11"/>
        <color rgb="FF000000"/>
        <rFont val="Calibri"/>
        <family val="2"/>
        <scheme val="minor"/>
      </rPr>
      <t xml:space="preserve">Fecha en la que se cambió el estado CQ del mantenimiento asociado a </t>
    </r>
    <r>
      <rPr>
        <b/>
        <i/>
        <sz val="11"/>
        <color rgb="FF000000"/>
        <rFont val="Calibri"/>
        <family val="2"/>
        <scheme val="minor"/>
      </rPr>
      <t>Asignado</t>
    </r>
  </si>
  <si>
    <r>
      <rPr>
        <sz val="11"/>
        <color rgb="FF000000"/>
        <rFont val="Calibri"/>
        <family val="2"/>
      </rPr>
      <t xml:space="preserve">Fecha en la que se cambió el estado CQ del mantenimiento asociado a </t>
    </r>
    <r>
      <rPr>
        <b/>
        <i/>
        <sz val="11"/>
        <color rgb="FF000000"/>
        <rFont val="Calibri"/>
        <family val="2"/>
      </rPr>
      <t>Aprobado</t>
    </r>
  </si>
  <si>
    <t>Fecha tentativa de fin de desarrollo dictada. Si el mantenimiento está asignado a fábrica</t>
  </si>
  <si>
    <t>INDRA</t>
  </si>
  <si>
    <r>
      <rPr>
        <sz val="11"/>
        <color rgb="FF000000"/>
        <rFont val="Calibri"/>
        <family val="2"/>
      </rPr>
      <t xml:space="preserve">Fecha en la que se cambió el estado CQ del mantenimiento asociado a </t>
    </r>
    <r>
      <rPr>
        <b/>
        <i/>
        <sz val="11"/>
        <color rgb="FF000000"/>
        <rFont val="Calibri"/>
        <family val="2"/>
      </rPr>
      <t>En_Certificación</t>
    </r>
  </si>
  <si>
    <r>
      <rPr>
        <sz val="11"/>
        <color rgb="FF000000"/>
        <rFont val="Calibri"/>
        <family val="2"/>
      </rPr>
      <t xml:space="preserve">Fecha en la que se cambió el estado CQ del mantenimiento asociado a </t>
    </r>
    <r>
      <rPr>
        <b/>
        <i/>
        <sz val="11"/>
        <color rgb="FF000000"/>
        <rFont val="Calibri"/>
        <family val="2"/>
      </rPr>
      <t>Certificado</t>
    </r>
  </si>
  <si>
    <t>Fecha calculada en base a las fechas de desarrollo que propone una fecha tentativa de fin del proceso de Calidad</t>
  </si>
  <si>
    <r>
      <rPr>
        <sz val="11"/>
        <color rgb="FF000000"/>
        <rFont val="Calibri"/>
        <family val="2"/>
      </rPr>
      <t xml:space="preserve">Fecha en la que se cambió el estado CQ del mantenimiento asociado a </t>
    </r>
    <r>
      <rPr>
        <b/>
        <i/>
        <sz val="11"/>
        <color rgb="FF000000"/>
        <rFont val="Calibri"/>
        <family val="2"/>
      </rPr>
      <t>Ordenado</t>
    </r>
  </si>
  <si>
    <r>
      <rPr>
        <sz val="11"/>
        <color rgb="FF000000"/>
        <rFont val="Calibri"/>
        <family val="2"/>
      </rPr>
      <t xml:space="preserve">Fecha en la que se cambió el estado CQ del mantenimiento asociado a </t>
    </r>
    <r>
      <rPr>
        <b/>
        <i/>
        <sz val="11"/>
        <color rgb="FF000000"/>
        <rFont val="Calibri"/>
        <family val="2"/>
      </rPr>
      <t>Procesado, Transitorio_Procesado o Transitorio_Ordenado</t>
    </r>
  </si>
  <si>
    <t>Fecha calculada en base a la fecha de fin de Calidad que propone una fecha tentiva del fin de mantenimiento</t>
  </si>
  <si>
    <t>Comentarios por fechas que se registran según el avance del requerimiento, desde el registro hasta su pase a producción.</t>
  </si>
  <si>
    <t>Nombre de Gerencia abreviado</t>
  </si>
  <si>
    <t>Nombre de Subgerencia abreviado</t>
  </si>
  <si>
    <t>Fecha de solicitud en formato YYYY-MM</t>
  </si>
  <si>
    <t>Fecha de Priorización de Comité en formato YYYY-MM</t>
  </si>
  <si>
    <t>Fecha de Fin de Desarrollo en formato YYYY-MM</t>
  </si>
  <si>
    <t>Fecha de Fin de Producción en formato YYYY-MM</t>
  </si>
  <si>
    <t>Fecha Fin Planificada en formato YYYY-MM</t>
  </si>
  <si>
    <t>Estado del requerimeinto brindado por la fábrica INDRA</t>
  </si>
  <si>
    <t>Fecha de inicio de atención del requerimientos atendido por INDRA</t>
  </si>
  <si>
    <t>Fecha de entrega planificada del requerimientos atendido por INDRA</t>
  </si>
  <si>
    <t>Fecha real de entrega del requerimiento atendido por INDRA</t>
  </si>
  <si>
    <t>Fecha de ingreso a la Demanda Táctica</t>
  </si>
  <si>
    <t>Fecha por trimestre de ingreso del requerimiento a la Demanda Táctica</t>
  </si>
  <si>
    <t>Duración en días desde la Fecha de Inicio del requerimiento hasta la Fecha de Fin de Producción</t>
  </si>
  <si>
    <t>Número</t>
  </si>
  <si>
    <t>Duración en meses desde la Fecha de Inicio del requerimiento hasta la Fecha de Fin de Producción</t>
  </si>
  <si>
    <t>Codigos de Planeamiento obtenidos de los Anexos 2</t>
  </si>
  <si>
    <t>Último estado de las actividades en el CQ</t>
  </si>
  <si>
    <t>Último estado del mantenimiento en el CQ</t>
  </si>
  <si>
    <t>Fecha en la que se actualizó el último estado en el CQ</t>
  </si>
  <si>
    <t>Estado de la Recomendaicón asociada otorgado por Cumplimiento Normativo</t>
  </si>
  <si>
    <t>ID de Recomendación asociada otorgado por Cumplimeinto Normativo</t>
  </si>
  <si>
    <t>BDG2025</t>
  </si>
  <si>
    <t>Indicativo si la Recomendación asociada pertenece al BDG2025</t>
  </si>
  <si>
    <t>Basado en la columna Fecha Planificada, esta columana indica si las fechas de fin planificación están vencida o en qué trimestre se programa su cierre</t>
  </si>
  <si>
    <t>Agrupación de requerimientos en micro Canales según el aplicativo utilizado</t>
  </si>
  <si>
    <t>Agrupación de requerimientos en macro Canales según el aplicativo utilizado</t>
  </si>
  <si>
    <t>Fechas de compromiso para fin de producción realizado en Febrero del 2025 con Construcción</t>
  </si>
  <si>
    <t>Fechas de compromiso para fin de producción en constante coordinación con Construcción (Se actualiza según consulta)</t>
  </si>
  <si>
    <t>Comentarios adicionale sosbre la fecha de compromiso o sobre los requerimientos revisados por Construcción</t>
  </si>
  <si>
    <t>Columna que escoge la mejor fecha fin planificada para el requerimiento en base a la información de las columnas Fecha Fin Planificada y Compromiso</t>
  </si>
  <si>
    <t>Muestra la columna Fecha Fin2 por trimestres o según su condición (Sin Mantenimeinto, Sin Fecha, Vencida)</t>
  </si>
  <si>
    <t>Muestra la columna Fecha Fin2 en formato MMM-YYYY</t>
  </si>
  <si>
    <t>Columna que agrupa a los requerimientos en Activos, Culminados y Descartados</t>
  </si>
  <si>
    <t>Columna que identifica a los requerimientos pertenecientes a las carteras: VISA, ATM, APP/WEB y  PÁGALO</t>
  </si>
  <si>
    <t>DEMANDA TÁCTICA - PORCENTAJE DE AVANCES</t>
  </si>
  <si>
    <t>MacroEstado</t>
  </si>
  <si>
    <t>El requerimiento no cuenta con trámite</t>
  </si>
  <si>
    <t>El requerimiento no cuenta con Mantenimiento o el Mantenimiento se encuentra en estado CQ Registrado</t>
  </si>
  <si>
    <t>El requerimiento se encuentra en estado Asignado pero sin actividad Iniciada</t>
  </si>
  <si>
    <t>El requerimiento se encuentra en estado Asignado y con actividad Iniciada</t>
  </si>
  <si>
    <t>El mantenimiento se encuentra en estado CQ Aprobado</t>
  </si>
  <si>
    <t>El mantenimiento se encuentra en estado CQ En_Certificación</t>
  </si>
  <si>
    <t>El mantenimiento se encuentra en estado CQ Certificado</t>
  </si>
  <si>
    <t>El mantenimiento se encuentra en estado CQ Ordenado</t>
  </si>
  <si>
    <t>El mantenimiento se encuentra en estado CQ Procesado, Transitorio_Procesado, Transitorio_Regularizado, Transitorio_Ordenado</t>
  </si>
  <si>
    <t>El mantenimiento se encuentra en estado CQ Descartado</t>
  </si>
  <si>
    <t>El mantenimiento se encuentra en estado CQ Pospuesto</t>
  </si>
  <si>
    <t>MACRO ESTADO CQ</t>
  </si>
  <si>
    <t>10. Descartado</t>
  </si>
  <si>
    <t>0. REGISTRADO</t>
  </si>
  <si>
    <t>ESTADOS CICLO DE VIDA</t>
  </si>
  <si>
    <t>Actividad</t>
  </si>
  <si>
    <t>Porcentaje de avance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</si>
</sst>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
    <numFmt numFmtId="165" formatCode="m/d/yyyy"/>
    <numFmt numFmtId="166" formatCode="dd/mm/yyyy;@"/>
    <numFmt numFmtId="167" formatCode="0_ ;\-0\ "/>
    <numFmt numFmtId="168" formatCode="0.0"/>
  </numFmts>
  <fonts count="64">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1"/>
      <name val="Arial"/>
      <family val="2"/>
    </font>
    <font>
      <sz val="11"/>
      <color rgb="FFFF0000"/>
      <name val="Calibri"/>
      <family val="2"/>
      <scheme val="minor"/>
    </font>
    <font>
      <b/>
      <sz val="16"/>
      <color theme="1"/>
      <name val="Arial"/>
      <family val="2"/>
    </font>
    <font>
      <sz val="16"/>
      <color theme="1"/>
      <name val="Arial"/>
      <family val="2"/>
    </font>
    <font>
      <b/>
      <u/>
      <sz val="16"/>
      <color theme="1"/>
      <name val="Arial"/>
      <family val="2"/>
    </font>
    <font>
      <sz val="10"/>
      <color theme="1"/>
      <name val="Arial"/>
      <family val="2"/>
    </font>
    <font>
      <b/>
      <sz val="10"/>
      <color theme="1"/>
      <name val="Arial"/>
      <family val="2"/>
    </font>
    <font>
      <b/>
      <sz val="10"/>
      <color theme="0"/>
      <name val="Arial"/>
      <family val="2"/>
    </font>
    <font>
      <sz val="10"/>
      <color rgb="FFFF0000"/>
      <name val="Arial"/>
      <family val="2"/>
    </font>
    <font>
      <sz val="11"/>
      <name val="Calibri"/>
      <family val="2"/>
      <scheme val="minor"/>
    </font>
    <font>
      <b/>
      <i/>
      <sz val="10"/>
      <color theme="0"/>
      <name val="Arial"/>
      <family val="2"/>
    </font>
    <font>
      <sz val="10"/>
      <color rgb="FF000000"/>
      <name val="Arial"/>
      <family val="2"/>
    </font>
    <font>
      <b/>
      <sz val="24"/>
      <color theme="1"/>
      <name val="Calibri"/>
      <family val="2"/>
      <scheme val="minor"/>
    </font>
    <font>
      <b/>
      <sz val="11"/>
      <color rgb="FF000000"/>
      <name val="Calibri"/>
      <family val="2"/>
    </font>
    <font>
      <sz val="11"/>
      <color rgb="FF000000"/>
      <name val="Calibri"/>
      <family val="2"/>
    </font>
    <font>
      <sz val="8"/>
      <name val="Calibri"/>
      <family val="2"/>
      <scheme val="minor"/>
    </font>
    <font>
      <sz val="11"/>
      <color rgb="FF000000"/>
      <name val="Calibri"/>
      <family val="2"/>
      <scheme val="minor"/>
    </font>
    <font>
      <sz val="11"/>
      <color rgb="FF0070C0"/>
      <name val="Calibri"/>
      <family val="2"/>
    </font>
    <font>
      <b/>
      <sz val="11"/>
      <color rgb="FFFFFFFF"/>
      <name val="Calibri"/>
      <family val="2"/>
    </font>
    <font>
      <sz val="10"/>
      <name val="Arial"/>
      <family val="2"/>
    </font>
    <font>
      <i/>
      <sz val="11"/>
      <color theme="1"/>
      <name val="Calibri"/>
      <family val="2"/>
      <scheme val="minor"/>
    </font>
    <font>
      <sz val="8"/>
      <color theme="1"/>
      <name val="Calibri"/>
      <family val="2"/>
      <scheme val="minor"/>
    </font>
    <font>
      <b/>
      <sz val="10"/>
      <color rgb="FFFF0000"/>
      <name val="Arial"/>
      <family val="2"/>
    </font>
    <font>
      <i/>
      <sz val="10"/>
      <color theme="1"/>
      <name val="Calibri"/>
      <family val="2"/>
      <scheme val="minor"/>
    </font>
    <font>
      <sz val="9"/>
      <color theme="1"/>
      <name val="Calibri"/>
      <family val="2"/>
      <scheme val="minor"/>
    </font>
    <font>
      <b/>
      <sz val="10"/>
      <color rgb="FF000000"/>
      <name val="Arial"/>
      <family val="2"/>
    </font>
    <font>
      <b/>
      <sz val="10"/>
      <color theme="8"/>
      <name val="Arial"/>
      <family val="2"/>
    </font>
    <font>
      <b/>
      <sz val="10"/>
      <color rgb="FF0070C0"/>
      <name val="Arial"/>
      <family val="2"/>
    </font>
    <font>
      <sz val="10"/>
      <color theme="0"/>
      <name val="Arial"/>
      <family val="2"/>
    </font>
    <font>
      <b/>
      <sz val="10"/>
      <name val="Arial"/>
      <family val="2"/>
    </font>
    <font>
      <sz val="10"/>
      <name val="Arial Narrow"/>
      <family val="2"/>
    </font>
    <font>
      <b/>
      <sz val="24"/>
      <color rgb="FFFFFFFF"/>
      <name val="Calibri"/>
      <family val="2"/>
    </font>
    <font>
      <b/>
      <sz val="14"/>
      <color rgb="FFFFFFFF"/>
      <name val="Calibri"/>
      <family val="2"/>
    </font>
    <font>
      <b/>
      <sz val="20"/>
      <color rgb="FF000000"/>
      <name val="Calibri"/>
      <family val="2"/>
    </font>
    <font>
      <sz val="11"/>
      <color theme="0"/>
      <name val="Calibri"/>
      <family val="2"/>
      <scheme val="minor"/>
    </font>
    <font>
      <b/>
      <sz val="16"/>
      <color theme="0"/>
      <name val="Arial"/>
      <family val="2"/>
    </font>
    <font>
      <b/>
      <sz val="18"/>
      <color theme="1"/>
      <name val="Calibri"/>
      <family val="2"/>
      <scheme val="minor"/>
    </font>
    <font>
      <b/>
      <i/>
      <sz val="11"/>
      <color rgb="FF000000"/>
      <name val="Calibri"/>
      <family val="2"/>
      <scheme val="minor"/>
    </font>
    <font>
      <b/>
      <i/>
      <sz val="11"/>
      <color rgb="FF000000"/>
      <name val="Calibri"/>
      <family val="2"/>
    </font>
    <font>
      <b/>
      <sz val="9"/>
      <color rgb="FFFFFFFF"/>
      <name val="Arial"/>
      <family val="2"/>
    </font>
    <font>
      <sz val="9"/>
      <color rgb="FF000000"/>
      <name val="Arial"/>
      <family val="2"/>
    </font>
    <font>
      <sz val="9"/>
      <name val="Arial"/>
      <family val="2"/>
    </font>
    <font>
      <b/>
      <sz val="9"/>
      <color theme="0"/>
      <name val="Arial"/>
      <family val="2"/>
    </font>
    <font>
      <b/>
      <sz val="8"/>
      <color rgb="FF000000"/>
      <name val="Arial"/>
      <family val="2"/>
    </font>
    <font>
      <sz val="10"/>
      <color rgb="FFFFFFFF"/>
      <name val="Arial"/>
      <family val="2"/>
    </font>
    <font>
      <b/>
      <sz val="16"/>
      <color rgb="FF000000"/>
      <name val="Arial"/>
      <family val="2"/>
    </font>
    <font>
      <b/>
      <u/>
      <sz val="16"/>
      <color rgb="FF000000"/>
      <name val="Arial"/>
      <family val="2"/>
    </font>
    <font>
      <b/>
      <sz val="12"/>
      <color theme="0"/>
      <name val="Calibri"/>
      <family val="2"/>
      <scheme val="minor"/>
    </font>
    <font>
      <b/>
      <sz val="12"/>
      <color rgb="FF000000"/>
      <name val="Calibri"/>
      <family val="2"/>
      <scheme val="minor"/>
    </font>
    <font>
      <sz val="11"/>
      <color rgb="FF000000"/>
      <name val="Arial"/>
      <family val="2"/>
    </font>
    <font>
      <b/>
      <sz val="10"/>
      <color rgb="FFFFFFFF"/>
      <name val="Arial"/>
      <family val="2"/>
    </font>
    <font>
      <sz val="10"/>
      <color rgb="FF006100"/>
      <name val="Arial"/>
      <family val="2"/>
    </font>
    <font>
      <b/>
      <u/>
      <sz val="11"/>
      <color theme="1"/>
      <name val="Calibri"/>
      <family val="2"/>
      <scheme val="minor"/>
    </font>
    <font>
      <sz val="16"/>
      <color theme="1"/>
      <name val="Calibri"/>
      <family val="2"/>
      <scheme val="minor"/>
    </font>
    <font>
      <b/>
      <sz val="8"/>
      <color theme="0"/>
      <name val="Arial"/>
      <family val="2"/>
    </font>
    <font>
      <sz val="11"/>
      <name val="Calibri"/>
      <family val="2"/>
    </font>
    <font>
      <sz val="10"/>
      <color theme="1"/>
      <name val="Arial"/>
    </font>
    <font>
      <b/>
      <sz val="10"/>
      <color theme="0"/>
      <name val="Arial"/>
    </font>
    <font>
      <sz val="10"/>
      <color rgb="FF9C5700"/>
      <name val="Arial"/>
      <family val="2"/>
    </font>
    <font>
      <u val="double"/>
      <sz val="10"/>
      <color rgb="FF9C5700"/>
      <name val="Arial"/>
      <family val="2"/>
    </font>
  </fonts>
  <fills count="57">
    <fill>
      <patternFill patternType="none"/>
    </fill>
    <fill>
      <patternFill patternType="gray125"/>
    </fill>
    <fill>
      <patternFill patternType="solid">
        <fgColor theme="0" tint="-0.14999847407452621"/>
        <bgColor indexed="64"/>
      </patternFill>
    </fill>
    <fill>
      <patternFill patternType="solid">
        <fgColor rgb="FF1E4E79"/>
        <bgColor indexed="64"/>
      </patternFill>
    </fill>
    <fill>
      <patternFill patternType="solid">
        <fgColor rgb="FFFFC000"/>
        <bgColor indexed="64"/>
      </patternFill>
    </fill>
    <fill>
      <patternFill patternType="solid">
        <fgColor rgb="FFFFFF00"/>
        <bgColor indexed="64"/>
      </patternFill>
    </fill>
    <fill>
      <patternFill patternType="solid">
        <fgColor rgb="FFFFC000"/>
        <bgColor rgb="FFFFC000"/>
      </patternFill>
    </fill>
    <fill>
      <patternFill patternType="solid">
        <fgColor theme="1"/>
        <bgColor theme="1"/>
      </patternFill>
    </fill>
    <fill>
      <patternFill patternType="solid">
        <fgColor theme="0" tint="-0.14999847407452621"/>
        <bgColor theme="0" tint="-0.14999847407452621"/>
      </patternFill>
    </fill>
    <fill>
      <patternFill patternType="solid">
        <fgColor rgb="FFFF0000"/>
        <bgColor indexed="64"/>
      </patternFill>
    </fill>
    <fill>
      <patternFill patternType="solid">
        <fgColor theme="5" tint="0.79998168889431442"/>
        <bgColor indexed="64"/>
      </patternFill>
    </fill>
    <fill>
      <patternFill patternType="solid">
        <fgColor theme="7"/>
        <bgColor indexed="64"/>
      </patternFill>
    </fill>
    <fill>
      <patternFill patternType="solid">
        <fgColor rgb="FFFDE9D9"/>
        <bgColor rgb="FF000000"/>
      </patternFill>
    </fill>
    <fill>
      <patternFill patternType="solid">
        <fgColor theme="7"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6" tint="0.79998168889431442"/>
        <bgColor indexed="64"/>
      </patternFill>
    </fill>
    <fill>
      <patternFill patternType="solid">
        <fgColor rgb="FFFFFFFF"/>
        <bgColor indexed="64"/>
      </patternFill>
    </fill>
    <fill>
      <patternFill patternType="solid">
        <fgColor theme="0"/>
        <bgColor indexed="64"/>
      </patternFill>
    </fill>
    <fill>
      <patternFill patternType="solid">
        <fgColor theme="4"/>
        <bgColor indexed="64"/>
      </patternFill>
    </fill>
    <fill>
      <patternFill patternType="solid">
        <fgColor rgb="FF00B050"/>
        <bgColor indexed="64"/>
      </patternFill>
    </fill>
    <fill>
      <patternFill patternType="solid">
        <fgColor rgb="FF0070C0"/>
        <bgColor indexed="64"/>
      </patternFill>
    </fill>
    <fill>
      <patternFill patternType="solid">
        <fgColor rgb="FF5B9BD5"/>
        <bgColor rgb="FF5B9BD5"/>
      </patternFill>
    </fill>
    <fill>
      <patternFill patternType="solid">
        <fgColor rgb="FFDDEBF7"/>
        <bgColor rgb="FFDDEBF7"/>
      </patternFill>
    </fill>
    <fill>
      <patternFill patternType="solid">
        <fgColor rgb="FFFFC000"/>
        <bgColor rgb="FF000000"/>
      </patternFill>
    </fill>
    <fill>
      <patternFill patternType="solid">
        <fgColor rgb="FF7030A0"/>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bgColor indexed="64"/>
      </patternFill>
    </fill>
    <fill>
      <patternFill patternType="solid">
        <fgColor rgb="FFC00000"/>
        <bgColor indexed="64"/>
      </patternFill>
    </fill>
    <fill>
      <patternFill patternType="solid">
        <fgColor rgb="FF833C0C"/>
        <bgColor rgb="FF000000"/>
      </patternFill>
    </fill>
    <fill>
      <patternFill patternType="solid">
        <fgColor rgb="FF002060"/>
        <bgColor indexed="64"/>
      </patternFill>
    </fill>
    <fill>
      <patternFill patternType="solid">
        <fgColor rgb="FFC00000"/>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5" tint="0.59999389629810485"/>
        <bgColor indexed="64"/>
      </patternFill>
    </fill>
    <fill>
      <patternFill patternType="solid">
        <fgColor theme="8" tint="-0.499984740745262"/>
        <bgColor indexed="64"/>
      </patternFill>
    </fill>
    <fill>
      <patternFill patternType="solid">
        <fgColor rgb="FFFFC0FF"/>
        <bgColor indexed="64"/>
      </patternFill>
    </fill>
    <fill>
      <patternFill patternType="solid">
        <fgColor theme="4" tint="-0.249977111117893"/>
        <bgColor indexed="64"/>
      </patternFill>
    </fill>
    <fill>
      <patternFill patternType="solid">
        <fgColor theme="6" tint="-0.499984740745262"/>
        <bgColor indexed="64"/>
      </patternFill>
    </fill>
    <fill>
      <patternFill patternType="solid">
        <fgColor rgb="FF000000"/>
        <bgColor rgb="FF000000"/>
      </patternFill>
    </fill>
    <fill>
      <patternFill patternType="solid">
        <fgColor rgb="FF85200C"/>
        <bgColor rgb="FF000000"/>
      </patternFill>
    </fill>
    <fill>
      <patternFill patternType="solid">
        <fgColor theme="4" tint="-0.499984740745262"/>
        <bgColor indexed="64"/>
      </patternFill>
    </fill>
    <fill>
      <patternFill patternType="solid">
        <fgColor theme="1"/>
        <bgColor indexed="64"/>
      </patternFill>
    </fill>
    <fill>
      <patternFill patternType="solid">
        <fgColor rgb="FF9C0006"/>
        <bgColor indexed="64"/>
      </patternFill>
    </fill>
    <fill>
      <patternFill patternType="solid">
        <fgColor theme="4" tint="0.39997558519241921"/>
        <bgColor indexed="64"/>
      </patternFill>
    </fill>
    <fill>
      <patternFill patternType="solid">
        <fgColor theme="8"/>
        <bgColor indexed="64"/>
      </patternFill>
    </fill>
    <fill>
      <patternFill patternType="solid">
        <fgColor rgb="FFC6EFCE"/>
        <bgColor rgb="FF000000"/>
      </patternFill>
    </fill>
    <fill>
      <patternFill patternType="solid">
        <fgColor theme="8" tint="0.59999389629810485"/>
        <bgColor indexed="64"/>
      </patternFill>
    </fill>
    <fill>
      <patternFill patternType="solid">
        <fgColor rgb="FFFFC7CE"/>
        <bgColor indexed="64"/>
      </patternFill>
    </fill>
    <fill>
      <patternFill patternType="solid">
        <fgColor rgb="FF1E4E79"/>
        <bgColor rgb="FF000000"/>
      </patternFill>
    </fill>
    <fill>
      <patternFill patternType="solid">
        <fgColor rgb="FFEDEDED"/>
        <bgColor rgb="FF000000"/>
      </patternFill>
    </fill>
    <fill>
      <patternFill patternType="solid">
        <fgColor rgb="FFE2EFDA"/>
        <bgColor rgb="FF000000"/>
      </patternFill>
    </fill>
    <fill>
      <patternFill patternType="solid">
        <fgColor rgb="FFFFFF00"/>
        <bgColor rgb="FF000000"/>
      </patternFill>
    </fill>
    <fill>
      <patternFill patternType="solid">
        <fgColor rgb="FFFFF2CC"/>
        <bgColor rgb="FF000000"/>
      </patternFill>
    </fill>
    <fill>
      <patternFill patternType="solid">
        <fgColor rgb="FFFFEB9C"/>
        <bgColor rgb="FF000000"/>
      </patternFill>
    </fill>
  </fills>
  <borders count="51">
    <border>
      <left/>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1"/>
      </left>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diagonal/>
    </border>
    <border>
      <left style="thin">
        <color indexed="64"/>
      </left>
      <right/>
      <top style="thin">
        <color indexed="64"/>
      </top>
      <bottom style="thin">
        <color rgb="FF9BC2E6"/>
      </bottom>
      <diagonal/>
    </border>
    <border>
      <left style="thin">
        <color indexed="64"/>
      </left>
      <right style="thin">
        <color indexed="64"/>
      </right>
      <top style="thin">
        <color indexed="64"/>
      </top>
      <bottom style="thin">
        <color theme="1"/>
      </bottom>
      <diagonal/>
    </border>
    <border>
      <left/>
      <right style="thin">
        <color theme="4" tint="0.39997558519241921"/>
      </right>
      <top style="thin">
        <color theme="4" tint="0.39997558519241921"/>
      </top>
      <bottom style="thin">
        <color theme="4" tint="0.39997558519241921"/>
      </bottom>
      <diagonal/>
    </border>
    <border>
      <left style="thin">
        <color rgb="FF000000"/>
      </left>
      <right/>
      <top style="thin">
        <color rgb="FF000000"/>
      </top>
      <bottom style="thin">
        <color rgb="FF000000"/>
      </bottom>
      <diagonal/>
    </border>
    <border>
      <left style="thin">
        <color indexed="64"/>
      </left>
      <right style="thin">
        <color indexed="64"/>
      </right>
      <top style="thin">
        <color rgb="FF000000"/>
      </top>
      <bottom style="thin">
        <color indexed="64"/>
      </bottom>
      <diagonal/>
    </border>
    <border>
      <left/>
      <right/>
      <top/>
      <bottom style="thin">
        <color rgb="FF000000"/>
      </bottom>
      <diagonal/>
    </border>
    <border>
      <left/>
      <right/>
      <top style="thin">
        <color theme="4" tint="0.39997558519241921"/>
      </top>
      <bottom style="thin">
        <color theme="4" tint="0.39997558519241921"/>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bottom/>
      <diagonal/>
    </border>
    <border>
      <left/>
      <right style="thin">
        <color rgb="FF000000"/>
      </right>
      <top style="thin">
        <color rgb="FF000000"/>
      </top>
      <bottom/>
      <diagonal/>
    </border>
    <border>
      <left/>
      <right/>
      <top style="thin">
        <color theme="4" tint="0.39997558519241921"/>
      </top>
      <bottom/>
      <diagonal/>
    </border>
    <border>
      <left style="thin">
        <color rgb="FF000000"/>
      </left>
      <right style="thin">
        <color rgb="FF000000"/>
      </right>
      <top style="thin">
        <color rgb="FF000000"/>
      </top>
      <bottom/>
      <diagonal/>
    </border>
    <border>
      <left style="thin">
        <color indexed="64"/>
      </left>
      <right/>
      <top/>
      <bottom/>
      <diagonal/>
    </border>
    <border>
      <left/>
      <right style="thin">
        <color indexed="64"/>
      </right>
      <top/>
      <bottom/>
      <diagonal/>
    </border>
    <border>
      <left/>
      <right style="thin">
        <color rgb="FF000000"/>
      </right>
      <top/>
      <bottom style="medium">
        <color rgb="FF000000"/>
      </bottom>
      <diagonal/>
    </border>
    <border>
      <left style="thin">
        <color rgb="FF000000"/>
      </left>
      <right style="thin">
        <color rgb="FF000000"/>
      </right>
      <top/>
      <bottom style="medium">
        <color rgb="FF000000"/>
      </bottom>
      <diagonal/>
    </border>
    <border>
      <left/>
      <right/>
      <top style="thin">
        <color rgb="FF00000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rgb="FF000000"/>
      </left>
      <right style="thin">
        <color rgb="FF000000"/>
      </right>
      <top style="medium">
        <color rgb="FF000000"/>
      </top>
      <bottom style="medium">
        <color rgb="FF000000"/>
      </bottom>
      <diagonal/>
    </border>
    <border>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theme="1"/>
      </bottom>
      <diagonal/>
    </border>
    <border>
      <left style="thin">
        <color theme="0" tint="-4.9989318521683403E-2"/>
      </left>
      <right style="thin">
        <color rgb="FF000000"/>
      </right>
      <top style="thin">
        <color theme="0" tint="-4.9989318521683403E-2"/>
      </top>
      <bottom style="thin">
        <color theme="0" tint="-4.9989318521683403E-2"/>
      </bottom>
      <diagonal/>
    </border>
    <border>
      <left/>
      <right style="thin">
        <color rgb="FF000000"/>
      </right>
      <top/>
      <bottom/>
      <diagonal/>
    </border>
    <border>
      <left style="thin">
        <color theme="0" tint="-4.9989318521683403E-2"/>
      </left>
      <right/>
      <top style="thin">
        <color theme="0" tint="-4.9989318521683403E-2"/>
      </top>
      <bottom style="thin">
        <color theme="0" tint="-4.9989318521683403E-2"/>
      </bottom>
      <diagonal/>
    </border>
    <border>
      <left/>
      <right/>
      <top style="medium">
        <color rgb="FF000000"/>
      </top>
      <bottom style="medium">
        <color rgb="FF000000"/>
      </bottom>
      <diagonal/>
    </border>
    <border>
      <left/>
      <right/>
      <top style="thin">
        <color rgb="FF9BC2E6"/>
      </top>
      <bottom style="thin">
        <color rgb="FF9BC2E6"/>
      </bottom>
      <diagonal/>
    </border>
    <border>
      <left/>
      <right style="thin">
        <color indexed="64"/>
      </right>
      <top style="thin">
        <color indexed="64"/>
      </top>
      <bottom style="thin">
        <color rgb="FF9BC2E6"/>
      </bottom>
      <diagonal/>
    </border>
  </borders>
  <cellStyleXfs count="5">
    <xf numFmtId="0" fontId="0" fillId="0" borderId="0"/>
    <xf numFmtId="0" fontId="4" fillId="0" borderId="0"/>
    <xf numFmtId="9" fontId="4" fillId="0" borderId="0" applyFont="0" applyFill="0" applyBorder="0" applyAlignment="0" applyProtection="0"/>
    <xf numFmtId="0" fontId="23" fillId="0" borderId="0"/>
    <xf numFmtId="9" fontId="1" fillId="0" borderId="0" applyFont="0" applyFill="0" applyBorder="0" applyAlignment="0" applyProtection="0"/>
  </cellStyleXfs>
  <cellXfs count="599">
    <xf numFmtId="0" fontId="0" fillId="0" borderId="0" xfId="0"/>
    <xf numFmtId="0" fontId="0" fillId="0" borderId="0" xfId="0" applyAlignment="1">
      <alignment wrapText="1"/>
    </xf>
    <xf numFmtId="0" fontId="2" fillId="3" borderId="4" xfId="0" applyFont="1" applyFill="1" applyBorder="1" applyAlignment="1">
      <alignment horizontal="center" vertical="center"/>
    </xf>
    <xf numFmtId="0" fontId="3" fillId="0" borderId="0" xfId="0" applyFont="1"/>
    <xf numFmtId="0" fontId="2" fillId="7" borderId="5" xfId="0" applyFont="1" applyFill="1" applyBorder="1"/>
    <xf numFmtId="0" fontId="0" fillId="8" borderId="5" xfId="0" applyFill="1" applyBorder="1"/>
    <xf numFmtId="0" fontId="0" fillId="0" borderId="5" xfId="0" applyBorder="1"/>
    <xf numFmtId="0" fontId="6" fillId="6" borderId="0" xfId="1" applyFont="1" applyFill="1" applyAlignment="1">
      <alignment horizontal="center" vertical="center"/>
    </xf>
    <xf numFmtId="0" fontId="7" fillId="0" borderId="0" xfId="0" applyFont="1"/>
    <xf numFmtId="0" fontId="8" fillId="0" borderId="0" xfId="0" applyFont="1"/>
    <xf numFmtId="0" fontId="9" fillId="0" borderId="0" xfId="0" applyFont="1"/>
    <xf numFmtId="0" fontId="11" fillId="3" borderId="0" xfId="0" applyFont="1" applyFill="1" applyAlignment="1">
      <alignment horizontal="center" vertical="center" wrapText="1"/>
    </xf>
    <xf numFmtId="0" fontId="11" fillId="4" borderId="0" xfId="0" applyFont="1" applyFill="1" applyAlignment="1">
      <alignment horizontal="center" vertical="center" wrapText="1"/>
    </xf>
    <xf numFmtId="0" fontId="14" fillId="3" borderId="0" xfId="0" applyFont="1" applyFill="1" applyAlignment="1">
      <alignment horizontal="center" vertical="center" wrapText="1"/>
    </xf>
    <xf numFmtId="0" fontId="9" fillId="0" borderId="0" xfId="0" applyFont="1" applyAlignment="1">
      <alignment horizontal="center" vertical="top" wrapText="1"/>
    </xf>
    <xf numFmtId="0" fontId="9" fillId="0" borderId="0" xfId="0" applyFont="1" applyAlignment="1">
      <alignment horizontal="left" vertical="top" wrapText="1"/>
    </xf>
    <xf numFmtId="14" fontId="9" fillId="0" borderId="0" xfId="0" applyNumberFormat="1" applyFont="1" applyAlignment="1">
      <alignment horizontal="center" vertical="top" wrapText="1"/>
    </xf>
    <xf numFmtId="0" fontId="0" fillId="0" borderId="0" xfId="0" applyAlignment="1">
      <alignment vertical="center" wrapText="1"/>
    </xf>
    <xf numFmtId="0" fontId="9" fillId="0" borderId="0" xfId="0" applyFont="1" applyAlignment="1" applyProtection="1">
      <alignment horizontal="center" vertical="top" wrapText="1"/>
      <protection locked="0"/>
    </xf>
    <xf numFmtId="0" fontId="9" fillId="0" borderId="0" xfId="0" applyFont="1" applyAlignment="1" applyProtection="1">
      <alignment horizontal="left" vertical="top" wrapText="1"/>
      <protection locked="0"/>
    </xf>
    <xf numFmtId="14" fontId="9" fillId="0" borderId="0" xfId="0" applyNumberFormat="1" applyFont="1" applyAlignment="1" applyProtection="1">
      <alignment horizontal="center" vertical="top" wrapText="1"/>
      <protection locked="0"/>
    </xf>
    <xf numFmtId="0" fontId="9" fillId="0" borderId="0" xfId="0" applyFont="1" applyAlignment="1" applyProtection="1">
      <alignment vertical="top"/>
      <protection hidden="1"/>
    </xf>
    <xf numFmtId="0" fontId="0" fillId="0" borderId="0" xfId="0" applyAlignment="1">
      <alignment vertical="center"/>
    </xf>
    <xf numFmtId="0" fontId="9" fillId="0" borderId="0" xfId="0" applyFont="1" applyAlignment="1">
      <alignment horizontal="center" vertical="center"/>
    </xf>
    <xf numFmtId="0" fontId="0" fillId="0" borderId="0" xfId="0" pivotButton="1"/>
    <xf numFmtId="0" fontId="0" fillId="0" borderId="0" xfId="0" applyAlignment="1">
      <alignment horizontal="left"/>
    </xf>
    <xf numFmtId="0" fontId="7" fillId="0" borderId="0" xfId="0" applyFont="1" applyAlignment="1">
      <alignment horizontal="center" vertical="center"/>
    </xf>
    <xf numFmtId="0" fontId="8" fillId="0" borderId="0" xfId="0" applyFont="1" applyAlignment="1">
      <alignment horizontal="center" vertical="center"/>
    </xf>
    <xf numFmtId="0" fontId="9" fillId="0" borderId="0" xfId="0" applyFont="1" applyAlignment="1" applyProtection="1">
      <alignment vertical="top"/>
      <protection locked="0"/>
    </xf>
    <xf numFmtId="0" fontId="0" fillId="0" borderId="0" xfId="0" applyAlignment="1">
      <alignment horizontal="center" vertical="center"/>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9" fillId="0" borderId="0" xfId="0" applyFont="1" applyAlignment="1" applyProtection="1">
      <alignment vertical="top" wrapText="1"/>
      <protection locked="0"/>
    </xf>
    <xf numFmtId="0" fontId="18" fillId="12" borderId="1" xfId="0" applyFont="1" applyFill="1" applyBorder="1" applyAlignment="1">
      <alignment wrapText="1"/>
    </xf>
    <xf numFmtId="0" fontId="15" fillId="0" borderId="0" xfId="0" applyFont="1" applyAlignment="1" applyProtection="1">
      <alignment horizontal="left" vertical="top" wrapText="1"/>
      <protection locked="0"/>
    </xf>
    <xf numFmtId="0" fontId="0" fillId="0" borderId="8" xfId="0" applyBorder="1" applyAlignment="1">
      <alignment horizontal="center" vertical="center" wrapText="1"/>
    </xf>
    <xf numFmtId="0" fontId="7" fillId="0" borderId="0" xfId="0" applyFont="1" applyAlignment="1">
      <alignment wrapText="1"/>
    </xf>
    <xf numFmtId="0" fontId="9" fillId="0" borderId="0" xfId="0" applyFont="1" applyAlignment="1">
      <alignment wrapText="1"/>
    </xf>
    <xf numFmtId="0" fontId="15" fillId="0" borderId="0" xfId="0" applyFont="1" applyAlignment="1" applyProtection="1">
      <alignment horizontal="center" vertical="top" wrapText="1"/>
      <protection locked="0"/>
    </xf>
    <xf numFmtId="0" fontId="0" fillId="0" borderId="8" xfId="0" applyBorder="1"/>
    <xf numFmtId="0" fontId="3" fillId="0" borderId="2" xfId="0" applyFont="1" applyBorder="1" applyAlignment="1">
      <alignment horizontal="center" vertical="center"/>
    </xf>
    <xf numFmtId="0" fontId="3" fillId="0" borderId="3" xfId="0" applyFont="1" applyBorder="1" applyAlignment="1">
      <alignment horizontal="center" vertical="center"/>
    </xf>
    <xf numFmtId="49" fontId="9" fillId="0" borderId="0" xfId="0" applyNumberFormat="1" applyFont="1" applyAlignment="1" applyProtection="1">
      <alignment horizontal="center" vertical="top" wrapText="1"/>
      <protection locked="0"/>
    </xf>
    <xf numFmtId="0" fontId="9" fillId="0" borderId="0" xfId="0" applyFont="1" applyAlignment="1">
      <alignment horizontal="center" vertical="top"/>
    </xf>
    <xf numFmtId="0" fontId="9" fillId="16" borderId="0" xfId="0" applyFont="1" applyFill="1" applyAlignment="1" applyProtection="1">
      <alignment horizontal="center" vertical="top" wrapText="1"/>
      <protection locked="0"/>
    </xf>
    <xf numFmtId="0" fontId="9" fillId="15" borderId="0" xfId="0" applyFont="1" applyFill="1" applyAlignment="1" applyProtection="1">
      <alignment horizontal="center" vertical="top" wrapText="1"/>
      <protection locked="0"/>
    </xf>
    <xf numFmtId="0" fontId="11" fillId="9" borderId="0" xfId="0" applyFont="1" applyFill="1" applyAlignment="1">
      <alignment horizontal="center" vertical="center" wrapText="1"/>
    </xf>
    <xf numFmtId="0" fontId="9" fillId="0" borderId="0" xfId="0" applyFont="1" applyAlignment="1">
      <alignment vertical="top"/>
    </xf>
    <xf numFmtId="0" fontId="9" fillId="0" borderId="0" xfId="0" applyFont="1" applyAlignment="1">
      <alignment vertical="top" wrapText="1"/>
    </xf>
    <xf numFmtId="165" fontId="9" fillId="0" borderId="0" xfId="0" applyNumberFormat="1" applyFont="1" applyAlignment="1" applyProtection="1">
      <alignment horizontal="center" vertical="top" wrapText="1"/>
      <protection locked="0"/>
    </xf>
    <xf numFmtId="0" fontId="21" fillId="0" borderId="1" xfId="0" applyFont="1" applyBorder="1" applyAlignment="1">
      <alignment wrapText="1"/>
    </xf>
    <xf numFmtId="0" fontId="5" fillId="13" borderId="8" xfId="0" applyFont="1" applyFill="1" applyBorder="1" applyAlignment="1">
      <alignment horizontal="center" vertical="center" wrapText="1"/>
    </xf>
    <xf numFmtId="0" fontId="9" fillId="4" borderId="0" xfId="0" applyFont="1" applyFill="1" applyAlignment="1" applyProtection="1">
      <alignment horizontal="center" vertical="top" wrapText="1"/>
      <protection locked="0"/>
    </xf>
    <xf numFmtId="0" fontId="9" fillId="0" borderId="0" xfId="0" applyFont="1" applyAlignment="1" applyProtection="1">
      <alignment horizontal="center" vertical="top"/>
      <protection locked="0"/>
    </xf>
    <xf numFmtId="0" fontId="9" fillId="17" borderId="0" xfId="0" applyFont="1" applyFill="1" applyAlignment="1" applyProtection="1">
      <alignment horizontal="left" vertical="top" wrapText="1"/>
      <protection locked="0"/>
    </xf>
    <xf numFmtId="165" fontId="9" fillId="0" borderId="0" xfId="0" applyNumberFormat="1" applyFont="1" applyAlignment="1">
      <alignment horizontal="center" vertical="top" wrapText="1"/>
    </xf>
    <xf numFmtId="0" fontId="18" fillId="0" borderId="1" xfId="0" applyFont="1" applyBorder="1" applyAlignment="1">
      <alignment wrapText="1"/>
    </xf>
    <xf numFmtId="0" fontId="26" fillId="5" borderId="0" xfId="0" applyFont="1" applyFill="1" applyAlignment="1">
      <alignment horizontal="center" vertical="center" wrapText="1"/>
    </xf>
    <xf numFmtId="0" fontId="9" fillId="18" borderId="0" xfId="0" applyFont="1" applyFill="1" applyAlignment="1" applyProtection="1">
      <alignment horizontal="left" vertical="top" wrapText="1"/>
      <protection locked="0"/>
    </xf>
    <xf numFmtId="0" fontId="15" fillId="0" borderId="0" xfId="0" applyFont="1" applyAlignment="1" applyProtection="1">
      <alignment vertical="top" wrapText="1"/>
      <protection locked="0"/>
    </xf>
    <xf numFmtId="0" fontId="15" fillId="0" borderId="0" xfId="0" applyFont="1" applyAlignment="1" applyProtection="1">
      <alignment vertical="top"/>
      <protection locked="0"/>
    </xf>
    <xf numFmtId="0" fontId="0" fillId="0" borderId="0" xfId="0" applyAlignment="1">
      <alignment horizontal="center" vertical="center" wrapText="1"/>
    </xf>
    <xf numFmtId="14" fontId="9" fillId="0" borderId="0" xfId="0" applyNumberFormat="1" applyFont="1" applyAlignment="1">
      <alignment vertical="top" wrapText="1"/>
    </xf>
    <xf numFmtId="0" fontId="11" fillId="20" borderId="0" xfId="0" applyFont="1" applyFill="1" applyAlignment="1">
      <alignment horizontal="center" vertical="center" wrapText="1"/>
    </xf>
    <xf numFmtId="0" fontId="18" fillId="0" borderId="10" xfId="0" applyFont="1" applyBorder="1"/>
    <xf numFmtId="14" fontId="9" fillId="0" borderId="0" xfId="0" applyNumberFormat="1" applyFont="1" applyAlignment="1" applyProtection="1">
      <alignment vertical="top" wrapText="1"/>
      <protection locked="0"/>
    </xf>
    <xf numFmtId="0" fontId="9" fillId="21" borderId="0" xfId="0" applyFont="1" applyFill="1"/>
    <xf numFmtId="0" fontId="22" fillId="22" borderId="0" xfId="0" applyFont="1" applyFill="1"/>
    <xf numFmtId="0" fontId="15" fillId="23" borderId="0" xfId="0" applyFont="1" applyFill="1" applyAlignment="1">
      <alignment wrapText="1" readingOrder="1"/>
    </xf>
    <xf numFmtId="0" fontId="15" fillId="0" borderId="0" xfId="0" applyFont="1" applyAlignment="1">
      <alignment wrapText="1" readingOrder="1"/>
    </xf>
    <xf numFmtId="0" fontId="18" fillId="23" borderId="0" xfId="0" quotePrefix="1" applyFont="1" applyFill="1"/>
    <xf numFmtId="0" fontId="32" fillId="3" borderId="0" xfId="0" applyFont="1" applyFill="1" applyAlignment="1">
      <alignment horizontal="center" vertical="center" wrapText="1"/>
    </xf>
    <xf numFmtId="0" fontId="15" fillId="0" borderId="12" xfId="0" applyFont="1" applyBorder="1" applyAlignment="1">
      <alignment wrapText="1" readingOrder="1"/>
    </xf>
    <xf numFmtId="0" fontId="15" fillId="23" borderId="12" xfId="0" applyFont="1" applyFill="1" applyBorder="1" applyAlignment="1">
      <alignment wrapText="1" readingOrder="1"/>
    </xf>
    <xf numFmtId="0" fontId="18" fillId="23" borderId="12" xfId="0" applyFont="1" applyFill="1" applyBorder="1"/>
    <xf numFmtId="0" fontId="0" fillId="5" borderId="0" xfId="0" applyFill="1"/>
    <xf numFmtId="165" fontId="9" fillId="0" borderId="0" xfId="0" applyNumberFormat="1" applyFont="1" applyAlignment="1">
      <alignment vertical="top" wrapText="1"/>
    </xf>
    <xf numFmtId="0" fontId="26" fillId="4" borderId="0" xfId="0" applyFont="1" applyFill="1" applyAlignment="1">
      <alignment horizontal="center" vertical="center" wrapText="1"/>
    </xf>
    <xf numFmtId="0" fontId="5" fillId="0" borderId="0" xfId="0" applyFont="1"/>
    <xf numFmtId="166" fontId="9" fillId="0" borderId="0" xfId="0" applyNumberFormat="1" applyFont="1" applyAlignment="1" applyProtection="1">
      <alignment horizontal="center" vertical="top" wrapText="1"/>
      <protection locked="0"/>
    </xf>
    <xf numFmtId="166" fontId="9" fillId="0" borderId="0" xfId="0" applyNumberFormat="1" applyFont="1" applyAlignment="1">
      <alignment horizontal="center" vertical="top" wrapText="1"/>
    </xf>
    <xf numFmtId="0" fontId="33" fillId="19" borderId="0" xfId="0" applyFont="1" applyFill="1" applyAlignment="1">
      <alignment horizontal="center" vertical="center" wrapText="1"/>
    </xf>
    <xf numFmtId="14" fontId="9" fillId="0" borderId="0" xfId="0" applyNumberFormat="1" applyFont="1"/>
    <xf numFmtId="2" fontId="7" fillId="0" borderId="0" xfId="0" applyNumberFormat="1" applyFont="1"/>
    <xf numFmtId="2" fontId="9" fillId="0" borderId="0" xfId="0" applyNumberFormat="1" applyFont="1"/>
    <xf numFmtId="2" fontId="33" fillId="19" borderId="0" xfId="0" applyNumberFormat="1" applyFont="1" applyFill="1" applyAlignment="1">
      <alignment horizontal="center" vertical="center" wrapText="1"/>
    </xf>
    <xf numFmtId="0" fontId="1" fillId="0" borderId="4" xfId="0" applyFont="1" applyBorder="1" applyAlignment="1">
      <alignment horizontal="center" vertical="center" wrapText="1"/>
    </xf>
    <xf numFmtId="0" fontId="11" fillId="11" borderId="0" xfId="0" applyFont="1" applyFill="1" applyAlignment="1">
      <alignment horizontal="center" vertical="center" wrapText="1"/>
    </xf>
    <xf numFmtId="0" fontId="11" fillId="25" borderId="0" xfId="0" applyFont="1" applyFill="1" applyAlignment="1">
      <alignment horizontal="center" vertical="center" wrapText="1"/>
    </xf>
    <xf numFmtId="2" fontId="9" fillId="0" borderId="0" xfId="0" applyNumberFormat="1" applyFont="1" applyAlignment="1">
      <alignment vertical="top"/>
    </xf>
    <xf numFmtId="14" fontId="7" fillId="0" borderId="0" xfId="0" applyNumberFormat="1" applyFont="1"/>
    <xf numFmtId="166" fontId="7" fillId="0" borderId="0" xfId="0" applyNumberFormat="1" applyFont="1"/>
    <xf numFmtId="166" fontId="9" fillId="0" borderId="0" xfId="0" applyNumberFormat="1" applyFont="1"/>
    <xf numFmtId="166" fontId="11" fillId="3" borderId="0" xfId="0" applyNumberFormat="1" applyFont="1" applyFill="1" applyAlignment="1">
      <alignment horizontal="center" vertical="center" wrapText="1"/>
    </xf>
    <xf numFmtId="166" fontId="11" fillId="11" borderId="0" xfId="0" applyNumberFormat="1" applyFont="1" applyFill="1" applyAlignment="1">
      <alignment horizontal="center" vertical="center" wrapText="1"/>
    </xf>
    <xf numFmtId="14" fontId="33" fillId="19" borderId="0" xfId="0" applyNumberFormat="1" applyFont="1" applyFill="1" applyAlignment="1">
      <alignment horizontal="center" vertical="center" wrapText="1"/>
    </xf>
    <xf numFmtId="14" fontId="9" fillId="0" borderId="0" xfId="0" applyNumberFormat="1" applyFont="1" applyAlignment="1">
      <alignment vertical="top"/>
    </xf>
    <xf numFmtId="0" fontId="0" fillId="0" borderId="0" xfId="0" applyAlignment="1">
      <alignment horizontal="center" vertical="top"/>
    </xf>
    <xf numFmtId="0" fontId="9" fillId="5" borderId="0" xfId="0" applyFont="1" applyFill="1" applyAlignment="1">
      <alignment vertical="top"/>
    </xf>
    <xf numFmtId="0" fontId="9" fillId="18" borderId="0" xfId="0" applyFont="1" applyFill="1" applyAlignment="1">
      <alignment vertical="top"/>
    </xf>
    <xf numFmtId="166" fontId="0" fillId="0" borderId="0" xfId="0" applyNumberFormat="1"/>
    <xf numFmtId="0" fontId="33" fillId="0" borderId="0" xfId="0" applyFont="1" applyAlignment="1">
      <alignment horizontal="center" vertical="center" wrapText="1"/>
    </xf>
    <xf numFmtId="166" fontId="11" fillId="25" borderId="0" xfId="0" applyNumberFormat="1" applyFont="1" applyFill="1" applyAlignment="1">
      <alignment horizontal="center" vertical="center" wrapText="1"/>
    </xf>
    <xf numFmtId="0" fontId="9" fillId="5" borderId="0" xfId="0" applyFont="1" applyFill="1" applyAlignment="1" applyProtection="1">
      <alignment vertical="top"/>
      <protection locked="0"/>
    </xf>
    <xf numFmtId="0" fontId="0" fillId="0" borderId="0" xfId="0" applyAlignment="1" applyProtection="1">
      <alignment vertical="top"/>
      <protection locked="0"/>
    </xf>
    <xf numFmtId="0" fontId="0" fillId="0" borderId="9" xfId="0" applyBorder="1" applyAlignment="1">
      <alignment horizontal="left" vertical="center"/>
    </xf>
    <xf numFmtId="0" fontId="0" fillId="0" borderId="1" xfId="0" applyBorder="1" applyAlignment="1">
      <alignment horizontal="left" vertical="center"/>
    </xf>
    <xf numFmtId="165" fontId="9" fillId="0" borderId="0" xfId="0" applyNumberFormat="1" applyFont="1" applyAlignment="1" applyProtection="1">
      <alignment vertical="top" wrapText="1"/>
      <protection locked="0"/>
    </xf>
    <xf numFmtId="49" fontId="9" fillId="0" borderId="0" xfId="0" applyNumberFormat="1" applyFont="1" applyAlignment="1" applyProtection="1">
      <alignment horizontal="center" vertical="top"/>
      <protection locked="0"/>
    </xf>
    <xf numFmtId="165" fontId="9" fillId="0" borderId="0" xfId="0" applyNumberFormat="1" applyFont="1" applyAlignment="1" applyProtection="1">
      <alignment vertical="top"/>
      <protection locked="0"/>
    </xf>
    <xf numFmtId="166" fontId="15" fillId="0" borderId="0" xfId="0" applyNumberFormat="1" applyFont="1" applyAlignment="1" applyProtection="1">
      <alignment horizontal="center" vertical="top" wrapText="1"/>
      <protection locked="0"/>
    </xf>
    <xf numFmtId="0" fontId="12" fillId="0" borderId="0" xfId="0" applyFont="1" applyAlignment="1" applyProtection="1">
      <alignment vertical="top" wrapText="1"/>
      <protection locked="0"/>
    </xf>
    <xf numFmtId="14" fontId="15" fillId="0" borderId="0" xfId="0" applyNumberFormat="1" applyFont="1" applyAlignment="1" applyProtection="1">
      <alignment horizontal="center" vertical="top" wrapText="1"/>
      <protection locked="0"/>
    </xf>
    <xf numFmtId="49" fontId="15" fillId="0" borderId="0" xfId="0" applyNumberFormat="1" applyFont="1" applyAlignment="1" applyProtection="1">
      <alignment horizontal="center" vertical="top" wrapText="1"/>
      <protection locked="0"/>
    </xf>
    <xf numFmtId="166" fontId="30" fillId="0" borderId="0" xfId="0" applyNumberFormat="1" applyFont="1" applyAlignment="1" applyProtection="1">
      <alignment horizontal="center" vertical="top" wrapText="1"/>
      <protection locked="0"/>
    </xf>
    <xf numFmtId="166" fontId="31" fillId="0" borderId="0" xfId="0" applyNumberFormat="1" applyFont="1" applyAlignment="1" applyProtection="1">
      <alignment horizontal="center" vertical="top" wrapText="1"/>
      <protection locked="0"/>
    </xf>
    <xf numFmtId="0" fontId="12" fillId="5" borderId="0" xfId="0" applyFont="1" applyFill="1" applyAlignment="1" applyProtection="1">
      <alignment vertical="top" wrapText="1"/>
      <protection locked="0"/>
    </xf>
    <xf numFmtId="166" fontId="9" fillId="10" borderId="0" xfId="0" applyNumberFormat="1" applyFont="1" applyFill="1" applyAlignment="1">
      <alignment horizontal="center" vertical="top" wrapText="1"/>
    </xf>
    <xf numFmtId="166" fontId="31" fillId="10" borderId="0" xfId="0" applyNumberFormat="1" applyFont="1" applyFill="1" applyAlignment="1" applyProtection="1">
      <alignment horizontal="center" vertical="top" wrapText="1"/>
      <protection locked="0"/>
    </xf>
    <xf numFmtId="166" fontId="12" fillId="0" borderId="0" xfId="0" applyNumberFormat="1" applyFont="1" applyAlignment="1" applyProtection="1">
      <alignment horizontal="center" vertical="top" wrapText="1"/>
      <protection locked="0"/>
    </xf>
    <xf numFmtId="166" fontId="30" fillId="10" borderId="0" xfId="0" applyNumberFormat="1" applyFont="1" applyFill="1" applyAlignment="1" applyProtection="1">
      <alignment horizontal="center" vertical="top" wrapText="1"/>
      <protection locked="0"/>
    </xf>
    <xf numFmtId="165" fontId="15" fillId="0" borderId="0" xfId="0" applyNumberFormat="1" applyFont="1" applyAlignment="1" applyProtection="1">
      <alignment horizontal="center" vertical="top" wrapText="1"/>
      <protection locked="0"/>
    </xf>
    <xf numFmtId="0" fontId="9" fillId="5" borderId="0" xfId="0" applyFont="1" applyFill="1" applyAlignment="1">
      <alignment horizontal="center" vertical="top"/>
    </xf>
    <xf numFmtId="0" fontId="9" fillId="5" borderId="0" xfId="0" applyFont="1" applyFill="1" applyAlignment="1" applyProtection="1">
      <alignment vertical="top" wrapText="1"/>
      <protection locked="0"/>
    </xf>
    <xf numFmtId="165" fontId="9" fillId="18" borderId="0" xfId="0" applyNumberFormat="1" applyFont="1" applyFill="1" applyAlignment="1" applyProtection="1">
      <alignment horizontal="center" vertical="top" wrapText="1"/>
      <protection locked="0"/>
    </xf>
    <xf numFmtId="0" fontId="23" fillId="0" borderId="0" xfId="0" applyFont="1" applyAlignment="1" applyProtection="1">
      <alignment horizontal="left" vertical="top" wrapText="1"/>
      <protection locked="0"/>
    </xf>
    <xf numFmtId="166" fontId="9" fillId="0" borderId="0" xfId="0" applyNumberFormat="1" applyFont="1" applyAlignment="1" applyProtection="1">
      <alignment vertical="top"/>
      <protection locked="0"/>
    </xf>
    <xf numFmtId="0" fontId="15" fillId="0" borderId="16" xfId="0" applyFont="1" applyBorder="1" applyAlignment="1">
      <alignment wrapText="1" readingOrder="1"/>
    </xf>
    <xf numFmtId="0" fontId="0" fillId="0" borderId="18" xfId="0" applyBorder="1"/>
    <xf numFmtId="0" fontId="0" fillId="0" borderId="13" xfId="0" applyBorder="1"/>
    <xf numFmtId="0" fontId="0" fillId="0" borderId="13" xfId="0" applyBorder="1" applyAlignment="1">
      <alignment wrapText="1"/>
    </xf>
    <xf numFmtId="0" fontId="0" fillId="0" borderId="20" xfId="0" applyBorder="1"/>
    <xf numFmtId="0" fontId="0" fillId="0" borderId="19" xfId="0" applyBorder="1"/>
    <xf numFmtId="0" fontId="0" fillId="0" borderId="19" xfId="0" applyBorder="1" applyAlignment="1">
      <alignment wrapText="1"/>
    </xf>
    <xf numFmtId="0" fontId="22" fillId="22" borderId="20" xfId="0" applyFont="1" applyFill="1" applyBorder="1"/>
    <xf numFmtId="0" fontId="22" fillId="22" borderId="17" xfId="0" applyFont="1" applyFill="1" applyBorder="1"/>
    <xf numFmtId="0" fontId="22" fillId="22" borderId="22" xfId="0" applyFont="1" applyFill="1" applyBorder="1"/>
    <xf numFmtId="0" fontId="0" fillId="0" borderId="23" xfId="0" applyBorder="1"/>
    <xf numFmtId="0" fontId="0" fillId="0" borderId="21" xfId="0" applyBorder="1"/>
    <xf numFmtId="17" fontId="9" fillId="0" borderId="0" xfId="0" applyNumberFormat="1" applyFont="1" applyAlignment="1" applyProtection="1">
      <alignment vertical="top"/>
      <protection locked="0"/>
    </xf>
    <xf numFmtId="17" fontId="12" fillId="0" borderId="0" xfId="0" applyNumberFormat="1" applyFont="1" applyAlignment="1" applyProtection="1">
      <alignment vertical="top"/>
      <protection locked="0"/>
    </xf>
    <xf numFmtId="17" fontId="15" fillId="0" borderId="0" xfId="0" applyNumberFormat="1" applyFont="1" applyAlignment="1" applyProtection="1">
      <alignment vertical="top"/>
      <protection locked="0"/>
    </xf>
    <xf numFmtId="17" fontId="9" fillId="0" borderId="0" xfId="0" applyNumberFormat="1" applyFont="1" applyAlignment="1" applyProtection="1">
      <alignment vertical="top" wrapText="1"/>
      <protection locked="0"/>
    </xf>
    <xf numFmtId="0" fontId="9" fillId="9" borderId="0" xfId="0" applyFont="1" applyFill="1" applyAlignment="1" applyProtection="1">
      <alignment vertical="top" wrapText="1"/>
      <protection locked="0"/>
    </xf>
    <xf numFmtId="0" fontId="9" fillId="13" borderId="0" xfId="0" applyFont="1" applyFill="1" applyAlignment="1" applyProtection="1">
      <alignment vertical="top"/>
      <protection locked="0"/>
    </xf>
    <xf numFmtId="0" fontId="9" fillId="9" borderId="0" xfId="0" applyFont="1" applyFill="1" applyAlignment="1" applyProtection="1">
      <alignment vertical="top"/>
      <protection locked="0"/>
    </xf>
    <xf numFmtId="0" fontId="2" fillId="7" borderId="4" xfId="0" applyFont="1" applyFill="1" applyBorder="1"/>
    <xf numFmtId="2" fontId="9" fillId="0" borderId="0" xfId="0" applyNumberFormat="1" applyFont="1" applyAlignment="1">
      <alignment vertical="top" wrapText="1"/>
    </xf>
    <xf numFmtId="165" fontId="9" fillId="0" borderId="0" xfId="0" applyNumberFormat="1" applyFont="1" applyAlignment="1">
      <alignment vertical="top"/>
    </xf>
    <xf numFmtId="0" fontId="0" fillId="0" borderId="24" xfId="0" applyBorder="1"/>
    <xf numFmtId="14" fontId="12" fillId="0" borderId="0" xfId="0" applyNumberFormat="1" applyFont="1" applyAlignment="1" applyProtection="1">
      <alignment vertical="top" wrapText="1"/>
      <protection locked="0"/>
    </xf>
    <xf numFmtId="0" fontId="0" fillId="0" borderId="8" xfId="0" applyBorder="1" applyAlignment="1">
      <alignment vertical="center" wrapText="1"/>
    </xf>
    <xf numFmtId="0" fontId="0" fillId="0" borderId="13" xfId="0" applyBorder="1" applyAlignment="1">
      <alignment horizontal="center" vertical="center"/>
    </xf>
    <xf numFmtId="0" fontId="0" fillId="0" borderId="13" xfId="0" applyBorder="1" applyAlignment="1">
      <alignment horizontal="center" vertical="center" wrapText="1"/>
    </xf>
    <xf numFmtId="0" fontId="0" fillId="31" borderId="20" xfId="0" applyFill="1" applyBorder="1"/>
    <xf numFmtId="0" fontId="0" fillId="31" borderId="17" xfId="0" applyFill="1" applyBorder="1"/>
    <xf numFmtId="0" fontId="0" fillId="11" borderId="17" xfId="0" applyFill="1" applyBorder="1" applyAlignment="1">
      <alignment horizontal="center"/>
    </xf>
    <xf numFmtId="0" fontId="0" fillId="25" borderId="18" xfId="0" applyFill="1" applyBorder="1" applyAlignment="1">
      <alignment horizontal="center" vertical="center"/>
    </xf>
    <xf numFmtId="0" fontId="0" fillId="0" borderId="0" xfId="0" applyAlignment="1">
      <alignment horizontal="center"/>
    </xf>
    <xf numFmtId="14" fontId="0" fillId="0" borderId="0" xfId="0" applyNumberFormat="1"/>
    <xf numFmtId="17" fontId="9" fillId="27" borderId="0" xfId="0" applyNumberFormat="1" applyFont="1" applyFill="1" applyAlignment="1">
      <alignment vertical="top"/>
    </xf>
    <xf numFmtId="17" fontId="9" fillId="14" borderId="0" xfId="0" applyNumberFormat="1" applyFont="1" applyFill="1" applyAlignment="1" applyProtection="1">
      <alignment vertical="top"/>
      <protection locked="0"/>
    </xf>
    <xf numFmtId="17" fontId="9" fillId="27" borderId="0" xfId="0" applyNumberFormat="1" applyFont="1" applyFill="1" applyAlignment="1" applyProtection="1">
      <alignment vertical="top"/>
      <protection locked="0"/>
    </xf>
    <xf numFmtId="0" fontId="9" fillId="10" borderId="0" xfId="0" applyFont="1" applyFill="1" applyAlignment="1" applyProtection="1">
      <alignment vertical="top"/>
      <protection locked="0"/>
    </xf>
    <xf numFmtId="0" fontId="38" fillId="29" borderId="0" xfId="0" applyFont="1" applyFill="1" applyAlignment="1">
      <alignment horizontal="center" vertical="center"/>
    </xf>
    <xf numFmtId="0" fontId="38" fillId="29" borderId="8" xfId="0" applyFont="1" applyFill="1" applyBorder="1" applyAlignment="1">
      <alignment horizontal="center" vertical="center"/>
    </xf>
    <xf numFmtId="17" fontId="38" fillId="29" borderId="8" xfId="0" applyNumberFormat="1" applyFont="1" applyFill="1" applyBorder="1" applyAlignment="1">
      <alignment horizontal="center" vertical="center"/>
    </xf>
    <xf numFmtId="0" fontId="0" fillId="0" borderId="8" xfId="0" applyBorder="1" applyAlignment="1">
      <alignment horizontal="left"/>
    </xf>
    <xf numFmtId="0" fontId="0" fillId="0" borderId="8" xfId="0" applyBorder="1" applyAlignment="1">
      <alignment horizontal="left" indent="4"/>
    </xf>
    <xf numFmtId="0" fontId="38" fillId="29" borderId="0" xfId="0" applyFont="1" applyFill="1" applyAlignment="1">
      <alignment horizontal="center" vertical="center" wrapText="1"/>
    </xf>
    <xf numFmtId="0" fontId="18" fillId="0" borderId="0" xfId="0" applyFont="1" applyAlignment="1">
      <alignment horizontal="left" vertical="center"/>
    </xf>
    <xf numFmtId="0" fontId="38" fillId="29" borderId="0" xfId="0" applyFont="1" applyFill="1"/>
    <xf numFmtId="0" fontId="0" fillId="0" borderId="8" xfId="0" applyBorder="1" applyAlignment="1">
      <alignment horizontal="center" vertical="center"/>
    </xf>
    <xf numFmtId="17" fontId="38" fillId="29" borderId="0" xfId="0" applyNumberFormat="1" applyFont="1" applyFill="1" applyAlignment="1">
      <alignment horizontal="center" vertical="center"/>
    </xf>
    <xf numFmtId="0" fontId="38" fillId="29" borderId="8" xfId="0" applyFont="1" applyFill="1" applyBorder="1"/>
    <xf numFmtId="0" fontId="2" fillId="29" borderId="8" xfId="0" applyFont="1" applyFill="1" applyBorder="1" applyAlignment="1">
      <alignment horizontal="center" vertical="center"/>
    </xf>
    <xf numFmtId="0" fontId="38" fillId="29" borderId="8" xfId="0" applyFont="1" applyFill="1" applyBorder="1" applyAlignment="1">
      <alignment horizontal="center" vertical="center" wrapText="1"/>
    </xf>
    <xf numFmtId="10" fontId="0" fillId="0" borderId="8" xfId="0" applyNumberFormat="1" applyBorder="1"/>
    <xf numFmtId="10" fontId="2" fillId="29" borderId="8" xfId="0" applyNumberFormat="1" applyFont="1" applyFill="1" applyBorder="1" applyAlignment="1">
      <alignment horizontal="center" vertical="center"/>
    </xf>
    <xf numFmtId="0" fontId="38" fillId="29" borderId="8" xfId="0" applyFont="1" applyFill="1" applyBorder="1" applyAlignment="1">
      <alignment horizontal="center"/>
    </xf>
    <xf numFmtId="0" fontId="0" fillId="0" borderId="8" xfId="0" pivotButton="1" applyBorder="1"/>
    <xf numFmtId="166" fontId="12" fillId="0" borderId="0" xfId="0" applyNumberFormat="1" applyFont="1" applyAlignment="1">
      <alignment horizontal="center" vertical="top" wrapText="1"/>
    </xf>
    <xf numFmtId="0" fontId="0" fillId="0" borderId="19" xfId="0" applyBorder="1" applyAlignment="1">
      <alignment horizontal="left" vertical="center" wrapText="1"/>
    </xf>
    <xf numFmtId="0" fontId="0" fillId="0" borderId="23" xfId="0" applyBorder="1" applyAlignment="1">
      <alignment horizontal="left" vertical="center" wrapText="1"/>
    </xf>
    <xf numFmtId="0" fontId="0" fillId="0" borderId="25" xfId="0" applyBorder="1" applyAlignment="1">
      <alignment vertical="center" wrapText="1"/>
    </xf>
    <xf numFmtId="0" fontId="0" fillId="0" borderId="21" xfId="0" applyBorder="1" applyAlignment="1">
      <alignment horizontal="center" vertical="center"/>
    </xf>
    <xf numFmtId="0" fontId="0" fillId="0" borderId="17" xfId="0" applyBorder="1"/>
    <xf numFmtId="49" fontId="9" fillId="14" borderId="0" xfId="0" applyNumberFormat="1" applyFont="1" applyFill="1" applyAlignment="1" applyProtection="1">
      <alignment horizontal="center" vertical="top"/>
      <protection locked="0"/>
    </xf>
    <xf numFmtId="0" fontId="20" fillId="0" borderId="8" xfId="0" applyFont="1" applyBorder="1" applyAlignment="1">
      <alignment vertical="center" wrapText="1"/>
    </xf>
    <xf numFmtId="0" fontId="18" fillId="0" borderId="8" xfId="0" applyFont="1" applyBorder="1" applyAlignment="1">
      <alignment vertical="center" wrapText="1"/>
    </xf>
    <xf numFmtId="0" fontId="9" fillId="14" borderId="0" xfId="0" applyFont="1" applyFill="1" applyAlignment="1" applyProtection="1">
      <alignment vertical="top"/>
      <protection locked="0"/>
    </xf>
    <xf numFmtId="0" fontId="38" fillId="0" borderId="0" xfId="0" applyFont="1" applyAlignment="1">
      <alignment horizontal="center" vertical="center"/>
    </xf>
    <xf numFmtId="0" fontId="2" fillId="3" borderId="2" xfId="0" applyFont="1" applyFill="1" applyBorder="1" applyAlignment="1">
      <alignment horizontal="center" vertical="center"/>
    </xf>
    <xf numFmtId="0" fontId="2" fillId="3" borderId="9" xfId="0" applyFont="1" applyFill="1" applyBorder="1" applyAlignment="1">
      <alignment horizontal="center" vertical="center"/>
    </xf>
    <xf numFmtId="9" fontId="0" fillId="0" borderId="8" xfId="0" applyNumberFormat="1" applyBorder="1" applyAlignment="1">
      <alignment horizontal="center" vertical="center"/>
    </xf>
    <xf numFmtId="9" fontId="0" fillId="0" borderId="25" xfId="0" applyNumberFormat="1" applyBorder="1" applyAlignment="1">
      <alignment horizontal="center" vertical="center"/>
    </xf>
    <xf numFmtId="0" fontId="0" fillId="0" borderId="25" xfId="0" applyBorder="1" applyAlignment="1">
      <alignment horizontal="center" vertical="center"/>
    </xf>
    <xf numFmtId="14" fontId="9" fillId="0" borderId="0" xfId="0" applyNumberFormat="1" applyFont="1" applyAlignment="1" applyProtection="1">
      <alignment horizontal="left" vertical="top" wrapText="1"/>
      <protection locked="0"/>
    </xf>
    <xf numFmtId="0" fontId="9" fillId="35" borderId="0" xfId="0" applyFont="1" applyFill="1" applyAlignment="1" applyProtection="1">
      <alignment vertical="top"/>
      <protection locked="0"/>
    </xf>
    <xf numFmtId="166" fontId="23" fillId="0" borderId="0" xfId="0" applyNumberFormat="1" applyFont="1" applyAlignment="1" applyProtection="1">
      <alignment horizontal="center" vertical="top" wrapText="1"/>
      <protection locked="0"/>
    </xf>
    <xf numFmtId="166" fontId="9" fillId="5" borderId="0" xfId="0" applyNumberFormat="1" applyFont="1" applyFill="1" applyAlignment="1">
      <alignment horizontal="center" vertical="top" wrapText="1"/>
    </xf>
    <xf numFmtId="0" fontId="3" fillId="0" borderId="8" xfId="0" applyFont="1" applyBorder="1"/>
    <xf numFmtId="0" fontId="44" fillId="0" borderId="3" xfId="0" applyFont="1" applyBorder="1" applyAlignment="1">
      <alignment horizontal="center" vertical="center"/>
    </xf>
    <xf numFmtId="0" fontId="44" fillId="0" borderId="2" xfId="0" applyFont="1" applyBorder="1" applyAlignment="1">
      <alignment horizontal="center" vertical="center"/>
    </xf>
    <xf numFmtId="0" fontId="45" fillId="0" borderId="2" xfId="0" applyFont="1" applyBorder="1" applyAlignment="1">
      <alignment horizontal="center" vertical="center"/>
    </xf>
    <xf numFmtId="0" fontId="44" fillId="0" borderId="26" xfId="0" applyFont="1" applyBorder="1" applyAlignment="1">
      <alignment horizontal="center" vertical="center"/>
    </xf>
    <xf numFmtId="0" fontId="44" fillId="0" borderId="13" xfId="0" applyFont="1" applyBorder="1" applyAlignment="1">
      <alignment horizontal="center" vertical="center"/>
    </xf>
    <xf numFmtId="0" fontId="43" fillId="32" borderId="3" xfId="0" applyFont="1" applyFill="1" applyBorder="1" applyAlignment="1">
      <alignment horizontal="center" vertical="center"/>
    </xf>
    <xf numFmtId="0" fontId="43" fillId="32" borderId="1" xfId="0" applyFont="1" applyFill="1" applyBorder="1" applyAlignment="1">
      <alignment horizontal="center" vertical="center"/>
    </xf>
    <xf numFmtId="0" fontId="43" fillId="32" borderId="2" xfId="0" applyFont="1" applyFill="1" applyBorder="1" applyAlignment="1">
      <alignment horizontal="center" vertical="center"/>
    </xf>
    <xf numFmtId="0" fontId="38" fillId="0" borderId="0" xfId="0" applyFont="1"/>
    <xf numFmtId="1" fontId="44" fillId="0" borderId="2" xfId="0" applyNumberFormat="1" applyFont="1" applyBorder="1" applyAlignment="1">
      <alignment horizontal="center" vertical="center"/>
    </xf>
    <xf numFmtId="0" fontId="0" fillId="5" borderId="8" xfId="0" applyFill="1" applyBorder="1" applyAlignment="1">
      <alignment horizontal="center" vertical="center"/>
    </xf>
    <xf numFmtId="0" fontId="44" fillId="0" borderId="1" xfId="0" applyFont="1" applyBorder="1" applyAlignment="1">
      <alignment horizontal="center" vertical="center" wrapText="1"/>
    </xf>
    <xf numFmtId="1" fontId="43" fillId="32" borderId="2" xfId="0" applyNumberFormat="1" applyFont="1" applyFill="1" applyBorder="1" applyAlignment="1">
      <alignment horizontal="center" vertical="center"/>
    </xf>
    <xf numFmtId="1" fontId="44" fillId="0" borderId="4" xfId="0" applyNumberFormat="1" applyFont="1" applyBorder="1" applyAlignment="1">
      <alignment horizontal="center" vertical="center"/>
    </xf>
    <xf numFmtId="1" fontId="46" fillId="32" borderId="4" xfId="0" applyNumberFormat="1" applyFont="1" applyFill="1" applyBorder="1" applyAlignment="1">
      <alignment horizontal="center" vertical="center"/>
    </xf>
    <xf numFmtId="0" fontId="0" fillId="5" borderId="0" xfId="0" applyFill="1" applyAlignment="1">
      <alignment horizontal="center" vertical="center"/>
    </xf>
    <xf numFmtId="0" fontId="43" fillId="37" borderId="8" xfId="0" applyFont="1" applyFill="1" applyBorder="1" applyAlignment="1">
      <alignment horizontal="center" vertical="center" wrapText="1"/>
    </xf>
    <xf numFmtId="1" fontId="46" fillId="37" borderId="0" xfId="0" applyNumberFormat="1" applyFont="1" applyFill="1" applyAlignment="1">
      <alignment horizontal="center" vertical="center"/>
    </xf>
    <xf numFmtId="1" fontId="46" fillId="37" borderId="8" xfId="0" applyNumberFormat="1" applyFont="1" applyFill="1" applyBorder="1" applyAlignment="1">
      <alignment horizontal="center" vertical="center"/>
    </xf>
    <xf numFmtId="2" fontId="44" fillId="0" borderId="2" xfId="0" applyNumberFormat="1" applyFont="1" applyBorder="1" applyAlignment="1">
      <alignment horizontal="center" vertical="center"/>
    </xf>
    <xf numFmtId="2" fontId="43" fillId="32" borderId="2" xfId="0" applyNumberFormat="1" applyFont="1" applyFill="1" applyBorder="1" applyAlignment="1">
      <alignment horizontal="center" vertical="center"/>
    </xf>
    <xf numFmtId="2" fontId="45" fillId="0" borderId="2" xfId="0" applyNumberFormat="1" applyFont="1" applyBorder="1" applyAlignment="1">
      <alignment horizontal="center" vertical="center"/>
    </xf>
    <xf numFmtId="0" fontId="23" fillId="0" borderId="0" xfId="0" applyFont="1" applyAlignment="1" applyProtection="1">
      <alignment vertical="top" wrapText="1"/>
      <protection locked="0"/>
    </xf>
    <xf numFmtId="0" fontId="9" fillId="0" borderId="11" xfId="0" applyFont="1" applyBorder="1" applyAlignment="1" applyProtection="1">
      <alignment horizontal="left" vertical="top" wrapText="1"/>
      <protection locked="0"/>
    </xf>
    <xf numFmtId="0" fontId="23" fillId="0" borderId="0" xfId="0" applyFont="1" applyAlignment="1" applyProtection="1">
      <alignment horizontal="center" vertical="top" wrapText="1"/>
      <protection locked="0"/>
    </xf>
    <xf numFmtId="0" fontId="9" fillId="11" borderId="0" xfId="0" applyFont="1" applyFill="1" applyAlignment="1" applyProtection="1">
      <alignment horizontal="center" vertical="top" wrapText="1"/>
      <protection locked="0"/>
    </xf>
    <xf numFmtId="165" fontId="9" fillId="0" borderId="0" xfId="0" applyNumberFormat="1" applyFont="1" applyAlignment="1" applyProtection="1">
      <alignment horizontal="center" vertical="top"/>
      <protection locked="0"/>
    </xf>
    <xf numFmtId="168" fontId="44" fillId="0" borderId="2" xfId="0" applyNumberFormat="1" applyFont="1" applyBorder="1" applyAlignment="1">
      <alignment horizontal="center" vertical="center"/>
    </xf>
    <xf numFmtId="168" fontId="0" fillId="0" borderId="0" xfId="0" applyNumberFormat="1" applyAlignment="1">
      <alignment horizontal="center" vertical="center"/>
    </xf>
    <xf numFmtId="0" fontId="22" fillId="41" borderId="29" xfId="0" applyFont="1" applyFill="1" applyBorder="1" applyAlignment="1">
      <alignment horizontal="center"/>
    </xf>
    <xf numFmtId="0" fontId="22" fillId="41" borderId="28" xfId="0" applyFont="1" applyFill="1" applyBorder="1" applyAlignment="1">
      <alignment horizontal="center"/>
    </xf>
    <xf numFmtId="0" fontId="22" fillId="41" borderId="28" xfId="0" applyFont="1" applyFill="1" applyBorder="1" applyAlignment="1">
      <alignment horizontal="left" vertical="center"/>
    </xf>
    <xf numFmtId="0" fontId="22" fillId="41" borderId="29" xfId="0" applyFont="1" applyFill="1" applyBorder="1" applyAlignment="1">
      <alignment horizontal="center" wrapText="1"/>
    </xf>
    <xf numFmtId="0" fontId="22" fillId="41" borderId="29" xfId="0" applyFont="1" applyFill="1" applyBorder="1" applyAlignment="1">
      <alignment horizontal="center" vertical="center" wrapText="1"/>
    </xf>
    <xf numFmtId="0" fontId="22" fillId="41" borderId="29" xfId="0" applyFont="1" applyFill="1" applyBorder="1" applyAlignment="1">
      <alignment horizontal="center" vertical="center"/>
    </xf>
    <xf numFmtId="0" fontId="18" fillId="0" borderId="8" xfId="0" applyFont="1" applyBorder="1" applyAlignment="1">
      <alignment horizontal="center"/>
    </xf>
    <xf numFmtId="0" fontId="18" fillId="0" borderId="19" xfId="0" applyFont="1" applyBorder="1" applyAlignment="1">
      <alignment horizontal="left" vertical="center"/>
    </xf>
    <xf numFmtId="0" fontId="18" fillId="0" borderId="8" xfId="0" applyFont="1" applyBorder="1" applyAlignment="1">
      <alignment horizontal="center" wrapText="1"/>
    </xf>
    <xf numFmtId="9" fontId="18" fillId="0" borderId="8" xfId="0" applyNumberFormat="1" applyFont="1" applyBorder="1" applyAlignment="1">
      <alignment horizontal="center"/>
    </xf>
    <xf numFmtId="14" fontId="18" fillId="0" borderId="8" xfId="0" applyNumberFormat="1" applyFont="1" applyBorder="1" applyAlignment="1">
      <alignment horizontal="center"/>
    </xf>
    <xf numFmtId="0" fontId="18" fillId="0" borderId="8" xfId="0" applyFont="1" applyBorder="1" applyAlignment="1">
      <alignment horizontal="center" vertical="center"/>
    </xf>
    <xf numFmtId="14" fontId="18" fillId="0" borderId="8" xfId="0" applyNumberFormat="1" applyFont="1" applyBorder="1" applyAlignment="1">
      <alignment horizontal="center" vertical="center"/>
    </xf>
    <xf numFmtId="1" fontId="18" fillId="36" borderId="13" xfId="0" applyNumberFormat="1" applyFont="1" applyFill="1" applyBorder="1" applyAlignment="1">
      <alignment horizontal="center"/>
    </xf>
    <xf numFmtId="14" fontId="18" fillId="0" borderId="13" xfId="0" applyNumberFormat="1" applyFont="1" applyBorder="1" applyAlignment="1">
      <alignment horizontal="center"/>
    </xf>
    <xf numFmtId="0" fontId="18" fillId="0" borderId="13" xfId="0" applyFont="1" applyBorder="1" applyAlignment="1">
      <alignment horizontal="center" vertical="center" wrapText="1"/>
    </xf>
    <xf numFmtId="0" fontId="18" fillId="0" borderId="8" xfId="0" applyFont="1" applyBorder="1" applyAlignment="1">
      <alignment horizontal="center" vertical="center" wrapText="1"/>
    </xf>
    <xf numFmtId="0" fontId="18" fillId="0" borderId="25" xfId="0" applyFont="1" applyBorder="1" applyAlignment="1">
      <alignment horizontal="center"/>
    </xf>
    <xf numFmtId="9" fontId="18" fillId="0" borderId="25" xfId="0" applyNumberFormat="1" applyFont="1" applyBorder="1" applyAlignment="1">
      <alignment horizontal="center"/>
    </xf>
    <xf numFmtId="0" fontId="18" fillId="0" borderId="25" xfId="0" applyFont="1" applyBorder="1" applyAlignment="1">
      <alignment horizontal="center" vertical="center"/>
    </xf>
    <xf numFmtId="1" fontId="18" fillId="36" borderId="21" xfId="0" applyNumberFormat="1" applyFont="1" applyFill="1" applyBorder="1" applyAlignment="1">
      <alignment horizontal="center"/>
    </xf>
    <xf numFmtId="0" fontId="17" fillId="0" borderId="19" xfId="0" applyFont="1" applyBorder="1" applyAlignment="1">
      <alignment horizontal="center"/>
    </xf>
    <xf numFmtId="17" fontId="38" fillId="29" borderId="8" xfId="0" applyNumberFormat="1" applyFont="1" applyFill="1" applyBorder="1"/>
    <xf numFmtId="9" fontId="0" fillId="0" borderId="0" xfId="0" applyNumberFormat="1"/>
    <xf numFmtId="0" fontId="18" fillId="0" borderId="0" xfId="0" applyFont="1" applyAlignment="1">
      <alignment horizontal="center" vertical="center"/>
    </xf>
    <xf numFmtId="0" fontId="0" fillId="0" borderId="0" xfId="0" pivotButton="1" applyAlignment="1">
      <alignment horizontal="left"/>
    </xf>
    <xf numFmtId="0" fontId="49" fillId="6" borderId="0" xfId="0" applyFont="1" applyFill="1" applyAlignment="1">
      <alignment horizontal="center" vertical="center"/>
    </xf>
    <xf numFmtId="0" fontId="49" fillId="6" borderId="0" xfId="0" applyFont="1" applyFill="1" applyAlignment="1">
      <alignment vertical="center"/>
    </xf>
    <xf numFmtId="0" fontId="50" fillId="0" borderId="0" xfId="0" applyFont="1" applyAlignment="1">
      <alignment vertical="center" wrapText="1"/>
    </xf>
    <xf numFmtId="0" fontId="51" fillId="44" borderId="0" xfId="0" applyFont="1" applyFill="1" applyAlignment="1">
      <alignment horizontal="center" vertical="center" wrapText="1"/>
    </xf>
    <xf numFmtId="9" fontId="0" fillId="0" borderId="0" xfId="4" applyFont="1" applyAlignment="1">
      <alignment horizontal="center" vertical="center" wrapText="1"/>
    </xf>
    <xf numFmtId="0" fontId="9" fillId="0" borderId="36" xfId="0" applyFont="1" applyBorder="1" applyAlignment="1" applyProtection="1">
      <alignment horizontal="center" vertical="top" wrapText="1"/>
      <protection locked="0"/>
    </xf>
    <xf numFmtId="0" fontId="9" fillId="0" borderId="36" xfId="0" applyFont="1" applyBorder="1" applyAlignment="1" applyProtection="1">
      <alignment vertical="top" wrapText="1"/>
      <protection locked="0"/>
    </xf>
    <xf numFmtId="0" fontId="9" fillId="0" borderId="36" xfId="0" applyFont="1" applyBorder="1" applyAlignment="1" applyProtection="1">
      <alignment horizontal="left" vertical="top" wrapText="1"/>
      <protection locked="0"/>
    </xf>
    <xf numFmtId="14" fontId="9" fillId="0" borderId="36" xfId="0" applyNumberFormat="1" applyFont="1" applyBorder="1" applyAlignment="1" applyProtection="1">
      <alignment horizontal="center" vertical="top" wrapText="1"/>
      <protection locked="0"/>
    </xf>
    <xf numFmtId="49" fontId="9" fillId="0" borderId="36" xfId="0" applyNumberFormat="1" applyFont="1" applyBorder="1" applyAlignment="1" applyProtection="1">
      <alignment horizontal="center" vertical="top" wrapText="1"/>
      <protection locked="0"/>
    </xf>
    <xf numFmtId="166" fontId="9" fillId="0" borderId="36" xfId="0" applyNumberFormat="1" applyFont="1" applyBorder="1" applyAlignment="1" applyProtection="1">
      <alignment horizontal="center" vertical="top" wrapText="1"/>
      <protection locked="0"/>
    </xf>
    <xf numFmtId="0" fontId="9" fillId="18" borderId="36" xfId="0" applyFont="1" applyFill="1" applyBorder="1" applyAlignment="1" applyProtection="1">
      <alignment vertical="top" wrapText="1"/>
      <protection locked="0"/>
    </xf>
    <xf numFmtId="165" fontId="9" fillId="0" borderId="36" xfId="0" applyNumberFormat="1" applyFont="1" applyBorder="1" applyAlignment="1" applyProtection="1">
      <alignment horizontal="center" vertical="top" wrapText="1"/>
      <protection locked="0"/>
    </xf>
    <xf numFmtId="166" fontId="9" fillId="0" borderId="35" xfId="0" applyNumberFormat="1" applyFont="1" applyBorder="1" applyAlignment="1" applyProtection="1">
      <alignment horizontal="center" vertical="top" wrapText="1"/>
      <protection locked="0"/>
    </xf>
    <xf numFmtId="17" fontId="9" fillId="0" borderId="35" xfId="0" applyNumberFormat="1" applyFont="1" applyBorder="1" applyAlignment="1" applyProtection="1">
      <alignment vertical="top"/>
      <protection locked="0"/>
    </xf>
    <xf numFmtId="49" fontId="9" fillId="0" borderId="35" xfId="0" applyNumberFormat="1" applyFont="1" applyBorder="1" applyAlignment="1" applyProtection="1">
      <alignment horizontal="center" vertical="top" wrapText="1"/>
      <protection locked="0"/>
    </xf>
    <xf numFmtId="166" fontId="9" fillId="0" borderId="35" xfId="0" applyNumberFormat="1" applyFont="1" applyBorder="1" applyAlignment="1" applyProtection="1">
      <alignment vertical="top"/>
      <protection locked="0"/>
    </xf>
    <xf numFmtId="0" fontId="9" fillId="0" borderId="35" xfId="0" applyFont="1" applyBorder="1" applyAlignment="1" applyProtection="1">
      <alignment vertical="top"/>
      <protection locked="0"/>
    </xf>
    <xf numFmtId="0" fontId="51" fillId="44" borderId="33" xfId="0" applyFont="1" applyFill="1" applyBorder="1" applyAlignment="1">
      <alignment horizontal="center" vertical="center" wrapText="1"/>
    </xf>
    <xf numFmtId="0" fontId="43" fillId="32" borderId="31" xfId="0" applyFont="1" applyFill="1" applyBorder="1" applyAlignment="1">
      <alignment horizontal="center" vertical="center"/>
    </xf>
    <xf numFmtId="0" fontId="43" fillId="32" borderId="32" xfId="0" applyFont="1" applyFill="1" applyBorder="1" applyAlignment="1">
      <alignment horizontal="center" vertical="center" wrapText="1"/>
    </xf>
    <xf numFmtId="0" fontId="43" fillId="28" borderId="37" xfId="0" applyFont="1" applyFill="1" applyBorder="1" applyAlignment="1">
      <alignment horizontal="center" vertical="center" wrapText="1"/>
    </xf>
    <xf numFmtId="0" fontId="43" fillId="39" borderId="37" xfId="0" applyFont="1" applyFill="1" applyBorder="1" applyAlignment="1">
      <alignment horizontal="center" vertical="center" wrapText="1"/>
    </xf>
    <xf numFmtId="0" fontId="43" fillId="11" borderId="37" xfId="0" applyFont="1" applyFill="1" applyBorder="1" applyAlignment="1">
      <alignment horizontal="center" vertical="center" wrapText="1"/>
    </xf>
    <xf numFmtId="0" fontId="43" fillId="32" borderId="37" xfId="0" applyFont="1" applyFill="1" applyBorder="1" applyAlignment="1">
      <alignment horizontal="center" vertical="center" wrapText="1"/>
    </xf>
    <xf numFmtId="0" fontId="43" fillId="25" borderId="37" xfId="0" applyFont="1" applyFill="1" applyBorder="1" applyAlignment="1">
      <alignment horizontal="center" vertical="center" wrapText="1"/>
    </xf>
    <xf numFmtId="0" fontId="43" fillId="40" borderId="37" xfId="0" applyFont="1" applyFill="1" applyBorder="1" applyAlignment="1">
      <alignment horizontal="center" vertical="center" wrapText="1"/>
    </xf>
    <xf numFmtId="0" fontId="43" fillId="40" borderId="32" xfId="0" applyFont="1" applyFill="1" applyBorder="1" applyAlignment="1">
      <alignment horizontal="center" vertical="center" wrapText="1"/>
    </xf>
    <xf numFmtId="0" fontId="43" fillId="37" borderId="37" xfId="0" applyFont="1" applyFill="1" applyBorder="1" applyAlignment="1">
      <alignment horizontal="center" vertical="center" wrapText="1"/>
    </xf>
    <xf numFmtId="0" fontId="10" fillId="2" borderId="33" xfId="0" applyFont="1" applyFill="1" applyBorder="1" applyAlignment="1">
      <alignment horizontal="center" vertical="center"/>
    </xf>
    <xf numFmtId="0" fontId="10" fillId="2" borderId="33" xfId="0" applyFont="1" applyFill="1" applyBorder="1" applyAlignment="1">
      <alignment vertical="center"/>
    </xf>
    <xf numFmtId="166" fontId="10" fillId="2" borderId="33" xfId="0" applyNumberFormat="1" applyFont="1" applyFill="1" applyBorder="1" applyAlignment="1">
      <alignment vertical="center"/>
    </xf>
    <xf numFmtId="0" fontId="10" fillId="2" borderId="34" xfId="0" applyFont="1" applyFill="1" applyBorder="1" applyAlignment="1">
      <alignment vertical="center"/>
    </xf>
    <xf numFmtId="0" fontId="11" fillId="4" borderId="35" xfId="0" applyFont="1" applyFill="1" applyBorder="1" applyAlignment="1">
      <alignment horizontal="center" vertical="center" wrapText="1"/>
    </xf>
    <xf numFmtId="166" fontId="15" fillId="0" borderId="35" xfId="0" applyNumberFormat="1" applyFont="1" applyBorder="1" applyAlignment="1">
      <alignment wrapText="1"/>
    </xf>
    <xf numFmtId="0" fontId="15" fillId="0" borderId="35" xfId="0" applyFont="1" applyBorder="1"/>
    <xf numFmtId="0" fontId="9" fillId="0" borderId="36" xfId="0" applyFont="1" applyBorder="1" applyAlignment="1">
      <alignment horizontal="center" vertical="top" wrapText="1"/>
    </xf>
    <xf numFmtId="0" fontId="9" fillId="0" borderId="36" xfId="0" applyFont="1" applyBorder="1" applyAlignment="1">
      <alignment horizontal="left" vertical="top" wrapText="1"/>
    </xf>
    <xf numFmtId="14" fontId="9" fillId="0" borderId="36" xfId="0" applyNumberFormat="1" applyFont="1" applyBorder="1" applyAlignment="1">
      <alignment horizontal="center" vertical="top" wrapText="1"/>
    </xf>
    <xf numFmtId="0" fontId="2" fillId="3" borderId="35" xfId="0" applyFont="1" applyFill="1" applyBorder="1" applyAlignment="1">
      <alignment horizontal="center" vertical="center"/>
    </xf>
    <xf numFmtId="0" fontId="0" fillId="0" borderId="35" xfId="0" applyBorder="1" applyAlignment="1">
      <alignment horizontal="left" vertical="center" wrapText="1"/>
    </xf>
    <xf numFmtId="0" fontId="28" fillId="0" borderId="35" xfId="0" applyFont="1" applyBorder="1" applyAlignment="1">
      <alignment vertical="top" wrapText="1"/>
    </xf>
    <xf numFmtId="0" fontId="18" fillId="12" borderId="35" xfId="0" applyFont="1" applyFill="1" applyBorder="1" applyAlignment="1">
      <alignment wrapText="1"/>
    </xf>
    <xf numFmtId="0" fontId="21" fillId="0" borderId="35" xfId="0" applyFont="1" applyBorder="1" applyAlignment="1">
      <alignment wrapText="1"/>
    </xf>
    <xf numFmtId="0" fontId="28" fillId="0" borderId="35" xfId="0" applyFont="1" applyBorder="1" applyAlignment="1">
      <alignment horizontal="left" vertical="top" wrapText="1"/>
    </xf>
    <xf numFmtId="0" fontId="24" fillId="15" borderId="35" xfId="0" applyFont="1" applyFill="1" applyBorder="1" applyAlignment="1">
      <alignment horizontal="left" vertical="center" wrapText="1"/>
    </xf>
    <xf numFmtId="0" fontId="27" fillId="15" borderId="35" xfId="0" applyFont="1" applyFill="1" applyBorder="1" applyAlignment="1">
      <alignment horizontal="left" vertical="top" wrapText="1"/>
    </xf>
    <xf numFmtId="0" fontId="2" fillId="3" borderId="35" xfId="0" applyFont="1" applyFill="1" applyBorder="1" applyAlignment="1">
      <alignment horizontal="center" vertical="center" wrapText="1"/>
    </xf>
    <xf numFmtId="0" fontId="0" fillId="16" borderId="37" xfId="0" applyFill="1" applyBorder="1" applyAlignment="1">
      <alignment vertical="center" wrapText="1"/>
    </xf>
    <xf numFmtId="0" fontId="0" fillId="0" borderId="35" xfId="0" applyBorder="1" applyAlignment="1">
      <alignment vertical="center" wrapText="1"/>
    </xf>
    <xf numFmtId="0" fontId="0" fillId="0" borderId="31" xfId="0" applyBorder="1" applyAlignment="1">
      <alignment vertical="center" wrapText="1"/>
    </xf>
    <xf numFmtId="0" fontId="13" fillId="0" borderId="35" xfId="0" applyFont="1" applyBorder="1" applyAlignment="1">
      <alignment horizontal="left" vertical="center" wrapText="1"/>
    </xf>
    <xf numFmtId="0" fontId="0" fillId="5" borderId="37" xfId="0" applyFill="1" applyBorder="1" applyAlignment="1">
      <alignment vertical="center" wrapText="1"/>
    </xf>
    <xf numFmtId="0" fontId="0" fillId="5" borderId="35" xfId="0" applyFill="1" applyBorder="1" applyAlignment="1">
      <alignment horizontal="left" vertical="center" wrapText="1"/>
    </xf>
    <xf numFmtId="0" fontId="0" fillId="14" borderId="37" xfId="0" applyFill="1" applyBorder="1" applyAlignment="1">
      <alignment vertical="center" wrapText="1"/>
    </xf>
    <xf numFmtId="0" fontId="0" fillId="0" borderId="37" xfId="0" applyBorder="1" applyAlignment="1">
      <alignment vertical="center" wrapText="1"/>
    </xf>
    <xf numFmtId="0" fontId="0" fillId="13" borderId="37" xfId="0" applyFill="1" applyBorder="1" applyAlignment="1">
      <alignment vertical="center" wrapText="1"/>
    </xf>
    <xf numFmtId="0" fontId="0" fillId="0" borderId="36" xfId="0" applyBorder="1" applyAlignment="1">
      <alignment vertical="center" wrapText="1"/>
    </xf>
    <xf numFmtId="0" fontId="0" fillId="0" borderId="38" xfId="0" applyBorder="1" applyAlignment="1">
      <alignment vertical="center" wrapText="1"/>
    </xf>
    <xf numFmtId="0" fontId="0" fillId="0" borderId="35" xfId="0" applyBorder="1" applyAlignment="1">
      <alignment horizontal="center" vertical="center" wrapText="1"/>
    </xf>
    <xf numFmtId="0" fontId="0" fillId="0" borderId="35" xfId="0" applyBorder="1" applyAlignment="1">
      <alignment vertical="center"/>
    </xf>
    <xf numFmtId="0" fontId="18" fillId="0" borderId="31" xfId="0" applyFont="1" applyBorder="1"/>
    <xf numFmtId="0" fontId="18" fillId="0" borderId="35" xfId="0" applyFont="1" applyBorder="1" applyAlignment="1">
      <alignment wrapText="1"/>
    </xf>
    <xf numFmtId="0" fontId="18" fillId="0" borderId="36" xfId="0" applyFont="1" applyBorder="1" applyAlignment="1">
      <alignment wrapText="1"/>
    </xf>
    <xf numFmtId="0" fontId="0" fillId="0" borderId="37" xfId="0" applyBorder="1"/>
    <xf numFmtId="0" fontId="0" fillId="0" borderId="31" xfId="0" applyBorder="1" applyAlignment="1">
      <alignment horizontal="center" vertical="center" wrapText="1"/>
    </xf>
    <xf numFmtId="0" fontId="0" fillId="0" borderId="34" xfId="0" applyBorder="1"/>
    <xf numFmtId="0" fontId="0" fillId="0" borderId="38" xfId="0" applyBorder="1" applyAlignment="1">
      <alignment horizontal="center" vertical="center" wrapText="1"/>
    </xf>
    <xf numFmtId="0" fontId="0" fillId="0" borderId="35" xfId="0" applyBorder="1" applyAlignment="1">
      <alignment horizontal="left" vertical="center"/>
    </xf>
    <xf numFmtId="0" fontId="2" fillId="7" borderId="35" xfId="0" applyFont="1" applyFill="1" applyBorder="1"/>
    <xf numFmtId="0" fontId="20" fillId="5" borderId="35" xfId="0" applyFont="1" applyFill="1" applyBorder="1" applyAlignment="1">
      <alignment vertical="center"/>
    </xf>
    <xf numFmtId="0" fontId="20" fillId="5" borderId="35" xfId="0" applyFont="1" applyFill="1" applyBorder="1" applyAlignment="1">
      <alignment horizontal="center" vertical="center"/>
    </xf>
    <xf numFmtId="0" fontId="0" fillId="8" borderId="35" xfId="0" applyFill="1" applyBorder="1"/>
    <xf numFmtId="0" fontId="0" fillId="0" borderId="35" xfId="0" applyBorder="1"/>
    <xf numFmtId="0" fontId="25" fillId="0" borderId="31" xfId="0" applyFont="1" applyBorder="1" applyAlignment="1">
      <alignment vertical="top"/>
    </xf>
    <xf numFmtId="0" fontId="25" fillId="0" borderId="35" xfId="0" applyFont="1" applyBorder="1" applyAlignment="1">
      <alignment vertical="center" wrapText="1"/>
    </xf>
    <xf numFmtId="0" fontId="25" fillId="0" borderId="35" xfId="0" applyFont="1" applyBorder="1" applyAlignment="1">
      <alignment vertical="top" wrapText="1"/>
    </xf>
    <xf numFmtId="0" fontId="0" fillId="8" borderId="32" xfId="0" applyFill="1" applyBorder="1"/>
    <xf numFmtId="0" fontId="0" fillId="0" borderId="32" xfId="0" applyBorder="1"/>
    <xf numFmtId="0" fontId="0" fillId="0" borderId="33" xfId="0" applyBorder="1"/>
    <xf numFmtId="0" fontId="0" fillId="0" borderId="36" xfId="0" applyBorder="1" applyAlignment="1">
      <alignment horizontal="left" vertical="center"/>
    </xf>
    <xf numFmtId="0" fontId="0" fillId="0" borderId="32" xfId="0" applyBorder="1" applyAlignment="1">
      <alignment horizontal="left" vertical="center" wrapText="1"/>
    </xf>
    <xf numFmtId="0" fontId="18" fillId="0" borderId="32" xfId="0" applyFont="1" applyBorder="1" applyAlignment="1">
      <alignment horizontal="left" vertical="center" wrapText="1"/>
    </xf>
    <xf numFmtId="0" fontId="18" fillId="0" borderId="33" xfId="0" applyFont="1" applyBorder="1" applyAlignment="1">
      <alignment horizontal="left" vertical="center" wrapText="1"/>
    </xf>
    <xf numFmtId="166" fontId="9" fillId="0" borderId="0" xfId="0" applyNumberFormat="1" applyFont="1" applyAlignment="1" applyProtection="1">
      <alignment horizontal="center" vertical="top"/>
      <protection locked="0"/>
    </xf>
    <xf numFmtId="0" fontId="9" fillId="15" borderId="36" xfId="0" applyFont="1" applyFill="1" applyBorder="1" applyAlignment="1" applyProtection="1">
      <alignment horizontal="center" vertical="top" wrapText="1"/>
      <protection locked="0"/>
    </xf>
    <xf numFmtId="0" fontId="9" fillId="0" borderId="11" xfId="0" applyFont="1" applyBorder="1" applyAlignment="1" applyProtection="1">
      <alignment horizontal="center" vertical="top" wrapText="1"/>
      <protection locked="0"/>
    </xf>
    <xf numFmtId="0" fontId="9" fillId="18" borderId="0" xfId="0" applyFont="1" applyFill="1" applyAlignment="1" applyProtection="1">
      <alignment vertical="top" wrapText="1"/>
      <protection locked="0"/>
    </xf>
    <xf numFmtId="14" fontId="9" fillId="0" borderId="11" xfId="0" applyNumberFormat="1" applyFont="1" applyBorder="1" applyAlignment="1" applyProtection="1">
      <alignment horizontal="center" vertical="top" wrapText="1"/>
      <protection locked="0"/>
    </xf>
    <xf numFmtId="0" fontId="34" fillId="0" borderId="0" xfId="0" applyFont="1" applyAlignment="1">
      <alignment horizontal="center" vertical="top" wrapText="1"/>
    </xf>
    <xf numFmtId="0" fontId="9" fillId="18" borderId="36" xfId="0" applyFont="1" applyFill="1" applyBorder="1" applyAlignment="1" applyProtection="1">
      <alignment horizontal="center" vertical="top" wrapText="1"/>
      <protection locked="0"/>
    </xf>
    <xf numFmtId="166" fontId="9" fillId="18" borderId="0" xfId="0" applyNumberFormat="1" applyFont="1" applyFill="1" applyAlignment="1" applyProtection="1">
      <alignment horizontal="center" vertical="top" wrapText="1"/>
      <protection locked="0"/>
    </xf>
    <xf numFmtId="17" fontId="9" fillId="27" borderId="35" xfId="0" applyNumberFormat="1" applyFont="1" applyFill="1" applyBorder="1" applyAlignment="1">
      <alignment vertical="top"/>
    </xf>
    <xf numFmtId="0" fontId="38" fillId="45" borderId="8" xfId="0" applyFont="1" applyFill="1" applyBorder="1"/>
    <xf numFmtId="0" fontId="48" fillId="42" borderId="8" xfId="0" applyFont="1" applyFill="1" applyBorder="1" applyAlignment="1">
      <alignment horizontal="center" vertical="center" wrapText="1" readingOrder="1"/>
    </xf>
    <xf numFmtId="17" fontId="48" fillId="43" borderId="8" xfId="0" applyNumberFormat="1" applyFont="1" applyFill="1" applyBorder="1" applyAlignment="1">
      <alignment horizontal="center" vertical="center"/>
    </xf>
    <xf numFmtId="0" fontId="0" fillId="44" borderId="39" xfId="0" applyFill="1" applyBorder="1" applyAlignment="1">
      <alignment horizontal="center" vertical="center"/>
    </xf>
    <xf numFmtId="0" fontId="0" fillId="44" borderId="40" xfId="0" applyFill="1" applyBorder="1" applyAlignment="1">
      <alignment horizontal="center" vertical="center"/>
    </xf>
    <xf numFmtId="166" fontId="0" fillId="0" borderId="0" xfId="0" applyNumberFormat="1" applyAlignment="1">
      <alignment wrapText="1"/>
    </xf>
    <xf numFmtId="0" fontId="0" fillId="0" borderId="0" xfId="0" applyAlignment="1">
      <alignment horizontal="left" vertical="top"/>
    </xf>
    <xf numFmtId="14" fontId="0" fillId="0" borderId="0" xfId="0" applyNumberFormat="1" applyAlignment="1">
      <alignment horizontal="center" vertical="center" wrapText="1"/>
    </xf>
    <xf numFmtId="0" fontId="52" fillId="38" borderId="0" xfId="0" applyFont="1" applyFill="1" applyAlignment="1">
      <alignment horizontal="center" vertical="center" wrapText="1"/>
    </xf>
    <xf numFmtId="0" fontId="12" fillId="5" borderId="0" xfId="0" applyFont="1" applyFill="1" applyAlignment="1" applyProtection="1">
      <alignment horizontal="center" vertical="top" wrapText="1"/>
      <protection locked="0"/>
    </xf>
    <xf numFmtId="0" fontId="6" fillId="6" borderId="0" xfId="1" applyFont="1" applyFill="1" applyAlignment="1" applyProtection="1">
      <alignment horizontal="center" vertical="top"/>
      <protection locked="0"/>
    </xf>
    <xf numFmtId="0" fontId="6" fillId="6" borderId="0" xfId="1" applyFont="1" applyFill="1" applyAlignment="1">
      <alignment horizontal="center" vertical="top"/>
    </xf>
    <xf numFmtId="0" fontId="7" fillId="0" borderId="0" xfId="0" applyFont="1" applyAlignment="1" applyProtection="1">
      <alignment vertical="top"/>
      <protection locked="0"/>
    </xf>
    <xf numFmtId="0" fontId="7" fillId="0" borderId="0" xfId="0" applyFont="1" applyAlignment="1" applyProtection="1">
      <alignment horizontal="center" vertical="top"/>
      <protection locked="0"/>
    </xf>
    <xf numFmtId="14" fontId="7" fillId="0" borderId="0" xfId="0" applyNumberFormat="1" applyFont="1" applyAlignment="1" applyProtection="1">
      <alignment horizontal="center" vertical="top"/>
      <protection locked="0"/>
    </xf>
    <xf numFmtId="166" fontId="7" fillId="0" borderId="0" xfId="0" applyNumberFormat="1" applyFont="1" applyAlignment="1" applyProtection="1">
      <alignment horizontal="center" vertical="top"/>
      <protection locked="0"/>
    </xf>
    <xf numFmtId="166" fontId="7" fillId="0" borderId="0" xfId="0" applyNumberFormat="1" applyFont="1" applyAlignment="1" applyProtection="1">
      <alignment vertical="top"/>
      <protection locked="0"/>
    </xf>
    <xf numFmtId="2" fontId="7" fillId="0" borderId="0" xfId="0" applyNumberFormat="1" applyFont="1" applyAlignment="1" applyProtection="1">
      <alignment vertical="top"/>
      <protection locked="0"/>
    </xf>
    <xf numFmtId="1" fontId="7" fillId="0" borderId="0" xfId="0" applyNumberFormat="1" applyFont="1" applyAlignment="1" applyProtection="1">
      <alignment vertical="top"/>
      <protection locked="0"/>
    </xf>
    <xf numFmtId="17" fontId="7" fillId="0" borderId="0" xfId="0" applyNumberFormat="1" applyFont="1" applyAlignment="1" applyProtection="1">
      <alignment vertical="top"/>
      <protection locked="0"/>
    </xf>
    <xf numFmtId="0" fontId="7" fillId="0" borderId="0" xfId="0" applyFont="1" applyAlignment="1" applyProtection="1">
      <alignment vertical="top" wrapText="1"/>
      <protection locked="0"/>
    </xf>
    <xf numFmtId="14" fontId="7" fillId="0" borderId="0" xfId="0" applyNumberFormat="1" applyFont="1" applyAlignment="1" applyProtection="1">
      <alignment vertical="top"/>
      <protection locked="0"/>
    </xf>
    <xf numFmtId="0" fontId="8" fillId="0" borderId="0" xfId="0" applyFont="1" applyAlignment="1" applyProtection="1">
      <alignment vertical="top"/>
      <protection locked="0"/>
    </xf>
    <xf numFmtId="0" fontId="8" fillId="0" borderId="0" xfId="0" applyFont="1" applyAlignment="1" applyProtection="1">
      <alignment horizontal="center" vertical="top"/>
      <protection locked="0"/>
    </xf>
    <xf numFmtId="14" fontId="8" fillId="0" borderId="0" xfId="0" applyNumberFormat="1" applyFont="1" applyAlignment="1" applyProtection="1">
      <alignment horizontal="center" vertical="top"/>
      <protection locked="0"/>
    </xf>
    <xf numFmtId="0" fontId="0" fillId="0" borderId="0" xfId="0" applyAlignment="1">
      <alignment vertical="top"/>
    </xf>
    <xf numFmtId="14" fontId="9" fillId="0" borderId="0" xfId="0" applyNumberFormat="1" applyFont="1" applyAlignment="1" applyProtection="1">
      <alignment horizontal="center" vertical="top"/>
      <protection locked="0"/>
    </xf>
    <xf numFmtId="2" fontId="9" fillId="0" borderId="0" xfId="0" applyNumberFormat="1" applyFont="1" applyAlignment="1" applyProtection="1">
      <alignment vertical="top"/>
      <protection locked="0"/>
    </xf>
    <xf numFmtId="1" fontId="9" fillId="0" borderId="0" xfId="0" applyNumberFormat="1" applyFont="1" applyAlignment="1" applyProtection="1">
      <alignment vertical="top"/>
      <protection locked="0"/>
    </xf>
    <xf numFmtId="0" fontId="10" fillId="2" borderId="33" xfId="0" applyFont="1" applyFill="1" applyBorder="1" applyAlignment="1" applyProtection="1">
      <alignment horizontal="center" vertical="top"/>
      <protection locked="0"/>
    </xf>
    <xf numFmtId="0" fontId="10" fillId="2" borderId="33" xfId="0" applyFont="1" applyFill="1" applyBorder="1" applyAlignment="1" applyProtection="1">
      <alignment vertical="top"/>
      <protection locked="0"/>
    </xf>
    <xf numFmtId="166" fontId="10" fillId="2" borderId="33" xfId="0" applyNumberFormat="1" applyFont="1" applyFill="1" applyBorder="1" applyAlignment="1" applyProtection="1">
      <alignment vertical="top"/>
      <protection locked="0"/>
    </xf>
    <xf numFmtId="0" fontId="10" fillId="2" borderId="34" xfId="0" applyFont="1" applyFill="1" applyBorder="1" applyAlignment="1" applyProtection="1">
      <alignment vertical="top"/>
      <protection locked="0"/>
    </xf>
    <xf numFmtId="0" fontId="9" fillId="21" borderId="0" xfId="0" applyFont="1" applyFill="1" applyAlignment="1" applyProtection="1">
      <alignment vertical="top"/>
      <protection locked="0"/>
    </xf>
    <xf numFmtId="14" fontId="9" fillId="0" borderId="0" xfId="0" applyNumberFormat="1" applyFont="1" applyAlignment="1" applyProtection="1">
      <alignment vertical="top"/>
      <protection locked="0"/>
    </xf>
    <xf numFmtId="166" fontId="15" fillId="0" borderId="35" xfId="0" applyNumberFormat="1" applyFont="1" applyBorder="1" applyAlignment="1" applyProtection="1">
      <alignment vertical="top" wrapText="1"/>
      <protection locked="0"/>
    </xf>
    <xf numFmtId="0" fontId="15" fillId="0" borderId="35" xfId="0" applyFont="1" applyBorder="1" applyAlignment="1" applyProtection="1">
      <alignment vertical="top"/>
      <protection locked="0"/>
    </xf>
    <xf numFmtId="9" fontId="9" fillId="0" borderId="0" xfId="0" applyNumberFormat="1" applyFont="1" applyAlignment="1" applyProtection="1">
      <alignment horizontal="center" vertical="top"/>
      <protection locked="0"/>
    </xf>
    <xf numFmtId="164" fontId="9" fillId="0" borderId="0" xfId="0" applyNumberFormat="1" applyFont="1" applyAlignment="1" applyProtection="1">
      <alignment horizontal="center" vertical="top" wrapText="1"/>
      <protection locked="0"/>
    </xf>
    <xf numFmtId="14" fontId="0" fillId="0" borderId="0" xfId="0" applyNumberFormat="1" applyAlignment="1" applyProtection="1">
      <alignment vertical="top"/>
      <protection locked="0"/>
    </xf>
    <xf numFmtId="166" fontId="0" fillId="0" borderId="0" xfId="0" applyNumberFormat="1" applyAlignment="1" applyProtection="1">
      <alignment vertical="top"/>
      <protection locked="0"/>
    </xf>
    <xf numFmtId="1" fontId="0" fillId="0" borderId="0" xfId="0" applyNumberFormat="1" applyAlignment="1" applyProtection="1">
      <alignment vertical="top"/>
      <protection locked="0"/>
    </xf>
    <xf numFmtId="17" fontId="0" fillId="0" borderId="0" xfId="0" applyNumberFormat="1" applyAlignment="1" applyProtection="1">
      <alignment vertical="top"/>
      <protection locked="0"/>
    </xf>
    <xf numFmtId="0" fontId="0" fillId="0" borderId="0" xfId="0" applyAlignment="1" applyProtection="1">
      <alignment vertical="top" wrapText="1"/>
      <protection locked="0"/>
    </xf>
    <xf numFmtId="0" fontId="12" fillId="5" borderId="0" xfId="0" applyFont="1" applyFill="1" applyAlignment="1">
      <alignment horizontal="center" vertical="top" wrapText="1"/>
    </xf>
    <xf numFmtId="0" fontId="15" fillId="18" borderId="0" xfId="0" applyFont="1" applyFill="1" applyAlignment="1" applyProtection="1">
      <alignment vertical="top" wrapText="1"/>
      <protection locked="0"/>
    </xf>
    <xf numFmtId="0" fontId="15" fillId="18" borderId="0" xfId="0" applyFont="1" applyFill="1" applyAlignment="1" applyProtection="1">
      <alignment horizontal="center" vertical="top" wrapText="1"/>
      <protection locked="0"/>
    </xf>
    <xf numFmtId="0" fontId="15" fillId="18" borderId="0" xfId="0" applyFont="1" applyFill="1" applyAlignment="1">
      <alignment horizontal="center" vertical="top" wrapText="1"/>
    </xf>
    <xf numFmtId="0" fontId="9" fillId="18" borderId="0" xfId="0" applyFont="1" applyFill="1" applyAlignment="1" applyProtection="1">
      <alignment vertical="top"/>
      <protection locked="0"/>
    </xf>
    <xf numFmtId="17" fontId="9" fillId="0" borderId="0" xfId="0" applyNumberFormat="1" applyFont="1" applyAlignment="1" applyProtection="1">
      <alignment horizontal="center" vertical="top"/>
      <protection locked="0"/>
    </xf>
    <xf numFmtId="0" fontId="0" fillId="0" borderId="0" xfId="0" applyAlignment="1" applyProtection="1">
      <alignment horizontal="center" vertical="top"/>
      <protection locked="0"/>
    </xf>
    <xf numFmtId="9" fontId="12" fillId="5" borderId="0" xfId="0" applyNumberFormat="1" applyFont="1" applyFill="1" applyAlignment="1" applyProtection="1">
      <alignment horizontal="center" vertical="top"/>
      <protection locked="0"/>
    </xf>
    <xf numFmtId="14" fontId="15" fillId="0" borderId="0" xfId="0" applyNumberFormat="1" applyFont="1" applyAlignment="1">
      <alignment horizontal="center" vertical="top" wrapText="1"/>
    </xf>
    <xf numFmtId="0" fontId="15" fillId="0" borderId="35" xfId="0" applyFont="1" applyBorder="1" applyAlignment="1" applyProtection="1">
      <alignment vertical="top" wrapText="1"/>
      <protection locked="0"/>
    </xf>
    <xf numFmtId="17" fontId="9" fillId="0" borderId="0" xfId="0" applyNumberFormat="1" applyFont="1" applyAlignment="1" applyProtection="1">
      <alignment horizontal="center" vertical="top" wrapText="1"/>
      <protection locked="0"/>
    </xf>
    <xf numFmtId="9" fontId="9" fillId="0" borderId="0" xfId="0" applyNumberFormat="1" applyFont="1" applyAlignment="1" applyProtection="1">
      <alignment horizontal="center" vertical="top" wrapText="1"/>
      <protection locked="0"/>
    </xf>
    <xf numFmtId="166" fontId="15" fillId="0" borderId="14" xfId="0" applyNumberFormat="1" applyFont="1" applyBorder="1" applyAlignment="1" applyProtection="1">
      <alignment vertical="top" wrapText="1"/>
      <protection locked="0"/>
    </xf>
    <xf numFmtId="0" fontId="9" fillId="18" borderId="0" xfId="0" applyFont="1" applyFill="1" applyAlignment="1" applyProtection="1">
      <alignment horizontal="center" vertical="top"/>
      <protection locked="0"/>
    </xf>
    <xf numFmtId="14" fontId="15" fillId="0" borderId="35" xfId="0" applyNumberFormat="1" applyFont="1" applyBorder="1" applyAlignment="1" applyProtection="1">
      <alignment vertical="top" wrapText="1"/>
      <protection locked="0"/>
    </xf>
    <xf numFmtId="0" fontId="9" fillId="5" borderId="0" xfId="0" applyFont="1" applyFill="1" applyAlignment="1" applyProtection="1">
      <alignment horizontal="center" vertical="top"/>
      <protection locked="0"/>
    </xf>
    <xf numFmtId="17" fontId="9" fillId="0" borderId="35" xfId="0" applyNumberFormat="1" applyFont="1" applyBorder="1" applyAlignment="1" applyProtection="1">
      <alignment horizontal="center" vertical="top"/>
      <protection locked="0"/>
    </xf>
    <xf numFmtId="166" fontId="15" fillId="0" borderId="0" xfId="0" applyNumberFormat="1" applyFont="1" applyAlignment="1" applyProtection="1">
      <alignment vertical="top" wrapText="1"/>
      <protection locked="0"/>
    </xf>
    <xf numFmtId="167" fontId="0" fillId="0" borderId="0" xfId="0" applyNumberFormat="1" applyAlignment="1" applyProtection="1">
      <alignment horizontal="center" vertical="top"/>
      <protection locked="0"/>
    </xf>
    <xf numFmtId="0" fontId="0" fillId="0" borderId="0" xfId="0" applyAlignment="1" applyProtection="1">
      <alignment horizontal="center" vertical="top" wrapText="1"/>
      <protection locked="0"/>
    </xf>
    <xf numFmtId="0" fontId="9" fillId="36" borderId="0" xfId="0" applyFont="1" applyFill="1" applyAlignment="1" applyProtection="1">
      <alignment horizontal="center" vertical="top"/>
      <protection locked="0"/>
    </xf>
    <xf numFmtId="9" fontId="12" fillId="18" borderId="0" xfId="0" applyNumberFormat="1" applyFont="1" applyFill="1" applyAlignment="1" applyProtection="1">
      <alignment horizontal="center" vertical="top"/>
      <protection locked="0"/>
    </xf>
    <xf numFmtId="9" fontId="9" fillId="18" borderId="0" xfId="0" applyNumberFormat="1" applyFont="1" applyFill="1" applyAlignment="1" applyProtection="1">
      <alignment horizontal="center" vertical="top"/>
      <protection locked="0"/>
    </xf>
    <xf numFmtId="9" fontId="9" fillId="5" borderId="0" xfId="0" applyNumberFormat="1" applyFont="1" applyFill="1" applyAlignment="1" applyProtection="1">
      <alignment horizontal="center" vertical="top"/>
      <protection locked="0"/>
    </xf>
    <xf numFmtId="0" fontId="9" fillId="0" borderId="35" xfId="0" applyFont="1" applyBorder="1" applyAlignment="1" applyProtection="1">
      <alignment horizontal="center" vertical="top" wrapText="1"/>
      <protection locked="0"/>
    </xf>
    <xf numFmtId="14" fontId="23" fillId="0" borderId="0" xfId="0" applyNumberFormat="1" applyFont="1" applyAlignment="1" applyProtection="1">
      <alignment horizontal="center" vertical="top" wrapText="1"/>
      <protection locked="0"/>
    </xf>
    <xf numFmtId="0" fontId="23" fillId="0" borderId="0" xfId="0" applyFont="1" applyAlignment="1" applyProtection="1">
      <alignment horizontal="center" vertical="top"/>
      <protection locked="0"/>
    </xf>
    <xf numFmtId="14" fontId="23" fillId="0" borderId="0" xfId="0" applyNumberFormat="1" applyFont="1" applyAlignment="1" applyProtection="1">
      <alignment horizontal="center" vertical="top"/>
      <protection locked="0"/>
    </xf>
    <xf numFmtId="14" fontId="9" fillId="5" borderId="0" xfId="0" applyNumberFormat="1" applyFont="1" applyFill="1" applyAlignment="1" applyProtection="1">
      <alignment horizontal="center" vertical="top"/>
      <protection locked="0"/>
    </xf>
    <xf numFmtId="14" fontId="0" fillId="0" borderId="0" xfId="0" applyNumberFormat="1" applyAlignment="1">
      <alignment vertical="top"/>
    </xf>
    <xf numFmtId="14" fontId="9" fillId="13" borderId="0" xfId="0" applyNumberFormat="1" applyFont="1" applyFill="1" applyAlignment="1" applyProtection="1">
      <alignment horizontal="center" vertical="top"/>
      <protection locked="0"/>
    </xf>
    <xf numFmtId="164" fontId="9" fillId="0" borderId="0" xfId="0" applyNumberFormat="1" applyFont="1" applyAlignment="1" applyProtection="1">
      <alignment horizontal="center" vertical="top"/>
      <protection locked="0"/>
    </xf>
    <xf numFmtId="14" fontId="12" fillId="5" borderId="0" xfId="0" applyNumberFormat="1" applyFont="1" applyFill="1" applyAlignment="1" applyProtection="1">
      <alignment horizontal="center" vertical="top"/>
      <protection locked="0"/>
    </xf>
    <xf numFmtId="14" fontId="4" fillId="0" borderId="0" xfId="0" applyNumberFormat="1" applyFont="1" applyAlignment="1" applyProtection="1">
      <alignment horizontal="center" vertical="top"/>
      <protection locked="0"/>
    </xf>
    <xf numFmtId="14" fontId="53" fillId="0" borderId="0" xfId="0" applyNumberFormat="1" applyFont="1" applyAlignment="1">
      <alignment horizontal="center" vertical="top" wrapText="1"/>
    </xf>
    <xf numFmtId="0" fontId="12" fillId="0" borderId="0" xfId="0" applyFont="1" applyAlignment="1">
      <alignment horizontal="center" vertical="top" wrapText="1"/>
    </xf>
    <xf numFmtId="0" fontId="15" fillId="0" borderId="0" xfId="0" applyFont="1" applyAlignment="1">
      <alignment horizontal="center" vertical="top" wrapText="1"/>
    </xf>
    <xf numFmtId="0" fontId="11" fillId="3" borderId="0" xfId="0" applyFont="1" applyFill="1" applyAlignment="1" applyProtection="1">
      <alignment horizontal="center" vertical="center" wrapText="1"/>
      <protection locked="0"/>
    </xf>
    <xf numFmtId="0" fontId="32" fillId="3" borderId="0" xfId="0" applyFont="1" applyFill="1" applyAlignment="1" applyProtection="1">
      <alignment horizontal="center" vertical="center" wrapText="1"/>
      <protection locked="0"/>
    </xf>
    <xf numFmtId="14" fontId="11" fillId="3" borderId="0" xfId="0" applyNumberFormat="1" applyFont="1" applyFill="1" applyAlignment="1" applyProtection="1">
      <alignment horizontal="center" vertical="center" wrapText="1"/>
      <protection locked="0"/>
    </xf>
    <xf numFmtId="0" fontId="11" fillId="11" borderId="0" xfId="0" applyFont="1" applyFill="1" applyAlignment="1" applyProtection="1">
      <alignment horizontal="center" vertical="center" wrapText="1"/>
      <protection locked="0"/>
    </xf>
    <xf numFmtId="166" fontId="11" fillId="3" borderId="0" xfId="0" applyNumberFormat="1" applyFont="1" applyFill="1" applyAlignment="1" applyProtection="1">
      <alignment horizontal="center" vertical="center" wrapText="1"/>
      <protection locked="0"/>
    </xf>
    <xf numFmtId="0" fontId="14" fillId="3" borderId="0" xfId="0" applyFont="1" applyFill="1" applyAlignment="1" applyProtection="1">
      <alignment horizontal="center" vertical="center" wrapText="1"/>
      <protection locked="0"/>
    </xf>
    <xf numFmtId="166" fontId="11" fillId="11" borderId="0" xfId="0" applyNumberFormat="1" applyFont="1" applyFill="1" applyAlignment="1" applyProtection="1">
      <alignment horizontal="center" vertical="center" wrapText="1"/>
      <protection locked="0"/>
    </xf>
    <xf numFmtId="0" fontId="11" fillId="4" borderId="0" xfId="0" applyFont="1" applyFill="1" applyAlignment="1" applyProtection="1">
      <alignment horizontal="center" vertical="center" wrapText="1"/>
      <protection locked="0"/>
    </xf>
    <xf numFmtId="0" fontId="11" fillId="20" borderId="0" xfId="0" applyFont="1" applyFill="1" applyAlignment="1" applyProtection="1">
      <alignment horizontal="center" vertical="center" wrapText="1"/>
      <protection locked="0"/>
    </xf>
    <xf numFmtId="166" fontId="11" fillId="25" borderId="0" xfId="0" applyNumberFormat="1" applyFont="1" applyFill="1" applyAlignment="1" applyProtection="1">
      <alignment horizontal="center" vertical="center" wrapText="1"/>
      <protection locked="0"/>
    </xf>
    <xf numFmtId="0" fontId="11" fillId="25" borderId="0" xfId="0" applyFont="1" applyFill="1" applyAlignment="1" applyProtection="1">
      <alignment horizontal="center" vertical="center" wrapText="1"/>
      <protection locked="0"/>
    </xf>
    <xf numFmtId="2" fontId="11" fillId="11" borderId="0" xfId="0" applyNumberFormat="1" applyFont="1" applyFill="1" applyAlignment="1" applyProtection="1">
      <alignment horizontal="center" vertical="center" wrapText="1"/>
      <protection locked="0"/>
    </xf>
    <xf numFmtId="0" fontId="29" fillId="0" borderId="0" xfId="0" applyFont="1" applyAlignment="1" applyProtection="1">
      <alignment horizontal="center" vertical="center" wrapText="1"/>
      <protection locked="0"/>
    </xf>
    <xf numFmtId="0" fontId="33" fillId="0" borderId="0" xfId="0" applyFont="1" applyAlignment="1" applyProtection="1">
      <alignment horizontal="center" vertical="center" wrapText="1"/>
      <protection locked="0"/>
    </xf>
    <xf numFmtId="14" fontId="33" fillId="0" borderId="0" xfId="0" applyNumberFormat="1" applyFont="1" applyAlignment="1" applyProtection="1">
      <alignment horizontal="center" vertical="center" wrapText="1"/>
      <protection locked="0"/>
    </xf>
    <xf numFmtId="0" fontId="33" fillId="26" borderId="0" xfId="0" applyFont="1" applyFill="1" applyAlignment="1" applyProtection="1">
      <alignment horizontal="center" vertical="center" wrapText="1"/>
      <protection locked="0"/>
    </xf>
    <xf numFmtId="1" fontId="33" fillId="26" borderId="0" xfId="0" applyNumberFormat="1" applyFont="1" applyFill="1" applyAlignment="1" applyProtection="1">
      <alignment horizontal="center" vertical="center" wrapText="1"/>
      <protection locked="0"/>
    </xf>
    <xf numFmtId="0" fontId="11" fillId="4" borderId="35" xfId="0" applyFont="1" applyFill="1" applyBorder="1" applyAlignment="1" applyProtection="1">
      <alignment horizontal="center" vertical="center" wrapText="1"/>
      <protection locked="0"/>
    </xf>
    <xf numFmtId="2" fontId="11" fillId="25" borderId="0" xfId="0" applyNumberFormat="1" applyFont="1" applyFill="1" applyAlignment="1" applyProtection="1">
      <alignment horizontal="center" vertical="center" wrapText="1"/>
      <protection locked="0"/>
    </xf>
    <xf numFmtId="17" fontId="29" fillId="0" borderId="0" xfId="0" applyNumberFormat="1" applyFont="1" applyAlignment="1" applyProtection="1">
      <alignment horizontal="center" vertical="center" wrapText="1"/>
      <protection locked="0"/>
    </xf>
    <xf numFmtId="0" fontId="26" fillId="0" borderId="0" xfId="0" applyFont="1" applyAlignment="1" applyProtection="1">
      <alignment horizontal="center" vertical="center" wrapText="1"/>
      <protection locked="0"/>
    </xf>
    <xf numFmtId="0" fontId="47" fillId="0" borderId="0" xfId="0" applyFont="1" applyAlignment="1" applyProtection="1">
      <alignment horizontal="center" vertical="center" wrapText="1"/>
      <protection locked="0"/>
    </xf>
    <xf numFmtId="14" fontId="29" fillId="38" borderId="0" xfId="0" applyNumberFormat="1" applyFont="1" applyFill="1" applyAlignment="1" applyProtection="1">
      <alignment horizontal="center" vertical="center" wrapText="1"/>
      <protection locked="0"/>
    </xf>
    <xf numFmtId="0" fontId="29" fillId="38" borderId="0" xfId="0" applyFont="1" applyFill="1" applyAlignment="1" applyProtection="1">
      <alignment horizontal="center" vertical="center" wrapText="1"/>
      <protection locked="0"/>
    </xf>
    <xf numFmtId="0" fontId="29" fillId="5" borderId="0" xfId="0" applyFont="1" applyFill="1" applyAlignment="1" applyProtection="1">
      <alignment horizontal="center" vertical="center" wrapText="1"/>
      <protection locked="0"/>
    </xf>
    <xf numFmtId="0" fontId="11" fillId="44" borderId="0" xfId="0" applyFont="1" applyFill="1" applyAlignment="1" applyProtection="1">
      <alignment horizontal="center" vertical="center" wrapText="1"/>
      <protection locked="0"/>
    </xf>
    <xf numFmtId="0" fontId="9" fillId="0" borderId="0" xfId="0" applyFont="1" applyAlignment="1" applyProtection="1">
      <alignment vertical="center"/>
      <protection locked="0"/>
    </xf>
    <xf numFmtId="17" fontId="29" fillId="46" borderId="0" xfId="0" applyNumberFormat="1" applyFont="1" applyFill="1" applyAlignment="1">
      <alignment horizontal="center" vertical="top"/>
    </xf>
    <xf numFmtId="0" fontId="0" fillId="0" borderId="30" xfId="0" applyBorder="1" applyAlignment="1">
      <alignment vertical="top"/>
    </xf>
    <xf numFmtId="0" fontId="54" fillId="47" borderId="0" xfId="0" applyFont="1" applyFill="1" applyAlignment="1">
      <alignment vertical="top" wrapText="1" readingOrder="1"/>
    </xf>
    <xf numFmtId="0" fontId="54" fillId="47" borderId="0" xfId="0" applyFont="1" applyFill="1" applyAlignment="1">
      <alignment horizontal="center" vertical="top" wrapText="1" readingOrder="1"/>
    </xf>
    <xf numFmtId="14" fontId="0" fillId="0" borderId="0" xfId="0" applyNumberFormat="1" applyAlignment="1">
      <alignment horizontal="center" vertical="top"/>
    </xf>
    <xf numFmtId="0" fontId="0" fillId="5" borderId="0" xfId="0" applyFill="1" applyAlignment="1">
      <alignment vertical="center" wrapText="1"/>
    </xf>
    <xf numFmtId="0" fontId="0" fillId="0" borderId="34" xfId="0" applyBorder="1" applyAlignment="1">
      <alignment vertical="center" wrapText="1"/>
    </xf>
    <xf numFmtId="0" fontId="0" fillId="0" borderId="31" xfId="0" applyBorder="1" applyAlignment="1">
      <alignment horizontal="left" vertical="center" wrapText="1"/>
    </xf>
    <xf numFmtId="10" fontId="0" fillId="0" borderId="8" xfId="0" applyNumberFormat="1" applyBorder="1" applyAlignment="1">
      <alignment horizontal="center" vertical="center"/>
    </xf>
    <xf numFmtId="10" fontId="38" fillId="29" borderId="8" xfId="0" applyNumberFormat="1" applyFont="1" applyFill="1" applyBorder="1" applyAlignment="1">
      <alignment horizontal="center" vertical="center"/>
    </xf>
    <xf numFmtId="10" fontId="0" fillId="0" borderId="0" xfId="0" applyNumberFormat="1" applyAlignment="1">
      <alignment horizontal="center" vertical="center"/>
    </xf>
    <xf numFmtId="10" fontId="38" fillId="29" borderId="0" xfId="0" applyNumberFormat="1" applyFont="1" applyFill="1" applyAlignment="1">
      <alignment horizontal="center" vertical="center"/>
    </xf>
    <xf numFmtId="0" fontId="2" fillId="29" borderId="0" xfId="0" applyFont="1" applyFill="1" applyAlignment="1">
      <alignment horizontal="center" vertical="center"/>
    </xf>
    <xf numFmtId="0" fontId="17" fillId="0" borderId="23" xfId="0" applyFont="1" applyBorder="1" applyAlignment="1">
      <alignment horizontal="center"/>
    </xf>
    <xf numFmtId="0" fontId="18" fillId="0" borderId="23" xfId="0" applyFont="1" applyBorder="1" applyAlignment="1">
      <alignment horizontal="left" vertical="center"/>
    </xf>
    <xf numFmtId="165" fontId="0" fillId="0" borderId="0" xfId="0" applyNumberFormat="1"/>
    <xf numFmtId="14" fontId="12" fillId="18" borderId="0" xfId="0" applyNumberFormat="1" applyFont="1" applyFill="1" applyAlignment="1" applyProtection="1">
      <alignment horizontal="center" vertical="top"/>
      <protection locked="0"/>
    </xf>
    <xf numFmtId="14" fontId="9" fillId="18" borderId="0" xfId="0" applyNumberFormat="1" applyFont="1" applyFill="1" applyAlignment="1" applyProtection="1">
      <alignment horizontal="center" vertical="top"/>
      <protection locked="0"/>
    </xf>
    <xf numFmtId="0" fontId="18" fillId="0" borderId="25" xfId="0" applyFont="1" applyBorder="1" applyAlignment="1">
      <alignment horizontal="center" wrapText="1"/>
    </xf>
    <xf numFmtId="0" fontId="56" fillId="0" borderId="0" xfId="0" applyFont="1"/>
    <xf numFmtId="0" fontId="22" fillId="41" borderId="42" xfId="0" applyFont="1" applyFill="1" applyBorder="1" applyAlignment="1">
      <alignment horizontal="center"/>
    </xf>
    <xf numFmtId="0" fontId="22" fillId="41" borderId="43" xfId="0" applyFont="1" applyFill="1" applyBorder="1" applyAlignment="1">
      <alignment horizontal="center"/>
    </xf>
    <xf numFmtId="0" fontId="22" fillId="41" borderId="43" xfId="0" applyFont="1" applyFill="1" applyBorder="1" applyAlignment="1">
      <alignment horizontal="left" vertical="center"/>
    </xf>
    <xf numFmtId="0" fontId="22" fillId="41" borderId="42" xfId="0" applyFont="1" applyFill="1" applyBorder="1" applyAlignment="1">
      <alignment horizontal="center" wrapText="1"/>
    </xf>
    <xf numFmtId="0" fontId="22" fillId="41" borderId="42" xfId="0" applyFont="1" applyFill="1" applyBorder="1" applyAlignment="1">
      <alignment horizontal="center" vertical="center" wrapText="1"/>
    </xf>
    <xf numFmtId="0" fontId="22" fillId="41" borderId="42" xfId="0" applyFont="1" applyFill="1" applyBorder="1" applyAlignment="1">
      <alignment horizontal="center" vertical="center"/>
    </xf>
    <xf numFmtId="0" fontId="18" fillId="8" borderId="8" xfId="0" applyFont="1" applyFill="1" applyBorder="1" applyAlignment="1">
      <alignment horizontal="center"/>
    </xf>
    <xf numFmtId="0" fontId="17" fillId="8" borderId="19" xfId="0" applyFont="1" applyFill="1" applyBorder="1" applyAlignment="1">
      <alignment horizontal="center"/>
    </xf>
    <xf numFmtId="0" fontId="18" fillId="8" borderId="19" xfId="0" applyFont="1" applyFill="1" applyBorder="1" applyAlignment="1">
      <alignment horizontal="left" vertical="center"/>
    </xf>
    <xf numFmtId="0" fontId="18" fillId="8" borderId="8" xfId="0" applyFont="1" applyFill="1" applyBorder="1" applyAlignment="1">
      <alignment horizontal="center" wrapText="1"/>
    </xf>
    <xf numFmtId="9" fontId="18" fillId="8" borderId="8" xfId="0" applyNumberFormat="1" applyFont="1" applyFill="1" applyBorder="1" applyAlignment="1">
      <alignment horizontal="center"/>
    </xf>
    <xf numFmtId="14" fontId="18" fillId="8" borderId="8" xfId="0" applyNumberFormat="1" applyFont="1" applyFill="1" applyBorder="1" applyAlignment="1">
      <alignment horizontal="center"/>
    </xf>
    <xf numFmtId="0" fontId="18" fillId="8" borderId="8" xfId="0" applyFont="1" applyFill="1" applyBorder="1" applyAlignment="1">
      <alignment horizontal="center" vertical="center"/>
    </xf>
    <xf numFmtId="14" fontId="18" fillId="8" borderId="8" xfId="0" applyNumberFormat="1" applyFont="1" applyFill="1" applyBorder="1" applyAlignment="1">
      <alignment horizontal="center" vertical="center"/>
    </xf>
    <xf numFmtId="0" fontId="18" fillId="18" borderId="41" xfId="0" applyFont="1" applyFill="1" applyBorder="1"/>
    <xf numFmtId="0" fontId="18" fillId="0" borderId="19" xfId="0" applyFont="1" applyBorder="1" applyAlignment="1">
      <alignment horizontal="left" vertical="center" indent="1"/>
    </xf>
    <xf numFmtId="0" fontId="18" fillId="8" borderId="19" xfId="0" applyFont="1" applyFill="1" applyBorder="1" applyAlignment="1">
      <alignment horizontal="left" vertical="center" indent="1"/>
    </xf>
    <xf numFmtId="0" fontId="18" fillId="8" borderId="13" xfId="0" applyFont="1" applyFill="1" applyBorder="1" applyAlignment="1">
      <alignment horizontal="center" vertical="center" wrapText="1"/>
    </xf>
    <xf numFmtId="0" fontId="18" fillId="8" borderId="19" xfId="0" applyFont="1" applyFill="1" applyBorder="1" applyAlignment="1">
      <alignment horizontal="left" vertical="center" indent="2"/>
    </xf>
    <xf numFmtId="0" fontId="18" fillId="0" borderId="19" xfId="0" applyFont="1" applyBorder="1" applyAlignment="1">
      <alignment horizontal="left" vertical="center" indent="2"/>
    </xf>
    <xf numFmtId="0" fontId="18" fillId="8" borderId="8" xfId="0" applyFont="1" applyFill="1" applyBorder="1" applyAlignment="1">
      <alignment horizontal="center" vertical="center" wrapText="1"/>
    </xf>
    <xf numFmtId="0" fontId="17" fillId="18" borderId="19" xfId="0" applyFont="1" applyFill="1" applyBorder="1" applyAlignment="1">
      <alignment horizontal="center"/>
    </xf>
    <xf numFmtId="0" fontId="18" fillId="18" borderId="19" xfId="0" applyFont="1" applyFill="1" applyBorder="1" applyAlignment="1">
      <alignment horizontal="left" vertical="center" indent="1"/>
    </xf>
    <xf numFmtId="0" fontId="18" fillId="18" borderId="8" xfId="0" applyFont="1" applyFill="1" applyBorder="1" applyAlignment="1">
      <alignment horizontal="center"/>
    </xf>
    <xf numFmtId="9" fontId="18" fillId="18" borderId="8" xfId="0" applyNumberFormat="1" applyFont="1" applyFill="1" applyBorder="1" applyAlignment="1">
      <alignment horizontal="center"/>
    </xf>
    <xf numFmtId="14" fontId="18" fillId="18" borderId="8" xfId="0" applyNumberFormat="1" applyFont="1" applyFill="1" applyBorder="1" applyAlignment="1">
      <alignment horizontal="center"/>
    </xf>
    <xf numFmtId="0" fontId="18" fillId="15" borderId="19" xfId="0" applyFont="1" applyFill="1" applyBorder="1" applyAlignment="1">
      <alignment horizontal="left" vertical="center" indent="1"/>
    </xf>
    <xf numFmtId="0" fontId="18" fillId="15" borderId="8" xfId="0" applyFont="1" applyFill="1" applyBorder="1" applyAlignment="1">
      <alignment horizontal="center"/>
    </xf>
    <xf numFmtId="9" fontId="18" fillId="15" borderId="8" xfId="0" applyNumberFormat="1" applyFont="1" applyFill="1" applyBorder="1" applyAlignment="1">
      <alignment horizontal="center"/>
    </xf>
    <xf numFmtId="14" fontId="18" fillId="15" borderId="8" xfId="0" applyNumberFormat="1" applyFont="1" applyFill="1" applyBorder="1" applyAlignment="1">
      <alignment horizontal="center"/>
    </xf>
    <xf numFmtId="17" fontId="22" fillId="41" borderId="44" xfId="0" applyNumberFormat="1" applyFont="1" applyFill="1" applyBorder="1" applyAlignment="1">
      <alignment horizontal="center" vertical="center"/>
    </xf>
    <xf numFmtId="0" fontId="18" fillId="0" borderId="41" xfId="0" applyFont="1" applyBorder="1"/>
    <xf numFmtId="0" fontId="18" fillId="0" borderId="45" xfId="0" applyFont="1" applyBorder="1"/>
    <xf numFmtId="0" fontId="18" fillId="0" borderId="0" xfId="0" applyFont="1"/>
    <xf numFmtId="0" fontId="18" fillId="0" borderId="46" xfId="0" applyFont="1" applyBorder="1"/>
    <xf numFmtId="0" fontId="18" fillId="0" borderId="47" xfId="0" applyFont="1" applyBorder="1"/>
    <xf numFmtId="0" fontId="8" fillId="0" borderId="0" xfId="0" applyFont="1" applyAlignment="1" applyProtection="1">
      <alignment vertical="top" wrapText="1"/>
      <protection locked="0"/>
    </xf>
    <xf numFmtId="14" fontId="18" fillId="8" borderId="13" xfId="0" applyNumberFormat="1" applyFont="1" applyFill="1" applyBorder="1" applyAlignment="1">
      <alignment horizontal="center"/>
    </xf>
    <xf numFmtId="0" fontId="10" fillId="9" borderId="0" xfId="0" applyFont="1" applyFill="1" applyAlignment="1" applyProtection="1">
      <alignment horizontal="center" vertical="top" wrapText="1"/>
      <protection locked="0"/>
    </xf>
    <xf numFmtId="0" fontId="2" fillId="3" borderId="1" xfId="0" applyFont="1" applyFill="1" applyBorder="1" applyAlignment="1">
      <alignment horizontal="center" vertical="center" wrapText="1"/>
    </xf>
    <xf numFmtId="0" fontId="9" fillId="35" borderId="0" xfId="0" applyFont="1" applyFill="1" applyAlignment="1" applyProtection="1">
      <alignment vertical="top" wrapText="1"/>
      <protection locked="0"/>
    </xf>
    <xf numFmtId="0" fontId="55" fillId="48" borderId="35" xfId="0" applyFont="1" applyFill="1" applyBorder="1" applyAlignment="1">
      <alignment vertical="top"/>
    </xf>
    <xf numFmtId="14" fontId="15" fillId="0" borderId="35" xfId="0" applyNumberFormat="1" applyFont="1" applyBorder="1" applyAlignment="1">
      <alignment horizontal="center" vertical="top"/>
    </xf>
    <xf numFmtId="0" fontId="9" fillId="9" borderId="0" xfId="0" applyFont="1" applyFill="1" applyAlignment="1" applyProtection="1">
      <alignment horizontal="center" vertical="top" wrapText="1"/>
      <protection locked="0"/>
    </xf>
    <xf numFmtId="0" fontId="15" fillId="0" borderId="36" xfId="0" applyFont="1" applyBorder="1" applyAlignment="1" applyProtection="1">
      <alignment horizontal="center" vertical="top" wrapText="1"/>
      <protection locked="0"/>
    </xf>
    <xf numFmtId="165" fontId="15" fillId="0" borderId="36" xfId="0" applyNumberFormat="1" applyFont="1" applyBorder="1" applyAlignment="1" applyProtection="1">
      <alignment horizontal="center" vertical="top"/>
      <protection locked="0"/>
    </xf>
    <xf numFmtId="0" fontId="15" fillId="5" borderId="0" xfId="0" applyFont="1" applyFill="1" applyAlignment="1" applyProtection="1">
      <alignment vertical="top" wrapText="1"/>
      <protection locked="0"/>
    </xf>
    <xf numFmtId="0" fontId="57" fillId="0" borderId="0" xfId="0" applyFont="1"/>
    <xf numFmtId="0" fontId="38" fillId="29" borderId="35" xfId="0" applyFont="1" applyFill="1" applyBorder="1"/>
    <xf numFmtId="0" fontId="38" fillId="29" borderId="35" xfId="0" applyFont="1" applyFill="1" applyBorder="1" applyAlignment="1">
      <alignment horizontal="center" vertical="center"/>
    </xf>
    <xf numFmtId="0" fontId="0" fillId="0" borderId="35" xfId="0" pivotButton="1" applyBorder="1"/>
    <xf numFmtId="0" fontId="11" fillId="25" borderId="35" xfId="0" applyFont="1" applyFill="1" applyBorder="1" applyAlignment="1" applyProtection="1">
      <alignment horizontal="center" vertical="center" wrapText="1"/>
      <protection locked="0"/>
    </xf>
    <xf numFmtId="14" fontId="18" fillId="0" borderId="25" xfId="0" applyNumberFormat="1" applyFont="1" applyBorder="1" applyAlignment="1">
      <alignment horizontal="center"/>
    </xf>
    <xf numFmtId="0" fontId="0" fillId="0" borderId="35" xfId="0" applyBorder="1" applyAlignment="1">
      <alignment horizontal="center" vertical="center"/>
    </xf>
    <xf numFmtId="166" fontId="9" fillId="0" borderId="15" xfId="0" applyNumberFormat="1" applyFont="1" applyBorder="1" applyAlignment="1" applyProtection="1">
      <alignment horizontal="center" vertical="top" wrapText="1"/>
      <protection locked="0"/>
    </xf>
    <xf numFmtId="0" fontId="29" fillId="50" borderId="0" xfId="0" applyFont="1" applyFill="1" applyAlignment="1" applyProtection="1">
      <alignment horizontal="center" vertical="center" wrapText="1"/>
      <protection locked="0"/>
    </xf>
    <xf numFmtId="0" fontId="47" fillId="50" borderId="0" xfId="0" applyFont="1" applyFill="1" applyAlignment="1" applyProtection="1">
      <alignment horizontal="center" vertical="center" wrapText="1"/>
      <protection locked="0"/>
    </xf>
    <xf numFmtId="0" fontId="58" fillId="29" borderId="0" xfId="0" applyFont="1" applyFill="1" applyAlignment="1" applyProtection="1">
      <alignment horizontal="center" vertical="center" wrapText="1"/>
      <protection locked="0"/>
    </xf>
    <xf numFmtId="0" fontId="59" fillId="23" borderId="31" xfId="0" applyFont="1" applyFill="1" applyBorder="1" applyAlignment="1">
      <alignment wrapText="1"/>
    </xf>
    <xf numFmtId="0" fontId="59" fillId="0" borderId="31" xfId="0" applyFont="1" applyBorder="1" applyAlignment="1">
      <alignment wrapText="1"/>
    </xf>
    <xf numFmtId="9" fontId="0" fillId="0" borderId="13" xfId="0" applyNumberFormat="1" applyBorder="1" applyAlignment="1">
      <alignment horizontal="center" vertical="center"/>
    </xf>
    <xf numFmtId="14" fontId="5" fillId="0" borderId="35" xfId="0" applyNumberFormat="1" applyFont="1" applyBorder="1" applyAlignment="1" applyProtection="1">
      <alignment horizontal="center" vertical="top" wrapText="1"/>
      <protection locked="0"/>
    </xf>
    <xf numFmtId="14" fontId="15" fillId="0" borderId="35" xfId="0" applyNumberFormat="1" applyFont="1" applyBorder="1" applyAlignment="1">
      <alignment horizontal="center" vertical="top" wrapText="1"/>
    </xf>
    <xf numFmtId="0" fontId="22" fillId="51" borderId="37" xfId="0" applyFont="1" applyFill="1" applyBorder="1" applyAlignment="1">
      <alignment wrapText="1"/>
    </xf>
    <xf numFmtId="0" fontId="22" fillId="51" borderId="35" xfId="0" applyFont="1" applyFill="1" applyBorder="1" applyAlignment="1">
      <alignment horizontal="center" vertical="center" wrapText="1"/>
    </xf>
    <xf numFmtId="0" fontId="22" fillId="51" borderId="31" xfId="0" applyFont="1" applyFill="1" applyBorder="1" applyAlignment="1">
      <alignment wrapText="1"/>
    </xf>
    <xf numFmtId="0" fontId="22" fillId="51" borderId="13" xfId="0" applyFont="1" applyFill="1" applyBorder="1" applyAlignment="1">
      <alignment wrapText="1"/>
    </xf>
    <xf numFmtId="0" fontId="18" fillId="52" borderId="37" xfId="0" applyFont="1" applyFill="1" applyBorder="1" applyAlignment="1">
      <alignment wrapText="1"/>
    </xf>
    <xf numFmtId="0" fontId="18" fillId="0" borderId="35" xfId="0" applyFont="1" applyBorder="1" applyAlignment="1">
      <alignment horizontal="center" vertical="center"/>
    </xf>
    <xf numFmtId="0" fontId="18" fillId="23" borderId="31" xfId="0" applyFont="1" applyFill="1" applyBorder="1" applyAlignment="1">
      <alignment wrapText="1"/>
    </xf>
    <xf numFmtId="0" fontId="18" fillId="0" borderId="37" xfId="0" quotePrefix="1" applyFont="1" applyBorder="1"/>
    <xf numFmtId="0" fontId="18" fillId="0" borderId="31" xfId="0" applyFont="1" applyBorder="1" applyAlignment="1">
      <alignment wrapText="1"/>
    </xf>
    <xf numFmtId="0" fontId="18" fillId="0" borderId="35" xfId="0" quotePrefix="1" applyFont="1" applyBorder="1" applyAlignment="1">
      <alignment horizontal="center" vertical="center"/>
    </xf>
    <xf numFmtId="0" fontId="18" fillId="53" borderId="37" xfId="0" applyFont="1" applyFill="1" applyBorder="1" applyAlignment="1">
      <alignment wrapText="1"/>
    </xf>
    <xf numFmtId="0" fontId="18" fillId="54" borderId="37" xfId="0" applyFont="1" applyFill="1" applyBorder="1" applyAlignment="1">
      <alignment wrapText="1"/>
    </xf>
    <xf numFmtId="0" fontId="18" fillId="54" borderId="31" xfId="0" applyFont="1" applyFill="1" applyBorder="1" applyAlignment="1">
      <alignment wrapText="1"/>
    </xf>
    <xf numFmtId="0" fontId="18" fillId="55" borderId="37" xfId="0" applyFont="1" applyFill="1" applyBorder="1" applyAlignment="1">
      <alignment wrapText="1"/>
    </xf>
    <xf numFmtId="0" fontId="18" fillId="54" borderId="49" xfId="0" applyFont="1" applyFill="1" applyBorder="1" applyAlignment="1">
      <alignment wrapText="1"/>
    </xf>
    <xf numFmtId="0" fontId="18" fillId="23" borderId="50" xfId="0" applyFont="1" applyFill="1" applyBorder="1" applyAlignment="1">
      <alignment wrapText="1"/>
    </xf>
    <xf numFmtId="0" fontId="18" fillId="0" borderId="37" xfId="0" applyFont="1" applyBorder="1" applyAlignment="1">
      <alignment wrapText="1"/>
    </xf>
    <xf numFmtId="0" fontId="22" fillId="51" borderId="8" xfId="0" applyFont="1" applyFill="1" applyBorder="1" applyAlignment="1">
      <alignment wrapText="1"/>
    </xf>
    <xf numFmtId="0" fontId="9" fillId="5" borderId="0" xfId="0" applyFont="1" applyFill="1" applyAlignment="1" applyProtection="1">
      <alignment horizontal="center" vertical="top" wrapText="1"/>
      <protection locked="0"/>
    </xf>
    <xf numFmtId="0" fontId="9" fillId="14" borderId="0" xfId="0" applyFont="1" applyFill="1" applyAlignment="1" applyProtection="1">
      <alignment vertical="top" wrapText="1"/>
      <protection locked="0"/>
    </xf>
    <xf numFmtId="0" fontId="0" fillId="0" borderId="8" xfId="0" applyBorder="1" applyAlignment="1">
      <alignment horizontal="center"/>
    </xf>
    <xf numFmtId="0" fontId="12" fillId="0" borderId="0" xfId="0" applyFont="1" applyAlignment="1" applyProtection="1">
      <alignment horizontal="center" vertical="top" wrapText="1"/>
      <protection locked="0"/>
    </xf>
    <xf numFmtId="0" fontId="12" fillId="0" borderId="36" xfId="0" applyFont="1" applyBorder="1" applyAlignment="1" applyProtection="1">
      <alignment horizontal="center" vertical="top" wrapText="1"/>
      <protection locked="0"/>
    </xf>
    <xf numFmtId="0" fontId="60" fillId="0" borderId="0" xfId="0" applyFont="1" applyAlignment="1" applyProtection="1">
      <alignment vertical="top"/>
      <protection locked="0"/>
    </xf>
    <xf numFmtId="0" fontId="60" fillId="0" borderId="0" xfId="0" applyFont="1" applyAlignment="1" applyProtection="1">
      <alignment vertical="top" wrapText="1"/>
      <protection locked="0"/>
    </xf>
    <xf numFmtId="0" fontId="61" fillId="21" borderId="0" xfId="0" applyFont="1" applyFill="1" applyAlignment="1" applyProtection="1">
      <alignment horizontal="center" vertical="center" wrapText="1"/>
      <protection locked="0"/>
    </xf>
    <xf numFmtId="0" fontId="57" fillId="0" borderId="0" xfId="0" applyFont="1" applyAlignment="1">
      <alignment horizontal="center" vertical="center"/>
    </xf>
    <xf numFmtId="14" fontId="62" fillId="56" borderId="35" xfId="0" applyNumberFormat="1" applyFont="1" applyFill="1" applyBorder="1" applyAlignment="1">
      <alignment wrapText="1"/>
    </xf>
    <xf numFmtId="14" fontId="62" fillId="56" borderId="35" xfId="0" applyNumberFormat="1" applyFont="1" applyFill="1" applyBorder="1"/>
    <xf numFmtId="14" fontId="63" fillId="56" borderId="35" xfId="0" applyNumberFormat="1" applyFont="1" applyFill="1" applyBorder="1"/>
    <xf numFmtId="0" fontId="10" fillId="2" borderId="31" xfId="0" applyFont="1" applyFill="1" applyBorder="1" applyAlignment="1" applyProtection="1">
      <alignment horizontal="center" vertical="top"/>
      <protection locked="0"/>
    </xf>
    <xf numFmtId="0" fontId="10" fillId="2" borderId="32" xfId="0" applyFont="1" applyFill="1" applyBorder="1" applyAlignment="1" applyProtection="1">
      <alignment horizontal="center" vertical="top"/>
      <protection locked="0"/>
    </xf>
    <xf numFmtId="0" fontId="6" fillId="6" borderId="0" xfId="1" applyFont="1" applyFill="1" applyAlignment="1" applyProtection="1">
      <alignment horizontal="center" vertical="top"/>
      <protection locked="0"/>
    </xf>
    <xf numFmtId="0" fontId="10" fillId="2" borderId="0" xfId="0" applyFont="1" applyFill="1" applyAlignment="1" applyProtection="1">
      <alignment horizontal="center" vertical="top"/>
      <protection locked="0"/>
    </xf>
    <xf numFmtId="0" fontId="10" fillId="2" borderId="0" xfId="0" applyFont="1" applyFill="1" applyAlignment="1" applyProtection="1">
      <alignment vertical="top"/>
      <protection locked="0"/>
    </xf>
    <xf numFmtId="0" fontId="10" fillId="2" borderId="27" xfId="0" applyFont="1" applyFill="1" applyBorder="1" applyAlignment="1" applyProtection="1">
      <alignment horizontal="center" vertical="top"/>
      <protection locked="0"/>
    </xf>
    <xf numFmtId="0" fontId="9" fillId="49" borderId="39" xfId="0" applyFont="1" applyFill="1" applyBorder="1" applyAlignment="1" applyProtection="1">
      <alignment horizontal="center" vertical="top"/>
      <protection locked="0"/>
    </xf>
    <xf numFmtId="0" fontId="9" fillId="49" borderId="48" xfId="0" applyFont="1" applyFill="1" applyBorder="1" applyAlignment="1" applyProtection="1">
      <alignment horizontal="center" vertical="top"/>
      <protection locked="0"/>
    </xf>
    <xf numFmtId="0" fontId="9" fillId="49" borderId="40" xfId="0" applyFont="1" applyFill="1" applyBorder="1" applyAlignment="1" applyProtection="1">
      <alignment horizontal="center" vertical="top"/>
      <protection locked="0"/>
    </xf>
    <xf numFmtId="0" fontId="50" fillId="0" borderId="0" xfId="0" applyFont="1" applyAlignment="1">
      <alignment horizontal="center" vertical="center" wrapText="1"/>
    </xf>
    <xf numFmtId="0" fontId="48" fillId="42" borderId="8" xfId="0" applyFont="1" applyFill="1" applyBorder="1" applyAlignment="1">
      <alignment horizontal="center" vertical="center" wrapText="1" readingOrder="1"/>
    </xf>
    <xf numFmtId="0" fontId="23" fillId="42" borderId="8" xfId="0" applyFont="1" applyFill="1" applyBorder="1" applyAlignment="1">
      <alignment horizontal="center" vertical="center" wrapText="1"/>
    </xf>
    <xf numFmtId="0" fontId="54" fillId="47" borderId="0" xfId="0" applyFont="1" applyFill="1" applyAlignment="1">
      <alignment horizontal="center" vertical="top" wrapText="1" readingOrder="1"/>
    </xf>
    <xf numFmtId="0" fontId="8" fillId="0" borderId="0" xfId="0" applyFont="1" applyAlignment="1">
      <alignment horizontal="center" vertical="center" wrapText="1"/>
    </xf>
    <xf numFmtId="0" fontId="8" fillId="0" borderId="4" xfId="0" applyFont="1" applyBorder="1" applyAlignment="1">
      <alignment horizontal="center" vertical="center" wrapText="1"/>
    </xf>
    <xf numFmtId="0" fontId="10" fillId="2" borderId="31" xfId="0" applyFont="1" applyFill="1" applyBorder="1" applyAlignment="1">
      <alignment horizontal="center" vertical="center"/>
    </xf>
    <xf numFmtId="0" fontId="10" fillId="2" borderId="32" xfId="0" applyFont="1" applyFill="1" applyBorder="1" applyAlignment="1">
      <alignment horizontal="center" vertical="center"/>
    </xf>
    <xf numFmtId="0" fontId="10" fillId="2" borderId="38" xfId="0" applyFont="1" applyFill="1" applyBorder="1" applyAlignment="1">
      <alignment horizontal="center" vertical="center"/>
    </xf>
    <xf numFmtId="0" fontId="10" fillId="2" borderId="34" xfId="0" applyFont="1" applyFill="1" applyBorder="1" applyAlignment="1">
      <alignment horizontal="center" vertical="center"/>
    </xf>
    <xf numFmtId="0" fontId="10" fillId="2" borderId="37" xfId="0" applyFont="1" applyFill="1" applyBorder="1" applyAlignment="1">
      <alignment horizontal="center" vertical="center"/>
    </xf>
    <xf numFmtId="0" fontId="36" fillId="30" borderId="0" xfId="0" applyFont="1" applyFill="1" applyAlignment="1">
      <alignment horizontal="center" vertical="center"/>
    </xf>
    <xf numFmtId="0" fontId="35" fillId="24" borderId="0" xfId="0" applyFont="1" applyFill="1" applyAlignment="1">
      <alignment horizontal="center" vertical="center"/>
    </xf>
    <xf numFmtId="0" fontId="37" fillId="34" borderId="0" xfId="0" applyFont="1" applyFill="1" applyAlignment="1">
      <alignment horizontal="center" vertical="center"/>
    </xf>
    <xf numFmtId="0" fontId="37" fillId="33" borderId="0" xfId="0" applyFont="1" applyFill="1" applyAlignment="1">
      <alignment horizontal="center" vertical="center"/>
    </xf>
    <xf numFmtId="0" fontId="39" fillId="4" borderId="0" xfId="0" applyFont="1" applyFill="1" applyAlignment="1">
      <alignment horizontal="center" vertical="center"/>
    </xf>
    <xf numFmtId="0" fontId="40" fillId="0" borderId="4" xfId="0" applyFont="1" applyBorder="1" applyAlignment="1">
      <alignment horizontal="center" vertical="center" wrapText="1"/>
    </xf>
    <xf numFmtId="0" fontId="16" fillId="0" borderId="0" xfId="0" applyFont="1" applyAlignment="1">
      <alignment horizontal="left"/>
    </xf>
  </cellXfs>
  <cellStyles count="5">
    <cellStyle name="Normal" xfId="0" builtinId="0"/>
    <cellStyle name="Normal 2" xfId="1" xr:uid="{00000000-0005-0000-0000-000002000000}"/>
    <cellStyle name="Normal 4" xfId="3" xr:uid="{00000000-0005-0000-0000-000003000000}"/>
    <cellStyle name="Porcentaje" xfId="4" builtinId="5"/>
    <cellStyle name="Porcentaje 2" xfId="2" xr:uid="{00000000-0005-0000-0000-000004000000}"/>
  </cellStyles>
  <dxfs count="1334">
    <dxf>
      <numFmt numFmtId="0" formatCode="General"/>
      <border>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13" formatCode="0%"/>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none"/>
      </font>
      <fill>
        <patternFill patternType="solid">
          <fgColor rgb="FF000000"/>
          <bgColor rgb="FFFFFF00"/>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left style="thin">
          <color auto="1"/>
        </left>
        <right style="thin">
          <color rgb="FF000000"/>
        </right>
      </border>
    </dxf>
    <dxf>
      <alignment horizontal="center" vertical="center"/>
      <border diagonalUp="0" diagonalDown="0">
        <left style="thin">
          <color rgb="FF000000"/>
        </left>
        <right style="thin">
          <color rgb="FF000000"/>
        </right>
        <top style="thin">
          <color rgb="FF000000"/>
        </top>
        <bottom style="thin">
          <color rgb="FF000000"/>
        </bottom>
        <vertical/>
        <horizontal/>
      </border>
    </dxf>
    <dxf>
      <alignment horizontal="center" vertical="center"/>
      <border diagonalUp="0" diagonalDown="0">
        <left style="thin">
          <color rgb="FF000000"/>
        </left>
        <right style="thin">
          <color rgb="FF000000"/>
        </right>
        <top style="thin">
          <color rgb="FF000000"/>
        </top>
        <bottom style="thin">
          <color rgb="FF000000"/>
        </bottom>
        <vertical/>
        <horizontal/>
      </border>
    </dxf>
    <dxf>
      <numFmt numFmtId="13" formatCode="0%"/>
      <alignment horizontal="center" vertical="center"/>
      <border diagonalUp="0" diagonalDown="0">
        <left style="thin">
          <color rgb="FF000000"/>
        </left>
        <right style="thin">
          <color rgb="FF000000"/>
        </right>
        <top style="thin">
          <color rgb="FF000000"/>
        </top>
        <bottom style="thin">
          <color rgb="FF000000"/>
        </bottom>
        <vertical/>
        <horizontal/>
      </border>
    </dxf>
    <dxf>
      <alignment horizontal="left" vertical="center" textRotation="0" wrapText="1" indent="0" justifyLastLine="0" shrinkToFit="0" readingOrder="0"/>
      <border diagonalUp="0" diagonalDown="0">
        <left/>
        <right/>
        <top style="thin">
          <color indexed="64"/>
        </top>
        <bottom style="thin">
          <color indexed="64"/>
        </bottom>
        <vertical/>
        <horizontal/>
      </border>
    </dxf>
    <dxf>
      <border outline="0">
        <left style="thin">
          <color indexed="64"/>
        </left>
        <top style="thin">
          <color indexed="64"/>
        </top>
      </border>
    </dxf>
    <dxf>
      <font>
        <b/>
        <i val="0"/>
        <strike val="0"/>
        <condense val="0"/>
        <extend val="0"/>
        <outline val="0"/>
        <shadow val="0"/>
        <u val="none"/>
        <vertAlign val="baseline"/>
        <sz val="11"/>
        <color theme="0"/>
        <name val="Calibri"/>
        <family val="2"/>
        <scheme val="minor"/>
      </font>
      <fill>
        <patternFill patternType="solid">
          <fgColor indexed="64"/>
          <bgColor rgb="FF1E4E79"/>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wrapText="1"/>
    </dxf>
    <dxf>
      <numFmt numFmtId="0" formatCode="General"/>
      <alignment horizontal="center" vertical="center"/>
      <border>
        <left style="thin">
          <color rgb="FF000000"/>
        </left>
        <right/>
        <top style="thin">
          <color rgb="FF000000"/>
        </top>
        <bottom style="thin">
          <color rgb="FF000000"/>
        </bottom>
        <vertical style="thin">
          <color rgb="FF000000"/>
        </vertical>
        <horizontal style="thin">
          <color rgb="FF000000"/>
        </horizontal>
      </border>
    </dxf>
    <dxf>
      <alignment horizontal="center"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wrapText="1"/>
      <border>
        <left/>
        <right style="thin">
          <color rgb="FF000000"/>
        </right>
        <top style="thin">
          <color rgb="FF000000"/>
        </top>
        <bottom style="thin">
          <color rgb="FF000000"/>
        </bottom>
        <vertical style="thin">
          <color rgb="FF000000"/>
        </vertical>
        <horizontal style="thin">
          <color rgb="FF000000"/>
        </horizontal>
      </border>
    </dxf>
    <dxf>
      <border>
        <top style="thin">
          <color rgb="FF000000"/>
        </top>
      </border>
    </dxf>
    <dxf>
      <border>
        <bottom style="thin">
          <color rgb="FF000000"/>
        </bottom>
      </border>
    </dxf>
    <dxf>
      <border>
        <left style="thin">
          <color rgb="FF000000"/>
        </left>
        <right style="thin">
          <color rgb="FF000000"/>
        </right>
        <top style="thin">
          <color rgb="FF000000"/>
        </top>
        <bottom style="thin">
          <color rgb="FF000000"/>
        </bottom>
      </border>
    </dxf>
    <dxf>
      <border>
        <left style="thin">
          <color rgb="FF000000"/>
        </left>
        <right style="thin">
          <color rgb="FF000000"/>
        </right>
        <top/>
        <bottom/>
        <vertical style="thin">
          <color rgb="FF000000"/>
        </vertical>
        <horizontal style="thin">
          <color rgb="FF000000"/>
        </horizontal>
      </border>
    </dxf>
    <dxf>
      <border diagonalUp="0" diagonalDown="0">
        <left/>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rgb="FF000000"/>
        </bottom>
      </border>
    </dxf>
    <dxf>
      <font>
        <b/>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rgb="FF000000"/>
        </left>
        <right/>
        <top style="thin">
          <color rgb="FF000000"/>
        </top>
        <bottom style="thin">
          <color rgb="FF000000"/>
        </bottom>
        <vertical/>
        <horizontal/>
      </border>
    </dxf>
    <dxf>
      <border diagonalUp="0" diagonalDown="0">
        <left style="thin">
          <color rgb="FF000000"/>
        </left>
        <right/>
        <top style="thin">
          <color rgb="FF000000"/>
        </top>
        <bottom style="thin">
          <color rgb="FF000000"/>
        </bottom>
        <vertical/>
        <horizontal/>
      </border>
    </dxf>
    <dxf>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numFmt numFmtId="0" formatCode="General"/>
    </dxf>
    <dxf>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auto="1"/>
        </top>
        <bottom style="thin">
          <color auto="1"/>
        </bottom>
        <vertical/>
        <horizontal style="thin">
          <color auto="1"/>
        </horizontal>
      </border>
    </dxf>
    <dxf>
      <border outline="0">
        <bottom style="thin">
          <color indexed="64"/>
        </bottom>
      </border>
    </dxf>
    <dxf>
      <border outline="0">
        <left style="thin">
          <color indexed="64"/>
        </left>
        <right style="thin">
          <color indexed="64"/>
        </right>
        <top style="thin">
          <color indexed="64"/>
        </top>
      </border>
    </dxf>
    <dxf>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1E4E79"/>
        </patternFill>
      </fill>
      <alignment horizontal="center" vertical="center" textRotation="0" wrapText="0" indent="0" justifyLastLine="0" shrinkToFit="0" readingOrder="0"/>
    </dxf>
    <dxf>
      <alignment horizontal="general" vertical="bottom" textRotation="0" wrapText="1" indent="0" justifyLastLine="0" shrinkToFit="0" readingOrder="0"/>
    </dxf>
    <dxf>
      <border outline="0">
        <bottom style="thin">
          <color indexed="64"/>
        </bottom>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bottom/>
      </border>
    </dxf>
    <dxf>
      <alignment horizontal="general" vertical="bottom" textRotation="0" wrapText="1" indent="0" justifyLastLine="0" shrinkToFit="0" readingOrder="0"/>
    </dxf>
    <dxf>
      <border outline="0">
        <bottom style="thin">
          <color indexed="64"/>
        </bottom>
      </border>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1E4E79"/>
        </patternFill>
      </fill>
      <alignment horizontal="center" vertical="center" textRotation="0" wrapText="0" indent="0" justifyLastLine="0" shrinkToFit="0" readingOrder="0"/>
    </dxf>
    <dxf>
      <numFmt numFmtId="0" formatCode="General"/>
    </dxf>
    <dxf>
      <alignment horizontal="center"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1E4E79"/>
        </patternFill>
      </fill>
      <alignment horizontal="center" vertical="center" textRotation="0" wrapText="1" indent="0" justifyLastLine="0" shrinkToFit="0" readingOrder="0"/>
      <border diagonalUp="0" diagonalDown="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10"/>
        <name val="Arial"/>
        <scheme val="none"/>
      </font>
      <numFmt numFmtId="0" formatCode="General"/>
      <fill>
        <patternFill patternType="none">
          <fgColor indexed="64"/>
          <bgColor auto="1"/>
        </patternFill>
      </fill>
      <alignment vertical="top"/>
    </dxf>
    <dxf>
      <font>
        <strike val="0"/>
        <outline val="0"/>
        <shadow val="0"/>
        <vertAlign val="baseline"/>
        <sz val="10"/>
        <name val="Arial"/>
        <scheme val="none"/>
      </font>
      <numFmt numFmtId="165" formatCode="m/d/yyyy"/>
      <fill>
        <patternFill patternType="none">
          <fgColor indexed="64"/>
          <bgColor auto="1"/>
        </patternFill>
      </fill>
      <alignment vertical="top"/>
    </dxf>
    <dxf>
      <font>
        <strike val="0"/>
        <outline val="0"/>
        <shadow val="0"/>
        <vertAlign val="baseline"/>
        <sz val="10"/>
        <name val="Arial"/>
        <scheme val="none"/>
      </font>
      <numFmt numFmtId="165" formatCode="m/d/yyyy"/>
      <fill>
        <patternFill patternType="none">
          <fgColor indexed="64"/>
          <bgColor auto="1"/>
        </patternFill>
      </fill>
      <alignment vertical="top"/>
    </dxf>
    <dxf>
      <font>
        <strike val="0"/>
        <outline val="0"/>
        <shadow val="0"/>
        <vertAlign val="baseline"/>
        <sz val="10"/>
        <name val="Arial"/>
        <scheme val="none"/>
      </font>
      <numFmt numFmtId="2" formatCode="0.00"/>
      <fill>
        <patternFill patternType="none">
          <fgColor indexed="64"/>
          <bgColor auto="1"/>
        </patternFill>
      </fill>
      <alignment horizontal="general" vertical="top" textRotation="0" wrapText="1" indent="0" justifyLastLine="0" shrinkToFit="0" readingOrder="0"/>
    </dxf>
    <dxf>
      <font>
        <strike val="0"/>
        <outline val="0"/>
        <shadow val="0"/>
        <vertAlign val="baseline"/>
        <sz val="10"/>
        <name val="Arial"/>
        <scheme val="none"/>
      </font>
      <numFmt numFmtId="2" formatCode="0.00"/>
      <fill>
        <patternFill patternType="none">
          <fgColor indexed="64"/>
          <bgColor auto="1"/>
        </patternFill>
      </fill>
      <alignment vertical="top"/>
    </dxf>
    <dxf>
      <font>
        <strike val="0"/>
        <outline val="0"/>
        <shadow val="0"/>
        <vertAlign val="baseline"/>
        <sz val="10"/>
        <name val="Arial"/>
        <scheme val="none"/>
      </font>
      <fill>
        <patternFill patternType="none">
          <fgColor indexed="64"/>
          <bgColor auto="1"/>
        </patternFill>
      </fill>
      <alignment vertical="top"/>
    </dxf>
    <dxf>
      <font>
        <strike val="0"/>
        <outline val="0"/>
        <shadow val="0"/>
        <vertAlign val="baseline"/>
        <sz val="10"/>
        <name val="Arial"/>
        <scheme val="none"/>
      </font>
      <fill>
        <patternFill patternType="none">
          <fgColor indexed="64"/>
          <bgColor auto="1"/>
        </patternFill>
      </fill>
      <alignment vertical="top"/>
    </dxf>
    <dxf>
      <font>
        <b val="0"/>
        <i val="0"/>
        <strike val="0"/>
        <condense val="0"/>
        <extend val="0"/>
        <outline val="0"/>
        <shadow val="0"/>
        <u val="none"/>
        <vertAlign val="baseline"/>
        <sz val="10"/>
        <color theme="1"/>
        <name val="Arial"/>
        <scheme val="none"/>
      </font>
      <numFmt numFmtId="166" formatCode="dd/mm/yyyy;@"/>
      <alignment horizontal="general" vertical="top" textRotation="0" wrapText="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vertical="top"/>
    </dxf>
    <dxf>
      <font>
        <strike val="0"/>
        <outline val="0"/>
        <shadow val="0"/>
        <vertAlign val="baseline"/>
        <sz val="10"/>
        <name val="Arial"/>
        <scheme val="none"/>
      </font>
      <numFmt numFmtId="165" formatCode="m/d/yyyy"/>
      <fill>
        <patternFill patternType="none">
          <fgColor indexed="64"/>
          <bgColor auto="1"/>
        </patternFill>
      </fill>
      <alignment vertical="top" wrapText="1"/>
    </dxf>
    <dxf>
      <font>
        <strike val="0"/>
        <outline val="0"/>
        <shadow val="0"/>
        <vertAlign val="baseline"/>
        <sz val="10"/>
        <name val="Arial"/>
        <scheme val="none"/>
      </font>
      <numFmt numFmtId="165" formatCode="m/d/yyyy"/>
      <fill>
        <patternFill patternType="none">
          <fgColor indexed="64"/>
          <bgColor auto="1"/>
        </patternFill>
      </fill>
      <alignment vertical="top" wrapText="1"/>
    </dxf>
    <dxf>
      <font>
        <strike val="0"/>
        <outline val="0"/>
        <shadow val="0"/>
        <vertAlign val="baseline"/>
        <sz val="10"/>
        <name val="Arial"/>
        <scheme val="none"/>
      </font>
      <numFmt numFmtId="165" formatCode="m/d/yyyy"/>
      <fill>
        <patternFill patternType="none">
          <fgColor indexed="64"/>
          <bgColor auto="1"/>
        </patternFill>
      </fill>
      <alignment vertical="top" wrapText="1"/>
    </dxf>
    <dxf>
      <font>
        <strike val="0"/>
        <outline val="0"/>
        <shadow val="0"/>
        <vertAlign val="baseline"/>
        <sz val="10"/>
        <name val="Arial"/>
        <scheme val="none"/>
      </font>
      <numFmt numFmtId="165" formatCode="m/d/yyyy"/>
      <fill>
        <patternFill patternType="none">
          <fgColor indexed="64"/>
          <bgColor auto="1"/>
        </patternFill>
      </fill>
      <alignment vertical="top" wrapText="1"/>
    </dxf>
    <dxf>
      <font>
        <strike val="0"/>
        <outline val="0"/>
        <shadow val="0"/>
        <vertAlign val="baseline"/>
        <sz val="10"/>
        <name val="Arial"/>
        <scheme val="none"/>
      </font>
      <numFmt numFmtId="0" formatCode="General"/>
      <fill>
        <patternFill patternType="none">
          <fgColor indexed="64"/>
          <bgColor auto="1"/>
        </patternFill>
      </fill>
      <alignment vertical="top" wrapText="1"/>
    </dxf>
    <dxf>
      <font>
        <strike val="0"/>
        <outline val="0"/>
        <shadow val="0"/>
        <vertAlign val="baseline"/>
        <sz val="10"/>
        <name val="Arial"/>
        <scheme val="none"/>
      </font>
      <numFmt numFmtId="0" formatCode="General"/>
      <fill>
        <patternFill patternType="none">
          <fgColor indexed="64"/>
          <bgColor auto="1"/>
        </patternFill>
      </fill>
      <alignment vertical="top" wrapText="1"/>
    </dxf>
    <dxf>
      <font>
        <strike val="0"/>
        <outline val="0"/>
        <shadow val="0"/>
        <vertAlign val="baseline"/>
        <sz val="10"/>
        <name val="Arial"/>
        <scheme val="none"/>
      </font>
      <numFmt numFmtId="0" formatCode="General"/>
      <fill>
        <patternFill patternType="none">
          <fgColor indexed="64"/>
          <bgColor auto="1"/>
        </patternFill>
      </fill>
      <alignment vertical="top" wrapText="1"/>
    </dxf>
    <dxf>
      <font>
        <strike val="0"/>
        <outline val="0"/>
        <shadow val="0"/>
        <vertAlign val="baseline"/>
        <sz val="10"/>
        <name val="Arial"/>
        <scheme val="none"/>
      </font>
      <numFmt numFmtId="0" formatCode="General"/>
      <fill>
        <patternFill patternType="none">
          <fgColor indexed="64"/>
          <bgColor auto="1"/>
        </patternFill>
      </fill>
      <alignment vertical="top" wrapText="1"/>
    </dxf>
    <dxf>
      <font>
        <b val="0"/>
        <i val="0"/>
        <strike val="0"/>
        <condense val="0"/>
        <extend val="0"/>
        <outline val="0"/>
        <shadow val="0"/>
        <u val="none"/>
        <vertAlign val="baseline"/>
        <sz val="10"/>
        <color theme="1"/>
        <name val="Arial"/>
        <scheme val="none"/>
      </font>
      <alignment horizontal="general" vertical="top" textRotation="0" wrapText="1"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wrapText="1"/>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dxf>
    <dxf>
      <font>
        <strike val="0"/>
        <outline val="0"/>
        <shadow val="0"/>
        <vertAlign val="baseline"/>
        <sz val="10"/>
        <name val="Arial"/>
        <scheme val="none"/>
      </font>
      <numFmt numFmtId="0" formatCode="General"/>
      <fill>
        <patternFill patternType="none">
          <fgColor indexed="64"/>
          <bgColor auto="1"/>
        </patternFill>
      </fill>
      <alignment horizontal="center" vertical="top"/>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0" indent="0" justifyLastLine="0" shrinkToFit="0" readingOrder="0"/>
    </dxf>
    <dxf>
      <font>
        <b val="0"/>
        <i val="0"/>
        <strike val="0"/>
        <condense val="0"/>
        <extend val="0"/>
        <outline val="0"/>
        <shadow val="0"/>
        <u val="none"/>
        <vertAlign val="baseline"/>
        <sz val="10"/>
        <color theme="1"/>
        <name val="Arial"/>
        <scheme val="none"/>
      </font>
      <alignment horizontal="left"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6" formatCode="dd/mm/yyyy;@"/>
      <fill>
        <patternFill patternType="none">
          <fgColor indexed="64"/>
          <bgColor indexed="65"/>
        </patternFill>
      </fill>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6" formatCode="dd/mm/yyyy;@"/>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6" formatCode="dd/mm/yyyy;@"/>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5" formatCode="m/d/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dxf>
    <dxf>
      <border outline="0">
        <top style="thin">
          <color rgb="FF000000"/>
        </top>
      </border>
    </dxf>
    <dxf>
      <font>
        <strike val="0"/>
        <outline val="0"/>
        <shadow val="0"/>
        <vertAlign val="baseline"/>
        <sz val="10"/>
        <name val="Arial"/>
        <scheme val="none"/>
      </font>
      <fill>
        <patternFill patternType="none">
          <fgColor rgb="FF000000"/>
          <bgColor auto="1"/>
        </patternFill>
      </fill>
      <alignment vertical="top"/>
    </dxf>
    <dxf>
      <font>
        <b/>
        <i val="0"/>
        <strike val="0"/>
        <condense val="0"/>
        <extend val="0"/>
        <outline val="0"/>
        <shadow val="0"/>
        <u val="none"/>
        <vertAlign val="baseline"/>
        <sz val="10"/>
        <color theme="0"/>
        <name val="Arial"/>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165" formatCode="m/d/yyyy"/>
    </dxf>
    <dxf>
      <numFmt numFmtId="165" formatCode="m/d/yyyy"/>
    </dxf>
    <dxf>
      <numFmt numFmtId="0" formatCode="General"/>
    </dxf>
    <dxf>
      <numFmt numFmtId="0" formatCode="General"/>
    </dxf>
    <dxf>
      <numFmt numFmtId="0" formatCode="General"/>
    </dxf>
    <dxf>
      <font>
        <color theme="0"/>
      </font>
      <fill>
        <patternFill patternType="solid">
          <bgColor theme="6" tint="-0.249977111117893"/>
        </patternFill>
      </fill>
      <border>
        <left style="thin">
          <color rgb="FFFFFFFF"/>
        </left>
        <right style="thin">
          <color rgb="FFFFFFFF"/>
        </right>
        <top style="thin">
          <color rgb="FFFFFFFF"/>
        </top>
        <bottom style="thin">
          <color rgb="FFFFFFFF"/>
        </bottom>
      </border>
    </dxf>
    <dxf>
      <font>
        <color theme="0"/>
      </font>
      <fill>
        <patternFill patternType="solid">
          <bgColor theme="6" tint="-0.249977111117893"/>
        </patternFill>
      </fill>
      <border>
        <left style="thin">
          <color rgb="FFFFFFFF"/>
        </left>
        <right style="thin">
          <color rgb="FFFFFFFF"/>
        </right>
        <top style="thin">
          <color rgb="FFFFFFFF"/>
        </top>
        <bottom style="thin">
          <color rgb="FFFFFFFF"/>
        </bottom>
      </border>
    </dxf>
    <dxf>
      <numFmt numFmtId="165" formatCode="m/d/yyyy"/>
    </dxf>
    <dxf>
      <font>
        <color theme="0"/>
      </font>
    </dxf>
    <dxf>
      <font>
        <color theme="6" tint="-0.249977111117893"/>
      </font>
      <fill>
        <patternFill patternType="solid">
          <bgColor theme="6" tint="-0.249977111117893"/>
        </patternFill>
      </fill>
    </dxf>
    <dxf>
      <font>
        <color rgb="FF9C5700"/>
      </font>
      <fill>
        <patternFill>
          <bgColor rgb="FFFFEB9C"/>
        </patternFill>
      </fill>
    </dxf>
    <dxf>
      <font>
        <color theme="0"/>
      </font>
    </dxf>
    <dxf>
      <font>
        <color theme="6" tint="-0.249977111117893"/>
      </font>
      <fill>
        <patternFill patternType="solid">
          <bgColor theme="6" tint="-0.249977111117893"/>
        </patternFill>
      </fill>
    </dxf>
    <dxf>
      <font>
        <b val="0"/>
        <i val="0"/>
        <strike val="0"/>
        <condense val="0"/>
        <extend val="0"/>
        <outline val="0"/>
        <shadow val="0"/>
        <u val="none"/>
        <vertAlign val="baseline"/>
        <sz val="11"/>
        <color rgb="FF000000"/>
        <name val="Calibri"/>
        <scheme val="none"/>
      </font>
      <numFmt numFmtId="1" formatCode="0"/>
      <fill>
        <patternFill patternType="solid">
          <fgColor indexed="64"/>
          <bgColor theme="5"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numFmt numFmtId="1" formatCode="0"/>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numFmt numFmtId="165" formatCode="m/d/yyyy"/>
      <fill>
        <patternFill patternType="none">
          <fgColor indexed="64"/>
          <bgColor indexed="65"/>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numFmt numFmtId="165" formatCode="m/d/yyyy"/>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numFmt numFmtId="165" formatCode="m/d/yyyy"/>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numFmt numFmtId="165" formatCode="m/d/yyyy"/>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numFmt numFmtId="13" formatCode="0%"/>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numFmt numFmtId="13" formatCode="0%"/>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numFmt numFmtId="13" formatCode="0%"/>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numFmt numFmtId="13" formatCode="0%"/>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left"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left" vertical="center" textRotation="0" wrapText="0" indent="0" justifyLastLine="0" shrinkToFit="0" readingOrder="0"/>
      <border diagonalUp="0" diagonalDown="0" outline="0">
        <left/>
        <right style="thin">
          <color rgb="FF000000"/>
        </right>
        <top style="thin">
          <color rgb="FF000000"/>
        </top>
        <bottom/>
      </border>
    </dxf>
    <dxf>
      <font>
        <b/>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border diagonalUp="0" diagonalDown="0">
        <left/>
        <right style="thin">
          <color rgb="FF000000"/>
        </right>
        <top style="thin">
          <color rgb="FF000000"/>
        </top>
        <bottom style="thin">
          <color rgb="FF000000"/>
        </bottom>
        <vertical/>
        <horizontal/>
      </border>
    </dxf>
    <dxf>
      <font>
        <b/>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border diagonalUp="0" diagonalDown="0" outline="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border outline="0">
        <bottom style="medium">
          <color rgb="FF000000"/>
        </bottom>
      </border>
    </dxf>
    <dxf>
      <border outline="0">
        <left style="thin">
          <color rgb="FF000000"/>
        </left>
        <right style="thin">
          <color rgb="FF000000"/>
        </right>
        <top style="medium">
          <color rgb="FF000000"/>
        </top>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general" vertical="bottom" textRotation="0" wrapText="0" indent="0" justifyLastLine="0" shrinkToFit="0" readingOrder="0"/>
    </dxf>
    <dxf>
      <font>
        <b/>
        <i val="0"/>
        <strike val="0"/>
        <condense val="0"/>
        <extend val="0"/>
        <outline val="0"/>
        <shadow val="0"/>
        <u val="none"/>
        <vertAlign val="baseline"/>
        <sz val="11"/>
        <color rgb="FFFFFFFF"/>
        <name val="Calibri"/>
        <scheme val="none"/>
      </font>
      <fill>
        <patternFill patternType="solid">
          <fgColor rgb="FF000000"/>
          <bgColor rgb="FF000000"/>
        </patternFill>
      </fill>
      <alignment horizontal="general" vertical="bottom" textRotation="0" wrapText="0" indent="0" justifyLastLine="0" shrinkToFit="0" readingOrder="0"/>
      <border diagonalUp="0" diagonalDown="0" outline="0">
        <left style="thin">
          <color rgb="FF000000"/>
        </left>
        <right style="thin">
          <color rgb="FF000000"/>
        </right>
        <top/>
        <bottom/>
      </border>
    </dxf>
    <dxf>
      <font>
        <color theme="9" tint="0.59999389629810485"/>
      </font>
      <fill>
        <patternFill patternType="solid">
          <bgColor theme="9" tint="0.79998168889431442"/>
        </patternFill>
      </fill>
    </dxf>
    <dxf>
      <font>
        <color rgb="FF1E794E"/>
      </font>
      <fill>
        <patternFill patternType="solid">
          <bgColor rgb="FF1E794E"/>
        </patternFill>
      </fill>
    </dxf>
    <dxf>
      <font>
        <color theme="0"/>
      </font>
      <fill>
        <patternFill patternType="solid">
          <bgColor theme="1" tint="0.499984740745262"/>
        </patternFill>
      </fill>
    </dxf>
    <dxf>
      <font>
        <b/>
        <i val="0"/>
        <color theme="0"/>
      </font>
      <fill>
        <patternFill patternType="solid">
          <bgColor rgb="FF00B050"/>
        </patternFill>
      </fill>
    </dxf>
    <dxf>
      <font>
        <b/>
        <i val="0"/>
        <color theme="0"/>
      </font>
      <fill>
        <patternFill patternType="solid">
          <bgColor rgb="FFFF0000"/>
        </patternFill>
      </fill>
    </dxf>
    <dxf>
      <font>
        <b/>
        <i val="0"/>
      </font>
      <fill>
        <patternFill patternType="solid">
          <bgColor rgb="FFFFC000"/>
        </patternFill>
      </fill>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0"/>
    </dxf>
    <dxf>
      <font>
        <b val="0"/>
        <i val="0"/>
        <strike val="0"/>
        <condense val="0"/>
        <extend val="0"/>
        <outline val="0"/>
        <shadow val="0"/>
        <u val="none"/>
        <vertAlign val="baseline"/>
        <sz val="10"/>
        <color theme="1"/>
        <name val="Arial"/>
        <family val="2"/>
        <scheme val="none"/>
      </font>
      <numFmt numFmtId="0" formatCode="General"/>
      <alignment horizontal="center" vertical="top"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top" textRotation="0" wrapText="0" indent="0" justifyLastLine="0" shrinkToFit="0" readingOrder="0"/>
      <protection locked="1" hidden="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b val="0"/>
        <i val="0"/>
        <strike val="0"/>
        <condense val="0"/>
        <extend val="0"/>
        <outline val="0"/>
        <shadow val="0"/>
        <u val="none"/>
        <vertAlign val="baseline"/>
        <sz val="10"/>
        <color theme="1"/>
        <name val="Arial"/>
        <family val="2"/>
        <scheme val="none"/>
      </font>
      <numFmt numFmtId="165" formatCode="m/d/yyyy"/>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3" formatCode="0%"/>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3" formatCode="0%"/>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3" formatCode="0%"/>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64" formatCode="0.0%"/>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0" formatCode="General"/>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0" formatCode="General"/>
      <alignment horizontal="center" vertical="top" textRotation="0" wrapText="0" indent="0" justifyLastLine="0" shrinkToFit="0" readingOrder="0"/>
      <protection locked="0"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protection locked="0"/>
    </dxf>
    <dxf>
      <font>
        <b val="0"/>
        <i val="0"/>
        <strike val="0"/>
        <condense val="0"/>
        <extend val="0"/>
        <outline val="0"/>
        <shadow val="0"/>
        <u val="none"/>
        <vertAlign val="baseline"/>
        <sz val="10"/>
        <color theme="1"/>
        <name val="Arial"/>
        <scheme val="none"/>
      </font>
      <numFmt numFmtId="13" formatCode="0%"/>
      <alignment horizontal="center" vertical="top" textRotation="0" wrapText="0" indent="0" justifyLastLine="0" shrinkToFit="0" readingOrder="0"/>
      <protection locked="0"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1" hidden="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22" formatCode="mmm\-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wrapText="1"/>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wrapText="1"/>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wrapText="1"/>
      <protection locked="1" hidden="0"/>
    </dxf>
    <dxf>
      <numFmt numFmtId="0" formatCode="General"/>
      <alignment horizontal="center" vertical="top" textRotation="0" wrapText="0" indent="0" justifyLastLine="0" shrinkToFit="0" readingOrder="0"/>
      <protection locked="0" hidden="0"/>
    </dxf>
    <dxf>
      <numFmt numFmtId="0" formatCode="General"/>
      <alignment horizontal="center" vertical="top"/>
    </dxf>
    <dxf>
      <font>
        <b val="0"/>
        <strike val="0"/>
        <outline val="0"/>
        <shadow val="0"/>
        <u val="none"/>
        <vertAlign val="baseline"/>
        <sz val="10"/>
        <color auto="1"/>
        <name val="Arial"/>
        <scheme val="none"/>
      </font>
      <numFmt numFmtId="0" formatCode="General"/>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30" formatCode="@"/>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2" formatCode="0.00"/>
      <fill>
        <patternFill patternType="none">
          <fgColor indexed="64"/>
          <bgColor auto="1"/>
        </patternFill>
      </fill>
      <alignment vertical="top"/>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1" hidden="0"/>
    </dxf>
    <dxf>
      <font>
        <strike val="0"/>
        <outline val="0"/>
        <shadow val="0"/>
        <u val="none"/>
        <vertAlign val="baseline"/>
        <sz val="10"/>
        <name val="Arial"/>
        <scheme val="none"/>
      </font>
      <fill>
        <patternFill patternType="none">
          <fgColor indexed="64"/>
          <bgColor auto="1"/>
        </patternFill>
      </fill>
      <alignment vertical="top"/>
      <protection locked="0"/>
    </dxf>
    <dxf>
      <font>
        <b val="0"/>
        <i val="0"/>
        <strike val="0"/>
        <condense val="0"/>
        <extend val="0"/>
        <outline val="0"/>
        <shadow val="0"/>
        <u val="none"/>
        <vertAlign val="baseline"/>
        <sz val="10"/>
        <color theme="1"/>
        <name val="Arial"/>
        <scheme val="none"/>
      </font>
      <numFmt numFmtId="166" formatCode="dd/mm/yyyy;@"/>
      <alignment horizontal="general" vertical="top" textRotation="0" wrapText="0" indent="0" justifyLastLine="0" shrinkToFit="0" readingOrder="0"/>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general" vertical="top" wrapText="1"/>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general" vertical="top" wrapText="1"/>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general" vertical="top" wrapText="1"/>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top" wrapText="1"/>
      <protection locked="0"/>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protection locked="1"/>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protection locked="1"/>
    </dxf>
    <dxf>
      <font>
        <b val="0"/>
        <i val="0"/>
        <strike val="0"/>
        <condense val="0"/>
        <extend val="0"/>
        <outline val="0"/>
        <shadow val="0"/>
        <u val="none"/>
        <vertAlign val="baseline"/>
        <sz val="10"/>
        <color theme="1"/>
        <name val="Arial"/>
        <scheme val="none"/>
      </font>
      <numFmt numFmtId="0" formatCode="General"/>
      <alignment horizontal="left"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6" formatCode="dd/mm/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6" formatCode="dd/mm/yyyy;@"/>
      <alignment horizontal="center" vertical="top" textRotation="0" wrapText="1" indent="0" justifyLastLine="0" shrinkToFit="0" readingOrder="0"/>
      <protection locked="1" hidden="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6" formatCode="dd/mm/yyyy;@"/>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family val="2"/>
        <scheme val="none"/>
      </font>
      <numFmt numFmtId="166" formatCode="dd/mm/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b val="0"/>
        <i val="0"/>
        <strike val="0"/>
        <outline val="0"/>
        <shadow val="0"/>
        <u val="none"/>
        <vertAlign val="baseline"/>
        <sz val="10"/>
        <name val="Arial"/>
        <scheme val="none"/>
      </font>
      <fill>
        <patternFill patternType="none">
          <fgColor indexed="64"/>
          <bgColor indexed="65"/>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left"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textRotation="0" indent="0" justifyLastLine="0" shrinkToFit="0" readingOrder="0"/>
      <protection locked="0"/>
    </dxf>
    <dxf>
      <border outline="0">
        <top style="thin">
          <color indexed="64"/>
        </top>
      </border>
    </dxf>
    <dxf>
      <font>
        <strike val="0"/>
        <outline val="0"/>
        <shadow val="0"/>
        <u val="none"/>
        <vertAlign val="baseline"/>
        <sz val="10"/>
        <name val="Arial"/>
        <scheme val="none"/>
      </font>
      <fill>
        <patternFill patternType="none">
          <fgColor indexed="64"/>
          <bgColor auto="1"/>
        </patternFill>
      </fill>
      <alignment vertical="top"/>
      <protection locked="0"/>
    </dxf>
    <dxf>
      <font>
        <b/>
        <i val="0"/>
        <strike val="0"/>
        <condense val="0"/>
        <extend val="0"/>
        <outline val="0"/>
        <shadow val="0"/>
        <u val="none"/>
        <vertAlign val="baseline"/>
        <sz val="10"/>
        <color theme="0"/>
        <name val="Arial"/>
        <scheme val="none"/>
      </font>
      <alignment horizontal="center" vertical="center" textRotation="0" wrapText="1" indent="0" justifyLastLine="0" shrinkToFit="0" readingOrder="0"/>
      <protection locked="0"/>
    </dxf>
    <dxf>
      <font>
        <color rgb="FF006100"/>
      </font>
      <fill>
        <patternFill>
          <bgColor rgb="FFC6EFCE"/>
        </patternFill>
      </fill>
    </dxf>
    <dxf>
      <font>
        <color rgb="FF9C5700"/>
      </font>
      <fill>
        <patternFill>
          <bgColor rgb="FFFFEB9C"/>
        </patternFill>
      </fill>
    </dxf>
    <dxf>
      <font>
        <b/>
        <i val="0"/>
        <u val="double"/>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b/>
        <i val="0"/>
        <u val="double"/>
        <color rgb="FF9C0006"/>
      </font>
    </dxf>
    <dxf>
      <font>
        <color rgb="FF9C5700"/>
      </font>
      <fill>
        <patternFill>
          <bgColor rgb="FFFFEB9C"/>
        </patternFill>
      </fill>
    </dxf>
    <dxf>
      <font>
        <b/>
        <i val="0"/>
        <u val="double"/>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b/>
        <i val="0"/>
        <u val="double"/>
        <color rgb="FF9C0006"/>
      </font>
    </dxf>
    <dxf>
      <font>
        <b/>
        <i val="0"/>
        <u val="double"/>
        <color rgb="FF9C0006"/>
      </font>
    </dxf>
    <dxf>
      <font>
        <b/>
        <i val="0"/>
        <u val="double"/>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13"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font>
        <b/>
        <strike val="0"/>
        <outline val="0"/>
        <shadow val="0"/>
        <u val="none"/>
        <vertAlign val="baseline"/>
        <sz val="12"/>
        <color theme="0"/>
        <name val="Calibri"/>
        <family val="2"/>
        <scheme val="minor"/>
      </font>
      <fill>
        <patternFill patternType="solid">
          <fgColor indexed="64"/>
          <bgColor theme="1"/>
        </patternFill>
      </fill>
      <alignment horizontal="center" vertical="center" textRotation="0" wrapText="1" indent="0" justifyLastLine="0" shrinkToFit="0" readingOrder="0"/>
    </dxf>
    <dxf>
      <font>
        <color rgb="FF006100"/>
      </font>
      <fill>
        <patternFill>
          <bgColor rgb="FFC6EFCE"/>
        </patternFill>
      </fill>
    </dxf>
    <dxf>
      <font>
        <color rgb="FF006100"/>
      </font>
      <fill>
        <patternFill>
          <bgColor rgb="FFC6EFCE"/>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ont>
        <color theme="0"/>
      </font>
    </dxf>
    <dxf>
      <font>
        <color theme="0"/>
      </font>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22" formatCode="mmm\-yy"/>
    </dxf>
    <dxf>
      <alignment wrapText="1"/>
    </dxf>
    <dxf>
      <fill>
        <patternFill patternType="solid">
          <fgColor indexed="64"/>
          <bgColor rgb="FFC00000"/>
        </patternFill>
      </fill>
    </dxf>
    <dxf>
      <font>
        <color theme="0"/>
      </fon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numFmt numFmtId="22" formatCode="mmm\-yy"/>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ont>
        <color theme="0"/>
      </font>
    </dxf>
    <dxf>
      <font>
        <color theme="0"/>
      </font>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22" formatCode="mmm\-yy"/>
    </dxf>
    <dxf>
      <numFmt numFmtId="22" formatCode="mmm\-yy"/>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ont>
        <color theme="0"/>
      </font>
    </dxf>
    <dxf>
      <font>
        <color theme="0"/>
      </font>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numFmt numFmtId="22" formatCode="mmm\-yy"/>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ont>
        <color theme="0"/>
      </font>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wrapText="1"/>
    </dxf>
    <dxf>
      <alignment horizontal="center"/>
    </dxf>
    <dxf>
      <alignment vertical="center"/>
    </dxf>
    <dxf>
      <fill>
        <patternFill patternType="solid">
          <fgColor indexed="64"/>
          <bgColor rgb="FFC00000"/>
        </patternFill>
      </fill>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ont>
        <color theme="0"/>
      </font>
    </dxf>
    <dxf>
      <font>
        <color theme="0"/>
      </font>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ont>
        <color theme="0"/>
      </font>
    </dxf>
    <dxf>
      <alignment vertical="center"/>
    </dxf>
    <dxf>
      <alignment horizont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ont>
        <color theme="0"/>
      </font>
    </dxf>
    <dxf>
      <font>
        <color theme="0"/>
      </font>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wrapText="1"/>
    </dxf>
    <dxf>
      <alignment vertical="center"/>
    </dxf>
    <dxf>
      <alignment horizontal="center"/>
    </dxf>
    <dxf>
      <fill>
        <patternFill patternType="solid">
          <fgColor indexed="64"/>
          <bgColor rgb="FFC00000"/>
        </patternFill>
      </fill>
    </dxf>
    <dxf>
      <font>
        <color theme="0"/>
      </font>
    </dxf>
    <dxf>
      <alignment vertical="center"/>
    </dxf>
    <dxf>
      <alignment horizontal="center"/>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ont>
        <color theme="0"/>
      </font>
    </dxf>
    <dxf>
      <alignment horizont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alignment horizontal="center"/>
    </dxf>
    <dxf>
      <alignment vertical="center"/>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vertical="center"/>
    </dxf>
    <dxf>
      <alignment vertical="center"/>
    </dxf>
    <dxf>
      <font>
        <color theme="0"/>
      </font>
    </dxf>
    <dxf>
      <font>
        <color theme="0"/>
      </font>
    </dxf>
    <dxf>
      <font>
        <color theme="0"/>
      </font>
    </dxf>
    <dxf>
      <font>
        <color theme="0"/>
      </font>
    </dxf>
    <dxf>
      <font>
        <color theme="0"/>
      </font>
    </dxf>
    <dxf>
      <font>
        <color theme="0"/>
      </font>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alignment vertical="center"/>
    </dxf>
    <dxf>
      <alignment horizont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vertical="center"/>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alignment horizontal="center"/>
    </dxf>
    <dxf>
      <alignment horizont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alignment horizontal="center"/>
    </dxf>
    <dxf>
      <alignment vertical="center"/>
    </dxf>
    <dxf>
      <alignment vertical="center"/>
    </dxf>
    <dxf>
      <alignment vertical="center"/>
    </dxf>
    <dxf>
      <alignment vertic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horizontal="center"/>
    </dxf>
    <dxf>
      <alignment horizontal="center"/>
    </dxf>
    <dxf>
      <alignment vertical="center"/>
    </dxf>
    <dxf>
      <alignment vertical="center"/>
    </dxf>
    <dxf>
      <alignment horizontal="center"/>
    </dxf>
    <dxf>
      <alignment vertical="center"/>
    </dxf>
    <dxf>
      <font>
        <sz val="16"/>
      </font>
    </dxf>
    <dxf>
      <font>
        <sz val="16"/>
      </font>
    </dxf>
    <dxf>
      <font>
        <sz val="16"/>
      </font>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ont>
        <color theme="0"/>
      </font>
    </dxf>
    <dxf>
      <font>
        <color theme="0"/>
      </font>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b val="0"/>
      </font>
    </dxf>
    <dxf>
      <alignment horizontal="center"/>
    </dxf>
    <dxf>
      <alignment vertical="center"/>
    </dxf>
    <dxf>
      <alignment vertical="center"/>
    </dxf>
    <dxf>
      <alignment horizontal="center"/>
    </dxf>
    <dxf>
      <alignment horizontal="center"/>
    </dxf>
    <dxf>
      <alignment horizontal="center"/>
    </dxf>
    <dxf>
      <alignment vertical="center"/>
    </dxf>
    <dxf>
      <alignment horizontal="center"/>
    </dxf>
    <dxf>
      <alignment horizont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ont>
        <color theme="0"/>
      </font>
    </dxf>
    <dxf>
      <font>
        <color theme="0"/>
      </font>
    </dxf>
    <dxf>
      <alignment horizontal="center"/>
    </dxf>
    <dxf>
      <alignment horizont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left"/>
    </dxf>
    <dxf>
      <alignment horizontal="left"/>
    </dxf>
    <dxf>
      <alignment horizontal="left"/>
    </dxf>
    <dxf>
      <alignment horizontal="left"/>
    </dxf>
    <dxf>
      <alignment horizontal="right"/>
    </dxf>
    <dxf>
      <alignment horizontal="right"/>
    </dxf>
    <dxf>
      <alignment horizontal="center"/>
    </dxf>
    <dxf>
      <alignment vertical="center"/>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alignment horizontal="center"/>
    </dxf>
    <dxf>
      <alignment vertical="center"/>
    </dxf>
    <dxf>
      <alignment horizontal="center"/>
    </dxf>
    <dxf>
      <alignment horizontal="center"/>
    </dxf>
    <dxf>
      <alignment vertical="center"/>
    </dxf>
    <dxf>
      <alignment vertical="center"/>
    </dxf>
    <dxf>
      <numFmt numFmtId="168" formatCode="0.0"/>
    </dxf>
    <dxf>
      <numFmt numFmtId="168" formatCode="0.0"/>
    </dxf>
    <dxf>
      <alignment horizontal="center"/>
    </dxf>
    <dxf>
      <alignment horizontal="center"/>
    </dxf>
    <dxf>
      <alignment horizontal="center"/>
    </dxf>
    <dxf>
      <alignment vertical="center"/>
    </dxf>
    <dxf>
      <alignment vertical="center"/>
    </dxf>
    <dxf>
      <alignment vertical="center"/>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border>
        <left style="thin">
          <color auto="1"/>
        </left>
        <right style="thin">
          <color auto="1"/>
        </right>
        <top style="thin">
          <color auto="1"/>
        </top>
        <bottom style="thin">
          <color auto="1"/>
        </bottom>
      </border>
    </dxf>
  </dxfs>
  <tableStyles count="2" defaultTableStyle="TableStyleMedium2" defaultPivotStyle="PivotStyleLight16">
    <tableStyle name="Estilo de tabla 1" pivot="0" count="1" xr9:uid="{00000000-0011-0000-FFFF-FFFF00000000}">
      <tableStyleElement type="headerRow" dxfId="1333"/>
    </tableStyle>
    <tableStyle name="Estilo de tabla 2" pivot="0" count="1" xr9:uid="{00000000-0011-0000-FFFF-FFFF01000000}">
      <tableStyleElement type="wholeTable" dxfId="1332"/>
    </tableStyle>
  </tableStyles>
  <colors>
    <mruColors>
      <color rgb="FFFFC7CE"/>
      <color rgb="FFFFC0FF"/>
      <color rgb="FF9C0006"/>
      <color rgb="FF1E4E79"/>
      <color rgb="FFFFC000"/>
      <color rgb="FF66CCFF"/>
      <color rgb="FF1E79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JCZS" id="{434E1D00-138C-4EDA-8418-1EA5E2C49D64}">
    <nsvFilter filterId="{EF87BB74-4E17-4CEC-99FA-BFC05D87B6A4}" ref="A5:V152" tableId="14"/>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JQB" id="{85AE6645-AB5B-47E9-BBF4-B8101F7997DD}">
    <nsvFilter filterId="{00000000-0009-0000-0100-000010000000}" ref="A5:DH267" tableId="16">
      <columnFilter colId="29" id="{00000000-0010-0000-0900-00000E000000}">
        <filter colId="29">
          <x:filters>
            <x:filter val="Johnny Luis Rocca Surco"/>
          </x:filters>
        </filter>
      </columnFilter>
      <columnFilter colId="31" id="{00000000-0010-0000-0900-00001D000000}">
        <filter colId="31">
          <x:filters>
            <x:filter val="03. En Desarrollo"/>
            <x:filter val="06. Calidad Finalizado"/>
          </x:filters>
        </filter>
      </columnFilter>
    </nsvFilter>
  </namedSheetView>
  <namedSheetView name="JCZS" id="{159332E2-C277-4142-9CF4-1673A8F38197}">
    <nsvFilter filterId="{00000000-0009-0000-0100-000010000000}" ref="A5:DH267" tableId="16">
      <columnFilter colId="4" id="{00000000-0010-0000-0900-000003000000}">
        <filter colId="4">
          <x:filters>
            <x:filter val="2026-M0026"/>
          </x:filters>
        </filter>
      </columnFilter>
      <columnFilter colId="30" id="{00000000-0010-0000-0900-000027000000}">
        <filter colId="30">
          <x:filters>
            <x:filter val="Juan Carlos Zavaleta"/>
          </x:filters>
        </filter>
      </columnFilter>
      <columnFilter colId="31" id="{00000000-0010-0000-0900-00001D000000}">
        <filter colId="31">
          <x:filters>
            <x:filter val="02. En Planificación"/>
            <x:filter val="03. En Desarrollo"/>
            <x:filter val="04. Desarrollo Finalizado"/>
            <x:filter val="05. En Calidad"/>
            <x:filter val="06. Calidad Finalizado"/>
            <x:filter val="07. En Despliegue"/>
            <x:filter val="10. Paralizado"/>
          </x:filters>
        </filter>
      </columnFilter>
      <columnFilter colId="85" id="{FF15BA96-1B19-431E-A9CD-D6D144AE502F}">
        <filter colId="85">
          <x:filters>
            <x:filter val="ATRASADO 🔴"/>
            <x:filter val="EN RIESGO 🟡"/>
            <x:filter val="PARALIZADO ⚪"/>
            <x:filter val="Sin Cronograma 🔵"/>
          </x:filters>
        </filter>
      </columnFilter>
    </nsvFilter>
  </namedSheetView>
  <namedSheetView name="Lizzet" id="{CFB38F9E-3503-4974-8EEB-EEA1E45AAE1D}">
    <nsvFilter filterId="{00000000-0009-0000-0100-000010000000}" ref="A5:DH267" tableId="16">
      <columnFilter colId="7" id="{00000000-0010-0000-0900-000009000000}">
        <filter colId="7">
          <x:filters>
            <x:filter val="Banca Digital"/>
          </x:filters>
        </filter>
      </columnFilter>
      <columnFilter colId="31" id="{00000000-0010-0000-0900-00001D000000}">
        <filter colId="31">
          <x:filters>
            <x:filter val="02. En Planificación"/>
            <x:filter val="03. En Desarrollo"/>
          </x:filters>
        </filter>
      </columnFilter>
    </nsvFilter>
  </namedSheetView>
  <namedSheetView name="Luis Alberto" id="{0E7C3AA3-B3E6-47DA-BCB6-84EA0A44D476}">
    <nsvFilter filterId="{00000000-0009-0000-0100-000010000000}" ref="A5:DH267" tableId="16">
      <columnFilter colId="7" id="{00000000-0010-0000-0900-000009000000}">
        <filter colId="7">
          <x:filters>
            <x:filter val="Administración y Logística"/>
          </x:filters>
        </filter>
      </columnFilter>
      <columnFilter colId="31" id="{00000000-0010-0000-0900-00001D000000}">
        <filter colId="31">
          <x:filters>
            <x:filter val="02. En Planificación"/>
            <x:filter val="03. En Desarrollo"/>
            <x:filter val="05. En Calidad"/>
            <x:filter val="07. En Despliegue"/>
          </x:filters>
        </filter>
      </columnFilter>
    </nsvFilter>
  </namedSheetView>
  <namedSheetView name="Maribel" id="{DAF97849-1979-484B-8977-D09016A3F978}">
    <nsvFilter filterId="{00000000-0009-0000-0100-000010000000}" ref="A5:DH267" tableId="16">
      <columnFilter colId="32" id="{00000000-0010-0000-0900-00005C000000}">
        <filter colId="32">
          <x:filters>
            <x:filter val="01. No iniciado"/>
            <x:filter val="02. En Proceso"/>
          </x:filters>
        </filter>
      </columnFilter>
    </nsvFilter>
  </namedSheetView>
  <namedSheetView name="Milagros" id="{58EE712B-F6B2-47FF-864D-B2EF09A12A3A}">
    <nsvFilter filterId="{00000000-0009-0000-0100-000010000000}" ref="A5:DH267" tableId="16"/>
  </namedSheetView>
  <namedSheetView name="OMAR" id="{E79A3DA7-EB45-4EAA-9D84-C607A42A718C}">
    <nsvFilter filterId="{00000000-0009-0000-0100-000010000000}" ref="A5:DH267" tableId="16"/>
  </namedSheetView>
  <namedSheetView name="View1" id="{8DFDCD94-C3E8-4CB0-B5B4-D7CAAF7CF6C2}">
    <nsvFilter filterId="{00000000-0009-0000-0100-000010000000}" ref="A5:DH267" tableId="16"/>
  </namedSheetView>
  <namedSheetView name="Vista 1" id="{78F6BE1A-C0EA-46C7-8EA5-DD81B3EF16B9}">
    <nsvFilter filterId="{00000000-0009-0000-0100-000010000000}" ref="A5:DH267" tableId="16">
      <columnFilter colId="30" id="{00000000-0010-0000-0900-000027000000}">
        <filter colId="30">
          <x:filters>
            <x:filter val="Junior Quicaño"/>
          </x:filters>
        </filter>
      </columnFilter>
    </nsvFilter>
  </namedSheetView>
  <namedSheetView name="Vista 2" id="{5DF10EAF-2B1B-4867-832D-309E9C626C60}">
    <nsvFilter filterId="{00000000-0009-0000-0100-000010000000}" ref="A5:DH267" tableId="16">
      <columnFilter colId="7" id="{00000000-0010-0000-0900-000009000000}">
        <filter colId="7">
          <x:filters>
            <x:filter val="Banca Digital"/>
          </x:filters>
        </filter>
      </columnFilter>
      <columnFilter colId="91" id="{4EC5C717-0304-4AC9-B9FF-A74E9997BC1A}">
        <filter colId="91">
          <x:filters blank="1"/>
        </filter>
      </columnFilter>
    </nsvFilter>
  </namedSheetView>
</namedSheetViews>
</file>

<file path=xl/namedSheetViews/namedSheetView3.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JC Zavaleta" id="{33300A3B-06CC-40F3-8052-C6945EF4B604}">
    <nsvFilter filterId="{00000000-0009-0000-0100-000049000000}" ref="A5:BQ19" tableId="73"/>
  </namedSheetView>
  <namedSheetView name="Lizzet" id="{3C821B00-A6F8-4E66-A160-31612B1BF8F4}">
    <nsvFilter filterId="{00000000-0009-0000-0100-000049000000}" ref="A5:BQ19" tableId="73"/>
  </namedSheetView>
</namedSheetViews>
</file>

<file path=xl/persons/person.xml><?xml version="1.0" encoding="utf-8"?>
<personList xmlns="http://schemas.microsoft.com/office/spreadsheetml/2018/threadedcomments" xmlns:x="http://schemas.openxmlformats.org/spreadsheetml/2006/main">
  <person displayName="TOMAS JOAQUIN CALVERA CUBAS" id="{DBFE7418-96D3-4B51-8E8D-BE014FFC6DAE}" userId="S::tcalverac@bn.com.pe::66b53fc2-0c3c-406d-841d-e7fcf6898569"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CTICANTE - ANDREA DANIELA MORI LEON" refreshedDate="46160.378264120372" createdVersion="8" refreshedVersion="7" minRefreshableVersion="3" recordCount="105" xr:uid="{7C24014F-A09A-4AA1-8553-177F309B5CEA}">
  <cacheSource type="worksheet">
    <worksheetSource name="INCIDENCIAS"/>
  </cacheSource>
  <cacheFields count="7">
    <cacheField name="ID Mantenimiento" numFmtId="0">
      <sharedItems/>
    </cacheField>
    <cacheField name="Estado" numFmtId="0">
      <sharedItems/>
    </cacheField>
    <cacheField name="Fecha Registro" numFmtId="0">
      <sharedItems containsSemiMixedTypes="0" containsNonDate="0" containsDate="1" containsString="0" minDate="2025-01-03T00:00:00" maxDate="2026-05-07T00:00:00"/>
    </cacheField>
    <cacheField name="FechaUltimoEstado" numFmtId="0">
      <sharedItems containsSemiMixedTypes="0" containsNonDate="0" containsDate="1" containsString="0" minDate="2025-01-13T00:00:00" maxDate="2026-05-07T00:00:00"/>
    </cacheField>
    <cacheField name="Duración" numFmtId="0">
      <sharedItems containsSemiMixedTypes="0" containsString="0" containsNumber="1" containsInteger="1" minValue="1" maxValue="244"/>
    </cacheField>
    <cacheField name="Gerencia" numFmtId="0">
      <sharedItems containsBlank="1" count="12">
        <s v="Tecnologías de Información"/>
        <s v="Recursos Humanos y Cultura"/>
        <s v="Finanzas y Tesorería"/>
        <s v="Productos e Inclusión Financiera"/>
        <s v="Operaciones"/>
        <s v="Riesgos"/>
        <s v="Red de Agencias"/>
        <s v="Banca Digital"/>
        <s v="Oficialía de CN"/>
        <s v="Planeamiento y Control de Gestión"/>
        <m u="1"/>
        <s v="MACRO REGIÓN V – AREQUIPA" u="1"/>
      </sharedItems>
    </cacheField>
    <cacheField name="Duración horas" numFmtId="0">
      <sharedItems containsSemiMixedTypes="0" containsString="0" containsNumber="1" minValue="8" maxValue="215.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CTICANTE - ANDREA DANIELA MORI LEON" refreshedDate="46160.37826435185" createdVersion="7" refreshedVersion="7" minRefreshableVersion="3" recordCount="74" xr:uid="{33C72A9B-1C0E-45A3-8139-A9782B71EFC8}">
  <cacheSource type="worksheet">
    <worksheetSource name="MANT_HORAS_ANALISTAS"/>
  </cacheSource>
  <cacheFields count="3">
    <cacheField name="ID Mantenimiento" numFmtId="0">
      <sharedItems/>
    </cacheField>
    <cacheField name="Líder Técnico/Analista" numFmtId="0">
      <sharedItems containsBlank="1" count="31">
        <s v="Paul Alminagorta Cabezas"/>
        <s v="Eduardo Saul Cardenas Manrique"/>
        <s v="Jorge Lucio Ruedas Fernandez"/>
        <s v="Angela Rocio Risco Vega"/>
        <s v="Monica del Pilar Garcia Campana"/>
        <s v="Johnny Luis Rocca Surco"/>
        <s v="Maribel Marlene Medina Molina"/>
        <s v="Norma Fukunaga Fuentes"/>
        <s v="Pedro Jose Encalada Huertas"/>
        <s v="Andrés Quiñones Gonzales"/>
        <s v="Adolfo Martin Escobar Bustamante"/>
        <s v="Rossana Rojas Alvaro"/>
        <s v="Darwin Ander Valenzuela Ñiquen"/>
        <s v="Vladimir Ronald Cajavilca Cajavilca"/>
        <s v="Luis Enrique Almeyda Pachas"/>
        <s v="Jorge Enrique Ruiz Torres"/>
        <s v="Juan Carlos Cordova Inga"/>
        <s v="Jorge Mora Ruelas"/>
        <s v="Irina Zakharova"/>
        <s v="Ricardo Cuba Mora"/>
        <s v="Fiorella Emma Galvan Soto"/>
        <m/>
        <s v="Emerson Quecara Choquetico"/>
        <s v="Javier Baltazar Urquiaga Salazar"/>
        <s v="Dennis Martin Herrera Herrera" u="1"/>
        <s v="Walter Tito Valencia" u="1"/>
        <s v="Waldo Antonio Basurto Valverde" u="1"/>
        <s v="María Eva Alfaro Apaza" u="1"/>
        <s v="Valery Aldo Versategui Malpica" u="1"/>
        <s v="Marilu Cordova Quispe" u="1"/>
        <s v="Pedro Encalada" u="1"/>
      </sharedItems>
    </cacheField>
    <cacheField name="Horas_Mant" numFmtId="0">
      <sharedItems containsSemiMixedTypes="0" containsString="0" containsNumber="1" minValue="0.72727272727272729" maxValue="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CTICANTE - ANDREA DANIELA MORI LEON" refreshedDate="46160.378264814812" createdVersion="6" refreshedVersion="7" minRefreshableVersion="3" recordCount="245" xr:uid="{00000000-000A-0000-FFFF-FFFF08000000}">
  <cacheSource type="worksheet">
    <worksheetSource ref="A5:DD267" sheet="Demanda Tactica"/>
  </cacheSource>
  <cacheFields count="112">
    <cacheField name="ID Demanda" numFmtId="165">
      <sharedItems/>
    </cacheField>
    <cacheField name="ID Histórico" numFmtId="0">
      <sharedItems containsSemiMixedTypes="0" containsString="0" containsNumber="1" containsInteger="1" minValue="970" maxValue="3260"/>
    </cacheField>
    <cacheField name="Tipo de Requerimiento" numFmtId="0">
      <sharedItems count="2">
        <s v="Mantenimiento-Sw"/>
        <s v="Proyecto-Hijo" u="1"/>
      </sharedItems>
    </cacheField>
    <cacheField name="ID Trámite" numFmtId="0">
      <sharedItems containsBlank="1"/>
    </cacheField>
    <cacheField name="ID Mantenimiento" numFmtId="0">
      <sharedItems containsBlank="1"/>
    </cacheField>
    <cacheField name="Nombre del Requerimiento" numFmtId="0">
      <sharedItems/>
    </cacheField>
    <cacheField name="Descripción del Requerimiento" numFmtId="0">
      <sharedItems containsBlank="1" longText="1"/>
    </cacheField>
    <cacheField name="Gerencia" numFmtId="0">
      <sharedItems containsBlank="1" count="22">
        <s v="Operaciones"/>
        <s v="Productos e Inclusión Financiera"/>
        <s v="Banca Digital"/>
        <s v="Oficialía de PLAFT"/>
        <s v="Finanzas y Tesorería"/>
        <s v="Recursos Humanos y Cultura"/>
        <s v="Administración y Logística"/>
        <s v="Riesgos"/>
        <s v="Tecnologías de Información"/>
        <s v="Gerencia General"/>
        <s v="Innovación y Transformación Digital"/>
        <m u="1"/>
        <s v="Órgano de Control Institucional" u="1"/>
        <s v="MEMORANDO N° 00000850 -2024-BN/2321" u="1"/>
        <s v="MEMORANDO N° 00000302 - 2024-BN/2332" u="1"/>
        <s v="MEMORANDO N° 00000011 -2024-BN/4111" u="1"/>
        <s v="MEMORANDO N° 00000033 -2024-BN/4111" u="1"/>
        <s v="Planeamiento y Control de Gestión" u="1"/>
        <s v="Red de Agencias" u="1"/>
        <s v="MEMORANDO N° 00000621 - 2024-BN 2332" u="1"/>
        <s v="Auditoría Interna" u="1"/>
        <s v="Oficialía de CN" u="1"/>
      </sharedItems>
    </cacheField>
    <cacheField name="Subgerencia" numFmtId="0">
      <sharedItems containsBlank="1"/>
    </cacheField>
    <cacheField name="Sección" numFmtId="0">
      <sharedItems containsBlank="1"/>
    </cacheField>
    <cacheField name="Fecha de Solicitud" numFmtId="14">
      <sharedItems containsDate="1" containsBlank="1" containsMixedTypes="1" minDate="2021-10-14T00:00:00" maxDate="2026-04-02T00:00:00"/>
    </cacheField>
    <cacheField name="Memorando STD" numFmtId="0">
      <sharedItems containsBlank="1"/>
    </cacheField>
    <cacheField name="Aplicativo" numFmtId="0">
      <sharedItems containsBlank="1"/>
    </cacheField>
    <cacheField name="Cartera" numFmtId="0">
      <sharedItems containsBlank="1"/>
    </cacheField>
    <cacheField name="Canal de Atención" numFmtId="0">
      <sharedItems containsBlank="1"/>
    </cacheField>
    <cacheField name="Producto" numFmtId="0">
      <sharedItems containsBlank="1"/>
    </cacheField>
    <cacheField name="Servicio" numFmtId="0">
      <sharedItems containsBlank="1" containsMixedTypes="1" containsNumber="1" containsInteger="1" minValue="0" maxValue="0"/>
    </cacheField>
    <cacheField name="Categoría" numFmtId="0">
      <sharedItems containsBlank="1" count="9">
        <s v="Evolutivo"/>
        <s v="Correctivo"/>
        <s v="Normativo"/>
        <s v="Recomendación"/>
        <s v="Omar Sarmiento" u="1"/>
        <m u="1"/>
        <s v="No aplica" u="1"/>
        <s v="Tecnológica" u="1"/>
        <s v="Mejora de Procesos" u="1"/>
      </sharedItems>
    </cacheField>
    <cacheField name="Tipo" numFmtId="0">
      <sharedItems containsBlank="1"/>
    </cacheField>
    <cacheField name="Entidad reguladora / Organo de Control" numFmtId="0">
      <sharedItems containsBlank="1"/>
    </cacheField>
    <cacheField name="N° Norma / N° Informe - N° recomendación" numFmtId="0">
      <sharedItems containsBlank="1"/>
    </cacheField>
    <cacheField name="Tïtulo de Informe" numFmtId="0">
      <sharedItems containsBlank="1"/>
    </cacheField>
    <cacheField name="Nro Rec" numFmtId="0">
      <sharedItems containsBlank="1" containsMixedTypes="1" containsNumber="1" containsInteger="1" minValue="4" maxValue="6"/>
    </cacheField>
    <cacheField name="Nro Rec Numeral" numFmtId="0">
      <sharedItems containsBlank="1"/>
    </cacheField>
    <cacheField name="Fecha de Implem.Requerida" numFmtId="0">
      <sharedItems containsDate="1" containsBlank="1" containsMixedTypes="1" minDate="2014-04-01T00:00:00" maxDate="2026-03-03T00:00:00"/>
    </cacheField>
    <cacheField name="Tipo de atención" numFmtId="0">
      <sharedItems/>
    </cacheField>
    <cacheField name="Fecha de Priorización Comité" numFmtId="14">
      <sharedItems containsDate="1" containsBlank="1" containsMixedTypes="1" minDate="2022-09-30T00:00:00" maxDate="2026-04-08T00:00:00"/>
    </cacheField>
    <cacheField name="Área Responsable TI" numFmtId="0">
      <sharedItems containsBlank="1" count="9">
        <s v="Sistemas Bancarios"/>
        <s v="Sistemas Administrativos"/>
        <s v="Soluciones Digitales"/>
        <s v="Sistemas administrativos "/>
        <m u="1"/>
        <s v="Soporte de Infraestructura" u="1"/>
        <s v="Soporte de la Infraestructura Tecnólogica" u="1"/>
        <s v="Arquitectura de Datos y Aplicaciones" u="1"/>
        <s v="Sistemas Bancarios_x000a_" u="1"/>
      </sharedItems>
    </cacheField>
    <cacheField name="Entidad Asignado" numFmtId="0">
      <sharedItems containsBlank="1"/>
    </cacheField>
    <cacheField name="Líder Técnico/Analista" numFmtId="0">
      <sharedItems containsBlank="1"/>
    </cacheField>
    <cacheField name="Gestor TI" numFmtId="0">
      <sharedItems/>
    </cacheField>
    <cacheField name="Estado TI" numFmtId="0">
      <sharedItems containsBlank="1" count="26">
        <s v="09. Descartado"/>
        <s v="08. Producción Finalizada"/>
        <s v="02. En Planificación"/>
        <s v="10. Paralizado"/>
        <s v="07. En Despliegue"/>
        <s v="03. En Desarrollo"/>
        <s v="06. Calidad Finalizado"/>
        <s v="05. En Calidad"/>
        <m u="1"/>
        <s v="10. Demanda Histórica" u="1"/>
        <s v="01. Registrado" u="1"/>
        <s v="08. Paralizado" u="1"/>
        <s v="06. En Producción" u="1"/>
        <s v="07. En Calidad" u="1"/>
        <s v="06. Certificado" u="1"/>
        <s v="08. Certificado" u="1"/>
        <s v="11. Demanda Histórica" u="1"/>
        <s v="01. No Iniciado" u="1"/>
        <s v="12. En Producción" u="1"/>
        <s v="07. Paralizado" u="1"/>
        <s v="04. En Calidad" u="1"/>
        <s v="09. Paralizado" u="1"/>
        <s v="04. Desarrollo Finalizado" u="1"/>
        <s v="07. En Producción" u="1"/>
        <s v="04. En Ejecución" u="1"/>
        <s v="05. Certificado" u="1"/>
      </sharedItems>
    </cacheField>
    <cacheField name="Macroestado" numFmtId="0">
      <sharedItems/>
    </cacheField>
    <cacheField name="Motivo según estado" numFmtId="0">
      <sharedItems containsBlank="1"/>
    </cacheField>
    <cacheField name="Fecha registro trámite" numFmtId="0">
      <sharedItems containsNonDate="0" containsDate="1" containsString="0" containsBlank="1" minDate="2021-10-18T00:00:00" maxDate="2025-05-29T00:00:00"/>
    </cacheField>
    <cacheField name="Fecha Inicio- Desarrollo (PLANIFICADA)" numFmtId="166">
      <sharedItems containsNonDate="0" containsDate="1" containsString="0" containsBlank="1" minDate="2025-11-03T00:00:00" maxDate="2025-11-04T00:00:00"/>
    </cacheField>
    <cacheField name="Fecha Inicio- Desarrollo" numFmtId="166">
      <sharedItems containsNonDate="0" containsDate="1" containsString="0" containsBlank="1" minDate="2021-10-18T00:00:00" maxDate="2026-05-09T00:00:00"/>
    </cacheField>
    <cacheField name="Fecha Fin- Desarrollo" numFmtId="0">
      <sharedItems containsNonDate="0" containsDate="1" containsString="0" containsBlank="1" minDate="2023-10-27T00:00:00" maxDate="2026-05-08T00:00:00"/>
    </cacheField>
    <cacheField name="Fecha Fin- Desarrollo (PLANIFICADA)" numFmtId="166">
      <sharedItems containsNonDate="0" containsDate="1" containsString="0" containsBlank="1" minDate="2024-11-11T00:00:00" maxDate="2026-04-01T00:00:00"/>
    </cacheField>
    <cacheField name="Fecha Inicio- Calidad" numFmtId="0">
      <sharedItems containsNonDate="0" containsDate="1" containsString="0" containsBlank="1" minDate="2023-11-10T00:00:00" maxDate="2026-05-15T00:00:00"/>
    </cacheField>
    <cacheField name="Fecha Fin- Calidad" numFmtId="166">
      <sharedItems containsNonDate="0" containsDate="1" containsString="0" containsBlank="1" minDate="2023-11-22T00:00:00" maxDate="2026-04-29T00:00:00"/>
    </cacheField>
    <cacheField name="Fecha Fin- Calidad (PLANIFICADA)" numFmtId="166">
      <sharedItems containsDate="1" containsMixedTypes="1" minDate="2023-07-03T14:24:00" maxDate="2026-12-07T04:48:00"/>
    </cacheField>
    <cacheField name="Fecha Inicio- Producción" numFmtId="166">
      <sharedItems containsNonDate="0" containsDate="1" containsString="0" containsBlank="1" minDate="2024-03-05T00:00:00" maxDate="2026-05-08T00:00:00"/>
    </cacheField>
    <cacheField name="Fecha Fin- Producción" numFmtId="166">
      <sharedItems containsNonDate="0" containsDate="1" containsString="0" containsBlank="1" minDate="2025-10-30T00:00:00" maxDate="2026-05-16T00:00:00"/>
    </cacheField>
    <cacheField name="Fecha Fin-Planificada" numFmtId="166">
      <sharedItems containsDate="1" containsMixedTypes="1" minDate="2023-07-10T14:24:00" maxDate="2026-12-14T04:48:00"/>
    </cacheField>
    <cacheField name="Comentarios OPP" numFmtId="0">
      <sharedItems longText="1"/>
    </cacheField>
    <cacheField name="Gerencia Abr" numFmtId="0">
      <sharedItems/>
    </cacheField>
    <cacheField name="Subgerencia Abr" numFmtId="0">
      <sharedItems/>
    </cacheField>
    <cacheField name="Mes Ingreso" numFmtId="0">
      <sharedItems/>
    </cacheField>
    <cacheField name="Mes Priorización" numFmtId="0">
      <sharedItems/>
    </cacheField>
    <cacheField name="Mes Fin Desa" numFmtId="0">
      <sharedItems/>
    </cacheField>
    <cacheField name="Mes Fin Prod" numFmtId="0">
      <sharedItems count="35">
        <s v="No definido"/>
        <s v="2026-04"/>
        <s v="2026-03"/>
        <s v="2026-02"/>
        <s v="2026-01"/>
        <s v="2025-10"/>
        <s v="2026-05"/>
        <s v="2025-12"/>
        <s v="2025-01" u="1"/>
        <s v="2025-11" u="1"/>
        <s v="2025-02" u="1"/>
        <s v="2024-10" u="1"/>
        <s v="2024-01" u="1"/>
        <s v="2025-03" u="1"/>
        <s v="2024-11" u="1"/>
        <s v="2024-02" u="1"/>
        <s v="2025-04" u="1"/>
        <s v="2023-10" u="1"/>
        <s v="2024-03" u="1"/>
        <s v="2025-05" u="1"/>
        <s v="2023-11" u="1"/>
        <s v="2024-04" u="1"/>
        <s v="2025-06" u="1"/>
        <s v="2023-12" u="1"/>
        <s v="2024-05" u="1"/>
        <s v="2025-07" u="1"/>
        <s v="2022-02" u="1"/>
        <s v="2024-06" u="1"/>
        <s v="2025-08" u="1"/>
        <s v="2024-07" u="1"/>
        <s v="2025-09" u="1"/>
        <s v="2023-06" u="1"/>
        <s v="2024-08" u="1"/>
        <s v="2024-09" u="1"/>
        <s v="2023-08" u="1"/>
      </sharedItems>
    </cacheField>
    <cacheField name="Mes Fin Plan" numFmtId="0">
      <sharedItems count="63">
        <s v="2026-05"/>
        <s v="No definido"/>
        <s v="2026-02"/>
        <s v="2023-07"/>
        <s v="2026-11"/>
        <s v="2023-11"/>
        <s v="2025-07"/>
        <s v="2025-09"/>
        <s v="2026-03"/>
        <s v="2024-11"/>
        <s v="2025-08"/>
        <s v="2025-04"/>
        <s v="2024-05"/>
        <s v="2025-10"/>
        <s v="2025-06"/>
        <s v="2024-12"/>
        <s v="2026-01"/>
        <s v="2026-04"/>
        <s v="2025-05"/>
        <s v="2024-08"/>
        <s v="2025-01"/>
        <s v="2025-11"/>
        <s v="2024-01"/>
        <s v="2025-12"/>
        <s v="2024-10"/>
        <s v="2026-12"/>
        <s v="2026-08"/>
        <s v="2026-06"/>
        <s v="2025-03"/>
        <s v="2026-07"/>
        <s v="2027-04" u="1"/>
        <s v="2021-08" u="1"/>
        <s v="2021-09" u="1"/>
        <s v="2022-02" u="1"/>
        <s v="2022-04" u="1"/>
        <s v="2018-04" u="1"/>
        <s v="2022-07" u="1"/>
        <s v="2022-09" u="1"/>
        <s v="2023-02" u="1"/>
        <s v="2023-03" u="1"/>
        <s v="2023-04" u="1"/>
        <s v="2023-05" u="1"/>
        <s v="2023-06" u="1"/>
        <s v="2023-08" u="1"/>
        <s v="2023-09" u="1"/>
        <s v="2019-07" u="1"/>
        <s v="2024-02" u="1"/>
        <s v="2024-03" u="1"/>
        <s v="2024-04" u="1"/>
        <s v="2026-10" u="1"/>
        <s v="2024-06" u="1"/>
        <s v="2024-07" u="1"/>
        <s v="2024-09" u="1"/>
        <s v="2025-02" u="1"/>
        <s v="2021-12" u="1"/>
        <s v="2027-12" u="1"/>
        <s v="2022-11" u="1"/>
        <s v="2021-01" u="1"/>
        <s v="2021-02" u="1"/>
        <s v="2027-01" u="1"/>
        <s v="2023-10" u="1"/>
        <s v="2027-02" u="1"/>
        <s v="2023-12" u="1"/>
      </sharedItems>
    </cacheField>
    <cacheField name="ESTADO FS_INDRA" numFmtId="0">
      <sharedItems containsBlank="1"/>
    </cacheField>
    <cacheField name="FECHA INICIO" numFmtId="0">
      <sharedItems containsNonDate="0" containsDate="1" containsString="0" containsBlank="1" minDate="2023-05-16T00:00:00" maxDate="2025-06-04T00:00:00"/>
    </cacheField>
    <cacheField name="FECHA ENTREGA PLANIFICADA" numFmtId="0">
      <sharedItems containsNonDate="0" containsDate="1" containsString="0" containsBlank="1" minDate="2024-09-30T00:00:00" maxDate="2025-10-15T00:00:00"/>
    </cacheField>
    <cacheField name="FECHA ENTREGA REAL" numFmtId="0">
      <sharedItems containsNonDate="0" containsDate="1" containsString="0" containsBlank="1" minDate="2024-09-30T00:00:00" maxDate="2025-12-05T00:00:00"/>
    </cacheField>
    <cacheField name="Fecha Ingreso a la Demanda" numFmtId="0">
      <sharedItems containsNonDate="0" containsDate="1" containsString="0" containsBlank="1" minDate="2022-09-30T00:00:00" maxDate="2024-10-10T00:00:00"/>
    </cacheField>
    <cacheField name="Ingreso x Trimestre" numFmtId="0">
      <sharedItems containsBlank="1"/>
    </cacheField>
    <cacheField name="Duracion en Dias" numFmtId="0">
      <sharedItems containsMixedTypes="1" containsNumber="1" containsInteger="1" minValue="-4" maxValue="1604"/>
    </cacheField>
    <cacheField name="Duracion en Meses" numFmtId="2">
      <sharedItems containsMixedTypes="1" containsNumber="1" minValue="-0.13333333333333333" maxValue="53.466666666666669"/>
    </cacheField>
    <cacheField name="PLANEAMIENTO RQs" numFmtId="0">
      <sharedItems containsBlank="1"/>
    </cacheField>
    <cacheField name="Última Actividad" numFmtId="0">
      <sharedItems containsBlank="1"/>
    </cacheField>
    <cacheField name="Último Estado ClearQuest" numFmtId="0">
      <sharedItems containsBlank="1"/>
    </cacheField>
    <cacheField name="Fecha de último Estado" numFmtId="0">
      <sharedItems containsNonDate="0" containsDate="1" containsString="0" containsBlank="1" minDate="2025-01-15T14:56:01" maxDate="2026-05-15T17:07:41" count="232">
        <d v="2026-04-27T11:20:49"/>
        <d v="2026-04-27T11:21:51"/>
        <d v="2026-04-01T12:15:29"/>
        <m/>
        <d v="2025-11-27T10:59:15"/>
        <d v="2026-03-10T18:13:42"/>
        <d v="2026-03-25T15:59:32"/>
        <d v="2025-06-19T21:12:49"/>
        <d v="2026-02-10T17:10:53"/>
        <d v="2025-06-27T11:35:54"/>
        <d v="2025-09-23T18:53:11"/>
        <d v="2026-03-10T17:02:40"/>
        <d v="2025-12-16T09:08:33"/>
        <d v="2025-12-01T15:24:52"/>
        <d v="2026-04-30T09:31:30"/>
        <d v="2025-12-01T15:24:11"/>
        <d v="2026-02-17T17:41:58"/>
        <d v="2026-04-13T22:48:31"/>
        <d v="2026-03-09T08:49:56"/>
        <d v="2026-04-22T14:58:08"/>
        <d v="2026-04-23T11:14:43"/>
        <d v="2026-02-26T12:24:19"/>
        <d v="2026-03-12T08:49:07"/>
        <d v="2025-11-27T15:27:37"/>
        <d v="2025-08-22T14:32:27"/>
        <d v="2026-03-17T12:14:37"/>
        <d v="2026-02-27T15:21:40"/>
        <d v="2026-01-12T12:16:44"/>
        <d v="2026-03-02T16:01:12"/>
        <d v="2025-11-27T12:45:11"/>
        <d v="2026-03-10T14:48:07"/>
        <d v="2026-04-30T09:16:07"/>
        <d v="2026-02-26T17:52:41"/>
        <d v="2026-03-25T11:23:10"/>
        <d v="2026-01-15T11:40:57"/>
        <d v="2026-01-12T15:57:51"/>
        <d v="2026-04-22T19:59:39"/>
        <d v="2026-03-19T15:39:26"/>
        <d v="2026-03-04T11:13:38"/>
        <d v="2026-01-12T12:30:41"/>
        <d v="2026-01-28T08:45:04"/>
        <d v="2026-01-08T17:56:54"/>
        <d v="2026-02-25T18:40:56"/>
        <d v="2026-05-08T08:14:36"/>
        <d v="2025-12-01T15:47:00"/>
        <d v="2026-01-21T11:39:43"/>
        <d v="2026-03-10T13:11:30"/>
        <d v="2026-04-10T09:42:09"/>
        <d v="2026-01-09T12:08:41"/>
        <d v="2025-09-05T11:40:05"/>
        <d v="2026-05-13T14:48:05"/>
        <d v="2026-03-24T17:31:24"/>
        <d v="2025-01-15T14:56:01"/>
        <d v="2026-01-29T07:13:42"/>
        <d v="2026-01-08T17:53:13"/>
        <d v="2026-04-23T09:19:24"/>
        <d v="2026-03-09T10:30:51"/>
        <d v="2026-01-25T00:35:58"/>
        <d v="2026-04-30T17:38:05"/>
        <d v="2026-04-21T14:45:01"/>
        <d v="2026-03-02T15:43:08"/>
        <d v="2026-01-21T11:43:23"/>
        <d v="2026-01-21T14:36:34"/>
        <d v="2025-12-23T17:22:41"/>
        <d v="2026-01-07T18:15:17"/>
        <d v="2026-05-06T12:22:40"/>
        <d v="2026-03-10T15:10:16"/>
        <d v="2026-03-10T15:09:12"/>
        <d v="2026-01-13T17:25:32"/>
        <d v="2026-01-21T11:30:12"/>
        <d v="2026-01-09T10:41:40"/>
        <d v="2025-04-16T09:06:48"/>
        <d v="2026-01-29T20:12:07"/>
        <d v="2026-05-15T17:07:41"/>
        <d v="2026-01-29T17:16:51"/>
        <d v="2026-03-23T10:58:26"/>
        <d v="2026-03-23T10:59:56"/>
        <d v="2026-03-23T10:58:50"/>
        <d v="2025-12-12T10:22:57"/>
        <d v="2026-03-02T09:15:08"/>
        <d v="2026-03-20T11:44:32"/>
        <d v="2026-04-14T10:59:19"/>
        <d v="2026-01-13T16:34:59"/>
        <d v="2026-03-10T17:42:50"/>
        <d v="2026-04-14T15:00:56"/>
        <d v="2026-01-13T17:17:35"/>
        <d v="2026-05-04T14:42:16"/>
        <d v="2026-03-24T15:24:20"/>
        <d v="2025-04-16T08:22:13"/>
        <d v="2025-12-23T10:45:04"/>
        <d v="2026-05-08T17:32:38"/>
        <d v="2025-12-04T17:43:08"/>
        <d v="2025-12-04T17:43:32"/>
        <d v="2025-05-30T16:59:06"/>
        <d v="2026-05-08T12:03:27"/>
        <d v="2026-02-20T10:03:39"/>
        <d v="2025-06-04T15:13:28"/>
        <d v="2025-11-06T17:10:37"/>
        <d v="2025-06-05T16:00:19"/>
        <d v="2025-06-06T14:52:47"/>
        <d v="2026-01-15T15:36:13"/>
        <d v="2026-03-10T16:04:54"/>
        <d v="2026-03-17T18:03:59"/>
        <d v="2026-03-17T18:19:41"/>
        <d v="2026-04-29T12:03:19"/>
        <d v="2026-01-13T17:42:31"/>
        <d v="2025-12-19T18:13:53"/>
        <d v="2026-02-26T11:16:58"/>
        <d v="2025-09-30T14:54:50"/>
        <d v="2025-06-05T15:56:53"/>
        <d v="2025-06-05T15:58:35"/>
        <d v="2026-01-13T16:37:58"/>
        <d v="2026-01-15T07:36:35"/>
        <d v="2026-04-14T09:10:44"/>
        <d v="2026-05-10T22:40:56"/>
        <d v="2026-05-06T17:55:43"/>
        <d v="2026-02-26T15:29:27"/>
        <d v="2026-04-15T10:13:17"/>
        <d v="2025-07-02T09:15:40"/>
        <d v="2026-01-21T11:50:15"/>
        <d v="2025-08-07T18:36:34"/>
        <d v="2026-04-10T09:53:15"/>
        <d v="2026-02-26T17:34:50"/>
        <d v="2026-04-15T19:08:34"/>
        <d v="2026-03-30T12:49:06"/>
        <d v="2026-05-07T15:26:56"/>
        <d v="2026-01-13T23:36:34"/>
        <d v="2025-08-21T14:36:19"/>
        <d v="2026-01-13T16:35:43"/>
        <d v="2026-04-14T08:38:57"/>
        <d v="2026-01-12T16:19:00"/>
        <d v="2025-08-05T14:41:42"/>
        <d v="2025-09-23T18:35:15"/>
        <d v="2026-04-27T12:33:07"/>
        <d v="2025-10-21T12:49:57"/>
        <d v="2026-05-13T11:16:40"/>
        <d v="2025-08-27T14:55:08"/>
        <d v="2026-05-06T17:49:34"/>
        <d v="2026-02-26T15:46:50"/>
        <d v="2026-02-27T10:59:42"/>
        <d v="2026-01-12T16:29:40"/>
        <d v="2026-04-15T14:04:13"/>
        <d v="2026-03-25T17:18:12"/>
        <d v="2026-01-09T12:09:44"/>
        <d v="2025-09-17T15:10:11"/>
        <d v="2026-02-05T09:40:15"/>
        <d v="2026-01-21T11:35:42"/>
        <d v="2026-01-14T17:55:47"/>
        <d v="2026-04-13T10:55:30"/>
        <d v="2025-09-22T18:46:59"/>
        <d v="2026-05-05T09:44:18"/>
        <d v="2025-10-03T14:37:58"/>
        <d v="2026-04-16T08:56:34"/>
        <d v="2026-02-26T15:46:10"/>
        <d v="2026-02-23T16:10:48"/>
        <d v="2025-11-11T15:51:10"/>
        <d v="2026-01-23T15:53:48"/>
        <d v="2026-02-26T17:50:15"/>
        <d v="2026-03-25T16:23:30"/>
        <d v="2025-10-07T17:05:30"/>
        <d v="2025-10-14T10:19:00"/>
        <d v="2026-01-29T16:40:57"/>
        <d v="2026-03-27T10:43:35"/>
        <d v="2026-05-05T16:22:28"/>
        <d v="2026-02-12T15:48:32"/>
        <d v="2026-05-05T16:23:21"/>
        <d v="2026-04-15T19:08:09"/>
        <d v="2026-05-04T10:18:02"/>
        <d v="2026-04-30T14:40:36"/>
        <d v="2026-05-13T14:35:07"/>
        <d v="2026-02-04T08:47:22"/>
        <d v="2026-02-04T08:51:57"/>
        <d v="2026-01-14T14:45:40"/>
        <d v="2025-12-11T10:01:11"/>
        <d v="2026-04-13T16:06:50"/>
        <d v="2026-01-08T10:11:17"/>
        <d v="2026-04-20T16:19:19"/>
        <d v="2026-05-06T11:33:12"/>
        <d v="2026-04-13T16:52:09"/>
        <d v="2025-12-29T21:29:37"/>
        <d v="2026-03-23T11:00:47"/>
        <d v="2026-03-30T12:49:20"/>
        <d v="2026-03-17T13:01:29"/>
        <d v="2026-01-25T00:11:26"/>
        <d v="2026-01-05T17:52:28"/>
        <d v="2026-03-17T13:02:51"/>
        <d v="2026-03-16T19:57:13"/>
        <d v="2026-02-20T10:02:33"/>
        <d v="2026-02-04T15:11:32"/>
        <d v="2026-01-06T17:18:21"/>
        <d v="2026-03-05T12:10:48"/>
        <d v="2026-01-08T16:57:45"/>
        <d v="2026-03-05T09:28:36"/>
        <d v="2026-01-15T13:15:12"/>
        <d v="2026-05-11T15:27:09"/>
        <d v="2026-02-16T11:09:54"/>
        <d v="2026-01-20T09:10:33"/>
        <d v="2026-04-29T12:24:08"/>
        <d v="2026-03-11T18:13:06"/>
        <d v="2026-03-23T12:20:45"/>
        <d v="2026-03-23T12:23:10"/>
        <d v="2026-03-09T09:02:09"/>
        <d v="2026-02-02T11:59:24"/>
        <d v="2026-03-31T15:59:53"/>
        <d v="2026-04-23T09:17:50"/>
        <d v="2026-02-04T09:52:08"/>
        <d v="2026-03-13T14:54:21"/>
        <d v="2026-02-23T10:00:14"/>
        <d v="2026-02-06T18:05:25"/>
        <d v="2026-05-05T09:48:49"/>
        <d v="2026-04-27T11:04:57"/>
        <d v="2026-05-12T09:35:15"/>
        <d v="2026-04-23T09:09:03"/>
        <d v="2026-04-09T15:42:28"/>
        <d v="2026-03-25T09:12:04"/>
        <d v="2026-03-11T11:07:00"/>
        <d v="2026-05-15T17:07:03"/>
        <d v="2026-03-23T17:02:15"/>
        <d v="2026-03-16T14:58:46"/>
        <d v="2026-04-22T15:19:35"/>
        <d v="2026-03-06T11:55:26"/>
        <d v="2026-03-25T09:13:32"/>
        <d v="2026-04-02T00:58:57"/>
        <d v="2026-05-07T09:25:46"/>
        <d v="2026-04-20T16:29:28"/>
        <d v="2026-05-13T19:14:58"/>
        <d v="2026-04-29T11:15:55"/>
        <d v="2026-04-17T16:06:14"/>
        <d v="2026-04-17T16:16:20"/>
        <d v="2026-05-14T14:57:41"/>
        <d v="2026-05-11T17:04:11"/>
        <d v="2026-02-27T08:18:01"/>
      </sharedItems>
      <fieldGroup par="111" base="64">
        <rangePr groupBy="months" startDate="2025-01-15T14:56:01" endDate="2026-05-15T17:07:41"/>
        <groupItems count="14">
          <s v="(en blanco)"/>
          <s v="Ene"/>
          <s v="Feb"/>
          <s v="Mar"/>
          <s v="Abr"/>
          <s v="May"/>
          <s v="Jun"/>
          <s v="Jul"/>
          <s v="Ago"/>
          <s v="Set"/>
          <s v="Oct"/>
          <s v="Nov"/>
          <s v="Dic"/>
          <s v="&gt;15/05/2026"/>
        </groupItems>
      </fieldGroup>
    </cacheField>
    <cacheField name="Estado Recomendaciones" numFmtId="0">
      <sharedItems containsBlank="1" containsMixedTypes="1" containsNumber="1" containsInteger="1" minValue="0" maxValue="0" count="6">
        <m/>
        <s v="Implementada"/>
        <s v="1. En Proceso_x000a_2. En Proceso"/>
        <s v="1. En Proceso_x000a_2. En Proceso_x000a_3. En Proceso"/>
        <s v="En Proceso"/>
        <n v="0" u="1"/>
      </sharedItems>
    </cacheField>
    <cacheField name="ID Recomendacion" numFmtId="0">
      <sharedItems containsBlank="1" containsMixedTypes="1" containsNumber="1" containsInteger="1" minValue="1404" maxValue="1404"/>
    </cacheField>
    <cacheField name="BDG2025" numFmtId="0">
      <sharedItems containsBlank="1"/>
    </cacheField>
    <cacheField name="Fechas Vencidas" numFmtId="0">
      <sharedItems/>
    </cacheField>
    <cacheField name="MicroCanal" numFmtId="0">
      <sharedItems/>
    </cacheField>
    <cacheField name="MacroCanal" numFmtId="0">
      <sharedItems/>
    </cacheField>
    <cacheField name="Compromiso 180225" numFmtId="17">
      <sharedItems containsDate="1" containsBlank="1" containsMixedTypes="1" minDate="2025-02-01T00:00:00" maxDate="2026-03-02T00:00:00" count="14">
        <d v="2025-04-01T00:00:00"/>
        <s v="Pordefinir"/>
        <m/>
        <d v="2025-09-01T00:00:00"/>
        <d v="2025-02-01T00:00:00"/>
        <d v="2025-08-01T00:00:00"/>
        <d v="2025-03-01T00:00:00"/>
        <d v="2025-06-01T00:00:00"/>
        <d v="2025-05-01T00:00:00"/>
        <d v="2025-07-01T00:00:00"/>
        <d v="2025-12-01T00:00:00"/>
        <d v="2025-10-01T00:00:00"/>
        <d v="2026-03-01T00:00:00"/>
        <d v="2025-11-01T00:00:00" u="1"/>
      </sharedItems>
    </cacheField>
    <cacheField name="Compromiso" numFmtId="0">
      <sharedItems containsNonDate="0" containsDate="1" containsString="0" containsBlank="1" minDate="2025-02-01T00:00:00" maxDate="2026-03-02T00:00:00" count="14">
        <d v="2025-04-01T00:00:00"/>
        <m/>
        <d v="2025-09-01T00:00:00"/>
        <d v="2025-02-01T00:00:00"/>
        <d v="2025-08-01T00:00:00"/>
        <d v="2025-03-01T00:00:00"/>
        <d v="2025-06-01T00:00:00"/>
        <d v="2025-05-01T00:00:00"/>
        <d v="2025-07-01T00:00:00"/>
        <d v="2025-12-01T00:00:00"/>
        <d v="2025-10-01T00:00:00"/>
        <d v="2026-03-01T00:00:00"/>
        <d v="2025-03-31T00:00:00" u="1"/>
        <d v="2025-11-01T00:00:00" u="1"/>
      </sharedItems>
    </cacheField>
    <cacheField name="Comentario Compromiso" numFmtId="0">
      <sharedItems containsBlank="1" longText="1"/>
    </cacheField>
    <cacheField name="Fecha Fin2" numFmtId="0">
      <sharedItems containsDate="1" containsMixedTypes="1" minDate="2025-02-28T00:00:00" maxDate="2026-08-10T04:48:00"/>
    </cacheField>
    <cacheField name="Fecha Vencida 2" numFmtId="0">
      <sharedItems/>
    </cacheField>
    <cacheField name="Mes" numFmtId="0">
      <sharedItems/>
    </cacheField>
    <cacheField name="Compromiso de Pedro Encalada al 01/04/252_x000a_" numFmtId="0">
      <sharedItems containsBlank="1" containsMixedTypes="1" containsNumber="1" containsInteger="1" minValue="2025" maxValue="2026"/>
    </cacheField>
    <cacheField name="Tabla 2" numFmtId="0">
      <sharedItems/>
    </cacheField>
    <cacheField name="CARTERA PPT" numFmtId="0">
      <sharedItems containsBlank="1" count="8">
        <m/>
        <s v="Agentes"/>
        <s v="ATM"/>
        <s v="Visa"/>
        <s v="APP/Web"/>
        <s v="Págalo"/>
        <s v="Agencias"/>
        <s v="_x000a_" u="1"/>
      </sharedItems>
    </cacheField>
    <cacheField name="Porcentaje de Avance" numFmtId="9">
      <sharedItems containsSemiMixedTypes="0" containsString="0" containsNumber="1" minValue="-0.01" maxValue="1"/>
    </cacheField>
    <cacheField name="FILTRO 27/10" numFmtId="0">
      <sharedItems/>
    </cacheField>
    <cacheField name="DEVOLVER 27" numFmtId="0">
      <sharedItems containsBlank="1"/>
    </cacheField>
    <cacheField name="ESTADO NO DEVUELTOS 27" numFmtId="0">
      <sharedItems containsBlank="1"/>
    </cacheField>
    <cacheField name="CRONOGRAMA" numFmtId="0">
      <sharedItems/>
    </cacheField>
    <cacheField name="indicador de Avance" numFmtId="0">
      <sharedItems/>
    </cacheField>
    <cacheField name="% PLANIFICADO" numFmtId="0">
      <sharedItems containsMixedTypes="1" containsNumber="1" minValue="0" maxValue="1"/>
    </cacheField>
    <cacheField name="% COMPLETADO" numFmtId="9">
      <sharedItems containsSemiMixedTypes="0" containsString="0" containsNumber="1" minValue="-0.01" maxValue="1"/>
    </cacheField>
    <cacheField name="GAP" numFmtId="9">
      <sharedItems containsMixedTypes="1" containsNumber="1" minValue="-0.45" maxValue="0.88"/>
    </cacheField>
    <cacheField name="RATIO" numFmtId="9">
      <sharedItems containsMixedTypes="1" containsNumber="1" minValue="0.12" maxValue="1.2"/>
    </cacheField>
    <cacheField name="Comienzo Desarrollo OG" numFmtId="0">
      <sharedItems containsNonDate="0" containsDate="1" containsString="0" containsBlank="1" minDate="2021-10-18T00:00:00" maxDate="2026-06-02T00:00:00"/>
    </cacheField>
    <cacheField name="Comienzo Desarrollo" numFmtId="0">
      <sharedItems containsNonDate="0" containsDate="1" containsString="0" containsBlank="1" minDate="2021-10-18T00:00:00" maxDate="2026-09-02T00:00:00"/>
    </cacheField>
    <cacheField name="Fin Desarrollo" numFmtId="0">
      <sharedItems containsDate="1" containsBlank="1" containsMixedTypes="1" minDate="2023-10-27T00:00:00" maxDate="2027-01-01T00:00:00"/>
    </cacheField>
    <cacheField name="Comienzo Calidad" numFmtId="0">
      <sharedItems containsDate="1" containsBlank="1" containsMixedTypes="1" minDate="2023-11-10T00:00:00" maxDate="2027-01-02T00:00:00"/>
    </cacheField>
    <cacheField name="Fin Calidad" numFmtId="0">
      <sharedItems containsDate="1" containsBlank="1" containsMixedTypes="1" minDate="2023-11-22T00:00:00" maxDate="2027-04-03T00:00:00"/>
    </cacheField>
    <cacheField name="Comienzo Producción" numFmtId="0">
      <sharedItems containsNonDate="0" containsDate="1" containsString="0" containsBlank="1" minDate="2025-01-15T00:00:00" maxDate="2027-04-04T00:00:00"/>
    </cacheField>
    <cacheField name="Fin Producción" numFmtId="0">
      <sharedItems containsNonDate="0" containsDate="1" containsString="0" containsBlank="1" minDate="2026-01-07T00:00:00" maxDate="2027-04-09T00:00:00"/>
    </cacheField>
    <cacheField name="DURACIÓN DESARROLLO DIAS" numFmtId="0">
      <sharedItems containsSemiMixedTypes="0" containsString="0" containsNumber="1" containsInteger="1" minValue="1" maxValue="904"/>
    </cacheField>
    <cacheField name="Porcentaje avanzado desarrollo" numFmtId="0">
      <sharedItems containsSemiMixedTypes="0" containsString="0" containsNumber="1" minValue="-1.8181818181818181E-2" maxValue="1"/>
    </cacheField>
    <cacheField name="DURACIÓN DESARROLLO HORAS" numFmtId="0">
      <sharedItems containsSemiMixedTypes="0" containsString="0" containsNumber="1" minValue="2.1818181818181817" maxValue="1008"/>
    </cacheField>
    <cacheField name="BANCA DIGITAL CRONOGRAMA 20" numFmtId="165">
      <sharedItems containsBlank="1"/>
    </cacheField>
    <cacheField name="ESTADO AMCRO" numFmtId="165">
      <sharedItems/>
    </cacheField>
    <cacheField name="Columna2" numFmtId="165">
      <sharedItems containsBlank="1"/>
    </cacheField>
    <cacheField name="Columna3" numFmtId="165">
      <sharedItems containsBlank="1"/>
    </cacheField>
    <cacheField name="Prcentaje faltante desarrollo" numFmtId="0">
      <sharedItems containsSemiMixedTypes="0" containsString="0" containsNumber="1" minValue="0" maxValue="1.0181818181818181"/>
    </cacheField>
    <cacheField name="Dias avanzados" numFmtId="0">
      <sharedItems containsSemiMixedTypes="0" containsString="0" containsNumber="1" containsInteger="1" minValue="0" maxValue="904"/>
    </cacheField>
    <cacheField name="Dias faltantes" numFmtId="0">
      <sharedItems containsSemiMixedTypes="0" containsString="0" containsNumber="1" containsInteger="1" minValue="0" maxValue="127"/>
    </cacheField>
    <cacheField name="HORAS AVANZADAS" numFmtId="0">
      <sharedItems containsSemiMixedTypes="0" containsString="0" containsNumber="1" minValue="0" maxValue="7232"/>
    </cacheField>
    <cacheField name="HORAS RESTANTES" numFmtId="0">
      <sharedItems containsSemiMixedTypes="0" containsString="0" containsNumber="1" minValue="0" maxValue="968"/>
    </cacheField>
    <cacheField name="mes fin prod cronograma" numFmtId="0">
      <sharedItems count="30">
        <s v="Por definir"/>
        <s v="2026-4"/>
        <s v="2026-9"/>
        <s v="2027-3"/>
        <s v="2026-3"/>
        <s v="2026-8"/>
        <s v="2026-6"/>
        <s v="2026-10"/>
        <s v="2026-5"/>
        <s v="2026-1"/>
        <s v="2026-7"/>
        <s v="2026-2"/>
        <s v="2027-1"/>
        <s v="2026-11"/>
        <s v="2026-12"/>
        <s v="2027-4"/>
        <s v="1900-1" u="1"/>
        <e v="#VALUE!" u="1"/>
        <s v="2025-10" u="1"/>
        <s v="2025-11" u="1"/>
        <s v="2025-12" u="1"/>
        <s v="2025-1" u="1"/>
        <s v="2025-2" u="1"/>
        <s v="2025-3" u="1"/>
        <e v="#N/A" u="1"/>
        <s v="2025-4" u="1"/>
        <s v="2025-5" u="1"/>
        <s v="2025-7" u="1"/>
        <s v="2025-8" u="1"/>
        <s v="2025-9" u="1"/>
      </sharedItems>
    </cacheField>
    <cacheField name="Trimestres" numFmtId="0" databaseField="0">
      <fieldGroup base="64">
        <rangePr groupBy="quarters" startDate="2025-01-15T14:56:01" endDate="2026-05-15T17:07:41"/>
        <groupItems count="6">
          <s v="&lt;15/01/2025"/>
          <s v="Trim.1"/>
          <s v="Trim.2"/>
          <s v="Trim.3"/>
          <s v="Trim.4"/>
          <s v="&gt;15/05/2026"/>
        </groupItems>
      </fieldGroup>
    </cacheField>
    <cacheField name="Años" numFmtId="0" databaseField="0">
      <fieldGroup base="64">
        <rangePr groupBy="years" startDate="2025-01-15T14:56:01" endDate="2026-05-15T17:07:41"/>
        <groupItems count="4">
          <s v="&lt;15/01/2025"/>
          <s v="2025"/>
          <s v="2026"/>
          <s v="&gt;15/05/2026"/>
        </groupItems>
      </fieldGroup>
    </cacheField>
  </cacheFields>
  <extLst>
    <ext xmlns:x14="http://schemas.microsoft.com/office/spreadsheetml/2009/9/main" uri="{725AE2AE-9491-48be-B2B4-4EB974FC3084}">
      <x14:pivotCacheDefinition pivotCacheId="196528539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xcel Services" refreshedDate="46162.469438657405" createdVersion="8" refreshedVersion="8" minRefreshableVersion="3" recordCount="262" xr:uid="{FDE0A224-8E1D-4CC5-9793-B1FF9CFA4FCE}">
  <cacheSource type="worksheet">
    <worksheetSource name="Cartera1017"/>
  </cacheSource>
  <cacheFields count="112">
    <cacheField name="ID Demanda" numFmtId="165">
      <sharedItems/>
    </cacheField>
    <cacheField name="ID Histórico" numFmtId="0">
      <sharedItems containsSemiMixedTypes="0" containsString="0" containsNumber="1" containsInteger="1" minValue="970" maxValue="3321"/>
    </cacheField>
    <cacheField name="Tipo de Requerimiento" numFmtId="0">
      <sharedItems count="2">
        <s v="Mantenimiento-Sw"/>
        <s v="Proyecto-Hijo" u="1"/>
      </sharedItems>
    </cacheField>
    <cacheField name="ID Trámite" numFmtId="0">
      <sharedItems containsBlank="1"/>
    </cacheField>
    <cacheField name="ID Mantenimiento" numFmtId="0">
      <sharedItems containsBlank="1"/>
    </cacheField>
    <cacheField name="Nombre del Requerimiento" numFmtId="0">
      <sharedItems/>
    </cacheField>
    <cacheField name="Descripción del Requerimiento" numFmtId="0">
      <sharedItems containsBlank="1" longText="1"/>
    </cacheField>
    <cacheField name="Gerencia" numFmtId="0">
      <sharedItems count="11">
        <s v="Operaciones"/>
        <s v="Productos e Inclusión Financiera"/>
        <s v="Banca Digital"/>
        <s v="Oficialía de PLAFT"/>
        <s v="Finanzas y Tesorería"/>
        <s v="Recursos Humanos y Cultura"/>
        <s v="Administración y Logística"/>
        <s v="Riesgos"/>
        <s v="Tecnologías de Información"/>
        <s v="Gerencia General"/>
        <s v="Innovación y Transformación Digital"/>
      </sharedItems>
    </cacheField>
    <cacheField name="Subgerencia" numFmtId="0">
      <sharedItems containsBlank="1"/>
    </cacheField>
    <cacheField name="Sección" numFmtId="0">
      <sharedItems containsBlank="1"/>
    </cacheField>
    <cacheField name="Fecha de Solicitud" numFmtId="14">
      <sharedItems containsNonDate="0" containsDate="1" containsString="0" containsBlank="1" minDate="2021-10-14T00:00:00" maxDate="2026-04-22T00:00:00"/>
    </cacheField>
    <cacheField name="Memorando STD" numFmtId="0">
      <sharedItems containsBlank="1"/>
    </cacheField>
    <cacheField name="Aplicativo" numFmtId="0">
      <sharedItems containsBlank="1"/>
    </cacheField>
    <cacheField name="Cartera" numFmtId="0">
      <sharedItems containsBlank="1"/>
    </cacheField>
    <cacheField name="Canal de Atención" numFmtId="0">
      <sharedItems containsBlank="1" count="16">
        <s v="Administrativo"/>
        <s v="Otros"/>
        <s v="Agencias"/>
        <m/>
        <s v="Cajeros Corresponsales"/>
        <s v="ATMs"/>
        <s v="Web Externas"/>
        <s v="POS"/>
        <s v="Banca Móvil (APP)"/>
        <s v="Pasarela de Pagos Web"/>
        <s v="Saraweb Sign"/>
        <s v="Multired Virtual (Web)"/>
        <s v="Agente Multired"/>
        <s v="Ventanilla - Saraweb"/>
        <s v="Todos los canales"/>
        <s v="Págalo.pe (APP-Web)"/>
      </sharedItems>
    </cacheField>
    <cacheField name="Producto" numFmtId="0">
      <sharedItems containsBlank="1"/>
    </cacheField>
    <cacheField name="Servicio" numFmtId="0">
      <sharedItems containsBlank="1" containsMixedTypes="1" containsNumber="1" containsInteger="1" minValue="0" maxValue="0"/>
    </cacheField>
    <cacheField name="Categoría" numFmtId="0">
      <sharedItems containsBlank="1" count="7">
        <s v="Evolutivo"/>
        <s v="Correctivo"/>
        <s v="Normativo"/>
        <s v="Recomendación"/>
        <m u="1"/>
        <s v="Tecnológica" u="1"/>
        <s v="Mejora de Procesos" u="1"/>
      </sharedItems>
    </cacheField>
    <cacheField name="Tipo" numFmtId="0">
      <sharedItems containsBlank="1"/>
    </cacheField>
    <cacheField name="Entidad reguladora / Organo de Control" numFmtId="0">
      <sharedItems containsBlank="1"/>
    </cacheField>
    <cacheField name="N° Norma / N° Informe - N° recomendación" numFmtId="0">
      <sharedItems containsBlank="1"/>
    </cacheField>
    <cacheField name="Tïtulo de Informe" numFmtId="0">
      <sharedItems containsBlank="1"/>
    </cacheField>
    <cacheField name="Nro Rec" numFmtId="0">
      <sharedItems containsBlank="1" containsMixedTypes="1" containsNumber="1" containsInteger="1" minValue="4" maxValue="6"/>
    </cacheField>
    <cacheField name="Nro Rec Numeral" numFmtId="0">
      <sharedItems containsBlank="1"/>
    </cacheField>
    <cacheField name="Fecha de Implem.Requerida" numFmtId="0">
      <sharedItems containsDate="1" containsBlank="1" containsMixedTypes="1" minDate="2014-04-01T00:00:00" maxDate="2026-03-03T00:00:00"/>
    </cacheField>
    <cacheField name="Tipo de atención" numFmtId="0">
      <sharedItems/>
    </cacheField>
    <cacheField name="Fecha de Priorización Comité" numFmtId="14">
      <sharedItems containsDate="1" containsBlank="1" containsMixedTypes="1" minDate="2022-09-30T00:00:00" maxDate="2026-05-06T00:00:00"/>
    </cacheField>
    <cacheField name="Área Responsable TI" numFmtId="0">
      <sharedItems/>
    </cacheField>
    <cacheField name="Entidad Asignado" numFmtId="0">
      <sharedItems containsBlank="1"/>
    </cacheField>
    <cacheField name="Líder Técnico/Analista" numFmtId="0">
      <sharedItems containsBlank="1"/>
    </cacheField>
    <cacheField name="Gestor TI" numFmtId="0">
      <sharedItems/>
    </cacheField>
    <cacheField name="Estado TI" numFmtId="0">
      <sharedItems count="9">
        <s v="09. Descartado"/>
        <s v="08. Producción Finalizada"/>
        <s v="02. En Planificación"/>
        <s v="10. Paralizado"/>
        <s v="07. En Despliegue"/>
        <s v="03. En Desarrollo"/>
        <s v="06. Calidad Finalizado"/>
        <s v="05. En Calidad"/>
        <s v="04. Desarrollo Finalizado"/>
      </sharedItems>
    </cacheField>
    <cacheField name="Macroestado" numFmtId="0">
      <sharedItems count="5">
        <s v="05. Descartado"/>
        <s v="03. Culminado"/>
        <s v="01. No iniciado"/>
        <s v="04. Paralizado"/>
        <s v="02. En Proceso"/>
      </sharedItems>
    </cacheField>
    <cacheField name="Motivo según estado" numFmtId="0">
      <sharedItems containsBlank="1" count="13">
        <m/>
        <s v="Falta recursos TI"/>
        <s v="Dependencia técnica"/>
        <s v="Dependencia Usuario"/>
        <s v="Disponibilidad Recurso" u="1"/>
        <s v="Atendido en otro mantenimiento" u="1"/>
        <s v="Duplicidad de Req." u="1"/>
        <s v="Coordinación Fábrica" u="1"/>
        <s v="Evaluación de Descarte" u="1"/>
        <s v="Dependencia otro requerimiento" u="1"/>
        <s v="Otro" u="1"/>
        <s v="Disponibilidad Usuario" u="1"/>
        <s v="Despriorizado por usuario" u="1"/>
      </sharedItems>
    </cacheField>
    <cacheField name="Fecha registro trámite" numFmtId="0">
      <sharedItems containsNonDate="0" containsDate="1" containsString="0" containsBlank="1" minDate="2021-10-18T00:00:00" maxDate="2025-05-29T00:00:00"/>
    </cacheField>
    <cacheField name="Fecha Inicio- Desarrollo (PLANIFICADA)" numFmtId="166">
      <sharedItems containsNonDate="0" containsDate="1" containsString="0" containsBlank="1" minDate="2025-11-03T00:00:00" maxDate="2025-11-04T00:00:00"/>
    </cacheField>
    <cacheField name="Fecha Inicio- Desarrollo" numFmtId="166">
      <sharedItems containsNonDate="0" containsDate="1" containsString="0" containsBlank="1" minDate="2021-10-18T00:00:00" maxDate="2026-05-09T00:00:00"/>
    </cacheField>
    <cacheField name="Fecha Fin- Desarrollo" numFmtId="0">
      <sharedItems containsNonDate="0" containsDate="1" containsString="0" containsBlank="1" minDate="2023-10-27T00:00:00" maxDate="2026-05-08T00:00:00"/>
    </cacheField>
    <cacheField name="Fecha Fin- Desarrollo (PLANIFICADA)" numFmtId="166">
      <sharedItems containsNonDate="0" containsDate="1" containsString="0" containsBlank="1" minDate="2024-11-11T00:00:00" maxDate="2026-04-01T00:00:00"/>
    </cacheField>
    <cacheField name="Fecha Inicio- Calidad" numFmtId="0">
      <sharedItems containsNonDate="0" containsDate="1" containsString="0" containsBlank="1" minDate="2023-11-10T00:00:00" maxDate="2026-05-15T00:00:00"/>
    </cacheField>
    <cacheField name="Fecha Fin- Calidad" numFmtId="166">
      <sharedItems containsNonDate="0" containsDate="1" containsString="0" containsBlank="1" minDate="2023-11-22T00:00:00" maxDate="2026-04-29T00:00:00"/>
    </cacheField>
    <cacheField name="Fecha Fin- Calidad (PLANIFICADA)" numFmtId="166">
      <sharedItems containsDate="1" containsMixedTypes="1" minDate="2023-07-03T14:24:00" maxDate="2026-12-07T04:48:00"/>
    </cacheField>
    <cacheField name="Fecha Inicio- Producción" numFmtId="166">
      <sharedItems containsNonDate="0" containsDate="1" containsString="0" containsBlank="1" minDate="2024-03-05T00:00:00" maxDate="2026-05-19T00:00:00"/>
    </cacheField>
    <cacheField name="Fecha Fin- Producción" numFmtId="166">
      <sharedItems containsNonDate="0" containsDate="1" containsString="0" containsBlank="1" minDate="2025-10-30T00:00:00" maxDate="2026-05-20T00:00:00"/>
    </cacheField>
    <cacheField name="Fecha Fin-Planificada" numFmtId="166">
      <sharedItems containsDate="1" containsMixedTypes="1" minDate="2023-07-10T14:24:00" maxDate="2026-12-14T04:48:00"/>
    </cacheField>
    <cacheField name="Comentarios OPP" numFmtId="0">
      <sharedItems longText="1"/>
    </cacheField>
    <cacheField name="Gerencia Abr" numFmtId="0">
      <sharedItems/>
    </cacheField>
    <cacheField name="Subgerencia Abr" numFmtId="0">
      <sharedItems/>
    </cacheField>
    <cacheField name="Mes Ingreso" numFmtId="0">
      <sharedItems/>
    </cacheField>
    <cacheField name="Mes Priorización" numFmtId="0">
      <sharedItems/>
    </cacheField>
    <cacheField name="Mes Fin Desa" numFmtId="0">
      <sharedItems/>
    </cacheField>
    <cacheField name="Mes Fin Prod" numFmtId="0">
      <sharedItems count="9">
        <s v="No definido"/>
        <s v="2026-04"/>
        <s v="2026-03"/>
        <s v="2026-02"/>
        <s v="2026-01"/>
        <s v="2025-10"/>
        <s v="2026-05"/>
        <s v="2025-12"/>
        <s v="2025-09" u="1"/>
      </sharedItems>
    </cacheField>
    <cacheField name="Mes Fin Plan" numFmtId="0">
      <sharedItems/>
    </cacheField>
    <cacheField name="ESTADO FS_INDRA" numFmtId="0">
      <sharedItems containsBlank="1"/>
    </cacheField>
    <cacheField name="FECHA INICIO" numFmtId="0">
      <sharedItems containsNonDate="0" containsDate="1" containsString="0" containsBlank="1" minDate="2023-05-16T00:00:00" maxDate="2025-06-04T00:00:00"/>
    </cacheField>
    <cacheField name="FECHA ENTREGA PLANIFICADA" numFmtId="0">
      <sharedItems containsNonDate="0" containsDate="1" containsString="0" containsBlank="1" minDate="2024-09-30T00:00:00" maxDate="2025-10-15T00:00:00"/>
    </cacheField>
    <cacheField name="FECHA ENTREGA REAL" numFmtId="0">
      <sharedItems containsNonDate="0" containsDate="1" containsString="0" containsBlank="1" minDate="2024-09-30T00:00:00" maxDate="2025-12-05T00:00:00"/>
    </cacheField>
    <cacheField name="Fecha Ingreso a la Demanda" numFmtId="0">
      <sharedItems containsNonDate="0" containsDate="1" containsString="0" containsBlank="1" minDate="2022-09-30T00:00:00" maxDate="2024-10-10T00:00:00"/>
    </cacheField>
    <cacheField name="Ingreso x Trimestre" numFmtId="0">
      <sharedItems containsBlank="1"/>
    </cacheField>
    <cacheField name="Duracion en Dias" numFmtId="0">
      <sharedItems containsMixedTypes="1" containsNumber="1" containsInteger="1" minValue="-4" maxValue="1604"/>
    </cacheField>
    <cacheField name="Duracion en Meses" numFmtId="2">
      <sharedItems containsMixedTypes="1" containsNumber="1" minValue="-0.13333333333333333" maxValue="53.466666666666669"/>
    </cacheField>
    <cacheField name="PLANEAMIENTO RQs" numFmtId="0">
      <sharedItems containsBlank="1"/>
    </cacheField>
    <cacheField name="Última Actividad" numFmtId="0">
      <sharedItems containsBlank="1"/>
    </cacheField>
    <cacheField name="Último Estado ClearQuest" numFmtId="0">
      <sharedItems containsBlank="1" count="18">
        <s v="Descartado"/>
        <s v="Procesado"/>
        <m/>
        <s v="Pospuesto"/>
        <s v="Ordenado"/>
        <s v="Asignado"/>
        <s v="Transitorio_Procesado"/>
        <s v="Certificado"/>
        <s v="Trasitorio_autorizado"/>
        <s v="Rechazado"/>
        <s v="Finalizado"/>
        <s v="En_Certificación"/>
        <s v="Aprobado"/>
        <s v="Transitorio_Ordenado"/>
        <s v="Transitorio_Regularizado"/>
        <s v="Registrado"/>
        <s v="Devuelto"/>
        <s v="Observado_Certificacion"/>
      </sharedItems>
    </cacheField>
    <cacheField name="Fecha de último Estado" numFmtId="0">
      <sharedItems containsNonDate="0" containsDate="1" containsString="0" containsBlank="1" minDate="2025-01-15T14:56:01" maxDate="2026-05-19T11:13:51"/>
    </cacheField>
    <cacheField name="Estado Recomendaciones" numFmtId="0">
      <sharedItems containsBlank="1" count="8">
        <m/>
        <s v="Implementada"/>
        <s v="1. En Proceso_x000a_2. Implementada_x000a_3. En Proceso_x000a_4. En Proceso"/>
        <s v="1. En Proceso_x000a_2. Implementada_x000a_3. En Evaluación"/>
        <s v="En Proceso"/>
        <s v="1. En Proceso_x000a_2. En Proceso"/>
        <s v="1. Implementada_x000a_2. En Proceso"/>
        <s v="1. En Proceso_x000a_2. En Proceso_x000a_3. En Proceso" u="1"/>
      </sharedItems>
    </cacheField>
    <cacheField name="ID Recomendacion" numFmtId="0">
      <sharedItems containsBlank="1"/>
    </cacheField>
    <cacheField name="BDG2026" numFmtId="0">
      <sharedItems containsNonDate="0" containsString="0" containsBlank="1"/>
    </cacheField>
    <cacheField name="Fechas Vencidas" numFmtId="0">
      <sharedItems/>
    </cacheField>
    <cacheField name="MicroCanal" numFmtId="0">
      <sharedItems/>
    </cacheField>
    <cacheField name="MacroCanal" numFmtId="0">
      <sharedItems/>
    </cacheField>
    <cacheField name="Compromiso 180225" numFmtId="17">
      <sharedItems containsDate="1" containsBlank="1" containsMixedTypes="1" minDate="2025-02-01T00:00:00" maxDate="2026-03-02T00:00:00"/>
    </cacheField>
    <cacheField name="Compromiso" numFmtId="0">
      <sharedItems containsNonDate="0" containsDate="1" containsString="0" containsBlank="1" minDate="2025-02-01T00:00:00" maxDate="2026-03-02T00:00:00"/>
    </cacheField>
    <cacheField name="Comentario Compromiso" numFmtId="0">
      <sharedItems containsBlank="1" longText="1"/>
    </cacheField>
    <cacheField name="Fecha Fin2" numFmtId="0">
      <sharedItems containsDate="1" containsMixedTypes="1" minDate="2025-02-28T00:00:00" maxDate="2026-08-10T04:48:00"/>
    </cacheField>
    <cacheField name="Fecha Vencida 2" numFmtId="0">
      <sharedItems/>
    </cacheField>
    <cacheField name="Mes" numFmtId="0">
      <sharedItems/>
    </cacheField>
    <cacheField name="Compromiso de Pedro Encalada al 01/04/252_x000a_" numFmtId="0">
      <sharedItems containsBlank="1" containsMixedTypes="1" containsNumber="1" containsInteger="1" minValue="2025" maxValue="2026"/>
    </cacheField>
    <cacheField name="Tabla 2" numFmtId="0">
      <sharedItems count="3">
        <s v="Descartado"/>
        <s v="Culminado"/>
        <s v="Activos"/>
      </sharedItems>
    </cacheField>
    <cacheField name="CARTERA PPT" numFmtId="0">
      <sharedItems containsBlank="1"/>
    </cacheField>
    <cacheField name="Porcentaje de Avance" numFmtId="9">
      <sharedItems containsSemiMixedTypes="0" containsString="0" containsNumber="1" minValue="-0.01" maxValue="1"/>
    </cacheField>
    <cacheField name="FILTRO 27/10" numFmtId="0">
      <sharedItems/>
    </cacheField>
    <cacheField name="DEVOLVER 27" numFmtId="0">
      <sharedItems containsBlank="1"/>
    </cacheField>
    <cacheField name="ESTADO NO DEVUELTOS 27" numFmtId="0">
      <sharedItems containsBlank="1"/>
    </cacheField>
    <cacheField name="CRONOGRAMA" numFmtId="0">
      <sharedItems/>
    </cacheField>
    <cacheField name="indicador de Avance" numFmtId="0">
      <sharedItems count="11">
        <s v="Sin Cronograma 🔵"/>
        <s v="IMPLEMENTADO 🔵"/>
        <s v="ATRASADO 🔴"/>
        <s v="PARALIZADO ⚪"/>
        <s v="EN RIESGO 🟡"/>
        <s v="EN CURSO 🟢"/>
        <s v="EN RIESGO 🟠" u="1"/>
        <s v="Sin Cronograma ⚪" u="1"/>
        <s v="Sin Cronograma" u="1"/>
        <s v="PARALIZADO 🔵" u="1"/>
        <s v="OK 🟢" u="1"/>
      </sharedItems>
    </cacheField>
    <cacheField name="% PLANIFICADO" numFmtId="0">
      <sharedItems containsMixedTypes="1" containsNumber="1" minValue="0" maxValue="1"/>
    </cacheField>
    <cacheField name="% COMPLETADO" numFmtId="9">
      <sharedItems containsSemiMixedTypes="0" containsString="0" containsNumber="1" minValue="-0.01" maxValue="1"/>
    </cacheField>
    <cacheField name="GAP" numFmtId="9">
      <sharedItems containsMixedTypes="1" containsNumber="1" minValue="-0.45" maxValue="0.88"/>
    </cacheField>
    <cacheField name="RATIO" numFmtId="9">
      <sharedItems containsMixedTypes="1" containsNumber="1" minValue="0.12" maxValue="1.2"/>
    </cacheField>
    <cacheField name="Comienzo Desarrollo OG" numFmtId="0">
      <sharedItems containsNonDate="0" containsDate="1" containsString="0" containsBlank="1" minDate="2021-10-18T00:00:00" maxDate="2026-06-02T00:00:00"/>
    </cacheField>
    <cacheField name="Comienzo Desarrollo" numFmtId="0">
      <sharedItems containsNonDate="0" containsDate="1" containsString="0" containsBlank="1" minDate="2021-10-18T00:00:00" maxDate="2026-09-02T00:00:00"/>
    </cacheField>
    <cacheField name="Fin Desarrollo" numFmtId="0">
      <sharedItems containsDate="1" containsBlank="1" containsMixedTypes="1" minDate="2023-10-27T00:00:00" maxDate="2027-01-01T00:00:00"/>
    </cacheField>
    <cacheField name="Comienzo Calidad" numFmtId="0">
      <sharedItems containsDate="1" containsBlank="1" containsMixedTypes="1" minDate="2023-11-10T00:00:00" maxDate="2027-01-02T00:00:00"/>
    </cacheField>
    <cacheField name="Fin Calidad" numFmtId="0">
      <sharedItems containsDate="1" containsBlank="1" containsMixedTypes="1" minDate="2023-11-22T00:00:00" maxDate="2027-04-03T00:00:00"/>
    </cacheField>
    <cacheField name="Comienzo Producción" numFmtId="0">
      <sharedItems containsNonDate="0" containsDate="1" containsString="0" containsBlank="1" minDate="2025-01-15T00:00:00" maxDate="2027-04-04T00:00:00"/>
    </cacheField>
    <cacheField name="Fin Producción" numFmtId="0">
      <sharedItems containsNonDate="0" containsDate="1" containsString="0" containsBlank="1" minDate="2026-01-07T00:00:00" maxDate="2027-04-09T00:00:00"/>
    </cacheField>
    <cacheField name="DURACIÓN DESARROLLO DIAS" numFmtId="0">
      <sharedItems containsSemiMixedTypes="0" containsString="0" containsNumber="1" containsInteger="1" minValue="1" maxValue="904"/>
    </cacheField>
    <cacheField name="Porcentaje avanzado desarrollo" numFmtId="0">
      <sharedItems containsSemiMixedTypes="0" containsString="0" containsNumber="1" minValue="0" maxValue="1"/>
    </cacheField>
    <cacheField name="DURACIÓN DESARROLLO HORAS" numFmtId="0">
      <sharedItems containsSemiMixedTypes="0" containsString="0" containsNumber="1" minValue="2.1818181818181817" maxValue="1008"/>
    </cacheField>
    <cacheField name="BANCA DIGITAL CRONOGRAMA 20" numFmtId="165">
      <sharedItems containsBlank="1"/>
    </cacheField>
    <cacheField name="ESTADO AMCRO" numFmtId="165">
      <sharedItems count="6">
        <s v="5. DESCARTADO"/>
        <s v="4. PRODUCCIÓN"/>
        <s v="1. DESARROLLO"/>
        <s v="6. PARALIZADO"/>
        <s v="3. DESPLIEGUE"/>
        <s v="2. CALIDAD"/>
      </sharedItems>
    </cacheField>
    <cacheField name="Prcentaje faltante desarrollo" numFmtId="0">
      <sharedItems containsSemiMixedTypes="0" containsString="0" containsNumber="1" minValue="0" maxValue="1"/>
    </cacheField>
    <cacheField name="Dias avanzados" numFmtId="0">
      <sharedItems containsSemiMixedTypes="0" containsString="0" containsNumber="1" containsInteger="1" minValue="0" maxValue="904"/>
    </cacheField>
    <cacheField name="Dias faltantes" numFmtId="0">
      <sharedItems containsSemiMixedTypes="0" containsString="0" containsNumber="1" containsInteger="1" minValue="0" maxValue="127"/>
    </cacheField>
    <cacheField name="HORAS AVANZADAS" numFmtId="0">
      <sharedItems containsSemiMixedTypes="0" containsString="0" containsNumber="1" minValue="0" maxValue="7232"/>
    </cacheField>
    <cacheField name="HORAS RESTANTES" numFmtId="0">
      <sharedItems containsSemiMixedTypes="0" containsString="0" containsNumber="1" minValue="0" maxValue="952"/>
    </cacheField>
    <cacheField name="mes fin prod cronograma" numFmtId="0">
      <sharedItems count="26">
        <s v="Por definir"/>
        <s v="2026-4"/>
        <s v="2026-9"/>
        <s v="2027-3"/>
        <s v="2026-3"/>
        <s v="2026-8"/>
        <s v="2026-6"/>
        <s v="2026-10"/>
        <s v="2026-5"/>
        <s v="2026-1"/>
        <s v="2026-7"/>
        <s v="2026-2"/>
        <s v="2027-1"/>
        <s v="2026-11"/>
        <s v="2026-12"/>
        <s v="2027-4"/>
        <s v="1900-1" u="1"/>
        <e v="#VALUE!" u="1"/>
        <s v="2025-10" u="1"/>
        <s v="2025-11" u="1"/>
        <s v="2025-12" u="1"/>
        <s v="2025-1" u="1"/>
        <s v="2025-2" u="1"/>
        <s v="2025-4" u="1"/>
        <s v="2025-5" u="1"/>
        <s v="2025-9" u="1"/>
      </sharedItems>
    </cacheField>
    <cacheField name="Demanda Táctica" numFmtId="0">
      <sharedItems containsBlank="1" containsMixedTypes="1" containsNumber="1" containsInteger="1" minValue="2025" maxValue="2026" count="5">
        <s v="Demanda Táctica - 2025"/>
        <s v="Demanda Táctica - 2026"/>
        <m/>
        <n v="2026" u="1"/>
        <n v="2025" u="1"/>
      </sharedItems>
    </cacheField>
    <cacheField name="COMENTARIO CALIDAD / PROD" numFmtId="0">
      <sharedItems containsBlank="1" longText="1"/>
    </cacheField>
    <cacheField name="STATUS CAL/PROD" numFmtId="0">
      <sharedItems containsBlank="1" count="7">
        <m/>
        <s v="Dependencia de otro Mantenimiento"/>
        <s v="Dependencia técnica"/>
        <s v="No indica"/>
        <s v="Dependencia de usuario"/>
        <s v="Despriorización de usuario"/>
        <s v="Falta de comité" u="1"/>
      </sharedItems>
    </cacheField>
    <cacheField name="Inicitiva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
  <r>
    <s v="2026-M0179"/>
    <s v="Asignado"/>
    <d v="2026-05-06T00:00:00"/>
    <d v="2026-05-06T00:00:00"/>
    <n v="1"/>
    <x v="0"/>
    <n v="27.636363636363637"/>
  </r>
  <r>
    <s v="2026-M0164"/>
    <s v="Asignado"/>
    <d v="2026-04-22T00:00:00"/>
    <d v="2026-04-22T00:00:00"/>
    <n v="1"/>
    <x v="0"/>
    <n v="27.636363636363637"/>
  </r>
  <r>
    <s v="2026-M0080"/>
    <s v="Asignado"/>
    <d v="2026-02-13T00:00:00"/>
    <d v="2026-02-13T00:00:00"/>
    <n v="1"/>
    <x v="0"/>
    <n v="27.636363636363637"/>
  </r>
  <r>
    <s v="2026-M0073"/>
    <s v="Asignado"/>
    <d v="2026-02-10T00:00:00"/>
    <d v="2026-02-10T00:00:00"/>
    <n v="1"/>
    <x v="0"/>
    <n v="27.636363636363637"/>
  </r>
  <r>
    <s v="2026-M0003"/>
    <s v="Asignado"/>
    <d v="2026-01-05T00:00:00"/>
    <d v="2026-01-05T00:00:00"/>
    <n v="1"/>
    <x v="0"/>
    <n v="27.636363636363637"/>
  </r>
  <r>
    <s v="2025-M0763"/>
    <s v="Asignado"/>
    <d v="2025-12-05T00:00:00"/>
    <d v="2025-12-05T00:00:00"/>
    <n v="1"/>
    <x v="0"/>
    <n v="27.636363636363637"/>
  </r>
  <r>
    <s v="2025-M0601"/>
    <s v="Asignado"/>
    <d v="2025-09-03T00:00:00"/>
    <d v="2025-09-03T00:00:00"/>
    <n v="1"/>
    <x v="0"/>
    <n v="27.636363636363637"/>
  </r>
  <r>
    <s v="2026-M0177"/>
    <s v="Asignado"/>
    <d v="2026-05-04T00:00:00"/>
    <d v="2026-05-04T00:00:00"/>
    <n v="1"/>
    <x v="1"/>
    <n v="142.62068965517241"/>
  </r>
  <r>
    <s v="2025-M0290"/>
    <s v="Asignado"/>
    <d v="2025-04-07T00:00:00"/>
    <d v="2025-12-02T00:00:00"/>
    <n v="172"/>
    <x v="1"/>
    <n v="142.62068965517241"/>
  </r>
  <r>
    <s v="2026-M0173"/>
    <s v="Asignado"/>
    <d v="2026-04-27T00:00:00"/>
    <d v="2026-04-27T00:00:00"/>
    <n v="1"/>
    <x v="0"/>
    <n v="27.636363636363637"/>
  </r>
  <r>
    <s v="2025-M0778"/>
    <s v="Asignado"/>
    <d v="2025-12-31T00:00:00"/>
    <d v="2025-12-31T00:00:00"/>
    <n v="1"/>
    <x v="0"/>
    <n v="27.636363636363637"/>
  </r>
  <r>
    <s v="2025-M0717"/>
    <s v="Asignado"/>
    <d v="2025-11-12T00:00:00"/>
    <d v="2026-04-27T00:00:00"/>
    <n v="119"/>
    <x v="2"/>
    <n v="215.5"/>
  </r>
  <r>
    <s v="2026-M0131"/>
    <s v="Asignado"/>
    <d v="2026-03-27T00:00:00"/>
    <d v="2026-03-27T00:00:00"/>
    <n v="1"/>
    <x v="3"/>
    <n v="94.4"/>
  </r>
  <r>
    <s v="2025-M0636"/>
    <s v="Asignado"/>
    <d v="2025-09-22T00:00:00"/>
    <d v="2025-09-22T00:00:00"/>
    <n v="1"/>
    <x v="3"/>
    <n v="94.4"/>
  </r>
  <r>
    <s v="2026-M0163"/>
    <s v="Asignado"/>
    <d v="2026-04-22T00:00:00"/>
    <d v="2026-04-22T00:00:00"/>
    <n v="1"/>
    <x v="0"/>
    <n v="27.636363636363637"/>
  </r>
  <r>
    <s v="2026-M0044"/>
    <s v="Rechazado"/>
    <d v="2026-01-27T00:00:00"/>
    <d v="2026-04-13T00:00:00"/>
    <n v="55"/>
    <x v="3"/>
    <n v="94.4"/>
  </r>
  <r>
    <s v="2026-M0126"/>
    <s v="Registrado"/>
    <d v="2026-03-25T00:00:00"/>
    <d v="2026-03-25T00:00:00"/>
    <n v="1"/>
    <x v="1"/>
    <n v="142.62068965517241"/>
  </r>
  <r>
    <s v="2025-M0620"/>
    <s v="Rechazado"/>
    <d v="2025-09-15T00:00:00"/>
    <d v="2026-03-19T00:00:00"/>
    <n v="134"/>
    <x v="1"/>
    <n v="142.62068965517241"/>
  </r>
  <r>
    <s v="2026-M0031"/>
    <s v="Asignado"/>
    <d v="2026-01-16T00:00:00"/>
    <d v="2026-01-16T00:00:00"/>
    <n v="1"/>
    <x v="1"/>
    <n v="142.62068965517241"/>
  </r>
  <r>
    <s v="2025-M0769"/>
    <s v="Asignado"/>
    <d v="2025-12-15T00:00:00"/>
    <d v="2025-12-15T00:00:00"/>
    <n v="1"/>
    <x v="1"/>
    <n v="142.62068965517241"/>
  </r>
  <r>
    <s v="2025-M0695"/>
    <s v="Asignado"/>
    <d v="2025-10-30T00:00:00"/>
    <d v="2025-10-30T00:00:00"/>
    <n v="1"/>
    <x v="1"/>
    <n v="142.62068965517241"/>
  </r>
  <r>
    <s v="2025-M0633"/>
    <s v="Registrado"/>
    <d v="2025-09-19T00:00:00"/>
    <d v="2025-09-19T00:00:00"/>
    <n v="1"/>
    <x v="1"/>
    <n v="142.62068965517241"/>
  </r>
  <r>
    <s v="2026-M0160"/>
    <s v="Registrado"/>
    <d v="2026-04-20T00:00:00"/>
    <d v="2026-04-20T00:00:00"/>
    <n v="1"/>
    <x v="1"/>
    <n v="142.62068965517241"/>
  </r>
  <r>
    <s v="2026-M0112"/>
    <s v="Asignado"/>
    <d v="2026-03-16T00:00:00"/>
    <d v="2026-03-16T00:00:00"/>
    <n v="1"/>
    <x v="2"/>
    <n v="215.5"/>
  </r>
  <r>
    <s v="2026-M0016"/>
    <s v="Asignado"/>
    <d v="2026-01-09T00:00:00"/>
    <d v="2026-01-09T00:00:00"/>
    <n v="1"/>
    <x v="2"/>
    <n v="215.5"/>
  </r>
  <r>
    <s v="2025-M0594"/>
    <s v="Asignado"/>
    <d v="2025-09-01T00:00:00"/>
    <d v="2025-09-01T00:00:00"/>
    <n v="1"/>
    <x v="2"/>
    <n v="215.5"/>
  </r>
  <r>
    <s v="2026-M0135"/>
    <s v="Asignado"/>
    <d v="2026-03-31T00:00:00"/>
    <d v="2026-03-31T00:00:00"/>
    <n v="1"/>
    <x v="4"/>
    <n v="59.555555555555557"/>
  </r>
  <r>
    <s v="2026-M0039"/>
    <s v="Asignado"/>
    <d v="2026-01-22T00:00:00"/>
    <d v="2026-01-23T00:00:00"/>
    <n v="2"/>
    <x v="4"/>
    <n v="59.555555555555557"/>
  </r>
  <r>
    <s v="2025-M0613"/>
    <s v="Asignado"/>
    <d v="2025-09-08T00:00:00"/>
    <d v="2025-09-08T00:00:00"/>
    <n v="1"/>
    <x v="4"/>
    <n v="59.555555555555557"/>
  </r>
  <r>
    <s v="2025-M0547"/>
    <s v="Registrado"/>
    <d v="2025-08-08T00:00:00"/>
    <d v="2025-08-08T00:00:00"/>
    <n v="1"/>
    <x v="4"/>
    <n v="59.555555555555557"/>
  </r>
  <r>
    <s v="2026-M0130"/>
    <s v="Asignado"/>
    <d v="2026-03-27T00:00:00"/>
    <d v="2026-03-27T00:00:00"/>
    <n v="1"/>
    <x v="3"/>
    <n v="94.4"/>
  </r>
  <r>
    <s v="2026-M0125"/>
    <s v="Asignado"/>
    <d v="2026-03-24T00:00:00"/>
    <d v="2026-03-25T00:00:00"/>
    <n v="2"/>
    <x v="4"/>
    <n v="59.555555555555557"/>
  </r>
  <r>
    <s v="2025-M0151"/>
    <s v="Rechazado"/>
    <d v="2025-02-25T00:00:00"/>
    <d v="2025-08-21T00:00:00"/>
    <n v="128"/>
    <x v="4"/>
    <n v="59.555555555555557"/>
  </r>
  <r>
    <s v="2026-M0107"/>
    <s v="Asignado"/>
    <d v="2026-03-06T00:00:00"/>
    <d v="2026-03-06T00:00:00"/>
    <n v="1"/>
    <x v="0"/>
    <n v="27.636363636363637"/>
  </r>
  <r>
    <s v="2026-M0048"/>
    <s v="Asignado"/>
    <d v="2026-01-29T00:00:00"/>
    <d v="2026-01-29T00:00:00"/>
    <n v="1"/>
    <x v="4"/>
    <n v="59.555555555555557"/>
  </r>
  <r>
    <s v="2025-M0772"/>
    <s v="Asignado"/>
    <d v="2025-12-17T00:00:00"/>
    <d v="2025-12-17T00:00:00"/>
    <n v="1"/>
    <x v="4"/>
    <n v="59.555555555555557"/>
  </r>
  <r>
    <s v="2025-M0497"/>
    <s v="Asignado"/>
    <d v="2025-07-09T00:00:00"/>
    <d v="2025-09-09T00:00:00"/>
    <n v="45"/>
    <x v="4"/>
    <n v="59.555555555555557"/>
  </r>
  <r>
    <s v="2026-M0098"/>
    <s v="Asignado"/>
    <d v="2026-02-26T00:00:00"/>
    <d v="2026-02-27T00:00:00"/>
    <n v="2"/>
    <x v="0"/>
    <n v="27.636363636363637"/>
  </r>
  <r>
    <s v="2025-M0409"/>
    <s v="Rechazado"/>
    <d v="2025-05-30T00:00:00"/>
    <d v="2026-01-23T00:00:00"/>
    <n v="171"/>
    <x v="1"/>
    <n v="142.62068965517241"/>
  </r>
  <r>
    <s v="2025-M0542"/>
    <s v="Registrado"/>
    <d v="2025-08-07T00:00:00"/>
    <d v="2025-08-07T00:00:00"/>
    <n v="1"/>
    <x v="1"/>
    <n v="142.62068965517241"/>
  </r>
  <r>
    <s v="2025-M0514"/>
    <s v="Asignado"/>
    <d v="2025-07-15T00:00:00"/>
    <d v="2025-07-15T00:00:00"/>
    <n v="1"/>
    <x v="1"/>
    <n v="142.62068965517241"/>
  </r>
  <r>
    <s v="2025-M0726"/>
    <s v="Asignado"/>
    <d v="2025-11-19T00:00:00"/>
    <d v="2026-01-29T00:00:00"/>
    <n v="52"/>
    <x v="0"/>
    <n v="27.636363636363637"/>
  </r>
  <r>
    <s v="2025-M0581"/>
    <s v="Asignado"/>
    <d v="2025-08-25T00:00:00"/>
    <d v="2025-08-26T00:00:00"/>
    <n v="2"/>
    <x v="2"/>
    <n v="215.5"/>
  </r>
  <r>
    <s v="2025-M0580"/>
    <s v="Asignado"/>
    <d v="2025-08-25T00:00:00"/>
    <d v="2025-08-26T00:00:00"/>
    <n v="2"/>
    <x v="2"/>
    <n v="215.5"/>
  </r>
  <r>
    <s v="2025-M0554"/>
    <s v="Asignado"/>
    <d v="2025-08-14T00:00:00"/>
    <d v="2025-08-14T00:00:00"/>
    <n v="1"/>
    <x v="4"/>
    <n v="59.555555555555557"/>
  </r>
  <r>
    <s v="2026-M0040"/>
    <s v="Registrado"/>
    <d v="2026-01-23T00:00:00"/>
    <d v="2026-01-23T00:00:00"/>
    <n v="1"/>
    <x v="5"/>
    <n v="8"/>
  </r>
  <r>
    <s v="2026-M0021"/>
    <s v="Asignado"/>
    <d v="2026-01-12T00:00:00"/>
    <d v="2026-01-12T00:00:00"/>
    <n v="1"/>
    <x v="2"/>
    <n v="215.5"/>
  </r>
  <r>
    <s v="2025-M0019"/>
    <s v="Rechazado"/>
    <d v="2025-01-08T00:00:00"/>
    <d v="2025-12-15T00:00:00"/>
    <n v="244"/>
    <x v="2"/>
    <n v="215.5"/>
  </r>
  <r>
    <s v="2025-M0599"/>
    <s v="Asignado"/>
    <d v="2025-09-02T00:00:00"/>
    <d v="2025-09-03T00:00:00"/>
    <n v="2"/>
    <x v="2"/>
    <n v="215.5"/>
  </r>
  <r>
    <s v="2025-M0531"/>
    <s v="Asignado"/>
    <d v="2025-07-24T00:00:00"/>
    <d v="2025-07-24T00:00:00"/>
    <n v="1"/>
    <x v="6"/>
    <n v="8"/>
  </r>
  <r>
    <s v="2026-M0010"/>
    <s v="Asignado"/>
    <d v="2026-01-05T00:00:00"/>
    <d v="2026-01-05T00:00:00"/>
    <n v="1"/>
    <x v="4"/>
    <n v="59.555555555555557"/>
  </r>
  <r>
    <s v="2025-M0741"/>
    <s v="Registrado"/>
    <d v="2025-11-27T00:00:00"/>
    <d v="2025-11-27T00:00:00"/>
    <n v="1"/>
    <x v="0"/>
    <n v="27.636363636363637"/>
  </r>
  <r>
    <s v="2025-M0513"/>
    <s v="Asignado"/>
    <d v="2025-07-15T00:00:00"/>
    <d v="2025-07-15T00:00:00"/>
    <n v="1"/>
    <x v="4"/>
    <n v="59.555555555555557"/>
  </r>
  <r>
    <s v="2025-M0509"/>
    <s v="Registrado"/>
    <d v="2025-07-11T00:00:00"/>
    <d v="2025-07-11T00:00:00"/>
    <n v="1"/>
    <x v="4"/>
    <n v="59.555555555555557"/>
  </r>
  <r>
    <s v="2025-M0486"/>
    <s v="Asignado"/>
    <d v="2025-07-03T00:00:00"/>
    <d v="2025-07-04T00:00:00"/>
    <n v="2"/>
    <x v="0"/>
    <n v="27.636363636363637"/>
  </r>
  <r>
    <s v="2025-M0485"/>
    <s v="Asignado"/>
    <d v="2025-07-03T00:00:00"/>
    <d v="2025-07-03T00:00:00"/>
    <n v="1"/>
    <x v="4"/>
    <n v="59.555555555555557"/>
  </r>
  <r>
    <s v="2025-M0487"/>
    <s v="Asignado"/>
    <d v="2025-07-03T00:00:00"/>
    <d v="2025-07-03T00:00:00"/>
    <n v="1"/>
    <x v="4"/>
    <n v="59.555555555555557"/>
  </r>
  <r>
    <s v="2025-M0481"/>
    <s v="Registrado"/>
    <d v="2025-07-01T00:00:00"/>
    <d v="2025-07-01T00:00:00"/>
    <n v="1"/>
    <x v="4"/>
    <n v="59.555555555555557"/>
  </r>
  <r>
    <s v="2025-M0460"/>
    <s v="Asignado"/>
    <d v="2025-06-17T00:00:00"/>
    <d v="2025-06-18T00:00:00"/>
    <n v="2"/>
    <x v="4"/>
    <n v="59.555555555555557"/>
  </r>
  <r>
    <s v="2025-M0451"/>
    <s v="Asignado"/>
    <d v="2025-06-16T00:00:00"/>
    <d v="2025-06-16T00:00:00"/>
    <n v="1"/>
    <x v="0"/>
    <n v="27.636363636363637"/>
  </r>
  <r>
    <s v="2025-M0459"/>
    <s v="Registrado"/>
    <d v="2025-06-16T00:00:00"/>
    <d v="2025-06-16T00:00:00"/>
    <n v="1"/>
    <x v="6"/>
    <n v="8"/>
  </r>
  <r>
    <s v="2025-M0458"/>
    <s v="Asignado"/>
    <d v="2025-06-16T00:00:00"/>
    <d v="2025-06-16T00:00:00"/>
    <n v="1"/>
    <x v="1"/>
    <n v="142.62068965517241"/>
  </r>
  <r>
    <s v="2025-M0428"/>
    <s v="Asignado"/>
    <d v="2025-06-04T00:00:00"/>
    <d v="2025-06-04T00:00:00"/>
    <n v="1"/>
    <x v="0"/>
    <n v="27.636363636363637"/>
  </r>
  <r>
    <s v="2025-M0418"/>
    <s v="Registrado"/>
    <d v="2025-06-03T00:00:00"/>
    <d v="2025-06-03T00:00:00"/>
    <n v="1"/>
    <x v="7"/>
    <n v="8"/>
  </r>
  <r>
    <s v="2025-M0410"/>
    <s v="Registrado"/>
    <d v="2025-05-30T00:00:00"/>
    <d v="2025-05-30T00:00:00"/>
    <n v="1"/>
    <x v="1"/>
    <n v="142.62068965517241"/>
  </r>
  <r>
    <s v="2025-M0399"/>
    <s v="Registrado"/>
    <d v="2025-05-26T00:00:00"/>
    <d v="2025-05-26T00:00:00"/>
    <n v="1"/>
    <x v="1"/>
    <n v="142.62068965517241"/>
  </r>
  <r>
    <s v="2025-M0400"/>
    <s v="Registrado"/>
    <d v="2025-05-26T00:00:00"/>
    <d v="2025-05-26T00:00:00"/>
    <n v="1"/>
    <x v="1"/>
    <n v="142.62068965517241"/>
  </r>
  <r>
    <s v="2025-M0401"/>
    <s v="Registrado"/>
    <d v="2025-05-26T00:00:00"/>
    <d v="2025-05-26T00:00:00"/>
    <n v="1"/>
    <x v="1"/>
    <n v="142.62068965517241"/>
  </r>
  <r>
    <s v="2025-M0388"/>
    <s v="Registrado"/>
    <d v="2025-05-22T00:00:00"/>
    <d v="2025-05-22T00:00:00"/>
    <n v="1"/>
    <x v="4"/>
    <n v="59.555555555555557"/>
  </r>
  <r>
    <s v="2025-M0384"/>
    <s v="Asignado"/>
    <d v="2025-05-21T00:00:00"/>
    <d v="2025-05-21T00:00:00"/>
    <n v="1"/>
    <x v="1"/>
    <n v="142.62068965517241"/>
  </r>
  <r>
    <s v="2025-M0385"/>
    <s v="Registrado"/>
    <d v="2025-05-21T00:00:00"/>
    <d v="2025-05-21T00:00:00"/>
    <n v="1"/>
    <x v="1"/>
    <n v="142.62068965517241"/>
  </r>
  <r>
    <s v="2025-M0357"/>
    <s v="Asignado"/>
    <d v="2025-05-08T00:00:00"/>
    <d v="2025-05-08T00:00:00"/>
    <n v="1"/>
    <x v="0"/>
    <n v="27.636363636363637"/>
  </r>
  <r>
    <s v="2025-M0348"/>
    <s v="Registrado"/>
    <d v="2025-05-05T00:00:00"/>
    <d v="2025-05-05T00:00:00"/>
    <n v="1"/>
    <x v="8"/>
    <n v="8"/>
  </r>
  <r>
    <s v="2025-M0349"/>
    <s v="Asignado"/>
    <d v="2025-05-05T00:00:00"/>
    <d v="2025-05-05T00:00:00"/>
    <n v="1"/>
    <x v="0"/>
    <n v="27.636363636363637"/>
  </r>
  <r>
    <s v="2025-M0338"/>
    <s v="Registrado"/>
    <d v="2025-04-29T00:00:00"/>
    <d v="2025-04-29T00:00:00"/>
    <n v="1"/>
    <x v="1"/>
    <n v="142.62068965517241"/>
  </r>
  <r>
    <s v="2025-M0335"/>
    <s v="Registrado"/>
    <d v="2025-04-29T00:00:00"/>
    <d v="2025-04-29T00:00:00"/>
    <n v="1"/>
    <x v="1"/>
    <n v="142.62068965517241"/>
  </r>
  <r>
    <s v="2025-M0336"/>
    <s v="Registrado"/>
    <d v="2025-04-29T00:00:00"/>
    <d v="2025-04-29T00:00:00"/>
    <n v="1"/>
    <x v="4"/>
    <n v="59.555555555555557"/>
  </r>
  <r>
    <s v="2025-M0334"/>
    <s v="Asignado"/>
    <d v="2025-04-25T00:00:00"/>
    <d v="2025-04-25T00:00:00"/>
    <n v="1"/>
    <x v="4"/>
    <n v="59.555555555555557"/>
  </r>
  <r>
    <s v="2025-M0327"/>
    <s v="Registrado"/>
    <d v="2025-04-24T00:00:00"/>
    <d v="2025-04-24T00:00:00"/>
    <n v="1"/>
    <x v="2"/>
    <n v="215.5"/>
  </r>
  <r>
    <s v="2025-M0309"/>
    <s v="Asignado"/>
    <d v="2025-04-16T00:00:00"/>
    <d v="2025-04-21T00:00:00"/>
    <n v="4"/>
    <x v="2"/>
    <n v="215.5"/>
  </r>
  <r>
    <s v="2025-M0310"/>
    <s v="Registrado"/>
    <d v="2025-04-16T00:00:00"/>
    <d v="2025-04-16T00:00:00"/>
    <n v="1"/>
    <x v="2"/>
    <n v="215.5"/>
  </r>
  <r>
    <s v="2025-M0305"/>
    <s v="Registrado"/>
    <d v="2025-04-14T00:00:00"/>
    <d v="2025-04-14T00:00:00"/>
    <n v="1"/>
    <x v="9"/>
    <n v="8"/>
  </r>
  <r>
    <s v="2025-M0256"/>
    <s v="Rechazado"/>
    <d v="2025-03-25T00:00:00"/>
    <d v="2025-04-14T00:00:00"/>
    <n v="15"/>
    <x v="1"/>
    <n v="142.62068965517241"/>
  </r>
  <r>
    <s v="2025-M0302"/>
    <s v="Asignado"/>
    <d v="2025-04-10T00:00:00"/>
    <d v="2025-04-10T00:00:00"/>
    <n v="1"/>
    <x v="3"/>
    <n v="94.4"/>
  </r>
  <r>
    <s v="2025-M0269"/>
    <s v="Asignado"/>
    <d v="2025-03-31T00:00:00"/>
    <d v="2025-04-02T00:00:00"/>
    <n v="3"/>
    <x v="2"/>
    <n v="215.5"/>
  </r>
  <r>
    <s v="2025-M0276"/>
    <s v="Asignado"/>
    <d v="2025-04-02T00:00:00"/>
    <d v="2025-04-02T00:00:00"/>
    <n v="1"/>
    <x v="1"/>
    <n v="142.62068965517241"/>
  </r>
  <r>
    <s v="2025-M0265"/>
    <s v="Asignado"/>
    <d v="2025-03-26T00:00:00"/>
    <d v="2025-03-26T00:00:00"/>
    <n v="1"/>
    <x v="4"/>
    <n v="59.555555555555557"/>
  </r>
  <r>
    <s v="2025-M0254"/>
    <s v="Asignado"/>
    <d v="2025-03-25T00:00:00"/>
    <d v="2025-03-25T00:00:00"/>
    <n v="1"/>
    <x v="1"/>
    <n v="142.62068965517241"/>
  </r>
  <r>
    <s v="2025-M0249"/>
    <s v="Asignado"/>
    <d v="2025-03-21T00:00:00"/>
    <d v="2025-03-21T00:00:00"/>
    <n v="1"/>
    <x v="1"/>
    <n v="142.62068965517241"/>
  </r>
  <r>
    <s v="2025-M0242"/>
    <s v="Registrado"/>
    <d v="2025-03-20T00:00:00"/>
    <d v="2025-03-20T00:00:00"/>
    <n v="1"/>
    <x v="2"/>
    <n v="215.5"/>
  </r>
  <r>
    <s v="2025-M0232"/>
    <s v="Asignado"/>
    <d v="2025-03-18T00:00:00"/>
    <d v="2025-03-18T00:00:00"/>
    <n v="1"/>
    <x v="1"/>
    <n v="142.62068965517241"/>
  </r>
  <r>
    <s v="2025-M0234"/>
    <s v="Asignado"/>
    <d v="2025-03-18T00:00:00"/>
    <d v="2025-03-18T00:00:00"/>
    <n v="1"/>
    <x v="4"/>
    <n v="59.555555555555557"/>
  </r>
  <r>
    <s v="2025-M0216"/>
    <s v="Asignado"/>
    <d v="2025-03-12T00:00:00"/>
    <d v="2025-03-12T00:00:00"/>
    <n v="1"/>
    <x v="1"/>
    <n v="142.62068965517241"/>
  </r>
  <r>
    <s v="2025-M0004"/>
    <s v="Asignado"/>
    <d v="2025-01-03T00:00:00"/>
    <d v="2025-03-10T00:00:00"/>
    <n v="47"/>
    <x v="2"/>
    <n v="215.5"/>
  </r>
  <r>
    <s v="2025-M0189"/>
    <s v="Asignado"/>
    <d v="2025-03-05T00:00:00"/>
    <d v="2025-03-06T00:00:00"/>
    <n v="2"/>
    <x v="0"/>
    <n v="27.636363636363637"/>
  </r>
  <r>
    <s v="2025-M0187"/>
    <s v="Asignado"/>
    <d v="2025-03-05T00:00:00"/>
    <d v="2025-03-05T00:00:00"/>
    <n v="1"/>
    <x v="4"/>
    <n v="59.555555555555557"/>
  </r>
  <r>
    <s v="2025-M0178"/>
    <s v="Asignado"/>
    <d v="2025-03-04T00:00:00"/>
    <d v="2025-03-04T00:00:00"/>
    <n v="1"/>
    <x v="2"/>
    <n v="215.5"/>
  </r>
  <r>
    <s v="2025-M0154"/>
    <s v="Asignado"/>
    <d v="2025-02-25T00:00:00"/>
    <d v="2025-02-25T00:00:00"/>
    <n v="1"/>
    <x v="1"/>
    <n v="142.62068965517241"/>
  </r>
  <r>
    <s v="2025-M0145"/>
    <s v="Registrado"/>
    <d v="2025-02-24T00:00:00"/>
    <d v="2025-02-24T00:00:00"/>
    <n v="1"/>
    <x v="4"/>
    <n v="59.555555555555557"/>
  </r>
  <r>
    <s v="2025-M0140"/>
    <s v="Asignado"/>
    <d v="2025-02-19T00:00:00"/>
    <d v="2025-02-19T00:00:00"/>
    <n v="1"/>
    <x v="4"/>
    <n v="59.555555555555557"/>
  </r>
  <r>
    <s v="2025-M0126"/>
    <s v="Registrado"/>
    <d v="2025-02-12T00:00:00"/>
    <d v="2025-02-12T00:00:00"/>
    <n v="1"/>
    <x v="4"/>
    <n v="59.555555555555557"/>
  </r>
  <r>
    <s v="2025-M0064"/>
    <s v="Asignado"/>
    <d v="2025-01-24T00:00:00"/>
    <d v="2025-01-24T00:00:00"/>
    <n v="1"/>
    <x v="1"/>
    <n v="142.62068965517241"/>
  </r>
  <r>
    <s v="2025-M0051"/>
    <s v="Asignado"/>
    <d v="2025-01-22T00:00:00"/>
    <d v="2025-01-22T00:00:00"/>
    <n v="1"/>
    <x v="0"/>
    <n v="27.636363636363637"/>
  </r>
  <r>
    <s v="2025-M0043"/>
    <s v="Asignado"/>
    <d v="2025-01-17T00:00:00"/>
    <d v="2025-01-17T00:00:00"/>
    <n v="1"/>
    <x v="0"/>
    <n v="27.636363636363637"/>
  </r>
  <r>
    <s v="2025-M0030"/>
    <s v="Asignado"/>
    <d v="2025-01-13T00:00:00"/>
    <d v="2025-01-13T00:00:00"/>
    <n v="1"/>
    <x v="4"/>
    <n v="59.55555555555555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
  <r>
    <s v="2023-M0356"/>
    <x v="0"/>
    <n v="1.6"/>
  </r>
  <r>
    <s v="2024-M0085"/>
    <x v="0"/>
    <n v="1.6"/>
  </r>
  <r>
    <s v="2024-M0252"/>
    <x v="0"/>
    <n v="1.6"/>
  </r>
  <r>
    <s v="2025-M0328"/>
    <x v="0"/>
    <n v="1.6"/>
  </r>
  <r>
    <s v="2023-M0182"/>
    <x v="1"/>
    <n v="1.1428571428571428"/>
  </r>
  <r>
    <s v="2023-M0522"/>
    <x v="1"/>
    <n v="1.1428571428571428"/>
  </r>
  <r>
    <s v="2025-M0282"/>
    <x v="1"/>
    <n v="1.1428571428571428"/>
  </r>
  <r>
    <s v="2025-M0465"/>
    <x v="1"/>
    <n v="1.1428571428571428"/>
  </r>
  <r>
    <s v="2024-M0175"/>
    <x v="2"/>
    <n v="2"/>
  </r>
  <r>
    <s v="2024-M0449"/>
    <x v="2"/>
    <n v="2"/>
  </r>
  <r>
    <s v="2025-M0312"/>
    <x v="2"/>
    <n v="2"/>
  </r>
  <r>
    <s v="2024-M0175"/>
    <x v="3"/>
    <n v="2"/>
  </r>
  <r>
    <s v="2025-M0312"/>
    <x v="3"/>
    <n v="2"/>
  </r>
  <r>
    <s v="2025-M0322"/>
    <x v="3"/>
    <n v="2"/>
  </r>
  <r>
    <s v="2024-M0518"/>
    <x v="4"/>
    <n v="2.6666666666666665"/>
  </r>
  <r>
    <s v="2024-M0308"/>
    <x v="5"/>
    <n v="1.1428571428571428"/>
  </r>
  <r>
    <s v="2025-M0096"/>
    <x v="5"/>
    <n v="1.1428571428571428"/>
  </r>
  <r>
    <s v="2024-M0368"/>
    <x v="6"/>
    <n v="4"/>
  </r>
  <r>
    <s v="2025-M0182"/>
    <x v="6"/>
    <n v="4"/>
  </r>
  <r>
    <s v="2025-M0278"/>
    <x v="7"/>
    <n v="2.6666666666666665"/>
  </r>
  <r>
    <s v="2025-M0182"/>
    <x v="8"/>
    <n v="1.6"/>
  </r>
  <r>
    <s v="2025-M0306"/>
    <x v="9"/>
    <n v="8"/>
  </r>
  <r>
    <s v="2025-M0312"/>
    <x v="10"/>
    <n v="8"/>
  </r>
  <r>
    <s v="2025-M0653"/>
    <x v="11"/>
    <n v="2"/>
  </r>
  <r>
    <s v="2025-M0301"/>
    <x v="12"/>
    <n v="8"/>
  </r>
  <r>
    <s v="2025-M0425"/>
    <x v="7"/>
    <n v="2.6666666666666665"/>
  </r>
  <r>
    <s v="2025-M0431"/>
    <x v="13"/>
    <n v="0.72727272727272729"/>
  </r>
  <r>
    <s v="2025-M0570"/>
    <x v="14"/>
    <n v="2.6666666666666665"/>
  </r>
  <r>
    <s v="2025-M0406"/>
    <x v="5"/>
    <n v="1.1428571428571428"/>
  </r>
  <r>
    <s v="2025-M0433"/>
    <x v="13"/>
    <n v="0.72727272727272729"/>
  </r>
  <r>
    <s v="2025-M0434"/>
    <x v="13"/>
    <n v="0.72727272727272729"/>
  </r>
  <r>
    <s v="2025-M0502"/>
    <x v="5"/>
    <n v="1.1428571428571428"/>
  </r>
  <r>
    <s v="2025-M0483"/>
    <x v="8"/>
    <n v="1.6"/>
  </r>
  <r>
    <s v="2025-M0036"/>
    <x v="8"/>
    <n v="1.6"/>
  </r>
  <r>
    <s v="2025-M0575"/>
    <x v="4"/>
    <n v="2.6666666666666665"/>
  </r>
  <r>
    <s v="2025-M0540"/>
    <x v="8"/>
    <n v="1.6"/>
  </r>
  <r>
    <s v="2025-M0535"/>
    <x v="0"/>
    <n v="1.6"/>
  </r>
  <r>
    <s v="2025-M0584"/>
    <x v="13"/>
    <n v="0.72727272727272729"/>
  </r>
  <r>
    <s v="2025-M0562"/>
    <x v="1"/>
    <n v="1.1428571428571428"/>
  </r>
  <r>
    <s v="2025-M0563"/>
    <x v="1"/>
    <n v="1.1428571428571428"/>
  </r>
  <r>
    <s v="2025-M0629"/>
    <x v="13"/>
    <n v="0.72727272727272729"/>
  </r>
  <r>
    <s v="2025-M0639"/>
    <x v="1"/>
    <n v="1.1428571428571428"/>
  </r>
  <r>
    <s v="2025-M0660"/>
    <x v="11"/>
    <n v="2"/>
  </r>
  <r>
    <s v="2025-M0698"/>
    <x v="13"/>
    <n v="0.72727272727272729"/>
  </r>
  <r>
    <s v="2025-M0665"/>
    <x v="15"/>
    <n v="8"/>
  </r>
  <r>
    <s v="2025-M0672"/>
    <x v="8"/>
    <n v="1.6"/>
  </r>
  <r>
    <s v="2025-M0742"/>
    <x v="16"/>
    <n v="4"/>
  </r>
  <r>
    <s v="2025-M0743"/>
    <x v="16"/>
    <n v="4"/>
  </r>
  <r>
    <s v="2025-M0764"/>
    <x v="17"/>
    <n v="4"/>
  </r>
  <r>
    <s v="2023-M0546"/>
    <x v="13"/>
    <n v="0.72727272727272729"/>
  </r>
  <r>
    <s v="2026-M0150"/>
    <x v="7"/>
    <n v="2.6666666666666665"/>
  </r>
  <r>
    <s v="2026-M0009"/>
    <x v="5"/>
    <n v="1.1428571428571428"/>
  </r>
  <r>
    <s v="2026-M0061"/>
    <x v="14"/>
    <n v="2.6666666666666665"/>
  </r>
  <r>
    <s v="2026-M0008"/>
    <x v="2"/>
    <n v="2"/>
  </r>
  <r>
    <s v="2026-M0008"/>
    <x v="3"/>
    <n v="2"/>
  </r>
  <r>
    <s v="2026-M0015"/>
    <x v="13"/>
    <n v="0.72727272727272729"/>
  </r>
  <r>
    <s v="2026-M0018"/>
    <x v="18"/>
    <n v="8"/>
  </r>
  <r>
    <s v="2026-M0018"/>
    <x v="19"/>
    <n v="8"/>
  </r>
  <r>
    <s v="2026-M0037"/>
    <x v="17"/>
    <n v="4"/>
  </r>
  <r>
    <s v="2026-M0046"/>
    <x v="11"/>
    <n v="2"/>
  </r>
  <r>
    <s v="2026-M0046"/>
    <x v="4"/>
    <n v="2.6666666666666665"/>
  </r>
  <r>
    <s v="2026-M0056"/>
    <x v="13"/>
    <n v="0.72727272727272729"/>
  </r>
  <r>
    <s v="2026-M0078"/>
    <x v="5"/>
    <n v="1.1428571428571428"/>
  </r>
  <r>
    <s v="2026-M0079"/>
    <x v="5"/>
    <n v="1.1428571428571428"/>
  </r>
  <r>
    <s v="2026-M0058"/>
    <x v="14"/>
    <n v="2.6666666666666665"/>
  </r>
  <r>
    <s v="2026-M0064"/>
    <x v="13"/>
    <n v="0.72727272727272729"/>
  </r>
  <r>
    <s v="2026-M0071"/>
    <x v="20"/>
    <n v="8"/>
  </r>
  <r>
    <s v="2026-M0100"/>
    <x v="21"/>
    <n v="8"/>
  </r>
  <r>
    <s v="2026-M0114"/>
    <x v="11"/>
    <n v="2"/>
  </r>
  <r>
    <s v="2026-M0106"/>
    <x v="13"/>
    <n v="0.72727272727272729"/>
  </r>
  <r>
    <s v="2026-M0142"/>
    <x v="21"/>
    <n v="8"/>
  </r>
  <r>
    <s v="2026-M0156"/>
    <x v="22"/>
    <n v="4"/>
  </r>
  <r>
    <s v="2026-M0157"/>
    <x v="22"/>
    <n v="4"/>
  </r>
  <r>
    <s v="2024-M0268"/>
    <x v="23"/>
    <n v="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5">
  <r>
    <s v="M0532"/>
    <n v="2276"/>
    <x v="0"/>
    <s v="2024-T0423"/>
    <s v="2024-M0367"/>
    <s v="Aplicativo CRMY_CRPP Periodo de Gracia"/>
    <s v="Mejoras en los aplicativos de Prestamos con suscripción de Pagaré CRMY_CRPP"/>
    <x v="0"/>
    <s v="Servicios Bancarios y Recaudación"/>
    <s v="Soporte Servicios Financieros"/>
    <d v="2024-05-09T00:00:00"/>
    <s v="MEMORANDO N° 00000093 - 2024-BN/3241"/>
    <s v="CRMY-Créditos MIPES"/>
    <m/>
    <s v="Administrativo"/>
    <s v="No Aplica"/>
    <s v="No aplica"/>
    <x v="0"/>
    <m/>
    <s v="RIESGOS"/>
    <s v="No Aplica"/>
    <s v="No Aplica"/>
    <s v="No Aplica"/>
    <s v="No Aplica"/>
    <s v="No Aplica"/>
    <s v="Normal"/>
    <d v="2024-06-27T00:00:00"/>
    <x v="0"/>
    <s v="FS-Olssa"/>
    <s v="Maribel Marlene Medina Molina"/>
    <s v="Junior Quicaño"/>
    <x v="0"/>
    <s v="05. Descartado"/>
    <m/>
    <d v="2024-07-11T00:00:00"/>
    <d v="2025-11-03T00:00:00"/>
    <d v="2025-02-07T00:00:00"/>
    <m/>
    <d v="2025-12-31T00:00:00"/>
    <m/>
    <m/>
    <d v="2026-05-10T19:12:00"/>
    <m/>
    <m/>
    <d v="2026-05-17T19:12:00"/>
    <s v="02/02/2026 Se DESCARTA el mantenimiento. El requerimiento será atendido con el mantenimiento 2024-M0368_x000a_10/02/25: Según CQ, actualizó el estado a 03. En Desarrollo_x000a_15/08/24: Según CQ, actualizó el estado a 01. Registrado_x000a_07/08/24: Según CQ, actualizó el estado a 01. Registrado_x000a_11/07/24 Se creo el TD y se registro en la demanda tactica_x000a_27/06/24 El desarrollo está en proceso._x000a_24/05/2024: Se registró en la demanda integral."/>
    <s v="Operac."/>
    <s v="BancariosRecaudación"/>
    <s v="2024-05"/>
    <s v="2024-06"/>
    <s v="No definido"/>
    <x v="0"/>
    <x v="0"/>
    <m/>
    <m/>
    <m/>
    <m/>
    <d v="2024-06-27T00:00:00"/>
    <s v="2024-II"/>
    <s v="Sin Fecha Fin Producción"/>
    <s v="No Aplica"/>
    <s v="ID 85"/>
    <s v="Finalizada"/>
    <s v="Descartado"/>
    <x v="0"/>
    <x v="0"/>
    <m/>
    <m/>
    <s v="Vencida"/>
    <s v="BackOffice"/>
    <s v="Otros Requerimientos"/>
    <x v="0"/>
    <x v="0"/>
    <s v="Pasa a Calidad mar-25, Atendido por OLssa, se reasigna en CQ a Maria Eva."/>
    <d v="2025-04-30T00:00:00"/>
    <s v="Vencida"/>
    <s v="Abr 2025"/>
    <n v="2025"/>
    <s v="Descartado"/>
    <x v="0"/>
    <n v="-0.01"/>
    <s v="PRE"/>
    <s v="NO"/>
    <s v="03. En Desarrollo"/>
    <s v="No aplica"/>
    <s v="Sin Cronograma 🔵"/>
    <s v=""/>
    <n v="-0.01"/>
    <s v=""/>
    <s v=""/>
    <m/>
    <m/>
    <m/>
    <m/>
    <m/>
    <m/>
    <m/>
    <n v="25"/>
    <n v="0.1"/>
    <n v="200"/>
    <m/>
    <s v="5. DESCARTADO"/>
    <m/>
    <m/>
    <n v="0.9"/>
    <n v="1"/>
    <n v="24"/>
    <n v="8"/>
    <n v="192"/>
    <x v="0"/>
  </r>
  <r>
    <s v="M0590"/>
    <n v="2376"/>
    <x v="0"/>
    <s v="2024-T0479"/>
    <s v="2024-M0423"/>
    <s v="Automatización Cobranza de Cuotas CRMY-CRPP"/>
    <s v="Mejora en los aplicativos CRMY-CRPP Automatización Cobranza Cuotas."/>
    <x v="0"/>
    <s v="Servicios Bancarios y Recaudación"/>
    <s v="Soporte Servicios Financieros"/>
    <d v="2024-07-25T00:00:00"/>
    <s v="MEMORANDO N° 00000172 - 2024-BN/3241"/>
    <s v="CRMY-Créditos MIPES"/>
    <m/>
    <s v="Administrativo"/>
    <s v="No Aplica"/>
    <s v="No aplica"/>
    <x v="0"/>
    <m/>
    <s v="RIESGOS"/>
    <s v="No Aplica"/>
    <s v="No Aplica"/>
    <s v="No Aplica"/>
    <s v="No Aplica"/>
    <s v="No Aplica"/>
    <s v="Estandar"/>
    <d v="2024-08-29T00:00:00"/>
    <x v="0"/>
    <s v="FS-Olssa"/>
    <s v="Maribel Marlene Medina Molina"/>
    <s v="Junior Quicaño"/>
    <x v="0"/>
    <s v="05. Descartado"/>
    <m/>
    <d v="2024-08-14T00:00:00"/>
    <m/>
    <d v="2025-12-17T00:00:00"/>
    <m/>
    <m/>
    <m/>
    <m/>
    <s v=""/>
    <m/>
    <m/>
    <s v=""/>
    <s v="02/02/2026 Se DESCARTA el mantenimiento. El requerimiento será atendido con el mantenimiento 2024-M0368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0/02/25: POSPUESTO en CQ, se planifica su atención a partir de abr-25._x000a_10/02/25: Según CQ, actualizó el estado a 10. Paralizado_x000a_06/02/52: Usuario manifiesta que se encuentra realizando pruebas, validar con Munarriz._x000a_19/09/24: Según CQ, actualizó el estado a 03. En Desarrollo_x000a_03/09/24: Según CQ, actualizó el estado a 02. En Planificación_x000a_14/08/2024 Construcción en proceso a cargo de Jorge Andres Munarriz Silva. Se encuentra en planificación de pruebas de usuarios. Se registró en el backlog"/>
    <s v="Operac."/>
    <s v="BancariosRecaudación"/>
    <s v="2024-07"/>
    <s v="2024-08"/>
    <s v="No definido"/>
    <x v="0"/>
    <x v="1"/>
    <m/>
    <m/>
    <m/>
    <m/>
    <d v="2024-08-29T00:00:00"/>
    <s v="2024-III"/>
    <s v="Sin Fecha Fin Producción"/>
    <s v="No Aplica"/>
    <s v="ID 84-58"/>
    <s v="Finalizada"/>
    <s v="Descartado"/>
    <x v="1"/>
    <x v="0"/>
    <m/>
    <m/>
    <s v="Sin Fecha"/>
    <s v="BackOffice"/>
    <s v="Otros Requerimientos"/>
    <x v="1"/>
    <x v="1"/>
    <s v="Actualiza POSPUESTO en CQ, se planificar su atención a partir de abr-25._x000a_Usuario manifiesta que se encuentra realizando pruebas, validar con Munarriz."/>
    <s v=""/>
    <s v="Sin Fecha"/>
    <s v="No definido"/>
    <n v="2025"/>
    <s v="Descartado"/>
    <x v="0"/>
    <n v="-0.01"/>
    <s v="POST"/>
    <s v="REACTIVADO"/>
    <s v="Reactivo"/>
    <s v="No aplica"/>
    <s v="Sin Cronograma 🔵"/>
    <s v=""/>
    <n v="-0.01"/>
    <s v=""/>
    <s v=""/>
    <m/>
    <m/>
    <m/>
    <m/>
    <m/>
    <m/>
    <m/>
    <n v="25"/>
    <n v="0.1"/>
    <n v="200"/>
    <m/>
    <s v="5. DESCARTADO"/>
    <m/>
    <m/>
    <n v="0.9"/>
    <n v="1"/>
    <n v="24"/>
    <n v="8"/>
    <n v="192"/>
    <x v="0"/>
  </r>
  <r>
    <s v="M1201"/>
    <n v="2990"/>
    <x v="0"/>
    <s v="2025-T0661"/>
    <s v="2025-M0543"/>
    <s v="ME: Se requiere un producto mínimo viable para el producto Factoring BN"/>
    <m/>
    <x v="1"/>
    <s v="Desarrollo Comercial y Proyectos"/>
    <s v="Desarrollo Comercial y Proyectos"/>
    <m/>
    <s v="Correo s/n"/>
    <s v="SFAC-Sistema de Factoring"/>
    <m/>
    <s v="Otros"/>
    <s v="No Aplica"/>
    <s v="No aplica"/>
    <x v="1"/>
    <m/>
    <m/>
    <m/>
    <m/>
    <m/>
    <m/>
    <m/>
    <s v="Regularizado"/>
    <d v="2025-08-29T00:00:00"/>
    <x v="1"/>
    <m/>
    <s v="Jorge Mora Ruelas"/>
    <s v="Milagros Huamani"/>
    <x v="1"/>
    <s v="03. Culminado"/>
    <m/>
    <m/>
    <m/>
    <d v="2025-08-08T00:00:00"/>
    <d v="2025-12-12T00:00:00"/>
    <m/>
    <d v="2025-12-22T00:00:00"/>
    <d v="2026-03-04T00:00:00"/>
    <d v="2026-01-31T09:36:00"/>
    <d v="2026-03-10T00:00:00"/>
    <d v="2026-04-01T00:00:00"/>
    <d v="2026-02-07T09:36:00"/>
    <s v="06/04/26: Según CQ, actualizó el estado a 08. Producción Finalizada_x000a_27/03/26: Según CQ, actualizó el estado a 07. En Despliegue_x000a_19/03/26: Según CQ, actualizó el estado a 06. Calidad Finalizado_x000a_10/03/26: Según CQ, actualizó el estado a 07. En Despliegue_x000a_05/03/26: Según CQ, actualizó el estado a 06. Calidad Finalizado_x000a_24/12/25: Según CQ, actualizó el estado a 05. En Calidad_x000a_15/12/25: Según CQ, actualizó el estado a 04. Desarrollo Finalizado_x000a_01/09/25: Según CQ, actualizó el estado a 03. En Desarrollo_x000a_28/08/25: Se regularizó su registró en el Backlog."/>
    <s v="Productos"/>
    <s v="ComercialProyectos"/>
    <s v="No definido"/>
    <s v="2025-08"/>
    <s v="2025-12"/>
    <x v="1"/>
    <x v="2"/>
    <m/>
    <m/>
    <m/>
    <m/>
    <m/>
    <s v="2025-III"/>
    <n v="236"/>
    <n v="7.8666666666666663"/>
    <m/>
    <s v="Finalizada"/>
    <s v="Procesado"/>
    <x v="2"/>
    <x v="0"/>
    <m/>
    <m/>
    <s v="Culminado"/>
    <s v="Sin Aplicativo"/>
    <s v="Sin Aplicativo"/>
    <x v="1"/>
    <x v="1"/>
    <m/>
    <d v="2026-04-01T00:00:00"/>
    <s v="Culminado"/>
    <s v="Abr 2026"/>
    <m/>
    <s v="Culminado"/>
    <x v="0"/>
    <n v="1"/>
    <s v="PRE"/>
    <s v="NO"/>
    <s v="03. En Desarrollo"/>
    <s v="No aplica"/>
    <s v="IMPLEMENTADO 🔵"/>
    <n v="1"/>
    <n v="1"/>
    <n v="0"/>
    <n v="1"/>
    <d v="2025-08-08T00:00:00"/>
    <d v="2025-08-08T00:00:00"/>
    <d v="2025-12-12T00:00:00"/>
    <d v="2025-12-22T00:00:00"/>
    <d v="2026-04-10T00:00:00"/>
    <d v="2026-04-10T00:00:00"/>
    <d v="2026-04-17T00:00:00"/>
    <n v="89"/>
    <n v="1"/>
    <n v="200"/>
    <m/>
    <s v="4. PRODUCCIÓN"/>
    <m/>
    <m/>
    <n v="0"/>
    <n v="89"/>
    <n v="0"/>
    <n v="712"/>
    <n v="0"/>
    <x v="1"/>
  </r>
  <r>
    <s v="M1271"/>
    <n v="3090"/>
    <x v="0"/>
    <s v="2025-T0847"/>
    <m/>
    <s v="Solicitud de proceso de actualización de Tickets en el Monitor Multipagos"/>
    <m/>
    <x v="2"/>
    <s v="Canales Alternos"/>
    <s v="Canales Virtuales"/>
    <d v="2025-10-17T00:00:00"/>
    <s v="MEMORANDO N° 00000496 -2025-BN/3252"/>
    <m/>
    <m/>
    <s v="Otros"/>
    <s v="No Aplica"/>
    <s v="No aplica"/>
    <x v="0"/>
    <m/>
    <m/>
    <m/>
    <m/>
    <m/>
    <m/>
    <m/>
    <s v="Normal"/>
    <d v="2025-11-11T00:00:00"/>
    <x v="0"/>
    <m/>
    <m/>
    <s v="Omar Sarmiento"/>
    <x v="2"/>
    <s v="01. No iniciado"/>
    <m/>
    <m/>
    <m/>
    <m/>
    <m/>
    <m/>
    <m/>
    <m/>
    <s v=""/>
    <m/>
    <m/>
    <s v=""/>
    <s v="30/03/2026 Se ha solicitado al jefe de construcción procesa con la creación de actividad y asignación de recursos. Luego de ello, de considerarlo necesario, proceder con la paralización_x000a_30/12/2025: Cartera reasignada a Omar Sarmiento_x000a_28/10/25: Se registró en Backlog. "/>
    <s v="B.Digital"/>
    <s v="CanalesAlternos"/>
    <s v="2025-10"/>
    <s v="2025-11"/>
    <s v="No definido"/>
    <x v="0"/>
    <x v="1"/>
    <m/>
    <m/>
    <m/>
    <m/>
    <m/>
    <s v="2025-IV"/>
    <s v="Sin Fechas"/>
    <s v="No Aplica"/>
    <m/>
    <m/>
    <m/>
    <x v="3"/>
    <x v="0"/>
    <m/>
    <m/>
    <s v="Sin Mantenimiento"/>
    <s v="Sin Aplicativo"/>
    <s v="Sin Aplicativo"/>
    <x v="2"/>
    <x v="1"/>
    <m/>
    <s v=""/>
    <s v="Sin Mantenimiento"/>
    <s v="No definido"/>
    <m/>
    <s v="Activos"/>
    <x v="0"/>
    <n v="0.1"/>
    <s v="POST"/>
    <s v="NO"/>
    <m/>
    <s v="SI"/>
    <s v="EN RIESGO 🟡"/>
    <n v="0.29850746268656714"/>
    <n v="0.1"/>
    <n v="0.19850746268656713"/>
    <n v="0.33500000000000008"/>
    <d v="2026-03-23T00:00:00"/>
    <d v="2026-03-23T00:00:00"/>
    <d v="2026-08-28T00:00:00"/>
    <d v="2026-08-31T00:00:00"/>
    <d v="2026-09-18T00:00:00"/>
    <d v="2026-09-21T00:00:00"/>
    <d v="2026-09-30T00:00:00"/>
    <n v="111"/>
    <n v="0.34782608695652173"/>
    <n v="200"/>
    <s v="BD"/>
    <s v="1. DESARROLLO"/>
    <m/>
    <m/>
    <n v="0.65217391304347827"/>
    <n v="39"/>
    <n v="72"/>
    <n v="312"/>
    <n v="576"/>
    <x v="2"/>
  </r>
  <r>
    <s v="M1278"/>
    <n v="3111"/>
    <x v="0"/>
    <s v="2025-T0846"/>
    <m/>
    <s v="Modificación de la Transacciones del Saraweb del proceso de Emisión y Reposición de Tarjeta de Débito - FASE I"/>
    <m/>
    <x v="2"/>
    <s v="Canales Alternos"/>
    <s v="Canales Virtuales"/>
    <d v="2025-10-12T00:00:00"/>
    <s v="MEMORANDO N° 00000453 - 2025-BN/3252"/>
    <m/>
    <m/>
    <s v="Agencias"/>
    <s v="Cuenta de Ahorros"/>
    <s v="No aplica"/>
    <x v="0"/>
    <m/>
    <m/>
    <m/>
    <m/>
    <m/>
    <m/>
    <m/>
    <s v="Normal"/>
    <d v="2025-11-11T00:00:00"/>
    <x v="0"/>
    <m/>
    <m/>
    <s v="Omar Sarmiento"/>
    <x v="2"/>
    <s v="01. No iniciado"/>
    <m/>
    <m/>
    <m/>
    <m/>
    <m/>
    <m/>
    <m/>
    <m/>
    <s v=""/>
    <m/>
    <m/>
    <s v=""/>
    <s v="30/03/2026 Se ha solicitado al jefe de construcción procesa con la creación de actividad y asignación de recursos. Luego de ello, de considerarlo necesario, proceder con la paralización_x000a_30/12/2025: Cartera reasignada a Omar Sarmiento_x000a_11/11/25: Se registró en el Backlog. Anexo 2 actualizado de ID 2410"/>
    <s v="B.Digital"/>
    <s v="CanalesAlternos"/>
    <s v="2025-10"/>
    <s v="2025-11"/>
    <s v="No definido"/>
    <x v="0"/>
    <x v="1"/>
    <m/>
    <m/>
    <m/>
    <m/>
    <m/>
    <s v="2025-IV"/>
    <s v="Sin Fechas"/>
    <s v="No Aplica"/>
    <m/>
    <m/>
    <m/>
    <x v="3"/>
    <x v="0"/>
    <m/>
    <m/>
    <s v="Sin Mantenimiento"/>
    <s v="Sin Aplicativo"/>
    <s v="Sin Aplicativo"/>
    <x v="2"/>
    <x v="1"/>
    <m/>
    <s v=""/>
    <s v="Sin Mantenimiento"/>
    <s v="No definido"/>
    <m/>
    <s v="Activos"/>
    <x v="0"/>
    <n v="0.1"/>
    <s v="POST"/>
    <s v="NO"/>
    <m/>
    <s v="SI"/>
    <s v="ATRASADO 🔴"/>
    <n v="0.37931034482758619"/>
    <n v="0.1"/>
    <n v="0.27931034482758621"/>
    <n v="0.26363636363636367"/>
    <d v="2025-11-03T00:00:00"/>
    <d v="2026-03-02T00:00:00"/>
    <d v="2026-07-30T00:00:00"/>
    <d v="2026-08-06T00:00:00"/>
    <d v="2026-08-31T00:00:00"/>
    <d v="2026-09-07T00:00:00"/>
    <d v="2026-09-24T00:00:00"/>
    <n v="105"/>
    <n v="0.50458715596330272"/>
    <n v="200"/>
    <s v="BD"/>
    <s v="1. DESARROLLO"/>
    <m/>
    <m/>
    <n v="0.49541284403669728"/>
    <n v="54"/>
    <n v="51"/>
    <n v="432"/>
    <n v="408"/>
    <x v="2"/>
  </r>
  <r>
    <s v="M0042"/>
    <n v="970"/>
    <x v="0"/>
    <s v="2023-T0454"/>
    <s v="2023-M0402"/>
    <s v="Modificación de límite en depósito a cuenta corriente en Cajeros  Corresponsales."/>
    <s v="Permitirá aumentar el número de transacciones de depósito a cuenta_x000a_corriente en canal Agentes Multired."/>
    <x v="2"/>
    <s v="Canales Alternos"/>
    <s v="Canales Presenciales"/>
    <d v="2022-04-28T00:00:00"/>
    <s v="MEMORANDO N° 00000512 - 2022-BN/3251"/>
    <s v="TMIN-Tarjeta Multired Interfaces"/>
    <s v="Agente BN"/>
    <m/>
    <m/>
    <m/>
    <x v="0"/>
    <m/>
    <m/>
    <m/>
    <m/>
    <m/>
    <m/>
    <m/>
    <s v="Normal"/>
    <d v="2023-12-11T00:00:00"/>
    <x v="0"/>
    <s v="Analista-BN"/>
    <s v="Vladimir Ronald Cajavilca Cajavilca"/>
    <s v="Omar Sarmiento"/>
    <x v="3"/>
    <s v="04. Paralizado"/>
    <s v="Falta recursos TI"/>
    <d v="2023-08-08T00:00:00"/>
    <m/>
    <d v="2025-02-12T00:00:00"/>
    <d v="2023-12-19T00:00:00"/>
    <m/>
    <d v="2024-01-03T00:00:00"/>
    <d v="2024-02-07T00:00:00"/>
    <d v="2023-07-03T14:24:00"/>
    <d v="2024-03-05T00:00:00"/>
    <m/>
    <d v="2023-07-10T14:24:00"/>
    <s v="26/01/2026 Coordinar con Vladimir para que se reinicie. De acuerdo a las notas, sería reiniciado en el 2026_x000a_04/02/2026: Cartera reasignada aOmar Sarmient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2/02/25: Según CQ, actualizó el estado a 10. Paralizado. Se coordinará con planeamiento y área usuaria su devolución. Se requiere que Izipay resuelva el error reportado en Producción._x000a_07/08/24: Según CQ, actualizó el estado a 03. En Desarrollo_x000a_24/06/2024: Se cambió 'Recurso-Asignado' de FS-Indra a FS-Olssa_x000a_27/04/2024: Según CQ, se actualizó el estado de 06. Calidad Finalizado a 07. En Despliegue_x000a_05/03/24:Según CQ, actualizó el estado a 17. Certificado_x000a_27/02/24:Según CQ, actualizó el estado a 08. Certificado_x000a_20/02/24:Según CQ, actualizó el estado a 08. Certificado_x000a_20/02/2024: Se confirma con Carlos Linares que se encuentra en proceso de despliegue (en coordinación con Fredy )_x000a_19/02/2024: En coordinación con OPP y jefatura se realizará asignación al regreso de vacaciones de Psilva ( 01/02/24-19/02/24). No se ha realizado un traspaso de información solo cambio de recurso._x000a_13/02/2024: Se cambia estado a Certificado según CQ_x000a_30/01/2024: Reasignaciòn de cartera de acuerdo al correo de Martin Nicho de fecha 18.01.2024._x000a_09/01/2024: Se actualiza las fechas de calidad según CQ_x000a_08/01/24:Según CQ, actualizó el estado a 07. En Calidad_x000a_02/01/2024: MMedina confirma que el requerimiento se encuentra en calidad y será atendido por Carlos Linares a su regreso de vacaciones. Pendiente de confirmar fechas por calidad_x000a_13/12/2023: COMITÉ DEMANDA REGULARIZACIÓN: Se regulariza su registro según lo aprobado en comité_x000a_11/12/2023: Según CQ fue rechazado el 30/11 a Desarrollo. Se envió consulta a Construcción sobre el estado actual del RQ._x000a_20/11/2023: Se actualiza el estado En calidad y FI de calidad de 24/10/2023 a 17/11/2023_x000a_06/11/2023: DESA Se informa en comite dep ases a calidad Seman06.11._x000a_10/10/2023: En pruebas unitarias con Izipay. Se cambia Fec Ini a 22Set y FF 30Nov23_x000a_05/10/2023: Reuna MM: Está en desarrollo. MM confirma´ra con Juana_x000a_18/09/2023: Se reitera pedido a Fabrica ( Jorge Valencia)_x000a_11/08/2023: Se cambia de CQ de 2022-M0474 a 2023-M0402._x000a_08/08/2023: P. Encalada envia solicitud a fábrica. Se solicita generación de CQ_x000a_07/08/2023: Usuario reconfirma anexo. 07/08/2023: Por derivar a fábrica_x000a_04/08/2023: Santiago Garcia confirma opcion 3: &quot;3.Implementar un nuevo control de topes exclusivo para las cuentas corrientes (incluyendo el tipo), el impacto es menor. Sólo afectaría a las cuentas corrientes.&quot;_x000a_12/06/2023: Vladimir Cajavilca confirma por correo al área usuaria las opciones que se tiene para implementar la solicitud. Se espera confirmación._x000a_05/06/2023: Se confirma vía correo electrónico del 29/05 que el RQ se encuentra priorizado para su atención._x000a_17/05/2023: Se actualiza FF producción a No definido_x000a_27/02/2023: En proceso de atención_x000a_12/01: Priorizado en comité de demanda del 12/01_x000a_05/01: C.ventocilla Confirma priorización según correo del 05/01, y Carlos Quevedo confirma lo siguiente &quot;los reportes para pago de banca celular a las Telcos. El tema de giros en agentes. Por favor priorícelos los pendientes que nos exponga a fraudes o pérdida de dinero.&quot;_x000a_24/11: Lo revisará Juan. Sigue en paralizado_x000a_22/11: Ver MEMORANDO N° 00000512 - 2022-BN/3251_x000a_09/11: En reuniones de mesa de trabajo, Construcción de aplicaciones (Mario) indicó re asignar al líder técnico Vladimir Cajavilca.  A la fecha no se ha indicado el nombre del recurso re asignado._x000a_29/09: Se remitió anexo brindado por usuario a Construcción._x000a_12/08: Usuario tiene pruebas el día de hoy con Vladimir. Carlos enviar anexo 2._x000a_29/04: Se incorporó a pedido del usuario, correo: MODIFICACIÓN DE LÍMITE DE LA TRANSACCIÓN DE DEPÓSITO EN CUENTA CORRIENTE EN EL CANAL AGENTES MULTIRED._x000a_Se remitió anexo 2"/>
    <s v="B.Digital"/>
    <s v="CanalesAlternos"/>
    <s v=" &lt;  2023"/>
    <s v="2023-12"/>
    <s v="2023-12"/>
    <x v="0"/>
    <x v="3"/>
    <m/>
    <m/>
    <m/>
    <m/>
    <d v="2023-12-11T00:00:00"/>
    <s v="2023-IV"/>
    <s v="Sin Fecha Fin Producción"/>
    <s v="No Aplica"/>
    <m/>
    <s v="Finalizada"/>
    <s v="Pospuesto"/>
    <x v="4"/>
    <x v="0"/>
    <m/>
    <m/>
    <s v="Vencida"/>
    <s v="ATM-Agentes-VISA"/>
    <s v="Canales Presenciales"/>
    <x v="1"/>
    <x v="1"/>
    <s v="01/04/25 Se retomará su atención en coordonación con Izipay y Vladimir. Se activará en el CQ._x000a_Pospuesto y se coordinará con planeamiento y área usuaria su devolución. Se requiere que Izipay resuelva el error reportado en Producción."/>
    <s v=""/>
    <s v="Sin Fecha"/>
    <s v="No definido"/>
    <n v="2025"/>
    <s v="Activos"/>
    <x v="1"/>
    <n v="0.12"/>
    <s v="POST"/>
    <s v="REACTIVADO"/>
    <s v="Reactivo"/>
    <s v="No aplica"/>
    <s v="PARALIZADO ⚪"/>
    <s v=""/>
    <n v="0.12"/>
    <s v=""/>
    <s v=""/>
    <m/>
    <m/>
    <m/>
    <m/>
    <m/>
    <m/>
    <d v="2027-03-31T00:00:00"/>
    <n v="25"/>
    <n v="0.1"/>
    <n v="200"/>
    <m/>
    <s v="6. PARALIZADO"/>
    <m/>
    <m/>
    <n v="0.9"/>
    <n v="1"/>
    <n v="24"/>
    <n v="8"/>
    <n v="192"/>
    <x v="3"/>
  </r>
  <r>
    <s v="M0052"/>
    <n v="1059"/>
    <x v="0"/>
    <s v="2021-T0535"/>
    <s v="2021-M0473"/>
    <s v="MANTENIMIENTO DEL APLICATIVO FICO _x000a_a) Mejoras y nuevas funcionalidades_x000a_b) Migración de Data de Base Datos Externa"/>
    <s v="MANTENIMIENTO DEL APLICATIVO FICO _x000a_a) Mejoras y nuevas funcionalidades_x000a_b) Migración de Data de Base Datos Externa"/>
    <x v="1"/>
    <m/>
    <s v="Fideicomisos"/>
    <d v="2021-10-14T00:00:00"/>
    <m/>
    <s v="FICO_Fideicomisos"/>
    <m/>
    <s v="Otros"/>
    <m/>
    <m/>
    <x v="0"/>
    <m/>
    <m/>
    <m/>
    <m/>
    <m/>
    <m/>
    <m/>
    <s v="Normal"/>
    <d v="2023-01-12T00:00:00"/>
    <x v="1"/>
    <s v="FS-Indra"/>
    <s v="Jorge Mora Ruelas"/>
    <s v="Milagros Huamani"/>
    <x v="1"/>
    <s v="03. Culminado"/>
    <m/>
    <d v="2021-10-18T00:00:00"/>
    <m/>
    <d v="2021-10-18T00:00:00"/>
    <d v="2025-05-20T00:00:00"/>
    <d v="2025-06-03T00:00:00"/>
    <d v="2025-06-24T00:00:00"/>
    <d v="2025-07-15T00:00:00"/>
    <d v="2026-11-14T14:24:00"/>
    <d v="2025-08-18T00:00:00"/>
    <d v="2026-03-10T00:00:00"/>
    <d v="2026-11-21T14:24:00"/>
    <s v="11/03/26: Según CQ, actualizó el estado a 08. Producción Finalizada_x000a_18/08/25: Según CQ, actualizó el estado a 07. En Despliegue_x000a_16/07/25: Según CQ, actualizó el estado a 06. Calidad Finalizado_x000a_21/05/25: Según CQ, actualizó el estado a 05. En Calidad_x000a_28/08/24: Según CQ, actualizó el estado a 03. En Desarrollo_x000a_07/08/24: Según CQ, actualizó el estado a 02. En Planificación_x000a_21/06/2024 Se cambió el recurso asignado de Analista-BN a FS-Indra_x000a_10/05/2024: De acuerdo a reporte remitido por M. Barboza de Construcción:  Se esta trabajando con la fabrica INDRA desde el 2 de mayo. Se actualiza el N° de mantenimiento y el estado de registrado a en desarrollo_x000a_07/11/2023 En atención al MEMORANDO N° 00000083 - 2023-BN/2542 se cambia de gestor de O. Sarmiento a M.Huamani_x000a_31/09/2023 Se cambio estado a Registrado por estar depriorizado por el Usuario._x000a_20/03/23 De acuerdo a reunion con el usuario del 17/03 se despriorizó el requerimiento, cambiando su estado en la demanda a Solicitado._x000a_18/07: Resgistrado en Cartera_x000a_MEMORANDO N° 00001775 - 2021-BN/7101 del 15/10/2021"/>
    <s v="Productos"/>
    <s v=""/>
    <s v=" &lt;  2023"/>
    <s v="2023-01"/>
    <s v="2025-05"/>
    <x v="2"/>
    <x v="4"/>
    <s v="Finalizado"/>
    <d v="2024-05-02T00:00:00"/>
    <d v="2025-06-03T00:00:00"/>
    <d v="2025-06-03T00:00:00"/>
    <d v="2023-01-12T00:00:00"/>
    <s v="2023-IV"/>
    <n v="1604"/>
    <n v="53.466666666666669"/>
    <s v="ID 3"/>
    <s v="Finalizada"/>
    <s v="Procesado"/>
    <x v="5"/>
    <x v="0"/>
    <m/>
    <m/>
    <s v="Culminado"/>
    <s v="BackOffice"/>
    <s v="Otros Requerimientos"/>
    <x v="3"/>
    <x v="2"/>
    <s v="Evaluar el descarte con David y Rosario Armas para que la atención figure con el mantenimiento 2024-M0251."/>
    <d v="2026-03-10T00:00:00"/>
    <s v="Culminado"/>
    <s v="Mar 2026"/>
    <n v="2025"/>
    <s v="Culminado"/>
    <x v="0"/>
    <n v="1"/>
    <s v="PRE"/>
    <s v="NO"/>
    <s v="07. En Despliegue"/>
    <s v="No aplica"/>
    <s v="IMPLEMENTADO 🔵"/>
    <n v="1"/>
    <n v="1"/>
    <n v="0"/>
    <n v="1"/>
    <d v="2021-10-18T00:00:00"/>
    <d v="2021-10-18T00:00:00"/>
    <d v="2025-05-20T00:00:00"/>
    <d v="2025-06-24T00:00:00"/>
    <d v="2025-07-15T00:00:00"/>
    <d v="2025-08-18T00:00:00"/>
    <d v="2026-03-27T00:00:00"/>
    <n v="904"/>
    <n v="1"/>
    <n v="200"/>
    <m/>
    <s v="4. PRODUCCIÓN"/>
    <m/>
    <m/>
    <n v="0"/>
    <n v="904"/>
    <n v="0"/>
    <n v="7232"/>
    <n v="0"/>
    <x v="4"/>
  </r>
  <r>
    <s v="M0074"/>
    <n v="1194"/>
    <x v="0"/>
    <s v="2022-T0523"/>
    <s v="2022-M0526"/>
    <s v="Código de productos que no se están cargando a BDUC"/>
    <m/>
    <x v="0"/>
    <s v="Captaciones y Pagaduría"/>
    <s v="Apertura de Cuentas"/>
    <d v="2022-11-08T00:00:00"/>
    <s v="Correo s/n"/>
    <s v="SIUC-Sistema de Información Unica de Clientes"/>
    <m/>
    <m/>
    <s v="No Aplica"/>
    <s v="No aplica"/>
    <x v="1"/>
    <m/>
    <s v="No Aplica"/>
    <s v="No Aplica"/>
    <s v="No Aplica"/>
    <s v="No Aplica"/>
    <s v="No Aplica"/>
    <s v="No Aplica"/>
    <s v="Normal"/>
    <d v="2023-12-11T00:00:00"/>
    <x v="0"/>
    <s v="Analista-BN"/>
    <s v="Johnny Luis Rocca Surco"/>
    <s v="Junior Quicaño"/>
    <x v="4"/>
    <s v="02. En Proceso"/>
    <m/>
    <d v="2022-10-13T00:00:00"/>
    <m/>
    <d v="2023-09-18T00:00:00"/>
    <d v="2023-10-27T00:00:00"/>
    <m/>
    <d v="2023-11-10T00:00:00"/>
    <d v="2023-11-22T00:00:00"/>
    <d v="2023-11-11T14:24:00"/>
    <d v="2026-03-25T00:00:00"/>
    <m/>
    <d v="2023-11-18T14:24:00"/>
    <s v="27/03/26: Según CQ, actualizó el estado a 07. En Despliegue_x000a_24/06/2024: Se cambió 'Recurso-Asignado' de FS-Indra a FS-Olssa. El estado Indra es Rechazado_x000a_05/03/24:Según CQ, actualizó el estado a 17. Certificado_x000a_27/02/24:Según CQ, actualizó el estado a 08. Certificado_x000a_20/02/24:Según CQ, actualizó el estado a 08. Certificad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20/12/23:Según CQ, actualizó el estado a 08. Certificado_x000a_13/12/2023: COMITÉ DEMANDA REGULARIZACIÓN: Se regulariza su registro según lo aprobado en comité_x000a_16/10/2023: DESA se informa en comite de pases a calidad Sema.16.10.2023._x000a_18/09/2023 DESA el mant.correcto es 202-M0526 se esta atendiendo con ese numero y se informa en comite depases a calidad Sem18.09._x000a_12/12/2022: El requerimiento será atendido por OLSSA, se ha registrado un nuevo mantenimiento 2022-M0556, se solicitará cronograma._x000a_11/11: Se registra por cruce con lista de Fábrica Indra"/>
    <s v="Operac."/>
    <s v="CaptacionesPagaduría"/>
    <s v=" &lt;  2023"/>
    <s v="2023-12"/>
    <s v="2023-10"/>
    <x v="0"/>
    <x v="5"/>
    <s v="Rechazado"/>
    <m/>
    <m/>
    <m/>
    <d v="2023-12-11T00:00:00"/>
    <s v="2023-IV"/>
    <s v="Sin Fecha Fin Producción"/>
    <s v="No Aplica"/>
    <m/>
    <s v="Finalizada,Finalizada"/>
    <s v="Ordenado"/>
    <x v="6"/>
    <x v="0"/>
    <m/>
    <m/>
    <s v="Vencida"/>
    <s v="Clientes (BDUC)"/>
    <s v="Canales Presenciales"/>
    <x v="4"/>
    <x v="3"/>
    <m/>
    <d v="2025-02-28T00:00:00"/>
    <s v="Vencida"/>
    <s v="Feb 2025"/>
    <m/>
    <s v="Activos"/>
    <x v="0"/>
    <n v="0.9"/>
    <s v="PRE"/>
    <s v="NO"/>
    <s v="06. Calidad Finalizado"/>
    <s v="SI"/>
    <s v="ATRASADO 🔴"/>
    <n v="1"/>
    <n v="0.9"/>
    <n v="9.9999999999999978E-2"/>
    <n v="0.9"/>
    <d v="2023-09-18T00:00:00"/>
    <d v="2023-09-18T00:00:00"/>
    <d v="2023-10-27T00:00:00"/>
    <d v="2023-11-10T00:00:00"/>
    <d v="2023-11-22T00:00:00"/>
    <d v="2026-02-19T00:00:00"/>
    <d v="2026-03-27T00:00:00"/>
    <n v="29"/>
    <n v="1"/>
    <n v="200"/>
    <m/>
    <s v="3. DESPLIEGUE"/>
    <m/>
    <m/>
    <n v="0"/>
    <n v="29"/>
    <n v="0"/>
    <n v="232"/>
    <n v="0"/>
    <x v="4"/>
  </r>
  <r>
    <s v="M0085"/>
    <n v="1246"/>
    <x v="0"/>
    <s v="2023-T0400"/>
    <s v="2023-M0356"/>
    <s v="Migración del Aplicativo SIARLADI"/>
    <s v="Se requiere realizar la migración del Aplicativo SIARLADI (SQL Server 2000, Visual Studio 2003) a una plataforma actual (SQL Server, Visual Studio y Sistema Operativo 2019), debido al alto riesgo sobre la continuidad operativa del aplicativo y seguir adecuado a la normatividad vigente."/>
    <x v="3"/>
    <s v="Oficialía de PLAFT"/>
    <s v="Oficialía de PLAFT"/>
    <d v="2022-12-29T00:00:00"/>
    <s v="MEMORANDO N° 00000012 - 2022-BN/1202"/>
    <s v="LADI-Lavado de Dinero"/>
    <m/>
    <m/>
    <m/>
    <m/>
    <x v="0"/>
    <m/>
    <m/>
    <m/>
    <m/>
    <m/>
    <m/>
    <m/>
    <s v="Normal"/>
    <d v="2023-01-12T00:00:00"/>
    <x v="1"/>
    <s v="Analista-BN"/>
    <s v="Paul Alminagorta Cabezas"/>
    <s v="Juan Carlos Zavaleta"/>
    <x v="5"/>
    <s v="02. En Proceso"/>
    <m/>
    <d v="2023-07-12T00:00:00"/>
    <m/>
    <d v="2023-10-05T00:00:00"/>
    <m/>
    <m/>
    <m/>
    <m/>
    <s v=""/>
    <m/>
    <m/>
    <s v=""/>
    <s v="13/04/2026 Supeditado a los recursos de fábrica_x000a_05/09/2025: Cartera reasignada a Juan Carlos Zavaleta_x000a_11/08/2025: Cartera reasignada a Percy Silva_x000a_20/01/2025 Cartera reasignada a Omar Sarmiento_x000a_28/08/24: Según CQ, actualizó el estado a 03. En Desarrollo_x000a_15/08/24: Según CQ, actualizó el estado a 02. En Planificación_x000a_07/08/24: Según CQ, actualizó el estado a 02. En Planificación_x000a_14/03/24 Construcción brindó las nuevas fechas de implementación: _x000a_•_x0009_01-feb al 01-mar: Aprender .NET y revisión del código de SIARLADI._x000a_•_x0009_08-mar: 1ra. reunión de entendimiento con el usuario. (reunión todos los viernes para verificar los avances)._x000a_•_x0009_05-Abr: Ver que parte de SIARLADI entraría para la primera parte._x000a_•_x0009_29-Abr: Pase a Certificación de la 1ra. parte de SIARLADI._x000a_•_x0009_17-Jun: Pase a Certificación de la 2da. parte de SIARLADI._x000a_•_x0009_22- Julio: Pase a Certificación de la 3ra. parte de SIARLADI._x000a_•_x0009_02-Setiembre: Pase a producción final de SIARLADI completo._x000a_•_x0009_(desactivación de la base de datos y links anteriores)._x000a_05/03/24 Se paralizo de Dic23 a Feb24 por un tema de disponibilidad de recursos. SIn embargo a partir del    se ha retomado con el desarrollo._x000a_16/02/24: Se paralizó el requerimiento por un tema de disponbilidad de recursos; sin embargo David Coca confirmó que ya se cuenta con los recursos y las fechas son las sgtes:_x000a_•_x0009_01-feb al 01-mar: Aprender .NET y revisión del código de SIARLADI._x000a_•_x0009_08-mar: 1ra. reunión de entendimiento con el usuario._x000a_•_x0009_(reunión todos los viernes para verificar los avances)._x000a_•_x0009_05-Abr: Ver que parte de SIARLADI entraría para la primera parte._x000a_•_x0009_29-Abr: Pase a Certificación de la 1ra. parte de SIARLADI._x000a_•_x0009_03-Jun: Pase a Certificación de la 2da. parte de SIARLADI._x000a_•_x0009_08 Julio: Pase a Certificación de la 3ra. parte de SIARLADI._x000a_•_x0009_26 Julio: Pase a producción final de SIARLADI completo._x000a_•_x0009_(desactivación de la base de datos y links anteriores)._x000a__x000a_29/11/2023 En desarrollo, se estima culminar con una primera etapa del desarrollo en el mes de diciembre y su puesta en Producción en el mes de enero 2024._x000a_31/10/2023: El requerimiento se encuentra en proceso de desarrollo. Pendiente revisión y conformidad del cronograma remitido a Paul Alminagorta en base a lo coordinado._x000a_27/09/2023: DESA se cambia de area responsable a Adminitrativos._x000a_28/08/23: De acuerdo a reunión sostenida con Paul Alminagorta (ver acuerdos en correo de fecha 23/08), el desarrollo inició en una nueva fecha 16/08. Se armó un borrador de cronograma, el cual Paul informó que será revisado el 01/09._x000a_14/08/23:Según CQ, actualizó el estado a 02. No Iniciado_x000a_31/07/23:Según CQ, actualizó el estado a 02. No Iniciado_x000a_18/07/23 De acuerdo a lo coordinado hoy con DCoca la migración se está avanzado, se estima concluir con el mismo el 31/10, Noviembre certificación y primera semana de diciembre en producción._x000a_12/04/23 Mediante correo de hoy DCoca informa el inicio de la migración._x000a_09/03/23 De acuerdo a lo coordinado con Construcción el requerimiento será atendido por la Fábrica Indra. Se encuentran en etapa de evaluación._x000a_06/01-Comité de Demanda TI: Reunion con el usuario para definir el alcance."/>
    <s v="PLAFT"/>
    <s v="OficialíaPLAFT"/>
    <s v=" &lt;  2023"/>
    <s v="2023-01"/>
    <s v="No definido"/>
    <x v="0"/>
    <x v="1"/>
    <m/>
    <m/>
    <m/>
    <m/>
    <d v="2023-01-12T00:00:00"/>
    <s v="2023-IV"/>
    <s v="Sin Fecha Fin Producción"/>
    <s v="No Aplica"/>
    <m/>
    <s v="Finalizada"/>
    <s v="Asignado"/>
    <x v="7"/>
    <x v="0"/>
    <m/>
    <m/>
    <s v="Sin Fecha"/>
    <s v="BackOffice"/>
    <s v="Otros Requerimientos"/>
    <x v="5"/>
    <x v="4"/>
    <s v="pasa a calidad Jun-25"/>
    <d v="2025-08-31T00:00:00"/>
    <s v="Vencida"/>
    <s v="Ago 2025"/>
    <n v="2025"/>
    <s v="Activos"/>
    <x v="0"/>
    <n v="0.15"/>
    <s v="PRE"/>
    <s v="NO"/>
    <s v="03. En Desarrollo"/>
    <s v="SI"/>
    <s v="EN RIESGO 🟡"/>
    <n v="0.30864197530864196"/>
    <n v="0.15"/>
    <n v="0.15864197530864196"/>
    <n v="0.48599999999999999"/>
    <d v="2026-04-13T00:00:00"/>
    <d v="2026-04-13T00:00:00"/>
    <d v="2026-06-30T00:00:00"/>
    <d v="2026-07-04T00:00:00"/>
    <d v="2026-07-25T00:00:00"/>
    <d v="2026-08-02T00:00:00"/>
    <d v="2026-08-09T00:00:00"/>
    <n v="55"/>
    <n v="0.43859649122807015"/>
    <n v="88"/>
    <m/>
    <s v="1. DESARROLLO"/>
    <m/>
    <m/>
    <n v="0.56140350877192979"/>
    <n v="24"/>
    <n v="31"/>
    <n v="38.400000000000006"/>
    <n v="49.6"/>
    <x v="5"/>
  </r>
  <r>
    <s v="M0104"/>
    <n v="1319"/>
    <x v="0"/>
    <s v="2023-T0065"/>
    <s v="2023-M0052"/>
    <s v="Transferencia Interbancarias CCE-Diferidas (SICA)"/>
    <m/>
    <x v="4"/>
    <s v="Contabilidad"/>
    <m/>
    <d v="2023-02-01T00:00:00"/>
    <m/>
    <s v="SICA-Sistema de Canje Electronico"/>
    <s v="Facturación Electrónica - I"/>
    <s v="Otros"/>
    <m/>
    <m/>
    <x v="2"/>
    <s v="Normativo"/>
    <s v="SUNAT"/>
    <s v="R.S. N°193-2020/SUNAT - MODIFICAN LA NORMATIVA SOBRE EMISIÓN ELECTRÓNICA EN RELACIÓN CON LA FACTURA ELECTRÓNICA, EL RECIBO POR HONORARIOS ELECTRÓNICO"/>
    <m/>
    <m/>
    <m/>
    <m/>
    <s v="Heredado"/>
    <d v="2022-09-30T00:00:00"/>
    <x v="0"/>
    <s v="FS-Indra"/>
    <s v="Eduardo Saul Cardenas Manrique"/>
    <s v="Juan Carlos Zavaleta"/>
    <x v="1"/>
    <s v="03. Culminado"/>
    <m/>
    <d v="2023-02-01T00:00:00"/>
    <m/>
    <d v="2025-08-01T00:00:00"/>
    <d v="2025-08-01T00:00:00"/>
    <d v="2025-07-25T00:00:00"/>
    <d v="2025-09-11T00:00:00"/>
    <d v="2025-09-29T00:00:00"/>
    <d v="2025-07-22T04:48:00"/>
    <d v="2026-02-10T00:00:00"/>
    <d v="2026-02-10T00:00:00"/>
    <d v="2025-07-29T04:48:00"/>
    <s v="11/02/26: Según CQ, actualizó el estado a 08. Producción Finalizada_x000a_01/10/25: Según CQ, actualizó el estado a 06. Calidad Finalizado_x000a_04/08/25: Según CQ, actualizó el estado a 05. En Calidad_x000a_24/07/25: Según CQ, actualizó el estado a 03. En Desarrollo_x000a_17/06/2025: Se cambia de gestor de TI de Omar S. a Juan Carlos Z._x000a_05/06/25: Según CQ, actualizó el estado a 05. En Calidad_x000a_28/05/25: Según CQ, actualizó el estado a 04. Desarrollo Finalizado_x000a_30/01/2024: Reasignaciòn de cartera de acuerdo al correo de Martin Nicho de fecha 18.01.2024._x000a_08/11/2023: Se encuentra en proceso de las pruebas 07INVOICE._x000a_30/10/2023: Se actualizaron las fechas debido a que aún no se realizan las pruebas por parte del área usuaria._x000a_11/10/2023: Se encuentra a la espera del status de dicho requerimiento._x000a_30/05/2023: Se registro las fechas según lo detallado por INDRA y se actualizó el estado (&quot;En Desarrollo&quot;)_x000a_17/03/2023:En etapa de evaluación, pendiente de absolver una consulta enviada por analista Indra. Luego de ello se sincera la estimación y se enviará los artefactos._x000a_07/02/2023: Operaciones actualizara Anexo 2_x000a_25/01/2023: Se revisón requerimeiento con INDRA, Operaciones debe de actualizar Anexo 2 incluyendo nombre de los archivos diarios de cuentas corrientes SIF23 para monedad nacional y MCF96 para moneda extrajera, y fuente de captura para las cuentas de ahora con Norma Fukunaga._x000a_No iniciado, revisión analistas TI y OP._x000a_10/01/2023: Se efectuo revisión con analistas TI y OP. Falta actualizar información para convocar reunión con INDRA._x000a_20/01/2023: Se agendo reunión para el 24/01 para la presentación a INDRA._x000a_NOTA: Dependencia del RQ con ID Histórico 941"/>
    <s v="Finanzas"/>
    <s v="Contabilidad"/>
    <s v="2023-02"/>
    <s v="2022-09"/>
    <s v="2025-08"/>
    <x v="3"/>
    <x v="6"/>
    <s v="Entregado"/>
    <d v="2023-05-16T00:00:00"/>
    <d v="2025-07-25T00:00:00"/>
    <d v="2025-07-25T00:00:00"/>
    <d v="2022-09-30T00:00:00"/>
    <s v="2023-IV"/>
    <n v="193"/>
    <n v="6.4333333333333336"/>
    <m/>
    <s v="Finalizada"/>
    <s v="Procesado"/>
    <x v="8"/>
    <x v="0"/>
    <m/>
    <m/>
    <s v="Culminado"/>
    <s v="BackOffice"/>
    <s v="Otros Requerimientos"/>
    <x v="6"/>
    <x v="5"/>
    <s v="Pase a Calidad Feb-25 - Paquete 6"/>
    <d v="2026-02-10T00:00:00"/>
    <s v="Culminado"/>
    <s v="Feb 2026"/>
    <n v="2025"/>
    <s v="Culminado"/>
    <x v="0"/>
    <n v="1"/>
    <s v="PRE"/>
    <s v="NO"/>
    <s v="06. Calidad Finalizado"/>
    <s v="No aplica"/>
    <s v="IMPLEMENTADO 🔵"/>
    <n v="1"/>
    <n v="1"/>
    <n v="0"/>
    <n v="1"/>
    <d v="2025-08-01T00:00:00"/>
    <d v="2025-08-01T00:00:00"/>
    <d v="2025-08-01T00:00:00"/>
    <d v="2025-09-11T00:00:00"/>
    <d v="2025-09-29T00:00:00"/>
    <d v="2026-02-10T00:00:00"/>
    <d v="2026-04-10T00:00:00"/>
    <n v="1"/>
    <n v="1"/>
    <n v="200"/>
    <m/>
    <s v="4. PRODUCCIÓN"/>
    <m/>
    <m/>
    <n v="0"/>
    <n v="1"/>
    <n v="0"/>
    <n v="8"/>
    <n v="0"/>
    <x v="1"/>
  </r>
  <r>
    <s v="M0126"/>
    <n v="1462"/>
    <x v="0"/>
    <s v="2023-T0210"/>
    <s v="2023-M0182"/>
    <s v="Implementación del extorno automático en la devolución del tesoro público (T6) en el canal agente multired "/>
    <s v="Implementación del extorno automático de la transacción Devolución al Tesoro Público (T6) en el canal agente multired operado por Izipay."/>
    <x v="2"/>
    <s v="Canales Alternos"/>
    <s v="Canales Presenciales"/>
    <d v="2023-03-30T00:00:00"/>
    <s v="MEMORANDO N° 00000192 - 2023-BN/3251"/>
    <s v="TMIN-Tarjeta Multired Interfaces"/>
    <s v="Agente BN"/>
    <s v="Cajeros Corresponsales"/>
    <s v="No Aplica"/>
    <s v="Pagos"/>
    <x v="0"/>
    <m/>
    <m/>
    <s v="No Aplica"/>
    <m/>
    <m/>
    <m/>
    <s v="No Aplica"/>
    <s v="Normal"/>
    <d v="2023-12-11T00:00:00"/>
    <x v="0"/>
    <s v="FS-Indra"/>
    <s v="Eduardo Saul Cardenas Manrique"/>
    <s v="Omar Sarmiento"/>
    <x v="5"/>
    <s v="02. En Proceso"/>
    <m/>
    <d v="2023-04-05T00:00:00"/>
    <m/>
    <d v="2025-06-27T00:00:00"/>
    <m/>
    <d v="2025-08-22T00:00:00"/>
    <m/>
    <m/>
    <d v="2025-09-13T09:36:00"/>
    <m/>
    <m/>
    <d v="2025-09-20T09:36:00"/>
    <s v="30/12/2025: Cartera reasignada a Omar Sarmiento_x000a_27/06/25: Según CQ, actualizó el estado a 03. En Desarrollo_x000a_10/02/25: El desarrollo está terminado, se coordinará con Juan Oliva-Indra para preparar las pruebas._x000a_10/02/25: Según CQ, actualizó el estado a 10. Paralizado._x000a_07/08/24: Según CQ, actualizó el estado a 03. En Desarroll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13/12/2023: COMITÉ DEMANDA REGULARIZACIÓN: Se regulariza su registro según lo aprobado en comité_x000a_12/12/2023: Se actualizó el estado a En Planificación luego de la revisión interna con el equipo técnico_x000a_12/10/2023: Orden Canales Presenciales: 4_x000a_21/07/2023: para regularizar en Comité_x000a_05/04/2023: Se deriva el memo a Construcción para su atención._x000a_03/04/2023: Se registra solicitud según memo MEMORANDO N° 00000192 - 2023-BN/3251"/>
    <s v="B.Digital"/>
    <s v="CanalesAlternos"/>
    <s v="2023-03"/>
    <s v="2023-12"/>
    <s v="No definido"/>
    <x v="0"/>
    <x v="7"/>
    <s v="Entregado"/>
    <d v="2025-06-03T00:00:00"/>
    <d v="2025-08-22T00:00:00"/>
    <d v="2025-08-22T00:00:00"/>
    <d v="2023-12-11T00:00:00"/>
    <s v="2023-IV"/>
    <s v="Sin Fecha Fin Producción"/>
    <s v="No Aplica"/>
    <m/>
    <s v="Iniciada"/>
    <s v="Asignado"/>
    <x v="9"/>
    <x v="0"/>
    <m/>
    <m/>
    <s v="Vencida"/>
    <s v="ATM-Agentes-VISA"/>
    <s v="Canales Presenciales"/>
    <x v="7"/>
    <x v="6"/>
    <s v="1/04/25 Se activará en CQ._x000a_Activar en CQ a iniciado. El desarrollo está terminado, se coordinará con Juan Oliva-Indra para preparar las pruebas."/>
    <d v="2025-06-30T00:00:00"/>
    <s v="Vencida"/>
    <s v="Jun 2025"/>
    <n v="2025"/>
    <s v="Activos"/>
    <x v="1"/>
    <n v="0.25"/>
    <s v="PRE"/>
    <s v="NO"/>
    <s v="03. En Desarrollo"/>
    <s v="SI"/>
    <s v="ATRASADO 🔴"/>
    <n v="0.67901234567901236"/>
    <n v="0.25"/>
    <n v="0.42901234567901236"/>
    <n v="0.36818181818181817"/>
    <d v="2025-11-10T00:00:00"/>
    <d v="2026-03-02T00:00:00"/>
    <d v="2026-04-23T00:00:00"/>
    <d v="2026-04-24T00:00:00"/>
    <d v="2026-05-29T00:00:00"/>
    <d v="2026-06-01T00:00:00"/>
    <d v="2026-06-23T00:00:00"/>
    <n v="39"/>
    <n v="1"/>
    <n v="44.571428571428569"/>
    <s v="BD"/>
    <s v="1. DESARROLLO"/>
    <m/>
    <m/>
    <n v="0"/>
    <n v="39"/>
    <n v="0"/>
    <n v="44.571428571428569"/>
    <n v="0"/>
    <x v="6"/>
  </r>
  <r>
    <s v="M0135"/>
    <n v="1501"/>
    <x v="0"/>
    <s v="2024-T0089"/>
    <s v="2024-M0085"/>
    <s v="CORREGIR LA OPCIÓN DE REPORTES SBS EN EL POAD"/>
    <s v="Actualmente en el POAD se cuenta con una opción para consultas - SBS, la misma que viene presentando errores y no genera la información en forma correcta"/>
    <x v="5"/>
    <s v="Administración de Personal"/>
    <s v="Registro de Personal"/>
    <d v="2023-04-28T00:00:00"/>
    <m/>
    <s v="POAD_Administración_Portal_Empleado"/>
    <m/>
    <s v="Otros"/>
    <s v="No Aplica"/>
    <s v="No aplica"/>
    <x v="0"/>
    <m/>
    <s v="No Aplica"/>
    <s v="Evolutivo"/>
    <m/>
    <m/>
    <m/>
    <s v="No indica"/>
    <s v="Normal"/>
    <d v="2023-06-21T00:00:00"/>
    <x v="1"/>
    <s v="Analista-BN"/>
    <s v="Paul Alminagorta Cabezas"/>
    <s v="Juan Carlos Zavaleta"/>
    <x v="5"/>
    <s v="02. En Proceso"/>
    <m/>
    <d v="2024-02-12T00:00:00"/>
    <m/>
    <d v="2024-04-25T00:00:00"/>
    <m/>
    <d v="2025-08-29T00:00:00"/>
    <m/>
    <m/>
    <d v="2026-03-13T09:36:00"/>
    <m/>
    <m/>
    <d v="2026-03-20T09:36:00"/>
    <s v="13/04/2026 Supeditado a los recursos de fábrica_x000a_17/06/2025: Se cambia de gestor de TI de Omar S. a Juan Carlos Z._x000a_14/08/2024 De acuerdo a lo indicado a M.Barboza culminará el 30 de setiembre._x000a_24/06/2024: Se cambió 'Recurso-Asignado' de ' ' a Analista-BN_x000a_16/04/24: El rq pasa a la cartera del gestor Omar Sarmiento._x000a_16/04/24 Con correo del 04.04.24, Paul Alminagorta indica que lo actualizo._x000a_Con correo del 02.04.24 se solicita a Paul Alminagorta actualizar en el clearquest el anexo 2 y el nombre del  mantenimiento  2024-M0085, como se acordó en la reunión del 21.03.24._x000a_DICE: : CORREGIR LA OPCIÓN DE REPORTES SBS EN EL POAD_x000a_DEBE DECIR: : MEJORA DE LA OPCIÓN DE REPORTES SBS EN EL POAD_x000a_19/03/24 Con correo del 19.03.24 se consulta a Paul Alminagosta si el requerimiento es incidente o mantenimiento._x000a_Registrado el 12.02.24 en el clearquest._x000a_30/01/2024: Reasignaciòn de cartera de acuerdo al correo de Martin Nicho de fecha 18.01.2024._x000a_18/01/2024: El área usuaria menciona que este requerimiento es una incidencia y se pide que se pueda validar si es un tema técnico o propio de la SBS_x000a_08/01/2024: El analista se encuentra de vacaciones aún no se establece un inicio de su desarrollo_x000a_27/12/2023: Se encuentra a la espera de la creación del CQ_x000a_17/11/2023: Hasta el momento se sigue a la espera de la creación del CQ_x000a_08/11/2023: Sigue pendiente la creación de CQ_x000a_25/10/2023: Pendiente creación de CQ, se reitero a jefatura construcción aplicaciones sistemas administrativos_x000a_31/08/2023: Se encuentra a la espera de la creación de CQ por parte de David Coca_x000a_11/07/2023: De acuerdo con María Barboza queda pendiente la creación de CQ._x000a_04/07/2023: COMITÉ DE DEMANDA TI: Se asignará a Paul Alminagorta, se atenderá despues del SARE_x000a_"/>
    <s v="RRHH"/>
    <s v="AdministraciónPersonal"/>
    <s v="2023-04"/>
    <s v="2023-06"/>
    <s v="No definido"/>
    <x v="0"/>
    <x v="8"/>
    <m/>
    <m/>
    <m/>
    <m/>
    <d v="2023-06-21T00:00:00"/>
    <s v="2023-IV"/>
    <s v="Sin Fecha Fin Producción"/>
    <s v="No Aplica"/>
    <m/>
    <s v="Finalizada"/>
    <s v="Asignado"/>
    <x v="10"/>
    <x v="0"/>
    <m/>
    <m/>
    <s v="Vencida"/>
    <s v="BackOffice"/>
    <s v="Otros Requerimientos"/>
    <x v="5"/>
    <x v="4"/>
    <s v="pasa a Calidad Jul-25"/>
    <d v="2025-08-31T00:00:00"/>
    <s v="Vencida"/>
    <s v="Ago 2025"/>
    <n v="2025"/>
    <s v="Activos"/>
    <x v="0"/>
    <n v="0.15"/>
    <s v="PRE"/>
    <s v="NO"/>
    <s v="03. En Desarrollo"/>
    <s v="SI"/>
    <s v="EN CURSO 🟢"/>
    <n v="0"/>
    <n v="0.15"/>
    <n v="-0.15"/>
    <s v=""/>
    <d v="2026-06-01T00:00:00"/>
    <d v="2026-06-01T00:00:00"/>
    <d v="2026-07-31T00:00:00"/>
    <d v="2026-08-01T00:00:00"/>
    <d v="2026-08-20T00:00:00"/>
    <d v="2026-09-01T00:00:00"/>
    <d v="2026-09-07T00:00:00"/>
    <n v="42"/>
    <n v="0"/>
    <n v="67.2"/>
    <m/>
    <s v="1. DESARROLLO"/>
    <m/>
    <m/>
    <n v="1"/>
    <n v="0"/>
    <n v="42"/>
    <n v="0"/>
    <n v="67.2"/>
    <x v="2"/>
  </r>
  <r>
    <s v="M0142"/>
    <n v="1516"/>
    <x v="0"/>
    <s v="2023-T0227"/>
    <s v="2023-M0197"/>
    <s v="Migración y Mejora del Aplicativo ECOF - Medidas de Ecoficiencia BN"/>
    <s v="Reporte"/>
    <x v="6"/>
    <s v="Servicios"/>
    <s v="Servicios Generales"/>
    <d v="2023-05-29T00:00:00"/>
    <s v="Por correo del 29.05.23"/>
    <s v="ECOF_Reporte Ecoeficiencia"/>
    <m/>
    <s v="Otros"/>
    <s v="No Aplica"/>
    <s v="No aplica"/>
    <x v="2"/>
    <s v="Normativo"/>
    <s v="OTROS"/>
    <s v="Decreto Supremo N° 016-2021-MINAM"/>
    <s v="Gestión de Ecoeficiencia en las Entidades de la Administración Pública"/>
    <m/>
    <m/>
    <s v="No indica"/>
    <s v="Normal"/>
    <d v="2023-06-21T00:00:00"/>
    <x v="1"/>
    <s v="FS-Indra"/>
    <s v="Paul Alminagorta Cabezas"/>
    <s v="Maria Barboza"/>
    <x v="1"/>
    <s v="03. Culminado"/>
    <m/>
    <d v="2023-04-20T00:00:00"/>
    <m/>
    <d v="2025-02-14T00:00:00"/>
    <d v="2025-02-20T00:00:00"/>
    <d v="2024-11-26T00:00:00"/>
    <d v="2025-02-21T00:00:00"/>
    <d v="2025-02-26T00:00:00"/>
    <d v="2024-10-25T00:00:00"/>
    <d v="2025-02-27T00:00:00"/>
    <d v="2026-03-10T00:00:00"/>
    <d v="2024-11-01T00:00:00"/>
    <s v="10/03/26: Según CQ, actualizó el estado a 08. Producción Finalizada_x000a_19/01/2025: Cartera reasignada a Maria Barboza_x000a_05/09/2025: Cartera reasignada a Omar Sarmiento_x000a_17/06/2025: Se cambia de gestor de TI de Omar S. a Luis Alberto I._x000a_27/03/25: De acuerdo a la revisión del status del mantenimiento en el CQ se actualiza su Fecha Fin Compromiso a abril._x000a_18/02/25: Según CQ, actualizó el estado a 07. En Despliegue_x000a_16/01/25: Según CQ, actualizó el estado a 08. Producción Finalizada_x000a_07/01/25: Según CQ, actualizó el estado a 03. En Desarrollo_x000a_05/12/24: Según CQ, actualizó el estado a 05. En Calidad_x000a_25/11/24: Según CQ, actualizó el estado a 04. Desarrollo Finalizado_x000a_28/08/24: Según CQ, actualizó el estado a 03. En Desarrollo_x000a_07/08/24: Según CQ, actualizó el estado a 02. En Planificación_x000a_24/06/2024: Se cambió 'Recurso-Asignado' de Analista-BN a FS-Olssa_x000a_30/05/24 Devuelto el 24.05.24, Por solicitud del área de producción del BN y en coordinación con el área de desarrollo se procede al rechazo del requerimiento, debido a la demora de subsanación del formulario “Form07_ECOF_PerfilesOpciones.xls” el cual fue observado por el área de seguridad. _x000a_30/04/24-04/04/24 Según CQ. el estado es ordenado el  04.04.24._x000a_27/04/2024: Según CQ, se actualizó el estado de 06. Calidad Finalizado a 07. En Despliegue_x000a_16/04/24 En el clearquest esta ordenado el 04.04.24._x000a_03/04/24 En el clearquest esta ordenado desde el 27.03.24._x000a_09/02/24 Con correo del 09.02.24 se solicita a Martin Nicho priorice el requerimiento por ser normativo._x000a_ Con correo del 09.02.24  Paul Alminagorta informa que su requerimiento paso a Calidad._x000a_07/02/24 Construcción BN:  Por correo del 07.02.24 se le consulta a Paul Alminagort cuando va a pasar el requerimiento a calidad, ya que no se ha cumplido con la fecha programada; Paul Alminagort nos indica que  no hay servidores bd ni aplicativo desde ayer 3pm._x000a_24/01/24 Construcción BN: Paul Alminagorta informa que el 25.01.24 remitira el requerimiento a calidad._x000a_......................................................................_x000a_29/12/23 Desarrollo: Paul Alminagorta esta gestionando permisos con seguridad de información para la creación de la cuenta integradora del aplicativo ECOF._x000a_21/12/23 Paralizado: Con correo del 21.12.23 se solicita a David Coca el estado del requerimiento, asimismo indicar la fecha de producción, ya que la indicada en la cartera de la demanda es el 30.11.23._x000a_Nos informa Paul Alminagorta y David Coca que esta la 85% y por el momento estan a la espera  de nuevo personal de apoyo._x000a_04/12/23 Con correo del 04.12.23  se consulta  a Paul Alminagorta el estado del requerimiento, ya que en el clearquest sigue en desarrollo._x000a_17/11/23 Con correo del 17.11.23 se consulta a Paul Alminagorta si el requerimiento pasa este año, y el confirma que si._x000a_07/11/23 Con correo del 07.11.23 se consulta a Paul Alminagorta el estado del requerimiento._x000a_19/10/23 Con correo del 19.10.23 Paul Alminagorta nos indica que el 23.10.23 va a volver a exponerlo en la reunión con certificación. _x000a_17/10/23 Con correo del 17.10.23 se consulta a Paul Alminagorta el estado del requerimiento, ya que se realizo la reunión solicitada._x000a_03/10/23 Con correo del 03.10.23 Paul Alminagorta  indica que ha  tenido inconvenientes de estándares con Seguridad Informática que no se resolvió para ECOF y solicita reunión._x000a_Con correo del 03.10.23 se consulta a Paul Alminagorta el estado del requerimiento, ya que debio estar en producción el 29.09.23._x000a_13/09/23 Van a retomar el desarrollo el 18.09.23._x000a_14/07/2023 Se retomara apartir del 15 de agosto_x000a_04/07/2023: COMITÉ DE DEMANDA TI: En atención de Paul Alminagorta._x000a_19/06/23 Se informo a calidad  07/06/23 Con correo del 07.06.23, se consulta a Paul Alminagorta el estado del requerimiento, que en el  clearquest esta asignado desde el 23.02.23; el cual indica que hace 2 días lo expuso en certificación y antes del viernes lo va dejar  aprobado en  el clearquest para que empiece su atención._x000a_................................................................................................_x000a_31/05/ Se informo a calidad de soluciones                        30/05/23 Se solicita su ingreso a la cartera con correo del 29.05.23 por el gestor  de la demanda Gisela Lopez para su priorización.."/>
    <s v="Logística"/>
    <s v="Servicios"/>
    <s v="2023-05"/>
    <s v="2023-06"/>
    <s v="2025-02"/>
    <x v="2"/>
    <x v="9"/>
    <s v="Finalizado"/>
    <d v="2024-09-12T00:00:00"/>
    <d v="2024-11-26T00:00:00"/>
    <d v="2024-11-26T00:00:00"/>
    <d v="2023-06-21T00:00:00"/>
    <s v="2023-IV"/>
    <n v="389"/>
    <n v="12.966666666666667"/>
    <m/>
    <s v="Finalizada"/>
    <s v="Transitorio_Procesado"/>
    <x v="11"/>
    <x v="0"/>
    <m/>
    <m/>
    <s v="Culminado"/>
    <s v="BackOffice"/>
    <s v="Otros Requerimientos"/>
    <x v="6"/>
    <x v="0"/>
    <m/>
    <d v="2026-03-10T00:00:00"/>
    <s v="Culminado"/>
    <s v="Mar 2026"/>
    <m/>
    <s v="Culminado"/>
    <x v="0"/>
    <n v="1"/>
    <s v="PRE"/>
    <s v="NO"/>
    <s v="07. En Despliegue"/>
    <s v="No aplica"/>
    <s v="IMPLEMENTADO 🔵"/>
    <n v="1"/>
    <n v="1"/>
    <n v="0"/>
    <n v="1"/>
    <d v="2025-02-14T00:00:00"/>
    <d v="2025-02-14T00:00:00"/>
    <d v="2025-02-20T00:00:00"/>
    <d v="2025-02-21T00:00:00"/>
    <d v="2025-02-26T00:00:00"/>
    <d v="2025-03-10T00:00:00"/>
    <d v="2026-03-27T00:00:00"/>
    <n v="5"/>
    <n v="1"/>
    <n v="200"/>
    <m/>
    <s v="4. PRODUCCIÓN"/>
    <m/>
    <m/>
    <n v="0"/>
    <n v="5"/>
    <n v="0"/>
    <n v="40"/>
    <n v="0"/>
    <x v="4"/>
  </r>
  <r>
    <s v="M0154"/>
    <n v="1590"/>
    <x v="0"/>
    <s v="2024-T0087"/>
    <s v="2024-M0083"/>
    <s v="Implementación del SIstema web de saldos y sumatorias de cajeros automáticos"/>
    <s v="Migración a web"/>
    <x v="2"/>
    <s v="Canales Alternos"/>
    <s v="Canales Presenciales"/>
    <d v="2023-06-23T00:00:00"/>
    <s v="MEMORANDO N° 00000320 - 2023-BN/3251"/>
    <s v="SALC-Saldos Cajeros"/>
    <m/>
    <s v="ATMs"/>
    <s v="No Aplica"/>
    <s v="No aplica"/>
    <x v="0"/>
    <m/>
    <m/>
    <m/>
    <m/>
    <m/>
    <m/>
    <m/>
    <s v="Normal"/>
    <d v="2023-12-11T00:00:00"/>
    <x v="1"/>
    <s v="Analista-BN"/>
    <s v="Paul Alminagorta Cabezas"/>
    <s v="Omar Sarmiento"/>
    <x v="3"/>
    <s v="04. Paralizado"/>
    <s v="Falta recursos TI"/>
    <d v="2024-02-12T00:00:00"/>
    <m/>
    <d v="2025-12-10T00:00:00"/>
    <d v="2025-09-15T00:00:00"/>
    <m/>
    <d v="2025-07-03T00:00:00"/>
    <m/>
    <d v="2025-08-11T14:24:00"/>
    <m/>
    <m/>
    <d v="2025-08-18T14:24:00"/>
    <s v="30/12/2025: Cartera reasignada a Omar Sarmiento_x000a_11/12/25: Según CQ, actualizó el estado a 10. Paralizado_x000a_18/09/25: Según CQ, actualizó el estado a 03. En Desarrollo_x000a_15/09/25: Según CQ, actualizó el estado a 04. Desarrollo Finalizado_x000a_10/09/25: Según CQ, actualizó el estado a 03. En Desarrollo_x000a_07/07/25: Según CQ, actualizó el estado a 05. En Calidad_x000a_19/06/25: Según CQ, actualizó el estado a 04. Desarrollo Finalizado_x000a_19/09/24: Según CQ, actualizó el estado a 03. En Desarrollo_x000a_07/08/24: Según CQ, actualizó el estado a 02. En Planificación_x000a_30/04/2024: Según CQ, se actualizó el estado de 04. Desarrollo Finalizado a 05. En Calidad_x000a_19/02/2024: En coordinación con OPP y jefatura se realizará asignación al regreso de vacaciones de Psilva ( 01/02/24-19/02/24). No se ha realizado un traspaso de información solo cambio de recurso._x000a_13/02/2024: Se actualiza el N° de tramite de 2024-T0075 a 2024-T0087. Se anula el 2024-T0075 por duplicidad, y se confirma N° mantenimiento 2024-M0083_x000a_08/02/2024: Se solicitó generar el Mantenimiento _x000a_06/02/2024: Se confirma el N° trámite: 2024-T0075, y se confirma con Paul ALminagorta que el RQ se encuentra en desarrollo._x000a_30/01/2024: Reasignaciòn de cartera de acuerdo al correo de Martin Nicho de fecha 18.01.2024._x000a_13/12/2023: COMITÉ DEMANDA PRIORIZACION: Requerimiento aprobado_x000a_12/10/2023: Orden Canales Presenciales: 3_x000a_15/08/2023: REU: En reuna con H.Poma se indicó evaluar si va en comité por dependencia con siscaj_x000a_27/06/2023: Se registra según MEMORANDO N° 00000320 - 2023-BN/3251"/>
    <s v="B.Digital"/>
    <s v="CanalesAlternos"/>
    <s v="2023-06"/>
    <s v="2023-12"/>
    <s v="2025-09"/>
    <x v="0"/>
    <x v="10"/>
    <m/>
    <m/>
    <m/>
    <m/>
    <d v="2023-12-11T00:00:00"/>
    <s v="2023-IV"/>
    <s v="Sin Fecha Fin Producción"/>
    <s v="No Aplica"/>
    <m/>
    <s v="Finalizada"/>
    <s v="Pospuesto"/>
    <x v="12"/>
    <x v="0"/>
    <m/>
    <m/>
    <s v="Vencida"/>
    <s v="Sin Aplicativo"/>
    <s v="Sin Aplicativo"/>
    <x v="7"/>
    <x v="6"/>
    <s v="Indra, pasa a calidad abril-25"/>
    <d v="2025-06-30T00:00:00"/>
    <s v="Vencida"/>
    <s v="Jun 2025"/>
    <n v="2025"/>
    <s v="Activos"/>
    <x v="2"/>
    <n v="0.12"/>
    <s v="PRE"/>
    <s v="NO"/>
    <s v="03. En Desarrollo"/>
    <s v="No aplica"/>
    <s v="PARALIZADO ⚪"/>
    <n v="0"/>
    <n v="0.12"/>
    <n v="-0.12"/>
    <s v=""/>
    <m/>
    <d v="2026-07-01T00:00:00"/>
    <d v="2026-08-30T00:00:00"/>
    <d v="2026-09-01T00:00:00"/>
    <d v="2026-09-30T00:00:00"/>
    <d v="2026-10-01T00:00:00"/>
    <d v="2026-10-05T00:00:00"/>
    <n v="41"/>
    <n v="0"/>
    <n v="200"/>
    <s v="BD"/>
    <s v="6. PARALIZADO"/>
    <m/>
    <m/>
    <n v="1"/>
    <n v="0"/>
    <n v="41"/>
    <n v="0"/>
    <n v="328"/>
    <x v="7"/>
  </r>
  <r>
    <s v="M0198"/>
    <n v="1715"/>
    <x v="0"/>
    <s v="2023-T0777"/>
    <s v="2023-M0712"/>
    <s v="Mandatorio Certificar AFT e implementar reverso AFT"/>
    <s v="Mejora en el servicio de operaciones VISA DIRECT (AFT)"/>
    <x v="2"/>
    <s v="Canales Alternos"/>
    <s v="Canales Virtuales"/>
    <d v="2023-08-29T00:00:00"/>
    <s v="MEMORANDO N° 00000492 - 2023-BN/3252"/>
    <s v="TMIN-Tarjeta Multired Interfaces"/>
    <s v="VISA"/>
    <s v="Web Externas"/>
    <s v="Cuenta de Ahorros"/>
    <m/>
    <x v="2"/>
    <s v="Normativo"/>
    <s v="SBS"/>
    <s v="MEMO DE INSPECCION N 00015 - 2023, Literal 26a y b_x000a_07-2022-DSBE Literal 26.a, 26.d. 26.c.1, 26.c.2_x000a_06-2023-DSBE Literal 27.f"/>
    <m/>
    <m/>
    <m/>
    <d v="2024-07-26T00:00:00"/>
    <s v="Normal"/>
    <d v="2023-12-11T00:00:00"/>
    <x v="0"/>
    <s v="FS-Indra"/>
    <s v="Vladimir Ronald Cajavilca Cajavilca"/>
    <s v="Omar Sarmiento"/>
    <x v="6"/>
    <s v="02. En Proceso"/>
    <m/>
    <d v="2023-12-22T00:00:00"/>
    <m/>
    <d v="2024-07-17T00:00:00"/>
    <d v="2025-07-25T00:00:00"/>
    <d v="2025-01-23T00:00:00"/>
    <d v="2025-08-03T00:00:00"/>
    <d v="2025-09-02T00:00:00"/>
    <d v="2025-04-09T00:00:00"/>
    <m/>
    <m/>
    <d v="2025-04-16T00:00:00"/>
    <s v="30/12/2025: Cartera reasignada a Omar Sarmiento_x000a_03/09/25: Según CQ, actualizó el estado a 06. Calidad Finalizado_x000a_04/08/25: Según CQ, actualizó el estado a 05. En Calidad_x000a_30/07/25: Según CQ, actualizó el estado a 04. Desarrollo Finalizado_x000a_22/01/25: Vladimir C.  indicó que esta semana pasa a Producción, luego atenderá el  Manteniemiento 2023-M0700: Mejora código respuesta 05_x000a_13/01/25: Vladimir C.  indicó que esta semana pasa a Producción, luego atenderá el  Manteniemiento 2023-M0700: Mejora código respuesta 05, se actualizo estado a inciada en el QC_x000a_27/08/24: Maribel Medina confirma que ya se encuentra en Desarrollo_x000a_07/08/24: Según CQ, actualizó el estado a 02. En Planificación_x000a_12/06/2024: Se está avanzando con el análisis (JO). En proceso de analisis para brindar fechas_x000a_02/05/2024: MMedina confirma Fab Indfra que la contraparte por parte del BN será Vladimir Cajavilca_x000a_25/04/2024: MJMedrano envía evidencia de que el RQ es mandatorio de VISA._x000a_25/01/2024: Usuario confirmó que el nuevo cronograma se indica Jul24 (antes 14/05/24)_x000a_02/01/2024: MMedina confirma N° CQ 2023-M0712 y Analista CQ a Vladimir Cajavilca._x000a_22/12/2023 Se registró el trámite en el CQ: 2023-T0777_x000a_13/12/2023: COMITÉ DEMANDA PRIORIZACION: Requerimiento aprobado_x000a_30/11/2023: Se encuentra atendiendo otros RQs relacionados a VISA o ATMs (mismos recursos)_x000a_06/11/2023: Reunión con Maria Jesús Medrano: Se acuerda que este RQ es el reemplazo del ID 1197, puesto que el A2 anterior tiene varios puntos implementados. Pendiente de validar con Construcción el CQ 2023-M0318 y el A2_x000a_20/09/2023: Arquitectura da conformidad al documento _x000a_18/09/2023: Se envia correo a Maria Jesus para que confirme el memorando del RQ. _x000a_11/09/2023: P. Encalada confirma que el TDR se encuentra en proceso de firmas|nexo firmado"/>
    <s v="B.Digital"/>
    <s v="CanalesAlternos"/>
    <s v="2023-08"/>
    <s v="2023-12"/>
    <s v="2025-07"/>
    <x v="0"/>
    <x v="11"/>
    <s v="Entregado"/>
    <d v="2024-06-10T00:00:00"/>
    <d v="2025-01-23T00:00:00"/>
    <d v="2025-01-23T00:00:00"/>
    <d v="2023-12-11T00:00:00"/>
    <s v="2023-IV"/>
    <s v="Sin Fecha Fin Producción"/>
    <s v="No Aplica"/>
    <m/>
    <s v="Finalizada"/>
    <s v="Certificado"/>
    <x v="13"/>
    <x v="0"/>
    <m/>
    <m/>
    <s v="Vencida"/>
    <s v="ATM-Agentes-VISA"/>
    <s v="Canales Presenciales"/>
    <x v="8"/>
    <x v="7"/>
    <s v="Pasa a Calidad el 10/02."/>
    <d v="2025-05-31T00:00:00"/>
    <s v="Vencida"/>
    <s v="May 2025"/>
    <n v="2025"/>
    <s v="Activos"/>
    <x v="3"/>
    <n v="0.85"/>
    <s v="PRE"/>
    <s v="NO"/>
    <s v="06. Calidad Finalizado"/>
    <s v="SI"/>
    <s v="ATRASADO 🔴"/>
    <n v="1"/>
    <n v="0.85"/>
    <n v="0.15000000000000002"/>
    <n v="0.85"/>
    <d v="2024-07-17T00:00:00"/>
    <d v="2024-07-17T00:00:00"/>
    <d v="2025-07-25T00:00:00"/>
    <d v="2025-08-03T00:00:00"/>
    <d v="2025-09-02T00:00:00"/>
    <d v="2026-02-19T00:00:00"/>
    <d v="2026-03-27T00:00:00"/>
    <n v="253"/>
    <n v="1"/>
    <n v="200"/>
    <m/>
    <s v="2. CALIDAD"/>
    <m/>
    <m/>
    <n v="0"/>
    <n v="253"/>
    <n v="0"/>
    <n v="2024"/>
    <n v="0"/>
    <x v="4"/>
  </r>
  <r>
    <s v="M0220"/>
    <n v="1779"/>
    <x v="0"/>
    <s v="2023-T0581"/>
    <s v="2023-M0522"/>
    <s v="Implementar controles a Cuentas Detracciones."/>
    <m/>
    <x v="0"/>
    <s v="Servicios Bancarios y Recaudación"/>
    <s v="Recaudación y Corresponsalía"/>
    <d v="2023-09-20T00:00:00"/>
    <s v="MEMORANDO N° 00000247 - 2023-BN/3243"/>
    <s v="SICT-Sistema de Informacón de Cuentas Corrientes"/>
    <m/>
    <s v="Administrativo"/>
    <s v="No Aplica"/>
    <s v="No aplica"/>
    <x v="0"/>
    <m/>
    <s v="No Aplica"/>
    <s v="No Aplica"/>
    <s v="No Aplica"/>
    <s v="No Aplica"/>
    <s v="No Aplica"/>
    <s v="No Aplica"/>
    <s v="Normal"/>
    <d v="2023-12-11T00:00:00"/>
    <x v="0"/>
    <s v="Analista-BN"/>
    <s v="Eduardo Saul Cardenas Manrique"/>
    <s v="Junior Quicaño"/>
    <x v="5"/>
    <s v="02. En Proceso"/>
    <m/>
    <d v="2023-10-03T00:00:00"/>
    <m/>
    <d v="2026-04-30T00:00:00"/>
    <d v="2024-11-28T00:00:00"/>
    <m/>
    <d v="2025-01-02T00:00:00"/>
    <d v="2025-01-03T00:00:00"/>
    <d v="2024-05-04T19:12:00"/>
    <d v="2026-03-25T00:00:00"/>
    <m/>
    <d v="2024-05-11T19:12:00"/>
    <s v="15/04/26: Según CQ, actualizó el estado a 03. En Desarrollo_x000a_27/03/26: Según CQ, actualizó el estado a 07. En Despliegue_x000a_06/01/25: Según CQ, actualizó el estado a 06. Calidad Finalizado_x000a_27/12/24: Según CQ, actualizó el estado a 05. En Calidad_x000a_29/11/24: Según CQ, actualizó el estado a 04. Desarrollo Finalizado_x000a_27/12/2023 Este mantenimiento será asignado a FS OLSSA._x000a_13/12/2023: COMITÉ DEMANDA REGULARIZACIÓN: Se regulariza su registro según lo aprobado en comité_x000a_27/09/2023: Se registra el requerimiento de acuerdo al memo"/>
    <s v="Operac."/>
    <s v="BancariosRecaudación"/>
    <s v="2023-09"/>
    <s v="2023-12"/>
    <s v="2024-11"/>
    <x v="0"/>
    <x v="12"/>
    <m/>
    <m/>
    <m/>
    <m/>
    <d v="2023-12-11T00:00:00"/>
    <s v="2023-IV"/>
    <s v="Sin Fecha Fin Producción"/>
    <s v="No Aplica"/>
    <m/>
    <s v="Finalizada"/>
    <s v="Asignado"/>
    <x v="14"/>
    <x v="0"/>
    <m/>
    <m/>
    <s v="Vencida"/>
    <s v="BackOffice"/>
    <s v="Otros Requerimientos"/>
    <x v="4"/>
    <x v="3"/>
    <m/>
    <d v="2025-02-28T00:00:00"/>
    <s v="Vencida"/>
    <s v="Feb 2025"/>
    <m/>
    <s v="Activos"/>
    <x v="0"/>
    <n v="0.15"/>
    <s v="PRE"/>
    <s v="NO"/>
    <s v="06. Calidad Finalizado"/>
    <s v="SI"/>
    <s v="ATRASADO 🔴"/>
    <n v="1"/>
    <n v="0.15"/>
    <n v="0.85"/>
    <n v="0.15"/>
    <d v="2024-06-27T00:00:00"/>
    <d v="2024-06-27T00:00:00"/>
    <d v="2024-11-28T00:00:00"/>
    <d v="2025-01-02T00:00:00"/>
    <d v="2025-01-03T00:00:00"/>
    <d v="2026-02-19T00:00:00"/>
    <d v="2026-03-27T00:00:00"/>
    <n v="105"/>
    <n v="1"/>
    <n v="120"/>
    <m/>
    <s v="1. DESARROLLO"/>
    <m/>
    <m/>
    <n v="0"/>
    <n v="105"/>
    <n v="0"/>
    <n v="120"/>
    <n v="0"/>
    <x v="4"/>
  </r>
  <r>
    <s v="M0243"/>
    <n v="1824"/>
    <x v="0"/>
    <s v="2023-T0770"/>
    <s v="2023-M0708"/>
    <s v="Mandatorio Autorización Parcial"/>
    <s v="Con guía técnica de VISA"/>
    <x v="2"/>
    <s v="Canales Alternos"/>
    <s v="Canales Virtuales"/>
    <d v="2023-10-25T00:00:00"/>
    <s v="MEMORANDO N° 00000602 - 2023-BN/3252"/>
    <s v="TMIN-Tarjeta Multired Interfaces"/>
    <s v="VISA"/>
    <s v="POS"/>
    <s v="Cuenta de Ahorros"/>
    <s v="No aplica"/>
    <x v="2"/>
    <s v="Normativo"/>
    <s v="VISA"/>
    <s v=" "/>
    <m/>
    <m/>
    <m/>
    <s v=" "/>
    <s v="Normal"/>
    <d v="2023-12-11T00:00:00"/>
    <x v="0"/>
    <s v="FS-Indra"/>
    <s v="Vladimir Ronald Cajavilca Cajavilca"/>
    <s v="Omar Sarmiento"/>
    <x v="6"/>
    <s v="02. En Proceso"/>
    <m/>
    <d v="2023-12-22T00:00:00"/>
    <m/>
    <d v="2025-01-16T00:00:00"/>
    <d v="2025-08-21T00:00:00"/>
    <d v="2025-07-31T00:00:00"/>
    <d v="2025-08-23T00:00:00"/>
    <d v="2025-09-02T00:00:00"/>
    <d v="2025-10-17T09:36:00"/>
    <m/>
    <m/>
    <d v="2025-10-24T09:36:00"/>
    <s v="30/12/2025: Cartera reasignada a Omar Sarmiento_x000a_03/09/25: Según CQ, actualizó el estado a 06. Calidad Finalizado_x000a_25/08/25: Según CQ, actualizó el estado a 05. En Calidad_x000a_22/08/25: Según CQ, actualizó el estado a 04. Desarrollo Finalizado_x000a_16/01/25: Maribel M. actualizó en el CQ el estado a iniciado_x000a_16/01/25:  Fredy C.  indicó que el desarrollo en el ambiente Host ya culminó pero para pasar al ambiente de Producción se necesita que  Vladimir C.  culmine unos componentes (AFT) y Jaime Salas culmine su desarrollo en el ESPLINK por autorización parcial_x000a_15/01/2025: pendiente actualización de estado en CQ a asignado e iniciado_x000a_13/01/25: Maribel M. indicó que el proveedor Cesar Santome esta desarrollando este requerimiento y estan realizando pruebas con Vladimir C._x000a_25/11/24: Según CQ, actualizó el estado a 01. Registrado_x000a_22/11/24: Según CQ, actualizó el estado a 01. Registrado_x000a_28/08/24: Según CQ, actualizó el estado a 01. Registrado_x000a_27/08/24: Maribel Medina confirma que ya se encuentra en Planificación_x000a_25/04/2024: MJMedrano envía evidencia de que el RQ es mandatorio de VISA._x000a_02/01/2024: MMedina confirma N° CQ 2023-M0708 y Analista CQ a Vladimir Cajavilca._x000a_22/12/2023 Se registró el trámite en el CQ: 2023-T0770_x000a_13/12/2023: COMITÉ DEMANDA PRIORIZACION: Requerimiento aprobado_x000a_06/11/2023: Reunión con Maria Jesus Medrano: Se registra nuevo requerimiento enviado por MEMORANDO N° 00000602 - 2023-BN/3252"/>
    <s v="B.Digital"/>
    <s v="CanalesAlternos"/>
    <s v="2023-10"/>
    <s v="2023-12"/>
    <s v="2025-08"/>
    <x v="0"/>
    <x v="13"/>
    <s v="Entregado"/>
    <d v="2025-06-02T00:00:00"/>
    <d v="2025-07-31T00:00:00"/>
    <d v="2025-12-04T00:00:00"/>
    <d v="2023-12-11T00:00:00"/>
    <s v="2023-IV"/>
    <s v="Sin Fecha Fin Producción"/>
    <s v="No Aplica"/>
    <m/>
    <s v="Finalizada"/>
    <s v="Certificado"/>
    <x v="15"/>
    <x v="0"/>
    <m/>
    <m/>
    <s v="Vencida"/>
    <s v="ATM-Agentes-VISA"/>
    <s v="Canales Presenciales"/>
    <x v="9"/>
    <x v="8"/>
    <s v="Pasa a calidad y producción en paralelo al 2023-M0711."/>
    <d v="2025-07-31T00:00:00"/>
    <s v="Vencida"/>
    <s v="Jul 2025"/>
    <n v="2025"/>
    <s v="Activos"/>
    <x v="3"/>
    <n v="0.85"/>
    <s v="PRE"/>
    <s v="NO"/>
    <s v="06. Calidad Finalizado"/>
    <s v="SI"/>
    <s v="ATRASADO 🔴"/>
    <n v="1"/>
    <n v="0.85"/>
    <n v="0.15000000000000002"/>
    <n v="0.85"/>
    <d v="2025-01-16T00:00:00"/>
    <d v="2025-01-16T00:00:00"/>
    <d v="2025-08-21T00:00:00"/>
    <d v="2025-08-23T00:00:00"/>
    <d v="2025-09-02T00:00:00"/>
    <d v="2026-02-19T00:00:00"/>
    <d v="2026-03-27T00:00:00"/>
    <n v="153"/>
    <n v="1"/>
    <n v="200"/>
    <m/>
    <s v="2. CALIDAD"/>
    <m/>
    <m/>
    <n v="0"/>
    <n v="153"/>
    <n v="0"/>
    <n v="1224"/>
    <n v="0"/>
    <x v="4"/>
  </r>
  <r>
    <s v="M0244"/>
    <n v="1825"/>
    <x v="0"/>
    <s v="2023-T0775"/>
    <s v="2023-M0711"/>
    <s v="Mandatorio Aceptación campo 34"/>
    <s v=" "/>
    <x v="2"/>
    <s v="Canales Alternos"/>
    <s v="Canales Virtuales"/>
    <d v="2023-10-25T00:00:00"/>
    <s v="MEMORANDO N° 00000602 - 2023-BN/3252"/>
    <s v="TMIN-Tarjeta Multired Interfaces"/>
    <s v="VISA"/>
    <s v="POS"/>
    <s v="Cuenta de Ahorros"/>
    <s v="No aplica"/>
    <x v="2"/>
    <s v="Normativo"/>
    <s v="VISA"/>
    <s v=" "/>
    <m/>
    <m/>
    <m/>
    <s v=" "/>
    <s v="Normal"/>
    <d v="2023-12-11T00:00:00"/>
    <x v="0"/>
    <s v="FS-Indra"/>
    <s v="Vladimir Ronald Cajavilca Cajavilca"/>
    <s v="Omar Sarmiento"/>
    <x v="6"/>
    <s v="02. En Proceso"/>
    <m/>
    <d v="2023-12-22T00:00:00"/>
    <m/>
    <d v="2025-04-14T00:00:00"/>
    <d v="2025-08-21T00:00:00"/>
    <d v="2025-05-30T00:00:00"/>
    <d v="2025-08-23T00:00:00"/>
    <d v="2025-09-02T00:00:00"/>
    <d v="2025-06-17T09:36:00"/>
    <m/>
    <m/>
    <d v="2025-06-24T09:36:00"/>
    <s v="30/12/2025: Cartera reasignada a Omar Sarmiento_x000a_03/09/25: Según CQ, actualizó el estado a 06. Calidad Finalizado_x000a_25/08/25: Según CQ, actualizó el estado a 05. En Calidad_x000a_22/08/25: Según CQ, actualizó el estado a 04. Desarrollo Finalizado_x000a_15/04/25: Según CQ, actualizó el estado a 03. En Desarrollo_x000a_06/02/25: Se actualiza estado en CQ a POSPUESTO. El desarrollo esta terminado parte BN, pendiente  adecuaciones de Bevertec, no hay rspta se debe escalar con Jaime Salas/Castellano._x000a_Considerar, que dede pasar primero AFT. Se estima pasar a calidad Mar-25._x000a_06/02/25: Según CQ, actualizó el estado a 10. Paralizado_x000a_27/01/25: FC comunicó que se realizaron las pruebas pero persiste el error, se coordinó con Bevertec para que continue con la revisón. JS comentó que se ha identificado que es con Sentinel el problema y que se nececsita que un experto en Setinel lo revise._x000a_22/01/25: Fredy C. indicó que se realizaron las pruebas del campor 34 pero continua el error. JS indicó que coordinará con FC luego de la reunión realizar pruebas_x000a_17/01/25: Según CQ, actualizó el estado a 01. Registrado_x000a_16/01/25: Según CQ, actualizó el estado a 01. Registrado_x000a_15/01/25: pendiente actualización en CQ de estado a asignado e iniciado_x000a_14/01/25: Jaime S. indicó que se debe probar primero  el campo 34 en el simulador  y  luego hacer ajustes  al 56.  _x000a_Fredy C y Jaime S. acuerdan hacer las pruebas del 34 el día de hoy 14/01/25 con el apoyo de Lizet Flores de Bevertec._x000a_02/12/2024: JS indica que ya coordino con FC y el día de mañana le estará entregando la información solicitada para realizar las pruebas_x000a_26/11/2024: FC indica que aún esta pendiente la respuesta de JS respecto a las pruebas, JS indica que falta enviar al Host y se necesitan realizar varios cambios, culmina el viernes 29/11/2024_x000a_18/11/2024: JS indica que ya tienen el campo 34 y esta a la espera del primer caracter. FC comunica que necesitan hacer pruebas con otro Proveedor y que realizarán pruebas con campo 34, tambien solicita a JS hacer pruebas con el campo 56_x000a_04/11/2024: FC indica que aún esta pendiente el envío_x000a_28/10/2024, FC solicita que le envie el primer caracter , JS enviara el 56 para activarlo_x000a_09/09 MM indica que esta coordinando las pruebas. JS recomienda primero cerrar todos los binarios, que pasen a produccion para luego hacer las pruebas. _x000a_26/08 JS indica que se realizo el cambio, el 34 se va al HOST y este debe ser probado, coordinar pruebas _x000a_24/06/2024: Se cambió 'Recurso-Asignado' de Analista-BN a  ' Desarrollo' _x000a_25/04/2024: MJMedrano envía evidencia de que el RQ es mandatorio de VISA._x000a_23/01/2024: Pedro Encalada confirma aprobación de PCR por correo a Jaime Salas._x000a_10/01/2024: En coordinación con P Encalada se envió correo a J Salas para evaluar el PCR_x000a_09/01/2024: En reunión del 09Ene con el usuario y el especialista de Construcción, se acordó que se coordinará con la jefatura de Sistemas Bancarios la generación del PCR correspondiente para su implementación por Bevertec._x000a_02/01/2024: MMedina confirma N° CQ 2023-M0711 y Analista CQ a Vladimir Cajavilca._x000a_22/12/2023 Se registró el trámite en el CQ: 2023-T0775_x000a_13/12/2023: COMITÉ DEMANDA PRIORIZACION: Requerimiento aprobado_x000a_06/11/2023: Reunión con Maria Jesus Medrano: Se registra nuevo requerimiento enviado por MEMORANDO N° 00000602 - 2023-BN/3252"/>
    <s v="B.Digital"/>
    <s v="CanalesAlternos"/>
    <s v="2023-10"/>
    <s v="2023-12"/>
    <s v="2025-08"/>
    <x v="0"/>
    <x v="14"/>
    <s v="Entregado"/>
    <d v="2025-03-31T00:00:00"/>
    <d v="2025-05-30T00:00:00"/>
    <d v="2025-05-30T00:00:00"/>
    <d v="2023-12-11T00:00:00"/>
    <s v="2023-IV"/>
    <s v="Sin Fecha Fin Producción"/>
    <s v="No Aplica"/>
    <m/>
    <s v="Finalizada"/>
    <s v="Certificado"/>
    <x v="16"/>
    <x v="0"/>
    <m/>
    <m/>
    <s v="Vencida"/>
    <s v="ATM-Agentes-VISA"/>
    <s v="Canales Presenciales"/>
    <x v="8"/>
    <x v="7"/>
    <s v="01/04 /25 en atención, se concluye en abril. Se debe activar en CQ._x000a_Se actualiza estado en CQ a POSPUESTO. El desarrollo esta terminado parte BN, pendiente  adecuaciones de Bevertec, no hay rspta se debe escalar con Jaime Salas/Castellano._x000a_Considerar, que dede pasar primero AFT. Se estima pasar a calidad Mar-25."/>
    <d v="2025-05-31T00:00:00"/>
    <s v="Vencida"/>
    <s v="May 2025"/>
    <n v="2025"/>
    <s v="Activos"/>
    <x v="3"/>
    <n v="0.85"/>
    <s v="PRE"/>
    <s v="NO"/>
    <s v="06. Calidad Finalizado"/>
    <s v="SI"/>
    <s v="ATRASADO 🔴"/>
    <n v="1"/>
    <n v="0.85"/>
    <n v="0.15000000000000002"/>
    <n v="0.85"/>
    <d v="2025-04-14T00:00:00"/>
    <d v="2025-04-14T00:00:00"/>
    <d v="2025-08-21T00:00:00"/>
    <d v="2025-08-23T00:00:00"/>
    <d v="2025-09-02T00:00:00"/>
    <d v="2026-02-19T00:00:00"/>
    <d v="2026-03-27T00:00:00"/>
    <n v="91"/>
    <n v="1"/>
    <n v="200"/>
    <m/>
    <s v="2. CALIDAD"/>
    <m/>
    <m/>
    <n v="0"/>
    <n v="91"/>
    <n v="0"/>
    <n v="728"/>
    <n v="0"/>
    <x v="4"/>
  </r>
  <r>
    <s v="M0245"/>
    <n v="1827"/>
    <x v="0"/>
    <s v="2023-T0793"/>
    <s v="2023-M0701"/>
    <s v="Mejora en el proceso de conciliación de operaciones visa (punto 4): Nuevos reportes reemplazo REPVISA  - Parte OPEN"/>
    <s v="Mejora en el proceso de conciliación de las operaciones VISA"/>
    <x v="2"/>
    <s v="Canales Alternos"/>
    <s v="Canales Virtuales"/>
    <d v="2023-08-15T00:00:00"/>
    <s v="MEMORANDO N° 00000452 - 2023-BN/3252"/>
    <s v="BNDA-Data Analítica BN"/>
    <s v="VISA"/>
    <s v="POS"/>
    <s v="Cuenta de Ahorros"/>
    <s v="No aplica"/>
    <x v="0"/>
    <m/>
    <s v="SBS"/>
    <s v="06-2023-DSBE"/>
    <s v="Informe de Inspección"/>
    <s v="N° 27"/>
    <s v="27.f"/>
    <d v="2024-12-31T00:00:00"/>
    <s v="Normal"/>
    <d v="2023-12-11T00:00:00"/>
    <x v="1"/>
    <s v="FS-Indra"/>
    <s v="Emerson Quecara Choquetico"/>
    <s v="Omar Sarmiento"/>
    <x v="1"/>
    <s v="03. Culminado"/>
    <m/>
    <d v="2023-12-29T00:00:00"/>
    <m/>
    <d v="2025-05-21T00:00:00"/>
    <d v="2025-07-21T00:00:00"/>
    <d v="2025-01-20T00:00:00"/>
    <d v="2025-07-23T00:00:00"/>
    <d v="2025-10-01T00:00:00"/>
    <d v="2024-12-02T14:24:00"/>
    <d v="2026-03-10T00:00:00"/>
    <d v="2026-04-13T00:00:00"/>
    <d v="2024-12-09T14:24:00"/>
    <s v="15/04/26: Según CQ, actualizó el estado a 08. Producción Finalizada_x000a_19/03/26: Según CQ, actualizó el estado a 06. Calidad Finalizado_x000a_10/03/26: Según CQ, actualizó el estado a 07. En Despliegue_x000a_26/02/2026 Se coordinó por correo para que producción reciba el apoyo de emerson e inciar el despliegue_x000a_30/12/2025: Cartera reasignada a Omar Sarmiento_x000a_02/10/25: Según CQ, actualizó el estado a 06. Calidad Finalizado_x000a_24/07/25: Según CQ, actualizó el estado a 05. En Calidad_x000a_16/04/25: Según CQ, actualizó el estado a 03. En Desarrollo_x000a_03/02/25: Según CQ, actualizó el estado a 05. En Calidad_x000a_23/01/25: Según CQ, actualizó el estado a 04. Desarrollo Finalizado_x000a_15/01/25: Emerson Q. informó que remitió el acta para firma de usuaria. Usuaria envío ese dia el acta firmada._x000a_13/01/2025: Fredy C. indicó que las pruebas se realizaron con los datos de Producción, solamante falta la aprobación del usuario, el BN  debe decidir si pasa a Certificación o a Producción directamente._x000a_02/01/25: Según lo coordinado con Cumplimiento Normativo el 12/12/24, se modifica la categoría de Recomendación a Evolutivo_x000a_21/11/2024: FC indica que se estan haciendo pruebas con la información de Producción con la Usuaria Xenia Solis_x000a_17/09/2024: Emerson Quecara comunica que necesita que Sistemas Bancarios le remita uno archivo para realizar pruebas con los usuarios_x000a_27/08/24: Maribel Medina confirma que este mantenimiento se encuentra en Desarrollo y esta  próximo a  pasar a Calidad_x000a_15/08/24: Según CQ, actualizó el estado a 01. Registrado_x000a_13/08/2024: Mediante correo la Secc. Administrativa comunica que se encuentra paralizado por tener dependencia con el 2024-M0298 Mejora en el proceso de conciliación de operaciones visa (punto 4): Nuevos reportes reemplazo REPVISA – Parte Host._x000a_07/08/24: Según CQ, actualizó el estado a 01. Registrado_x000a_02/07/2024: Se reitera pedido de fecha de implementación a Sist. Admins._x000a_17/05/2024: Se solicita a Irina la planificación del RQ, sin respuesta aun_x000a_10/04/2024: El 05Abr24 D Coca confirma a fábrica la inf. de Visa. Pendiente de planificación por parte de fábrica_x000a_26/03/2024: Se realizó reunión el 21Mar24 donde se acordó la entrega delos sgtes puntos: (1) Entrega de Fuentes por Paul Alminagorta (2) 2-_x0009_Revisar conexión a Base de datos (Oracle) y confirmar la habilitación de la BD - Jorge Mora (3) Inicio de revisión de documentación / fuentes _x000a_14/03/2024: Se actualiza el Lider técnico de acuerdo a lista de FS INdra_x000a_20/02/2023: David Coca confirma por correo que no tiene disponibilidad de equipo hasta la 1era semana de marzo. Se reitera el pedido. Martin Nicho reitera solicitud de fecha de implementac._x000a_22/01/2024: Se envia correo a David Coca solicitando fechas de planificación. H Zevallos reconfirma a David Coca_x000a_15/01/2024: Se confirma con D. Coca el N° cq 2023-M0701_x000a_12/01/2024: Reunión BDigital: C Vventocilla solicitó que se cambiara la categoria de Evolutivo a Correctivo_x000a_13/12/2023: COMITÉ DEMANDA PRIORIZACION: Requerimiento aprobado_x000a_08/11/2023: Se consulta a  David Coca si el RQ se encuentra en proceso de atención, y confirma que ha solicitado apoyo para los extractores que se tendria que desarrollar con analista de Sistemas Bancarios. Pendiente de confirmar CQ_x000a_08/11/2023: Reunión con Maria Jesus Medrano: Se acuerda que este requerimiento solo contemplará el punto 4, puesto que el 2 corresponde al RQ con ID 1515 y el 1 y 3 corresponde al ID 1736._x000a_NOTA: Dependencia del trámite 2023-T0793"/>
    <s v="B.Digital"/>
    <s v="CanalesAlternos"/>
    <s v="2023-08"/>
    <s v="2023-12"/>
    <s v="2025-07"/>
    <x v="1"/>
    <x v="15"/>
    <s v="Entregado"/>
    <d v="2024-05-02T00:00:00"/>
    <d v="2025-01-20T00:00:00"/>
    <d v="2025-09-30T00:00:00"/>
    <d v="2023-12-11T00:00:00"/>
    <s v="2023-IV"/>
    <n v="327"/>
    <n v="10.9"/>
    <m/>
    <s v="Finalizada"/>
    <s v="Procesado"/>
    <x v="17"/>
    <x v="0"/>
    <m/>
    <m/>
    <s v="Culminado"/>
    <s v="BackOffice"/>
    <s v="Otros Requerimientos"/>
    <x v="8"/>
    <x v="7"/>
    <m/>
    <d v="2026-04-13T00:00:00"/>
    <s v="Culminado"/>
    <s v="Abr 2026"/>
    <n v="2025"/>
    <s v="Culminado"/>
    <x v="3"/>
    <n v="1"/>
    <s v="PRE"/>
    <s v="NO"/>
    <s v="06. Calidad Finalizado"/>
    <s v="No aplica"/>
    <s v="IMPLEMENTADO 🔵"/>
    <n v="1"/>
    <n v="1"/>
    <n v="0"/>
    <n v="1"/>
    <d v="2025-05-21T00:00:00"/>
    <d v="2025-05-21T00:00:00"/>
    <d v="2025-07-21T00:00:00"/>
    <d v="2025-07-23T00:00:00"/>
    <d v="2025-10-03T00:00:00"/>
    <d v="2026-03-02T00:00:00"/>
    <d v="2026-03-30T00:00:00"/>
    <n v="44"/>
    <n v="1"/>
    <n v="200"/>
    <m/>
    <s v="4. PRODUCCIÓN"/>
    <m/>
    <m/>
    <n v="0"/>
    <n v="44"/>
    <n v="0"/>
    <n v="352"/>
    <n v="0"/>
    <x v="4"/>
  </r>
  <r>
    <s v="M0317"/>
    <n v="2102"/>
    <x v="0"/>
    <s v="2024-T0046"/>
    <s v="2024-M0071"/>
    <s v="Cheques de Gerencia - Facturación Electrónica"/>
    <s v="Incorporación de campos en la Txn 5500 y elaboración de un reporte donde se capturen los datos de la Emisión de cheques de gerencia"/>
    <x v="0"/>
    <s v="Servicios Bancarios y Recaudación"/>
    <s v="Recaudación y Corresponsalía"/>
    <d v="2024-03-15T00:00:00"/>
    <m/>
    <s v="CGME-Cheques de Gerencia ME."/>
    <s v="Facturación Electrónica - I"/>
    <s v="Agencias"/>
    <s v="No Aplica"/>
    <s v="No aplica"/>
    <x v="0"/>
    <m/>
    <s v="SUNAT"/>
    <s v="No Aplica"/>
    <s v="No Aplica"/>
    <s v="No Aplica"/>
    <s v="No Aplica"/>
    <s v="No Aplica"/>
    <s v="Heredado"/>
    <d v="2023-09-30T00:00:00"/>
    <x v="0"/>
    <s v="FS-Indra"/>
    <s v="María Eva Alfaro Apaza"/>
    <s v="Juan Carlos Zavaleta"/>
    <x v="1"/>
    <s v="03. Culminado"/>
    <m/>
    <d v="2024-01-23T00:00:00"/>
    <m/>
    <d v="2024-02-07T00:00:00"/>
    <d v="2025-08-21T00:00:00"/>
    <d v="2025-06-24T00:00:00"/>
    <d v="2025-10-01T00:00:00"/>
    <d v="2025-10-03T00:00:00"/>
    <d v="2026-01-11T04:48:00"/>
    <d v="2026-03-09T00:00:00"/>
    <d v="2026-03-09T00:00:00"/>
    <d v="2026-01-18T04:48:00"/>
    <s v="09/03/26: Según CQ, actualizó el estado a 08. Producción Finalizada_x000a_03/10/25: Según CQ, actualizó el estado a 06. Calidad Finalizado_x000a_25/08/25: Según CQ, actualizó el estado a 05. En Calidad_x000a_22/08/25: Según CQ, actualizó el estado a 04. Desarrollo Finalizado_x000a_17/06/2025: Se cambia de gestor de TI de Omar S. a Juan Carlos Z._x000a_06/02/2024: El requerimiento se registra debido a que pertenece al proyecto de Fact. Electrónica_x000a_NOTA: Dependencia del RQ con ID Histórico 941"/>
    <s v="Operac."/>
    <s v="BancariosRecaudación"/>
    <s v="2024-03"/>
    <s v="2023-09"/>
    <s v="2025-08"/>
    <x v="2"/>
    <x v="16"/>
    <s v="Entregado"/>
    <d v="2024-10-18T00:00:00"/>
    <d v="2025-06-24T00:00:00"/>
    <d v="2025-06-24T00:00:00"/>
    <d v="2023-09-30T00:00:00"/>
    <s v="2024-I"/>
    <n v="761"/>
    <n v="25.366666666666667"/>
    <m/>
    <s v="Finalizada"/>
    <s v="Procesado"/>
    <x v="18"/>
    <x v="0"/>
    <m/>
    <m/>
    <s v="Culminado"/>
    <s v="BackOffice"/>
    <s v="Otros Requerimientos"/>
    <x v="8"/>
    <x v="7"/>
    <s v="Culmina el desarrollo 20 de marzo"/>
    <d v="2026-03-09T00:00:00"/>
    <s v="Culminado"/>
    <s v="Mar 2026"/>
    <n v="2025"/>
    <s v="Culminado"/>
    <x v="0"/>
    <n v="1"/>
    <s v="PRE"/>
    <s v="NO"/>
    <s v="06. Calidad Finalizado"/>
    <s v="No aplica"/>
    <s v="IMPLEMENTADO 🔵"/>
    <n v="1"/>
    <n v="1"/>
    <n v="0"/>
    <n v="1"/>
    <d v="2024-02-07T00:00:00"/>
    <d v="2024-02-07T00:00:00"/>
    <d v="2025-08-21T00:00:00"/>
    <d v="2025-10-01T00:00:00"/>
    <d v="2025-10-03T00:00:00"/>
    <d v="2026-02-19T00:00:00"/>
    <d v="2026-03-27T00:00:00"/>
    <n v="384"/>
    <n v="1"/>
    <n v="200"/>
    <m/>
    <s v="4. PRODUCCIÓN"/>
    <m/>
    <m/>
    <n v="0"/>
    <n v="384"/>
    <n v="0"/>
    <n v="3072"/>
    <n v="0"/>
    <x v="4"/>
  </r>
  <r>
    <s v="M0337"/>
    <n v="2011"/>
    <x v="0"/>
    <s v="2024-T0071"/>
    <s v="2024-M0315"/>
    <s v="Modificación de programas y hojas de trabajo del Anexo 5 y RCD aplicando los criterios de cálculo de las Provisiones Procíclicas por producto."/>
    <s v="Actualmente las provisiones procíclicas están desactivadas desde el 2014. Existen cuentas contables_x000a_de provisiones procíclicas que presentan saldo (se adjunta saldos a junio 2023). Lo que se necesita es_x000a_actualizar o agregar nuevas cuentas contables de provisiones procíclicas. Los saldos de las cuentas_x000a_contables de provisiones procíclicas se deben mostrar en el Reporte RCD Previo , RCD Final que es_x000a_enviado a la SBS y Anexo 5 previo y final."/>
    <x v="7"/>
    <s v="Riesgos Crediticios y Financieros"/>
    <s v="Evaluación de_x000a_Cartera de Créditos"/>
    <d v="2023-08-29T00:00:00"/>
    <s v="MEMORANDO N° 00000018 -_x000a_2023-BN/2191"/>
    <s v="COBD-Contabilidad-RCD"/>
    <m/>
    <s v="Otros"/>
    <s v="No Aplica"/>
    <s v="No aplica"/>
    <x v="2"/>
    <s v="Normativo"/>
    <s v="SBS"/>
    <s v="Resolución SBS N° 03718-2021"/>
    <m/>
    <m/>
    <m/>
    <d v="2024-06-30T00:00:00"/>
    <s v="Normal"/>
    <d v="2024-02-16T00:00:00"/>
    <x v="0"/>
    <s v="FS-Indra"/>
    <s v="Andrés Quiñones Gonzales"/>
    <s v="Maria Barboza"/>
    <x v="6"/>
    <s v="02. En Proceso"/>
    <s v="Dependencia técnica"/>
    <d v="2024-02-02T00:00:00"/>
    <m/>
    <d v="2026-02-26T00:00:00"/>
    <d v="2026-04-07T00:00:00"/>
    <m/>
    <d v="2026-04-20T00:00:00"/>
    <d v="2026-04-22T00:00:00"/>
    <d v="2026-04-23T00:00:00"/>
    <m/>
    <m/>
    <d v="2026-04-30T00:00:00"/>
    <s v="24/04/26: Según CQ, actualizó el estado a 06. Calidad Finalizado_x000a_22/04/26: Según CQ, actualizó el estado a 05. En Calidad_x000a_10/04/26: Según CQ, actualizó el estado a 04. Desarrollo Finalizado_x000a_19/02/26: Según CQ, actualizó el estado a 03. En Desarrollo_x000a_11/02/26: Según CQ, actualizó el estado a 05. En Calidad_x000a_19/01/2025: Cartera reasignada a Maria Barboza_x000a_05/09/2025: Cartera reasignada a Milagros Huamani_x000a_11/08/2025: Cartera reasignada a Percy Silva_x000a_20/01/2025 Cartera reasignada a Omar Sarmiento_x000a_18/11/24: Según CQ, actualizó el estado a 06. Calidad Finalizado_x000a_14/10/24: Según CQ, actualizó el estado a 05. En Calidad_x000a_30/09/24: Según CQ, actualizó el estado a 04. Desarrollo Finalizado_x000a_28/08/24: Según CQ, actualizó el estado a 03. En Desarrollo_x000a_02/07/24 El usuario de riesgos remitió los documentos solicitados en reunion del 21/06, la misma que se encuentran en revisiond e fábrica._x000a_21/06/2024 Se cambió el recurso asignado de Analista-BN a FS-Indra, se sostuvo reunión de entendimiento con Fábrica donde se evidencio que no están las cuentas contables y el flujo definido para el nuevo cálculo de las provisiones procíclicas, la cual serían remitidas para el 27/06._x000a_16/02/2024: COMITE EXCPECIONAL: Se realiza su priorización_x000a_Pendiente generar mantenimiento"/>
    <s v="Riesgos"/>
    <s v="CrediticiosFinancieros"/>
    <s v="2023-08"/>
    <s v="2024-02"/>
    <s v="2026-04"/>
    <x v="0"/>
    <x v="17"/>
    <s v="Finalizado"/>
    <d v="2024-06-10T00:00:00"/>
    <d v="2024-09-30T00:00:00"/>
    <d v="2024-09-30T00:00:00"/>
    <d v="2024-02-16T00:00:00"/>
    <s v="2024-I"/>
    <s v="Sin Fecha Fin Producción"/>
    <s v="No Aplica"/>
    <m/>
    <s v="Finalizada"/>
    <s v="Certificado"/>
    <x v="19"/>
    <x v="0"/>
    <m/>
    <m/>
    <s v="Vencida"/>
    <s v="BackOffice"/>
    <s v="Otros Requerimientos"/>
    <x v="4"/>
    <x v="3"/>
    <m/>
    <d v="2025-02-28T00:00:00"/>
    <s v="Vencida"/>
    <s v="Feb 2025"/>
    <m/>
    <s v="Activos"/>
    <x v="0"/>
    <n v="0.85"/>
    <s v="PRE"/>
    <s v="NO"/>
    <s v="06. Calidad Finalizado"/>
    <s v="SI"/>
    <s v="EN CURSO 🟢"/>
    <n v="0.9"/>
    <n v="0.85"/>
    <n v="5.0000000000000044E-2"/>
    <n v="0.94444444444444442"/>
    <d v="2026-02-26T00:00:00"/>
    <d v="2026-03-02T00:00:00"/>
    <d v="2026-04-07T00:00:00"/>
    <d v="2026-04-07T00:00:00"/>
    <d v="2026-04-17T00:00:00"/>
    <d v="2026-04-20T00:00:00"/>
    <d v="2026-05-18T00:00:00"/>
    <n v="27"/>
    <n v="1"/>
    <n v="200"/>
    <m/>
    <s v="2. CALIDAD"/>
    <m/>
    <m/>
    <n v="0"/>
    <n v="27"/>
    <n v="0"/>
    <n v="216"/>
    <n v="0"/>
    <x v="8"/>
  </r>
  <r>
    <s v="M0387"/>
    <n v="2074"/>
    <x v="0"/>
    <s v="2024-T0150"/>
    <s v="2024-M0146"/>
    <s v="ME: Generación de Clave de Internet y Afiliación a la Clave Dinámica Digital (CDD) en el Canal Banca Móvil (Biometría Facial)"/>
    <s v="Poner a disposición del cliente la funcionalidad de Afiliación a la Clave Dinámica Digital desde la APP BN integrado al proceso de Generación de Clave de Internet, eliminando la necesidad actual de acudir a una Agencia para validar la identidad del cliente y autorizar la afiliación"/>
    <x v="2"/>
    <s v="Canales Alternos"/>
    <s v="Canales Virtuales"/>
    <d v="2024-01-18T00:00:00"/>
    <s v="MEMORANDO N° 00000270 - 2024-BN/3252"/>
    <s v="SABM - Sistema Atencion Banca Movil"/>
    <s v="MV/APP"/>
    <s v="Banca Móvil (APP)"/>
    <s v="Cuenta de Ahorros"/>
    <s v="No aplica"/>
    <x v="0"/>
    <m/>
    <m/>
    <m/>
    <m/>
    <m/>
    <m/>
    <m/>
    <s v="Normal"/>
    <d v="2024-03-20T00:00:00"/>
    <x v="2"/>
    <s v="FS-Indra"/>
    <s v="Marilu Cordova Quispe"/>
    <s v="Omar Sarmiento"/>
    <x v="6"/>
    <s v="02. En Proceso"/>
    <m/>
    <d v="2024-02-29T00:00:00"/>
    <m/>
    <d v="2025-12-23T00:00:00"/>
    <d v="2025-12-23T00:00:00"/>
    <d v="2025-07-22T00:00:00"/>
    <d v="2026-01-07T00:00:00"/>
    <d v="2026-03-17T00:00:00"/>
    <d v="2025-05-21T09:36:00"/>
    <m/>
    <m/>
    <d v="2025-05-28T09:36:00"/>
    <s v="18/03/26: Según CQ, actualizó el estado a 06. Calidad Finalizado_x000a_12/01/26: Según CQ, actualizó el estado a 05. En Calidad_x000a_12/01/26: Según CQ, actualizó el estado a 04. Desarrollo Finalizado_x000a_08/01/26: Según CQ, actualizó el estado a 05. En Calidad_x000a_30/12/2025: Cartera reasignada a Omar Sarmiento_x000a_24/12/25: Según CQ, actualizó el estado a 04. Desarrollo Finalizado_x000a_01/12/25: Según CQ, actualizó el estado a 03. En Desarrollo_x000a_30/10/25: Según CQ, actualizó el estado a 06. Calidad Finalizado_x000a_30/07/25: Según CQ, actualizó el estado a 05. En Calidad_x000a_24/07/25: Según CQ, actualizó el estado a 04. Desarrollo Finalizado_x000a_23/04/25: Se coordinó con el líder técnico y se estableció como fecha de compromiso el mes de julio._x000a_07/08/24: Según CQ, actualizó el estado a 03. En Desarrollo_x000a_26/04/2024: Se confirma la recepción del _x000a_MEMORANDO N° 00000270 - 2024-BN/3252 enviado a la OPP el 25/04/2024._x000a_Ell MEMORANDO  00052-2024-BN/3252 _x000a_fue devuelto por Construcción el 29Ene._x000a_25/03/2024: COMITE EXCPECIONAL: Se realiza su priorización_x000a_20/03/24 Todavia no ha iniciado por disponibilidad de recursos. Se viene atendiendo de acuerdo al orden de atencion dada por el usuario. Indra y externos._x000a_01/03/2024: Se actualiza el N° TD de 2024-T0149 a  2024-T0150_x000a_29/02/2023: Registrado en la demanda integral. Pendiente de regularizar firmas del anexo de acuerdo a directiva y pendiente de envío del memo a la OPP. Priorizado por GG y GTI."/>
    <s v="B.Digital"/>
    <s v="CanalesAlternos"/>
    <s v="2024-01"/>
    <s v="2024-03"/>
    <s v="2025-12"/>
    <x v="0"/>
    <x v="18"/>
    <s v="Entregado"/>
    <d v="2024-03-17T00:00:00"/>
    <d v="2025-07-22T00:00:00"/>
    <d v="2025-09-25T00:00:00"/>
    <d v="2024-03-20T00:00:00"/>
    <s v="2024-I"/>
    <s v="Sin Fecha Fin Producción"/>
    <s v="No Aplica"/>
    <s v="ID 47"/>
    <s v="Finalizada,Finalizada"/>
    <s v="Certificado"/>
    <x v="20"/>
    <x v="0"/>
    <m/>
    <m/>
    <s v="Vencida"/>
    <s v="Banca Movil"/>
    <s v="Canales Virtuales"/>
    <x v="9"/>
    <x v="8"/>
    <s v="Activar en CQ"/>
    <d v="2025-07-31T00:00:00"/>
    <s v="Vencida"/>
    <s v="Jul 2025"/>
    <n v="2025"/>
    <s v="Activos"/>
    <x v="4"/>
    <n v="0.85"/>
    <s v="PRE"/>
    <s v="NO"/>
    <s v="05. En Calidad"/>
    <s v="SI"/>
    <s v="ATRASADO 🔴"/>
    <n v="1"/>
    <n v="0.85"/>
    <n v="0.15000000000000002"/>
    <n v="0.85"/>
    <d v="2025-12-23T00:00:00"/>
    <d v="2025-12-23T00:00:00"/>
    <d v="2025-12-23T00:00:00"/>
    <d v="2026-01-07T00:00:00"/>
    <d v="2026-03-19T00:00:00"/>
    <d v="2026-03-20T00:00:00"/>
    <d v="2026-03-31T00:00:00"/>
    <n v="1"/>
    <n v="1"/>
    <n v="200"/>
    <s v="BD"/>
    <s v="2. CALIDAD"/>
    <m/>
    <m/>
    <n v="0"/>
    <n v="1"/>
    <n v="0"/>
    <n v="8"/>
    <n v="0"/>
    <x v="4"/>
  </r>
  <r>
    <s v="M0389"/>
    <n v="2076"/>
    <x v="0"/>
    <s v="2024-T0152"/>
    <s v="2024-M0146"/>
    <s v="Mostrar de manera separada la información de las transferencias por contacto y CCI en los resúmenes operativos del monitor web de consultas"/>
    <s v="En los resúmenes operativos del monitor web de consultas de las transacciones en el App BN y Multired Virtual debe mostrarse de manera separada la información de las transferencias por contacto y CCI"/>
    <x v="2"/>
    <s v="Canales Alternos"/>
    <s v="Canales Virtuales"/>
    <d v="2024-02-29T00:00:00"/>
    <s v="MEMORANDO N° 00000109 - 2024-BN/3252"/>
    <s v="SABM - Sistema Atencion Banca Movil"/>
    <s v="MV/APP"/>
    <s v="Banca Móvil (APP)"/>
    <s v="Cuenta de Ahorros"/>
    <s v="No aplica"/>
    <x v="0"/>
    <m/>
    <m/>
    <m/>
    <m/>
    <m/>
    <m/>
    <m/>
    <s v="Normal"/>
    <d v="2024-03-20T00:00:00"/>
    <x v="2"/>
    <s v="FS-Indra"/>
    <s v="Marilu Cordova Quispe"/>
    <s v="Omar Sarmiento"/>
    <x v="6"/>
    <s v="02. En Proceso"/>
    <m/>
    <d v="2024-02-29T00:00:00"/>
    <m/>
    <d v="2025-12-23T00:00:00"/>
    <d v="2025-12-23T00:00:00"/>
    <d v="2025-07-22T00:00:00"/>
    <d v="2026-01-07T00:00:00"/>
    <d v="2026-03-17T00:00:00"/>
    <d v="2025-05-21T09:36:00"/>
    <m/>
    <m/>
    <d v="2025-05-28T09:36:00"/>
    <s v="18/03/26: Según CQ, actualizó el estado a 06. Calidad Finalizado_x000a_12/01/26: Según CQ, actualizó el estado a 05. En Calidad_x000a_12/01/26: Según CQ, actualizó el estado a 04. Desarrollo Finalizado_x000a_08/01/26: Según CQ, actualizó el estado a 05. En Calidad_x000a_30/12/2025: Cartera reasignada a Omar Sarmiento_x000a_24/12/25: Según CQ, actualizó el estado a 04. Desarrollo Finalizado_x000a_01/12/25: Según CQ, actualizó el estado a 03. En Desarrollo_x000a_30/10/25: Según CQ, actualizó el estado a 06. Calidad Finalizado_x000a_30/07/25: Según CQ, actualizó el estado a 05. En Calidad_x000a_24/07/25: Según CQ, actualizó el estado a 04. Desarrollo Finalizado_x000a_23/04/25: Se coordinó con el líder técnico y se estableció como fecha de compromiso el mes de julio._x000a_07/08/24: Según CQ, actualizó el estado a 03. En Desarrollo_x000a_21/06/2024 Se cambió el recurso asignado de Analista-BN a FS-Indra_x000a_02/05/2024: Se confirma asignación de N° Mant al TD_x000a_24/04/2024: Se solicitó a Construcción asociar el N° TD con el N° de mantenimiento confirmado._x000a_26/03/2024: Construcción confirmó el N° de CQ asociado_x000a_25/03/2024: COMITE EXCPECIONAL: Se realiza su priorización_x000a_20/03/24 Esta en proceso dentro del paquete de UX (ID 2074)_x000a_29/02/2024: Registrado en la demanda integral. Pendiente de firma de Anexo 2 según directiva y pendiente de enviar memo a la OPP_x000a_01/03/2024: Memorando derivado a Construcción"/>
    <s v="B.Digital"/>
    <s v="CanalesAlternos"/>
    <s v="2024-02"/>
    <s v="2024-03"/>
    <s v="2025-12"/>
    <x v="0"/>
    <x v="18"/>
    <s v="Entregado"/>
    <d v="2024-03-17T00:00:00"/>
    <d v="2025-07-22T00:00:00"/>
    <d v="2025-09-25T00:00:00"/>
    <d v="2024-03-20T00:00:00"/>
    <s v="2024-I"/>
    <s v="Sin Fecha Fin Producción"/>
    <s v="No Aplica"/>
    <m/>
    <s v="Finalizada,Finalizada"/>
    <s v="Certificado"/>
    <x v="20"/>
    <x v="0"/>
    <m/>
    <m/>
    <s v="Vencida"/>
    <s v="Banca Movil"/>
    <s v="Canales Virtuales"/>
    <x v="9"/>
    <x v="8"/>
    <s v="Activar en CQ"/>
    <d v="2025-07-31T00:00:00"/>
    <s v="Vencida"/>
    <s v="Jul 2025"/>
    <n v="2025"/>
    <s v="Activos"/>
    <x v="4"/>
    <n v="0.85"/>
    <s v="PRE"/>
    <s v="NO"/>
    <s v="05. En Calidad"/>
    <s v="SI"/>
    <s v="ATRASADO 🔴"/>
    <n v="1"/>
    <n v="0.85"/>
    <n v="0.15000000000000002"/>
    <n v="0.85"/>
    <d v="2025-12-23T00:00:00"/>
    <d v="2025-12-23T00:00:00"/>
    <d v="2025-12-23T00:00:00"/>
    <d v="2026-01-07T00:00:00"/>
    <d v="2026-03-19T00:00:00"/>
    <d v="2026-03-20T00:00:00"/>
    <d v="2026-03-31T00:00:00"/>
    <n v="1"/>
    <n v="1"/>
    <n v="200"/>
    <s v="BD"/>
    <s v="2. CALIDAD"/>
    <m/>
    <m/>
    <n v="0"/>
    <n v="1"/>
    <n v="0"/>
    <n v="8"/>
    <n v="0"/>
    <x v="4"/>
  </r>
  <r>
    <s v="M0398"/>
    <n v="2086"/>
    <x v="0"/>
    <s v="2024-T0168"/>
    <s v="2024-M0494"/>
    <s v="MN: Migración de producto para TC entre bines Clásico, Gold y Platinum"/>
    <s v="Se requiere implementar la funcionalidad de cambio de producto entre las tarjetas de créditos personales Clásicas, Gold y Platinum, es decir que puedan pasar de un BIM a otro, transfiriendo todos sus datos administrativos y financieros."/>
    <x v="1"/>
    <s v="Banca Personal"/>
    <s v="Tarjeta de Crédito"/>
    <d v="2024-02-27T00:00:00"/>
    <s v="MEMORANDO N° 00000047 - 2024-BN/3340"/>
    <s v="SITC – Tarjeta de Crédito"/>
    <m/>
    <s v="Agencias"/>
    <s v="Tarjeta de Crédito "/>
    <s v="No aplica"/>
    <x v="2"/>
    <s v="Normativo"/>
    <s v="SBS"/>
    <s v="Reglamento de Gestión de Conducta de MErcado del Sistema Financiero, Resolución SBS N° 3274-2017 y modificatorias a través de la Resolución SBS 1870-202 y Oficio N° 22607-2020-SBS"/>
    <m/>
    <m/>
    <m/>
    <d v="2024-06-30T00:00:00"/>
    <s v="Normal"/>
    <d v="2024-03-20T00:00:00"/>
    <x v="0"/>
    <s v="FS-Olssa"/>
    <s v="Maribel Marlene Medina Molina"/>
    <s v="Milagros Huamani"/>
    <x v="4"/>
    <s v="02. En Proceso"/>
    <m/>
    <d v="2024-03-04T00:00:00"/>
    <m/>
    <d v="2024-03-20T00:00:00"/>
    <d v="2024-06-28T00:00:00"/>
    <m/>
    <d v="2024-09-18T00:00:00"/>
    <d v="2025-02-11T00:00:00"/>
    <d v="2024-08-07T00:00:00"/>
    <d v="2025-11-11T00:00:00"/>
    <m/>
    <d v="2024-08-14T00:00:00"/>
    <s v="13/11/25: Según CQ, actualizó el estado a 07. En Despliegue_x000a_22/10/25: Según CQ, actualizó el estado a 03. En Desarrollo_x000a_11/09/25: Según CQ, actualizó el estado a 05. En Calidad_x000a_04/09/25: Según CQ, actualizó el estado a 04. Desarrollo Finalizado_x000a_24/07/25: Según CQ, actualizó el estado a 03. En Desarrollo_x000a_10/02/25: Pospuesto en CQ. El recurso está atendiendo Tarjeta Tesoro._x000a_06/02/25: Según CQ, actualizó el estado a 10. Paralizado_x000a_28/11/24: Según CQ, actualizó el estado a 03. En Desarrollo_x000a_25/11/24: Según CQ, actualizó el estado a 03. En Desarrollo_x000a_21/11/2024 : PE indico que se atenderá en Febrero por Fab Olssa pero primero se debe culminar con el mantenimiento Tarjeta de Crédito_x000a_17/10/2024: PE indico que se derivará a Fab. Olssa en diciembre y sera coordinado por PE_x000a_26/09/24: Según CQ, actualizó el estado a 03. En Desarrollo_x000a_23/09/2024: Se asigna a Fabrica su atención_x000a_25/03/2024: COMITE EXCPECIONAL: Se realiza su priorización_x000a_20/03/24 Se atenderá a partir de junio24."/>
    <s v="Productos"/>
    <s v="BancaPersonal"/>
    <s v="2024-02"/>
    <s v="2024-03"/>
    <s v="2024-06"/>
    <x v="0"/>
    <x v="19"/>
    <m/>
    <m/>
    <m/>
    <m/>
    <d v="2024-03-20T00:00:00"/>
    <s v="2024-I"/>
    <s v="Sin Fecha Fin Producción"/>
    <s v="No Aplica"/>
    <m/>
    <s v="Finalizada"/>
    <s v="Trasitorio_autorizado"/>
    <x v="21"/>
    <x v="0"/>
    <m/>
    <m/>
    <s v="Vencida"/>
    <s v="Tarjeta Tesoro"/>
    <s v="Productos"/>
    <x v="1"/>
    <x v="1"/>
    <s v="01/04/25 Se activará en CQ, será derivado a Olssa. y se coordinará con Izipay._x000a_El recurso está atendiendo Tarjeta Tesoro."/>
    <s v=""/>
    <s v="Sin Fecha"/>
    <s v="No definido"/>
    <n v="2025"/>
    <s v="Activos"/>
    <x v="0"/>
    <n v="0.9"/>
    <s v="PRE"/>
    <s v="NO"/>
    <s v="03. En Desarrollo"/>
    <s v="SI"/>
    <s v="ATRASADO 🔴"/>
    <n v="1"/>
    <n v="0.9"/>
    <n v="9.9999999999999978E-2"/>
    <n v="0.9"/>
    <d v="2024-03-20T00:00:00"/>
    <d v="2024-03-20T00:00:00"/>
    <d v="2024-06-28T00:00:00"/>
    <d v="2024-09-18T00:00:00"/>
    <d v="2025-02-11T00:00:00"/>
    <d v="2025-11-11T00:00:00"/>
    <d v="2026-03-27T00:00:00"/>
    <n v="72"/>
    <n v="1"/>
    <n v="200"/>
    <m/>
    <s v="3. DESPLIEGUE"/>
    <m/>
    <m/>
    <n v="0"/>
    <n v="72"/>
    <n v="0"/>
    <n v="576"/>
    <n v="0"/>
    <x v="4"/>
  </r>
  <r>
    <s v="M0408"/>
    <n v="2097"/>
    <x v="0"/>
    <s v="2024-T0199"/>
    <s v="2024-M0175"/>
    <s v="Pago electrónico de tributos municipales (SRTM)"/>
    <s v="MEF ha implementado el SRTM, por lo que solicita que el BN brinde el servicio de cobranza, a través de su canal Pasarela de Pagos, así como la acreditación respectiva de lo recaudado de los ingresos depositados en la CUT"/>
    <x v="0"/>
    <s v="Servicios Bancarios y Recaudación"/>
    <s v="Recaudación y Corresponsalía"/>
    <d v="2024-03-13T00:00:00"/>
    <s v=" MEMORANDO N° 00000063 - 2024-BN/3243 "/>
    <s v="SOMP – SISTEMA DE OPERACIONES MULTIPAGOS"/>
    <s v="MEF"/>
    <s v="Pasarela de Pagos Web"/>
    <s v="No Aplica"/>
    <s v="No aplica"/>
    <x v="0"/>
    <m/>
    <s v="MEF"/>
    <s v="No Aplica"/>
    <s v="No Aplica"/>
    <s v="No Aplica"/>
    <s v="No Aplica"/>
    <s v="No Aplica"/>
    <s v="Normal"/>
    <d v="2024-03-20T00:00:00"/>
    <x v="0"/>
    <s v="FS-Indra"/>
    <s v="Angela Rocio Risco Vega/Jorge Lucio Ruedas Fernandez"/>
    <s v="Junior Quicaño"/>
    <x v="5"/>
    <s v="02. En Proceso"/>
    <m/>
    <d v="2024-03-15T00:00:00"/>
    <m/>
    <m/>
    <m/>
    <d v="2025-03-11T00:00:00"/>
    <m/>
    <m/>
    <s v=""/>
    <m/>
    <m/>
    <s v=""/>
    <s v="12/03/26: Según CQ, actualizó el estado a 03. En Desarrollo_x000a_10/03/26: Según CQ, actualizó el estado a 05. En Calidad_x000a_05/03/26: Según CQ, actualizó el estado a 07. En Despliegue_x000a_30/01/26: Según CQ, actualizó el estado a 08. Producción Finalizada_x000a_28/01/26: Según CQ, actualizó el estado a 07. En Despliegue_x000a_24/07/25: Según CQ, actualizó el estado a 06. Calidad Finalizado_x000a_05/03/25: Según CQ, actualizó el estado a 05. En Calidad_x000a_27/02/25: Según CQ, actualizó el estado a 04. Desarrollo Finalizado_x000a_21/11/2024 Pendiente que MEF termine sus actividades de construcción para iniciar las pruebas Integrales en Desarrollo._x000a_28/08/24: Según CQ, actualizó el estado a 03. En Desarrollo_x000a_15/08/24: Según CQ, actualizó el estado a 02. En Planificación_x000a_07/08/24: Según CQ, actualizó el estado a 02. En Planificación_x000a_27/06/2024 Se encuentra en Proceso en Fábrica desde Marzo 2024_x000a_25/03/2024: COMITE EXCPECIONAL: Se realiza su priorización_x000a_20/03/24 Se generó el mantenimiento 2024-M0175_x000a_15/03/24 Es un requerimiento que debemos atender de manera URGENTE, es un pedido de MEF coordinado con GG."/>
    <s v="Operac."/>
    <s v="BancariosRecaudación"/>
    <s v="2024-03"/>
    <s v="2024-03"/>
    <s v="No definido"/>
    <x v="0"/>
    <x v="1"/>
    <s v="Finalizado"/>
    <d v="2024-03-21T00:00:00"/>
    <d v="2025-03-11T00:00:00"/>
    <d v="2025-03-11T00:00:00"/>
    <d v="2024-03-20T00:00:00"/>
    <s v="2024-I"/>
    <s v="Sin Fechas"/>
    <s v="No Aplica"/>
    <s v="ID 61"/>
    <s v="Finalizada,Finalizada"/>
    <s v="Rechazado"/>
    <x v="22"/>
    <x v="0"/>
    <m/>
    <m/>
    <s v="Sin Fecha"/>
    <s v="Pagalo.pe"/>
    <s v="Canales Virtuales"/>
    <x v="8"/>
    <x v="7"/>
    <m/>
    <d v="2025-05-31T00:00:00"/>
    <s v="Vencida"/>
    <s v="May 2025"/>
    <m/>
    <s v="Activos"/>
    <x v="5"/>
    <n v="0.45"/>
    <s v="PRE"/>
    <s v="NO"/>
    <s v="06. Calidad Finalizado"/>
    <s v="SI"/>
    <s v="ATRASADO 🔴"/>
    <n v="0.9923518164435946"/>
    <n v="0.45"/>
    <n v="0.54235181644359454"/>
    <n v="0.45346820809248556"/>
    <d v="2024-03-15T00:00:00"/>
    <d v="2024-04-17T00:00:00"/>
    <d v="2025-04-24T00:00:00"/>
    <d v="2025-04-27T00:00:00"/>
    <d v="2025-05-16T00:00:00"/>
    <d v="2026-05-18T00:00:00"/>
    <d v="2026-05-22T00:00:00"/>
    <n v="252"/>
    <n v="1"/>
    <n v="1008"/>
    <m/>
    <s v="1. DESARROLLO"/>
    <m/>
    <m/>
    <n v="0"/>
    <n v="252"/>
    <n v="0"/>
    <n v="1008"/>
    <n v="0"/>
    <x v="8"/>
  </r>
  <r>
    <s v="M0423"/>
    <n v="2140"/>
    <x v="0"/>
    <s v="2024-T0204"/>
    <s v="2024-M0255"/>
    <s v="Mandatorio Abril 2024"/>
    <s v="Actualmente el BN no procesa los campos indicados en VISA en su guía del mandatorio abril 2024."/>
    <x v="2"/>
    <s v="Canales Alternos"/>
    <s v="Canales Virtuales"/>
    <d v="2024-03-18T00:00:00"/>
    <s v="MEMORANDO N° 00000205 - 2024-BN/3252"/>
    <s v="TMIN-Tarjeta Multired Interfaces"/>
    <s v="VISA"/>
    <s v="POS"/>
    <s v="Cuenta de Ahorros"/>
    <s v="Cuenta de Ahorros"/>
    <x v="2"/>
    <s v="Normativo"/>
    <s v="VISA"/>
    <m/>
    <m/>
    <m/>
    <m/>
    <d v="2024-03-15T00:00:00"/>
    <s v="Normal"/>
    <d v="2024-03-20T00:00:00"/>
    <x v="0"/>
    <s v="Analista-BN"/>
    <s v="Vladimir Ronald Cajavilca Cajavilca"/>
    <s v="Omar Sarmiento"/>
    <x v="3"/>
    <s v="04. Paralizado"/>
    <s v="Falta recursos TI"/>
    <d v="2024-03-19T00:00:00"/>
    <m/>
    <d v="2024-05-03T00:00:00"/>
    <m/>
    <m/>
    <m/>
    <m/>
    <s v=""/>
    <m/>
    <m/>
    <s v=""/>
    <s v="04/02/2026: Cartera reasignada a Omar Sarmiento"/>
    <s v="B.Digital"/>
    <s v="CanalesAlternos"/>
    <s v="2024-03"/>
    <s v="2024-03"/>
    <s v="No definido"/>
    <x v="0"/>
    <x v="1"/>
    <m/>
    <m/>
    <m/>
    <m/>
    <d v="2024-03-20T00:00:00"/>
    <s v="2024-I"/>
    <s v="Sin Fecha Fin Producción"/>
    <s v="No Aplica"/>
    <s v="ID 63"/>
    <s v="Pospuesta"/>
    <s v="Pospuesto"/>
    <x v="23"/>
    <x v="0"/>
    <m/>
    <m/>
    <s v="Sin Fecha"/>
    <s v="ATM-Agentes-VISA"/>
    <s v="Canales Presenciales"/>
    <x v="5"/>
    <x v="4"/>
    <s v="13/02 Se atenderá con TDR"/>
    <d v="2025-08-31T00:00:00"/>
    <s v="Vencida"/>
    <s v="Ago 2025"/>
    <n v="2025"/>
    <s v="Activos"/>
    <x v="3"/>
    <n v="0.12"/>
    <s v="POST"/>
    <s v="REACTIVADO"/>
    <s v="Reactivo"/>
    <s v="No aplica"/>
    <s v="PARALIZADO ⚪"/>
    <s v=""/>
    <n v="0.12"/>
    <s v=""/>
    <s v=""/>
    <m/>
    <m/>
    <m/>
    <m/>
    <m/>
    <m/>
    <d v="2026-08-31T00:00:00"/>
    <n v="25"/>
    <n v="0.1"/>
    <n v="200"/>
    <m/>
    <s v="6. PARALIZADO"/>
    <m/>
    <m/>
    <n v="0.9"/>
    <n v="1"/>
    <n v="24"/>
    <n v="8"/>
    <n v="192"/>
    <x v="5"/>
  </r>
  <r>
    <s v="M0439"/>
    <n v="2008"/>
    <x v="0"/>
    <s v="2024-T0085"/>
    <s v="2024-M0252"/>
    <s v="Publicaciones Períodicas"/>
    <s v="Brindar información rápida de la carátula e índice de la publicación, para una vista general de los usuarios interesados como asesores de Presidencia, funcionarios y trabajadores en general."/>
    <x v="5"/>
    <s v="Desarrollo del Talento"/>
    <s v="Capacitación"/>
    <d v="2024-01-23T00:00:00"/>
    <s v="MEMORANDO N° 00000021 - 2024-BN/2334"/>
    <s v="BIBL-Gestión y Consulta de Biblioteca-BN"/>
    <m/>
    <s v="Otros"/>
    <s v="No Aplica"/>
    <s v="No aplica"/>
    <x v="0"/>
    <m/>
    <m/>
    <m/>
    <m/>
    <m/>
    <m/>
    <m/>
    <s v="Normal"/>
    <d v="2024-04-19T00:00:00"/>
    <x v="1"/>
    <s v="FS-Olssa"/>
    <s v="Paul Alminagorta Cabezas"/>
    <s v="Juan Carlos Zavaleta"/>
    <x v="5"/>
    <s v="02. En Proceso"/>
    <m/>
    <d v="2024-02-09T00:00:00"/>
    <m/>
    <d v="2024-08-23T00:00:00"/>
    <m/>
    <d v="2025-08-29T00:00:00"/>
    <m/>
    <m/>
    <d v="2026-01-24T09:36:00"/>
    <m/>
    <m/>
    <d v="2026-01-31T09:36:00"/>
    <s v="13/04/2026 Supeditado a los recursos de fábrica_x000a_17/06/2025: Se cambia de gestor de TI de Omar S. a Juan Carlos Z._x000a_07/01/2025: Se cambia el Recurso Asignado a Analista-BN debido a que el estado de INDRA es Rechazado_x000a_19/09/24: Según CQ, actualizó el estado a 03. En Desarrollo_x000a_28/08/24: Según CQ, actualizó el estado a 02. En Planificación_x000a_24/06/2024: Se cambió 'Recurso-Asignado' de Analista-BN a  ' ' _x000a_&quot;18/04/24 Agendar reunion con el usuario para aclara alcance._x000a_19/03/24 Reunion con area usuaria para aclarar el alcance y generar el mantenimiento.&quot;"/>
    <s v="RRHH"/>
    <s v="DesarrolloTalento"/>
    <s v="2024-01"/>
    <s v="2024-04"/>
    <s v="No definido"/>
    <x v="0"/>
    <x v="16"/>
    <s v="Rechazado"/>
    <d v="2024-11-25T00:00:00"/>
    <d v="2025-03-05T00:00:00"/>
    <m/>
    <d v="2024-04-19T00:00:00"/>
    <s v="2024-II"/>
    <s v="Sin Fecha Fin Producción"/>
    <s v="No Aplica"/>
    <s v="ID 13"/>
    <s v="Finalizada"/>
    <s v="Asignado"/>
    <x v="24"/>
    <x v="0"/>
    <m/>
    <m/>
    <s v="Vencida"/>
    <s v="BackOffice"/>
    <s v="Otros Requerimientos"/>
    <x v="10"/>
    <x v="9"/>
    <s v="Pase a Calidad Oct-25"/>
    <d v="2025-12-31T00:00:00"/>
    <s v="Vencida"/>
    <s v="Dic 2025"/>
    <n v="2025"/>
    <s v="Activos"/>
    <x v="0"/>
    <n v="0.15"/>
    <s v="PRE"/>
    <s v="NO"/>
    <s v="03. En Desarrollo"/>
    <s v="SI"/>
    <s v="EN CURSO 🟢"/>
    <n v="0"/>
    <n v="0.15"/>
    <n v="-0.15"/>
    <s v=""/>
    <d v="2026-06-01T00:00:00"/>
    <d v="2026-06-01T00:00:00"/>
    <d v="2026-07-31T00:00:00"/>
    <d v="2026-08-01T00:00:00"/>
    <d v="2026-08-20T00:00:00"/>
    <d v="2026-09-01T00:00:00"/>
    <d v="2026-09-07T00:00:00"/>
    <n v="42"/>
    <n v="0"/>
    <n v="67.2"/>
    <m/>
    <s v="1. DESARROLLO"/>
    <m/>
    <m/>
    <n v="1"/>
    <n v="0"/>
    <n v="42"/>
    <n v="0"/>
    <n v="67.2"/>
    <x v="2"/>
  </r>
  <r>
    <s v="M0442"/>
    <n v="2058"/>
    <x v="0"/>
    <s v="2024-T0278"/>
    <s v="2024-M0409"/>
    <s v="Cobro de comisión adquirente Internacional Visa por uso en Canal ATM del BN (Consultas y retiros) Surcharge"/>
    <s v="Se requiere implementar un nuevo FEE (tarifa) para operaciones efectuadas por clientes foráneos internacionales en el canal ATM del BN"/>
    <x v="2"/>
    <s v="Canales Alternos"/>
    <s v="Canales Virtuales"/>
    <d v="2024-02-14T00:00:00"/>
    <s v="MEMORANDO N° 00000073 - 2024-BN/3251"/>
    <s v="STRA - Proyecto de Stratus"/>
    <s v="VISA"/>
    <s v="ATMs"/>
    <s v="No Aplica"/>
    <s v="No aplica"/>
    <x v="1"/>
    <m/>
    <m/>
    <m/>
    <m/>
    <m/>
    <m/>
    <m/>
    <s v="Normal"/>
    <d v="2024-04-19T00:00:00"/>
    <x v="0"/>
    <s v="FS-Indra"/>
    <s v="Vladimir Ronald Cajavilca Cajavilca"/>
    <s v="Omar Sarmiento"/>
    <x v="6"/>
    <s v="02. En Proceso"/>
    <m/>
    <d v="2024-04-19T00:00:00"/>
    <m/>
    <d v="2025-08-15T00:00:00"/>
    <d v="2026-01-16T00:00:00"/>
    <d v="2025-03-17T00:00:00"/>
    <d v="2026-01-19T00:00:00"/>
    <d v="2026-01-23T00:00:00"/>
    <d v="2025-01-15T14:24:00"/>
    <m/>
    <m/>
    <d v="2025-01-22T14:24:00"/>
    <s v="26/01/26: Según CQ, actualizó el estado a 06. Calidad Finalizado_x000a_21/01/26: Según CQ, actualizó el estado a 05. En Calidad_x000a_19/01/26: Según CQ, actualizó el estado a 04. Desarrollo Finalizado_x000a_30/12/2025: Cartera reasignada a Omar Sarmiento_x000a_18/08/25: Según CQ, actualizó el estado a 03. En Desarrollo_x000a_11/02/25: Pospuesto por Definición contable con Adaliza, para contar la ventana de pruebas con VISA coordinar con usuario ( Adalguiza y Maria Medrano )._x000a_10/02/25: Según CQ, actualizó el estado a 10. Paralizado_x000a_27/01/25: No asistieron a la reunión AA y JP para informar respecto a las 02 tareas pendientes: la solicitud de soporte con Visa y la definición contable, ambas tareas estan pendientes por parte del Usuario, enviaremos correos._x000a_22/01/25: las pruebas de validación de pantalla las esta realizando Adalguiza A. con Mario de Bevertec, FC indicó que estan pendientes 2 tareas: la solicitud de soporte con Visa y la definición contable, ambas tareas estan pendientes por parte del Usuario, se envió correos a los usuarios al respecto para su gestión_x000a_14/01/25: Fredy C. indicó que se debe realizar y culminar la prueba completa para saber si se grabo bien la comisión, comentó que solicitó el 09/2024 a Juliana P.  para que coordine la solicitud de soporte con Visa. Al respecto se consultará el estado de coordinación a Juliana P. _x000a_Se acuerda que Adalguiza A. coordinará via Whatsapp las pruebas con Bevertec y el cajero y simulador del BN. Jaime Salas confirma que Mario Sanchez seguira apoyando al BN_x000a_Fredy C. indica que esta pendiente la entrega de la parte contable de parte del Equipo de Cristian V. Canales Virtuales._x000a_02/12/2024:FC indica que ha solicitado en reiterdas oportunidades sigue a la espera. respecto a soporte de VISA se ha solicitado respondio que tiene un costo y con eso se podra hacer una prueba completa incluida la parte contable_x000a_26/11/2024: FC indica que falta definir  la parte contable  solicitado al equipo de  Cristian Ventocilla las pruebas la realiza la usuaria  Adalguiza , se estan haciendo pruebas limitidas con el usuario pero para las pruebas completas se debe solicitar a VISA previo pago se espera la respuesta del usuario para seguir con las coordinaciones respectivas_x000a_18/11/2024: FC indica que se esta avanzando y que se deben considerar 3 puntos importantes:_x000a_ 1. reglas contables, 2. flujo de pantallas  y 3. reportes (7) mas interfase (1), se necesitan reglas contables y flujo de pantallas. _x000a_Usuarios Adalguiza y Xenia solicitan coordinar un Laboratorio para las pruebas,  FC coordinará las pruebas en el Laboratorio._x000a_17/09 Juliana Palomino está coordinando el cronograma de trabajo_x000a_09/09 MM indica que se realizaron pruebas con las tarjetas foráneas, se acordó que el área usuaria enviará el diseño de las pantallas azules. MM indica que se consultará. _x000a_JP indica que  comunicara cuando se realilizará la reunión de Visa con BN, consultarán si la comision es fija o variable, JS recomienda que sea variable_x000a_26/08 JS indica que ya se entregó, se debe terminar de probar por parte de los usuarios, programar las pruebas_x000a_19/08 JS indica que esta en Pruebas_x000a_12/08 J.Salas señala que los desarrollos estasn listos para los 2 ATMs NCR y diebold. Terminado el reporte (14/08), remitirá guia. Parte transaccional ya se puede probar. _x000a_12/08 M.Huamani solicIta la guia de despliegue a BVT. Fredy Canchanya  apoyará en la parte técnica por el área de Construcción._x000a_05/08 Jaime Salas señala que ya entregó el desarrollo al BN, se deben realizar pruebas con los simuladores. El 02/08/2024 ya probó Mario Sanchez de BVT - msanchez@bevertec.com - Cel. 966198682_x000a_15/07 Maribel Median gestionará correo para accesos a Mario Sánchez y Lizet Flores de BVT_x000a_11/07 Se solicito a Maribel Medina la fecha de inicio de pruebas en ATMs NCR_x000a_09/07 Desarrollo terminado en NCR, listo para probar. _x000a_Pendiente del Desarrollo para DIEBOLD  _x000a_19/04/2024 El requerimiento es Urgente, por el cual se procederá con la gerencion de l trámite. Será asignado a Bevertec."/>
    <s v="B.Digital"/>
    <s v="CanalesAlternos"/>
    <s v="2024-02"/>
    <s v="2024-04"/>
    <s v="2026-01"/>
    <x v="0"/>
    <x v="20"/>
    <s v="En Proceso"/>
    <d v="2024-08-26T00:00:00"/>
    <d v="2025-03-17T00:00:00"/>
    <m/>
    <d v="2024-04-19T00:00:00"/>
    <s v="2024-II"/>
    <s v="Sin Fecha Fin Producción"/>
    <s v="No Aplica"/>
    <s v="ID 16"/>
    <s v="Finalizada"/>
    <s v="Certificado"/>
    <x v="25"/>
    <x v="0"/>
    <m/>
    <m/>
    <s v="Vencida"/>
    <s v="ATM-Agentes-VISA"/>
    <s v="Canales Presenciales"/>
    <x v="5"/>
    <x v="4"/>
    <s v="11/02: Pospuesto por Definición contable con Adaliza, para contar la ventana de pruebas con VISA coordinar con usuario ( Adalguiza y Maria Medrano )._x000a__x000a_07/02: Se revisará con Maribel y Vladimir en la tarde fecha de compromiso. _x000a__x000a_"/>
    <d v="2025-08-31T00:00:00"/>
    <s v="Vencida"/>
    <s v="Ago 2025"/>
    <n v="2025"/>
    <s v="Activos"/>
    <x v="3"/>
    <n v="0.85"/>
    <s v="PRE"/>
    <s v="NO"/>
    <s v="03. En Desarrollo"/>
    <s v="SI"/>
    <s v="ATRASADO 🔴"/>
    <n v="1"/>
    <n v="0.85"/>
    <n v="0.15000000000000002"/>
    <n v="0.85"/>
    <d v="2025-08-15T00:00:00"/>
    <d v="2025-08-15T00:00:00"/>
    <d v="2026-01-16T00:00:00"/>
    <d v="2026-01-19T00:00:00"/>
    <d v="2026-01-23T00:00:00"/>
    <d v="2026-03-03T00:00:00"/>
    <d v="2026-03-27T00:00:00"/>
    <n v="105"/>
    <n v="1"/>
    <n v="200"/>
    <s v="BD"/>
    <s v="2. CALIDAD"/>
    <m/>
    <m/>
    <n v="0"/>
    <n v="105"/>
    <n v="0"/>
    <n v="840"/>
    <n v="0"/>
    <x v="4"/>
  </r>
  <r>
    <s v="M0443"/>
    <n v="2059"/>
    <x v="0"/>
    <s v="2024-T0264"/>
    <s v="2024-M0317"/>
    <s v="Migrar el sistema Errores de Cajeros (Monitoreo cajeros automáticos) entorno web que soporte la trazabilidad de la atención de los incidentes relacionados con la operatividad de los ATMs"/>
    <s v="Contar con un sistema que permita el registro de las incidencias relacionadas con la operatividad de los ATMs, a su vez gestionar la trazabilidad de la atención de los mismos, con una base de datos centralizada y reportes gestionables"/>
    <x v="2"/>
    <s v="Canales Alternos"/>
    <s v="Canales Presenciales"/>
    <d v="2024-02-14T00:00:00"/>
    <s v="MEMORANDO N° 00000073 - 2024-BN/3251"/>
    <s v="ECAJ-Errores de Cajero Multired"/>
    <s v="ATM"/>
    <s v="ATMs"/>
    <s v="No Aplica"/>
    <s v="No aplica"/>
    <x v="3"/>
    <s v="Recomendación"/>
    <s v="AUDITORIA INTERNA"/>
    <s v="1) P-008-2022-BN/1400;_x000a_2) P-007-2021-BN/1400"/>
    <s v="1) Evaluación del proceso de administración de canales presenciales y virtuales - canal de atención cajeros automáticos_x000a_2) EVALUACIÓN DE LOS PROCESOS DE SERVICIOS DE BANCO Y DE SERVICIOS POR CONVENIOS Y DE LA GESTIÓN DE LOS FIDEICOMISOS"/>
    <s v="1) 6_x000a_2) 2"/>
    <s v="1) 6_x000a_2) 2"/>
    <d v="2023-12-30T00:00:00"/>
    <s v="Regularizado"/>
    <d v="2024-04-19T00:00:00"/>
    <x v="1"/>
    <s v="FS-Olssa"/>
    <s v="Paul Alminagorta Cabezas"/>
    <s v="Omar Sarmiento"/>
    <x v="3"/>
    <s v="04. Paralizado"/>
    <s v="Falta recursos TI"/>
    <d v="2024-04-15T00:00:00"/>
    <m/>
    <d v="2026-02-27T00:00:00"/>
    <d v="2025-07-04T00:00:00"/>
    <m/>
    <d v="2025-07-10T00:00:00"/>
    <d v="2025-08-27T00:00:00"/>
    <d v="2025-03-30T19:12:00"/>
    <d v="2025-09-05T00:00:00"/>
    <m/>
    <d v="2025-04-06T19:12:00"/>
    <s v="02/03/26: Según CQ, actualizó el estado a 10. Paralizado_x000a_13/01/26: Según CQ, actualizó el estado a 03. En Desarrollo_x000a_12/01/26: Según CQ, actualizó el estado a 05. En Calidad_x000a_30/12/2025: Cartera reasignada a Omar Sarmiento_x000a_08/09/25: Según CQ, actualizó el estado a 07. En Despliegue_x000a_28/08/25: Según CQ, actualizó el estado a 06. Calidad Finalizado_x000a_11/07/25: Según CQ, actualizó el estado a 05. En Calidad_x000a_07/07/25: Según CQ, actualizó el estado a 04. Desarrollo Finalizado_x000a_02/07/25: Según CQ, actualizó el estado a 05. En Calidad_x000a_19/06/25: Según CQ, actualizó el estado a 04. Desarrollo Finalizado_x000a_28/08/24: Según CQ, actualizó el estado a 03. En Desarrollo_x000a_12/08/24: De acuerdo a lo coordinado con Paul Alminagorta, el desarrollo se encuentra al 95% sin embargo esta pendiente solucionar el problema de accesos ( Host a ISAM ) _x000a_07/08/24: Según CQ, actualizó el estado a 02. En Planificación_x000a_24/06/2024: Se cambió 'Recurso-Asignado' de FS-Indra a Analista-BN_x000a_18/04/24 Se derivará a FS-indra. Se está trabajando en la re-definición del requerimiento._x000a_19/03/24 Se requiere reunion con el usuario para aclarar el alcance. "/>
    <s v="B.Digital"/>
    <s v="CanalesAlternos"/>
    <s v="2024-02"/>
    <s v="2024-04"/>
    <s v="2025-07"/>
    <x v="0"/>
    <x v="11"/>
    <m/>
    <m/>
    <m/>
    <m/>
    <d v="2024-04-19T00:00:00"/>
    <s v="2024-II"/>
    <s v="Sin Fecha Fin Producción"/>
    <s v="No Aplica"/>
    <m/>
    <s v="Finalizada"/>
    <s v="Pospuesto"/>
    <x v="26"/>
    <x v="1"/>
    <s v="181"/>
    <s v="NO"/>
    <s v="Vencida"/>
    <s v="Sin Aplicativo"/>
    <s v="Sin Aplicativo"/>
    <x v="7"/>
    <x v="6"/>
    <s v="24/04/25: Se dará pase a producción a inicio de Junio_x000a_En desarrollo, pasa a Calidad 31.Mar25"/>
    <d v="2025-06-30T00:00:00"/>
    <s v="Vencida"/>
    <s v="Jun 2025"/>
    <n v="2025"/>
    <s v="Activos"/>
    <x v="2"/>
    <n v="0.12"/>
    <s v="PRE"/>
    <s v="NO"/>
    <s v="07. En Despliegue"/>
    <s v="No aplica"/>
    <s v="PARALIZADO ⚪"/>
    <n v="0"/>
    <n v="0.12"/>
    <n v="-0.12"/>
    <s v=""/>
    <m/>
    <d v="2026-07-01T00:00:00"/>
    <d v="2026-08-30T00:00:00"/>
    <d v="2026-09-01T00:00:00"/>
    <d v="2026-09-30T00:00:00"/>
    <d v="2026-10-01T00:00:00"/>
    <d v="2026-10-05T00:00:00"/>
    <n v="41"/>
    <n v="0"/>
    <n v="200"/>
    <m/>
    <s v="6. PARALIZADO"/>
    <m/>
    <m/>
    <n v="1"/>
    <n v="0"/>
    <n v="41"/>
    <n v="0"/>
    <n v="328"/>
    <x v="7"/>
  </r>
  <r>
    <s v="M0451"/>
    <n v="2173"/>
    <x v="0"/>
    <s v="2024-T0239"/>
    <s v="2024-M0201"/>
    <s v="MC: Crear la opción de consultas en línea para las cuentas corrientes, SIAF, RDR, Ordinarias, Depósitos en garantía y ahorros MN y ME"/>
    <s v="Crear la opción de una consulta en línea en el aplicativo HOST, para las cuentas corrientes, SIAF, RDR, Ordinarias, Depositos en garantia y ahorros de MN y ME"/>
    <x v="0"/>
    <s v="Internacional"/>
    <s v="Comercio Exterior"/>
    <d v="2024-03-27T00:00:00"/>
    <s v="Correo s/n"/>
    <s v="MEDH-Depositos Garantia ME"/>
    <m/>
    <s v="Administrativo"/>
    <s v="Cuenta Corriente "/>
    <s v="No aplica"/>
    <x v="1"/>
    <m/>
    <s v="No Aplica"/>
    <s v="No Aplica"/>
    <s v="No Aplica"/>
    <s v="No Aplica"/>
    <s v="No Aplica"/>
    <s v="No Aplica"/>
    <s v="Normal"/>
    <d v="2024-04-19T00:00:00"/>
    <x v="0"/>
    <s v="Analista-BN"/>
    <s v="Maribel Marlene Medina Molina"/>
    <s v="Junior Quicaño"/>
    <x v="1"/>
    <s v="03. Culminado"/>
    <m/>
    <d v="2024-04-04T00:00:00"/>
    <m/>
    <d v="2025-11-03T00:00:00"/>
    <d v="2025-11-03T00:00:00"/>
    <m/>
    <d v="2025-11-04T00:00:00"/>
    <d v="2025-11-20T00:00:00"/>
    <d v="2025-11-03T00:00:00"/>
    <d v="2026-01-07T00:00:00"/>
    <d v="2026-01-12T00:00:00"/>
    <d v="2025-11-10T00:00:00"/>
    <s v="13/01/26: Según CQ, actualizó el estado a 08. Producción Finalizada_x000a_12/01/26: Según CQ, actualizó el estado a 07. En Despliegue_x000a_12/01/26: Según CQ, actualizó el estado a 06. Calidad Finalizado_x000a_08/01/26: Según CQ, actualizó el estado a 07. En Despliegue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4/11/25: Según CQ, actualizó el estado a 05. En Calidad_x000a_10/02/25: Según CQ, actualizó el estado a 03. En Desarrollo_x000a_19/09/24: Según CQ, actualizó el estado a 03. En Desarrollo_x000a_07/08/24: Según CQ, actualizó el estado a 02. En Planificación_x000a_27/03/2024: Se registra el requerimiento de tipo urgente"/>
    <s v="Operac."/>
    <s v="Internacional"/>
    <s v="2024-03"/>
    <s v="2024-04"/>
    <s v="2025-11"/>
    <x v="4"/>
    <x v="21"/>
    <m/>
    <m/>
    <m/>
    <m/>
    <d v="2024-04-19T00:00:00"/>
    <s v="2024-II"/>
    <n v="70"/>
    <n v="2.3333333333333335"/>
    <m/>
    <s v="Finalizada"/>
    <s v="Procesado"/>
    <x v="27"/>
    <x v="0"/>
    <m/>
    <m/>
    <s v="Culminado"/>
    <s v="BackOffice"/>
    <s v="Otros Requerimientos"/>
    <x v="5"/>
    <x v="4"/>
    <s v="Junio pasará a calidad será asignado a OLSSA, se reasignará a Eduardo, Norma, Maria Eva. "/>
    <d v="2026-01-12T00:00:00"/>
    <s v="Culminado"/>
    <s v="Ene 2026"/>
    <n v="2025"/>
    <s v="Culminado"/>
    <x v="0"/>
    <n v="1"/>
    <s v="POST"/>
    <s v="REACTIVADO"/>
    <s v="Reactivo"/>
    <s v="No aplica"/>
    <s v="IMPLEMENTADO 🔵"/>
    <n v="1"/>
    <n v="1"/>
    <n v="0"/>
    <n v="1"/>
    <d v="2025-11-03T00:00:00"/>
    <d v="2025-11-03T00:00:00"/>
    <d v="2025-11-03T00:00:00"/>
    <d v="2025-11-04T00:00:00"/>
    <d v="2025-11-20T00:00:00"/>
    <d v="2026-01-07T00:00:00"/>
    <d v="2026-01-16T00:00:00"/>
    <n v="1"/>
    <n v="1"/>
    <n v="200"/>
    <m/>
    <s v="4. PRODUCCIÓN"/>
    <m/>
    <m/>
    <n v="0"/>
    <n v="1"/>
    <n v="0"/>
    <n v="8"/>
    <n v="0"/>
    <x v="9"/>
  </r>
  <r>
    <s v="M0455"/>
    <n v="2182"/>
    <x v="0"/>
    <s v="2024-T0231"/>
    <s v="2024-M0518"/>
    <s v="Agregar campos en actualización de datos en los canales Banca Móvil y Multired Virtual"/>
    <s v="Implementar en los canales APP BN y MV los campos: Nacionalidad, residencia y el nombre del Centro de Labores."/>
    <x v="2"/>
    <s v="Canales Alternos"/>
    <s v="Canales Virtuales"/>
    <d v="2024-04-09T00:00:00"/>
    <s v="MEMORANDO N° 00000215 - 2024-BN/3252"/>
    <s v="SATI-Sistema ATI"/>
    <s v="MV/APP"/>
    <s v="Banca Móvil (APP)"/>
    <s v="Cuenta de Ahorros"/>
    <s v="No aplica"/>
    <x v="2"/>
    <s v="Normativo"/>
    <s v="SBS"/>
    <s v="Reglamento de Gestión de Riesgos de Lavado de Activos y del Financiamiento del Terrorismo aprobado por Resolución N° 2660-2015"/>
    <m/>
    <m/>
    <m/>
    <m/>
    <s v="Normal"/>
    <d v="2024-04-18T00:00:00"/>
    <x v="2"/>
    <s v="FS-Indra"/>
    <s v="Monica del Pilar Garcia Campana"/>
    <s v="Omar Sarmiento"/>
    <x v="5"/>
    <s v="02. En Proceso"/>
    <m/>
    <d v="2024-04-03T00:00:00"/>
    <m/>
    <m/>
    <m/>
    <d v="2025-08-22T00:00:00"/>
    <m/>
    <m/>
    <s v=""/>
    <m/>
    <m/>
    <s v=""/>
    <s v="26/02/2026 Tiene como predecesor al requerimiento de biometria_x000a_30/12/2025: Cartera reasignada a Omar Sarmiento_x000a_04/11/25: Según CQ, actualizó el estado a 03. En Desarrollo_x000a_23/10/25: Según CQ, actualizó el estado a 05. En Calidad_x000a_16/10/25: Según CQ, actualizó el estado a 04. Desarrollo Finalizado_x000a_23/04/25: Se coordinó con el líder técnico y se estableció como fecha de compromiso el mes de agosto._x000a_03/10/24: Según CQ, actualizó el estado a 03. En Desarrollo_x000a_24/06/2024: Se cambió 'Recurso-Asignado' de Analista-BN a  ' '_x000a_22/05/2024: Pendiente de confirmación por JRocca sobre _x000a_18/04/24 Se atendera conforme a la interfaz de BDUC este realizado._x000a_03/04/2024: Se registró en la demanda integral_x000a_Comprometido con el Directorio para Junio 2024 por campaña de actualización de datos de clientes"/>
    <s v="B.Digital"/>
    <s v="CanalesAlternos"/>
    <s v="2024-04"/>
    <s v="2024-04"/>
    <s v="No definido"/>
    <x v="0"/>
    <x v="1"/>
    <s v="En Proceso"/>
    <d v="2024-10-09T00:00:00"/>
    <d v="2025-08-22T00:00:00"/>
    <m/>
    <d v="2024-04-18T00:00:00"/>
    <s v="2024-II"/>
    <s v="Sin Fechas"/>
    <s v="No Aplica"/>
    <s v="ID 73"/>
    <s v="Finalizada"/>
    <s v="Rechazado"/>
    <x v="28"/>
    <x v="0"/>
    <m/>
    <m/>
    <s v="Sin Fecha"/>
    <s v="Multired Virtual"/>
    <s v="Canales Virtuales"/>
    <x v="5"/>
    <x v="4"/>
    <s v="Activar en CQ"/>
    <d v="2025-08-31T00:00:00"/>
    <s v="Vencida"/>
    <s v="Ago 2025"/>
    <n v="2025"/>
    <s v="Activos"/>
    <x v="4"/>
    <n v="0.45"/>
    <s v="PRE"/>
    <s v="NO"/>
    <s v="05. En Calidad"/>
    <s v="SI"/>
    <s v="EN RIESGO 🟡"/>
    <n v="0.51886792452830188"/>
    <n v="0.45"/>
    <n v="6.8867924528301872E-2"/>
    <n v="0.86727272727272731"/>
    <d v="2025-11-10T00:00:00"/>
    <d v="2026-03-02T00:00:00"/>
    <d v="2026-06-26T00:00:00"/>
    <d v="2026-06-29T00:00:00"/>
    <d v="2026-07-24T00:00:00"/>
    <d v="2026-07-27T00:00:00"/>
    <d v="2026-07-31T00:00:00"/>
    <n v="84"/>
    <n v="0.6470588235294118"/>
    <n v="224"/>
    <s v="BD"/>
    <s v="1. DESARROLLO"/>
    <m/>
    <m/>
    <n v="0.3529411764705882"/>
    <n v="54"/>
    <n v="30"/>
    <n v="144"/>
    <n v="80"/>
    <x v="10"/>
  </r>
  <r>
    <s v="M0473"/>
    <n v="2212"/>
    <x v="0"/>
    <s v="2024-T0260"/>
    <s v="2024-M0223"/>
    <s v="MC: Montos retenidos - Yape"/>
    <s v="Generación de un log de las operaciones VISA y resolución de la incidencia importes diferentes en las operaciones de VISA en la consulta de la transacción TM05"/>
    <x v="8"/>
    <s v="Construcción de Aplicaciones"/>
    <s v="Sistemas Bancarios"/>
    <d v="2024-04-11T00:00:00"/>
    <m/>
    <s v="INCA - Interfaz Cajeros automaticos"/>
    <m/>
    <s v="POS"/>
    <s v="No Aplica"/>
    <s v="No aplica"/>
    <x v="1"/>
    <m/>
    <m/>
    <m/>
    <m/>
    <m/>
    <m/>
    <m/>
    <s v="Normal"/>
    <d v="2024-04-19T00:00:00"/>
    <x v="0"/>
    <s v="Analista-BN"/>
    <s v="Vladimir Ronald Cajavilca Cajavilca"/>
    <s v="Tomas Calvera"/>
    <x v="3"/>
    <s v="04. Paralizado"/>
    <s v="Falta recursos TI"/>
    <d v="2024-04-15T00:00:00"/>
    <m/>
    <d v="2025-02-07T00:00:00"/>
    <d v="2024-04-26T00:00:00"/>
    <m/>
    <d v="2024-04-30T00:00:00"/>
    <d v="2024-04-30T00:00:00"/>
    <d v="2024-01-02T04:48:00"/>
    <d v="2024-05-07T00:00:00"/>
    <m/>
    <d v="2024-01-09T04:48:00"/>
    <s v="04/02/2026: Cartera reasignada a Tomas Calvera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Omar Sarmiento_x000a_11/08/2025: Cartera reasignada a Percy Silva_x000a_10/02/25: Se pospuso en CQ. Evaluar Descarte con usuario ( Maria Medrano ) _x000a_10/02/25: Según CQ, actualizó el estado a 10. Paralizado_x000a_23/01/2025 Cartera reasignada a Milagros Huamaní_x000a_12/06/2024: Se realizó reasignación de Gestor TI de Mónica Osorio a Francisco La Torre._x000a_05/06/2024: Se actualiza el estado de Producción FInalizada a En desarrollo según CQ (Rechazado)_x000a_07/05/2024: Carlos Linares confirma que el RQ pasó a producción el 04May24_x000a_03/05/2024: El 02May CLinares confirmapase a producción el fds, sin embargo, luego de coordinar el pase con área usuaria, solicitan postergarlo para la sgte semana._x000a_3/05/2024: Según CQ, se actualizó el estado de 05. En Calidad a 06. Calidad Finalizado_x000a_30/04/2024: Según CQ, se actualizó el estado de 01. Registrado a 05. En Calidad_x000a_15/04/2024: Se registró en la demanda integral. •_x0009_Proviene de un incidente reportado por el área usuaria"/>
    <s v="TI"/>
    <s v="ConstrucciónAplicaciones"/>
    <s v="2024-04"/>
    <s v="2024-04"/>
    <s v="2024-04"/>
    <x v="0"/>
    <x v="22"/>
    <m/>
    <m/>
    <m/>
    <m/>
    <d v="2024-04-19T00:00:00"/>
    <s v="2024-II"/>
    <s v="Sin Fecha Fin Producción"/>
    <s v="No Aplica"/>
    <m/>
    <s v="Finalizada"/>
    <s v="Pospuesto"/>
    <x v="29"/>
    <x v="0"/>
    <m/>
    <m/>
    <s v="Vencida"/>
    <s v="ATM-Agentes-VISA"/>
    <s v="Canales Presenciales"/>
    <x v="1"/>
    <x v="1"/>
    <s v="01/04/25 Percy evaluará con el usuario su descarte._x000a_Se pospuso. Evaluar Descarte con usuario ( Maria Medrano ) "/>
    <s v=""/>
    <s v="Sin Fecha"/>
    <s v="No definido"/>
    <s v="Rev."/>
    <s v="Activos"/>
    <x v="0"/>
    <n v="0.12"/>
    <s v="POST"/>
    <s v="REACTIVADO"/>
    <s v="Reactivo"/>
    <s v="No aplica"/>
    <s v="PARALIZADO ⚪"/>
    <s v=""/>
    <n v="0.12"/>
    <s v=""/>
    <s v=""/>
    <m/>
    <m/>
    <m/>
    <m/>
    <m/>
    <m/>
    <d v="2027-03-31T00:00:00"/>
    <n v="25"/>
    <n v="0.1"/>
    <n v="200"/>
    <m/>
    <s v="6. PARALIZADO"/>
    <m/>
    <m/>
    <n v="0.9"/>
    <n v="1"/>
    <n v="24"/>
    <n v="8"/>
    <n v="192"/>
    <x v="3"/>
  </r>
  <r>
    <s v="M0477"/>
    <n v="2216"/>
    <x v="0"/>
    <s v="2024-T0267"/>
    <s v="2024-M0238"/>
    <s v="ME: Implementación de Transacción en línea de la cobranza de las Empresas Públicas de Electricidad."/>
    <s v="Implementación de Transacción en línea de la cobranza de las Empresas Públicas de Electricidad Hidroandina, Electroeste, Electronorte, Electrocentro, Electrosur."/>
    <x v="0"/>
    <s v="Servicios Bancarios y Recaudación"/>
    <s v="Recaudación y Corresponsalía"/>
    <d v="2024-02-08T00:00:00"/>
    <s v="MEMORANDO N° 00000035 - 2024-BN/3243"/>
    <s v="RECA-Recaudacion"/>
    <s v="GG"/>
    <s v="Agencias"/>
    <s v="No Aplica"/>
    <s v="Servicios Bancarios Diversos "/>
    <x v="0"/>
    <m/>
    <s v="GG"/>
    <s v="No Aplica"/>
    <s v="No Aplica"/>
    <s v="No Aplica"/>
    <s v="No Aplica"/>
    <s v="No Aplica"/>
    <s v="Normal"/>
    <d v="2024-04-19T00:00:00"/>
    <x v="0"/>
    <s v="Analista-BN"/>
    <s v="Jorge Lucio Ruedas Fernandez/Fiorella Emma Galvan Soto"/>
    <s v="Junior Quicaño"/>
    <x v="1"/>
    <s v="03. Culminado"/>
    <m/>
    <d v="2024-04-17T00:00:00"/>
    <m/>
    <d v="2024-04-23T00:00:00"/>
    <d v="2024-09-19T00:00:00"/>
    <m/>
    <d v="2024-10-01T00:00:00"/>
    <d v="2024-10-09T00:00:00"/>
    <d v="2024-11-17T14:24:00"/>
    <d v="2026-03-10T00:00:00"/>
    <d v="2026-03-10T00:00:00"/>
    <d v="2024-11-24T14:24:00"/>
    <s v="10/03/26: Según CQ, actualizó el estado a 08. Producción Finalizada_x000a_10/10/24: Según CQ, actualizó el estado a 06. Calidad Finalizado_x000a_01/10/24: Según CQ, actualizó el estado a 05. En Calidad_x000a_23/09/24: Según CQ, actualizó el estado a 04. Desarrollo Finalizado_x000a_03/07/2024 Se ingreso en la máscara las entidades eléctricas para que puedan realizar prueba de conexión, aún se está trabajando._x000a_17/04/2024: Se registró en la demanda integral."/>
    <s v="Operac."/>
    <s v="BancariosRecaudación"/>
    <s v="2024-02"/>
    <s v="2024-04"/>
    <s v="2024-09"/>
    <x v="2"/>
    <x v="9"/>
    <m/>
    <m/>
    <m/>
    <m/>
    <d v="2024-04-19T00:00:00"/>
    <s v="2024-II"/>
    <n v="686"/>
    <n v="22.866666666666667"/>
    <s v="ID 22"/>
    <s v="Finalizada,Finalizada"/>
    <s v="Procesado"/>
    <x v="30"/>
    <x v="0"/>
    <m/>
    <m/>
    <s v="Culminado"/>
    <s v="BackOffice"/>
    <s v="Otros Requerimientos"/>
    <x v="4"/>
    <x v="3"/>
    <m/>
    <d v="2026-03-10T00:00:00"/>
    <s v="Culminado"/>
    <s v="Mar 2026"/>
    <m/>
    <s v="Culminado"/>
    <x v="0"/>
    <n v="1"/>
    <s v="PRE"/>
    <s v="NO"/>
    <s v="06. Calidad Finalizado"/>
    <s v="No aplica"/>
    <s v="IMPLEMENTADO 🔵"/>
    <n v="1"/>
    <n v="1"/>
    <n v="0"/>
    <n v="1"/>
    <d v="2024-04-23T00:00:00"/>
    <d v="2024-04-23T00:00:00"/>
    <d v="2024-09-19T00:00:00"/>
    <d v="2024-10-01T00:00:00"/>
    <d v="2025-08-21T00:00:00"/>
    <d v="2026-02-19T00:00:00"/>
    <d v="2026-03-27T00:00:00"/>
    <n v="104"/>
    <n v="1"/>
    <n v="200"/>
    <m/>
    <s v="4. PRODUCCIÓN"/>
    <m/>
    <m/>
    <n v="0"/>
    <n v="104"/>
    <n v="0"/>
    <n v="832"/>
    <n v="0"/>
    <x v="4"/>
  </r>
  <r>
    <s v="M0482"/>
    <n v="2224"/>
    <x v="0"/>
    <s v="2024-T0277"/>
    <s v="2024-M0237"/>
    <s v="ME: Integración al Sistema Comercial SEDAPAL"/>
    <s v="Integración del Sistema del Banco de la Nación con el nuevo sistema comercial SEDAPAL para recaudación en línea"/>
    <x v="0"/>
    <s v="Servicios Bancarios y Recaudación"/>
    <s v="Recaudación y Corresponsalía"/>
    <d v="2024-02-16T00:00:00"/>
    <s v="MEMORANDO N° 00000041 - 2024-BN/3243"/>
    <s v="RECA-Recaudacion"/>
    <s v="GG"/>
    <s v="Agencias"/>
    <s v="No Aplica"/>
    <s v="Servicios Bancarios Diversos "/>
    <x v="0"/>
    <m/>
    <s v="GG"/>
    <s v="No Aplica"/>
    <s v="No Aplica"/>
    <s v="No Aplica"/>
    <s v="No Aplica"/>
    <s v="No Aplica"/>
    <s v="Normal"/>
    <d v="2024-04-19T00:00:00"/>
    <x v="0"/>
    <s v="FS-Olssa"/>
    <s v="Fiorella Emma Galvan Soto/Jorge Lucio Ruedas Fernandez"/>
    <s v="Junior Quicaño"/>
    <x v="1"/>
    <s v="03. Culminado"/>
    <m/>
    <d v="2024-04-19T00:00:00"/>
    <m/>
    <d v="2024-04-23T00:00:00"/>
    <d v="2025-06-16T00:00:00"/>
    <m/>
    <d v="2025-06-30T00:00:00"/>
    <d v="2025-06-30T00:00:00"/>
    <d v="2025-11-30T14:24:00"/>
    <d v="2025-07-01T00:00:00"/>
    <d v="2026-03-10T00:00:00"/>
    <d v="2025-12-07T14:24:00"/>
    <s v="10/03/26: Según CQ, actualizó el estado a 08. Producción Finalizada_x000a_02/07/25: Según CQ, actualizó el estado a 07. En Despliegue_x000a_30/06/25: Según CQ, actualizó el estado a 06. Calidad Finalizado_x000a_20/06/25: Según CQ, actualizó el estado a 05. En Calidad_x000a_19/06/25: Según CQ, actualizó el estado a 04. Desarrollo Finalizado_x000a_21/11/2024 El mantenimiento se encuentra pospuesto, se planteó una solución temporal que esta validando el equipo de SEDAPAL._x000a_03/07/2024 Se ha solictado Data de Pruebas._x000a_19/04/2024: Registrado en al demanda integral. Requerimiento solicitado por GG"/>
    <s v="Operac."/>
    <s v="BancariosRecaudación"/>
    <s v="2024-02"/>
    <s v="2024-04"/>
    <s v="2025-06"/>
    <x v="2"/>
    <x v="23"/>
    <m/>
    <m/>
    <m/>
    <m/>
    <d v="2024-04-19T00:00:00"/>
    <s v="2024-II"/>
    <n v="686"/>
    <n v="22.866666666666667"/>
    <s v="ID 37"/>
    <s v="Finalizada,Finalizada"/>
    <s v="Procesado"/>
    <x v="31"/>
    <x v="0"/>
    <m/>
    <m/>
    <s v="Culminado"/>
    <s v="BackOffice"/>
    <s v="Otros Requerimientos"/>
    <x v="11"/>
    <x v="10"/>
    <s v="OLSSA, dependencia con nuevo Hub de integración. "/>
    <d v="2026-03-10T00:00:00"/>
    <s v="Culminado"/>
    <s v="Mar 2026"/>
    <n v="2025"/>
    <s v="Culminado"/>
    <x v="0"/>
    <n v="1"/>
    <s v="PRE"/>
    <s v="NO"/>
    <s v="07. En Despliegue"/>
    <s v="No aplica"/>
    <s v="IMPLEMENTADO 🔵"/>
    <n v="1"/>
    <n v="1"/>
    <n v="0"/>
    <n v="1"/>
    <d v="2024-04-23T00:00:00"/>
    <d v="2024-04-23T00:00:00"/>
    <d v="2025-06-16T00:00:00"/>
    <d v="2025-06-30T00:00:00"/>
    <d v="2025-06-30T00:00:00"/>
    <d v="2025-07-01T00:00:00"/>
    <d v="2026-03-27T00:00:00"/>
    <n v="284"/>
    <n v="1"/>
    <n v="200"/>
    <m/>
    <s v="4. PRODUCCIÓN"/>
    <m/>
    <m/>
    <n v="0"/>
    <n v="284"/>
    <n v="0"/>
    <n v="2272"/>
    <n v="0"/>
    <x v="4"/>
  </r>
  <r>
    <s v="M0486"/>
    <n v="2286"/>
    <x v="0"/>
    <s v="2024-T0346"/>
    <s v="2024-M0298"/>
    <s v="Mejora en el proceso de conciliación de operaciones visa (punto 4): Nuevos reportes reemplazo REPVISA – Parte Host"/>
    <s v="Corresponde a cambios en el Host para la Mejora en el proceso de conciliación de las operaciones VISA - Reportes "/>
    <x v="8"/>
    <s v="Construcción de Aplicaciones"/>
    <s v="Sistemas Bancarios"/>
    <d v="2024-05-27T00:00:00"/>
    <s v="MEMORANDO N° 00000452 - 2023-BN/3252"/>
    <s v="TMIN-Tarjeta Multired Interfaces"/>
    <s v="REP-VISA"/>
    <s v="POS"/>
    <s v="Cuenta de Ahorros"/>
    <s v="No aplica"/>
    <x v="0"/>
    <m/>
    <s v="SBS"/>
    <s v="06-2023-DSBE"/>
    <s v="Informe de Inspección"/>
    <s v="N° 27"/>
    <m/>
    <d v="2024-12-31T00:00:00"/>
    <s v="Heredado"/>
    <m/>
    <x v="0"/>
    <s v="FS-Indra"/>
    <s v="Vladimir Ronald Cajavilca Cajavilca"/>
    <s v="Tomas Calvera"/>
    <x v="3"/>
    <s v="04. Paralizado"/>
    <s v="Dependencia Usuario"/>
    <d v="2024-05-27T00:00:00"/>
    <m/>
    <d v="2025-12-04T00:00:00"/>
    <d v="2025-01-28T00:00:00"/>
    <m/>
    <d v="2025-02-05T00:00:00"/>
    <d v="2025-02-13T00:00:00"/>
    <d v="2024-09-26T00:00:00"/>
    <m/>
    <m/>
    <d v="2024-10-03T00:00:00"/>
    <s v="27/02/26: Según CQ, actualizó el estado a 10. Paralizado_x000a_26/02: cambiar estado en el CQ a Pralizado_x000a_04/02/2026: Cartera reasignada a Tomas Calvera_x000a_05/09/2025: Cartera reasignada a Omar Sarmiento_x000a_11/08/2025: Cartera reasignada a Percy Silva_x000a_17/06/2025: Se cambia de gestor de TI de Percy S. a Milagros H._x000a_16/04/25: Según CQ, actualizó el estado a 03. En Desarrollo_x000a_14/02/25: Según CQ, actualizó el estado a 06. Calidad Finalizado_x000a_06/02/25: Según CQ, actualizó el estado a 05. En Calidad_x000a_29/01/25: Según CQ, actualizó el estado a 04. Desarrollo Finalizado_x000a_23/01/2025 Cartera reasignada a Milagros Huamaní_x000a_02/01/25: Según lo coordinado con Cumplimiento Normativo el 12/12/24, se modifica la categoría de Recomendación a Evolutivo_x000a_22/11/24: Según CQ, actualizó el estado a 03. En Desarrollo_x000a_21/11/2024: FC En etapa de Certificación con Open_x000a_08/11/24: Según CQ, actualizó el estado a 03. En Desarrollo_x000a_10/10/2024: Maribel Medina indica en el CQ que se aprueba cuando pase el mantenimiento de OPEN  (2023-M0701)_x000a_28/08/24: Según CQ, actualizó el estado a 03. En Desarrollo_x000a_07/08/24: Según CQ, actualizó el estado a 02. En Planificación_x000a_08/07/2024: Es un requerimiento hijo asociado a una recomendación _x000a_03/07/2024: Maribel Medina confirma que el RQ se encuentra en atención por recurso de Fabrica Indra (Fredy Canchanya), fecha fin de desarrollo 15.07. _x000a_27/05/2024: Se registró en la demanda Integral. Se registró en la demanda Táctica y  corresponde a la parte host del RQ; ID 1827_x000a_NOTA: Dependencia del trámite 2023-T0793"/>
    <s v="TI"/>
    <s v="ConstrucciónAplicaciones"/>
    <s v="2024-05"/>
    <s v="No definido"/>
    <s v="2025-01"/>
    <x v="0"/>
    <x v="24"/>
    <s v="Finalizado"/>
    <d v="2024-07-05T00:00:00"/>
    <d v="2025-01-23T00:00:00"/>
    <d v="2025-01-23T00:00:00"/>
    <d v="2024-05-27T00:00:00"/>
    <s v="2024-II"/>
    <s v="Sin Fecha Fin Producción"/>
    <s v="No Aplica"/>
    <m/>
    <s v="Finalizada"/>
    <s v="Pospuesto"/>
    <x v="32"/>
    <x v="0"/>
    <m/>
    <m/>
    <s v="Vencida"/>
    <s v="ATM-Agentes-VISA"/>
    <s v="Canales Presenciales"/>
    <x v="8"/>
    <x v="7"/>
    <m/>
    <d v="2025-05-31T00:00:00"/>
    <s v="Vencida"/>
    <s v="May 2025"/>
    <m/>
    <s v="Activos"/>
    <x v="3"/>
    <n v="0.12"/>
    <s v="PRE"/>
    <s v="NO"/>
    <s v="03. En Desarrollo"/>
    <s v="No aplica"/>
    <s v="PARALIZADO ⚪"/>
    <s v=""/>
    <n v="0.12"/>
    <s v=""/>
    <s v=""/>
    <m/>
    <m/>
    <m/>
    <m/>
    <m/>
    <m/>
    <d v="2027-03-31T00:00:00"/>
    <n v="25"/>
    <n v="0.1"/>
    <n v="200"/>
    <m/>
    <s v="6. PARALIZADO"/>
    <m/>
    <m/>
    <n v="0.9"/>
    <n v="1"/>
    <n v="24"/>
    <n v="8"/>
    <n v="192"/>
    <x v="3"/>
  </r>
  <r>
    <s v="M0493"/>
    <n v="2238"/>
    <x v="0"/>
    <s v="2024-T0292"/>
    <s v="2024-M0320"/>
    <s v="MN: Actualización de Metodología de Cálculo de encaje Exigible"/>
    <s v="Actualización del Reporte 5A Encaje adelantado por normativas de ente regulador BCRP"/>
    <x v="0"/>
    <s v="Caja y Valores"/>
    <s v="Soporte Mesa de Dinero"/>
    <d v="2024-03-25T00:00:00"/>
    <s v="MEMORANDO N° 00000010 - 2024-BN/3216"/>
    <s v="PSAI-Proyecto Mantenimiento SAI"/>
    <m/>
    <s v="Agencias"/>
    <s v="Cuenta de Ahorros"/>
    <s v="No aplica"/>
    <x v="2"/>
    <s v="Normativo"/>
    <s v="No Aplica"/>
    <s v="No Aplica"/>
    <s v="No Aplica"/>
    <s v="No Aplica"/>
    <s v="No Aplica"/>
    <s v="No Aplica"/>
    <s v="Normal"/>
    <d v="2024-05-22T00:00:00"/>
    <x v="1"/>
    <s v="FS-Indra"/>
    <s v="Emerson Quecara Choquetico"/>
    <s v="Junior Quicaño"/>
    <x v="1"/>
    <s v="03. Culminado"/>
    <m/>
    <d v="2024-04-25T00:00:00"/>
    <m/>
    <d v="2026-01-15T00:00:00"/>
    <d v="2026-01-22T00:00:00"/>
    <d v="2025-12-31T00:00:00"/>
    <d v="2026-01-23T00:00:00"/>
    <d v="2026-01-28T00:00:00"/>
    <d v="2025-12-25T00:00:00"/>
    <d v="2026-01-29T00:00:00"/>
    <d v="2026-03-24T00:00:00"/>
    <d v="2026-01-01T00:00:00"/>
    <s v="23/03/26: Según CQ, actualizó el estado a 08. Producción Finalizada_x000a_30/01/26: Según CQ, actualizó el estado a 07. En Despliegue_x000a_14/10/25: Según CQ, actualizó el estado a 03. En Desarrollo_x000a_31/07/25: Según CQ, actualizó el estado a 05. En Calidad_x000a_30/07/25: Según CQ, actualizó el estado a 04. Desarrollo Finalizado_x000a_28/08/24: Según CQ, actualizó el estado a 03. En Desarrollo_x000a_15/08/24: Según CQ, actualizó el estado a 01. Registrado_x000a_07/08/24: Según CQ, actualizó el estado a 01. Registrado_x000a_27/06/2024 Se encuetra Asigando a Fábrica desde Junio 2024._x000a_24/06/2024: Se cambió 'Recurso-Asignado' de FS-Indra a  ' ' _x000a_22/05/24 Se iniciará su atención._x000a_25/04/2024: Se registró en la demanda Integral "/>
    <s v="Operac."/>
    <s v="CajaValores"/>
    <s v="2024-03"/>
    <s v="2024-05"/>
    <s v="2026-01"/>
    <x v="2"/>
    <x v="16"/>
    <s v="En Proceso"/>
    <d v="2024-07-09T00:00:00"/>
    <d v="2025-07-31T00:00:00"/>
    <m/>
    <d v="2024-05-22T00:00:00"/>
    <s v="2024-II"/>
    <n v="68"/>
    <n v="2.2666666666666666"/>
    <s v="ID 108"/>
    <s v="Finalizada"/>
    <s v="Transitorio_Procesado"/>
    <x v="33"/>
    <x v="0"/>
    <m/>
    <m/>
    <s v="Culminado"/>
    <s v="Oracle"/>
    <s v="Otros Requerimientos"/>
    <x v="11"/>
    <x v="10"/>
    <s v="Se remitirá a Indra para su evaluación."/>
    <d v="2026-03-24T00:00:00"/>
    <s v="Culminado"/>
    <s v="Mar 2026"/>
    <n v="2025"/>
    <s v="Culminado"/>
    <x v="0"/>
    <n v="1"/>
    <s v="PRE"/>
    <s v="NO"/>
    <s v="03. En Desarrollo"/>
    <s v="No aplica"/>
    <s v="IMPLEMENTADO 🔵"/>
    <n v="1"/>
    <n v="1"/>
    <n v="0"/>
    <n v="1"/>
    <d v="2026-01-15T00:00:00"/>
    <d v="2026-01-15T00:00:00"/>
    <d v="2026-01-22T00:00:00"/>
    <d v="2026-01-23T00:00:00"/>
    <d v="2026-01-28T00:00:00"/>
    <d v="2026-01-29T00:00:00"/>
    <d v="2026-04-13T00:00:00"/>
    <n v="6"/>
    <n v="1"/>
    <n v="200"/>
    <m/>
    <s v="4. PRODUCCIÓN"/>
    <m/>
    <m/>
    <n v="0"/>
    <n v="6"/>
    <n v="0"/>
    <n v="48"/>
    <n v="0"/>
    <x v="1"/>
  </r>
  <r>
    <s v="M0497"/>
    <n v="2242"/>
    <x v="0"/>
    <s v="2024-T0357"/>
    <s v="2024-M0345"/>
    <s v="MC: Actualización de opciones en el sistema de claves del aplicativo RSUP"/>
    <s v="Se requiere independizar y normalización de términos de las opciones según corresponda, lo que permitirá una adecuada asignación de roles y evitar riesgos debido a una segregación de funciones inadecuadas."/>
    <x v="5"/>
    <s v="Compensaciones"/>
    <s v="Remuneraciones Pensiones y Subsidios"/>
    <d v="2024-04-29T00:00:00"/>
    <s v="MEMORANDO N° 00000850 - 2024-BN/2321"/>
    <s v="RHPP- Recursos humanos planillas"/>
    <m/>
    <s v="Administrativo"/>
    <s v="No Aplica"/>
    <s v="No aplica"/>
    <x v="1"/>
    <m/>
    <m/>
    <m/>
    <m/>
    <m/>
    <m/>
    <m/>
    <s v="Normal"/>
    <d v="2024-05-22T00:00:00"/>
    <x v="1"/>
    <s v="Analista-BN"/>
    <s v="Walter Tito Valencia"/>
    <s v="Juan Carlos Zavaleta"/>
    <x v="1"/>
    <s v="03. Culminado"/>
    <m/>
    <d v="2024-05-29T00:00:00"/>
    <m/>
    <d v="2024-07-11T00:00:00"/>
    <d v="2025-12-01T00:00:00"/>
    <d v="2026-03-31T00:00:00"/>
    <d v="2025-12-16T00:00:00"/>
    <d v="2025-12-30T00:00:00"/>
    <d v="2026-12-07T04:48:00"/>
    <d v="2026-01-07T00:00:00"/>
    <d v="2026-01-12T00:00:00"/>
    <d v="2026-12-14T04:48:00"/>
    <s v="13/01/26: Según CQ, actualizó el estado a 08. Producción Finalizada_x000a_12/01/26: Según CQ, actualizó el estado a 07. En Despliegue_x000a_12/01/26: Según CQ, actualizó el estado a 06. Calidad Finalizado_x000a_08/01/26: Según CQ, actualizó el estado a 07. En Despliegue_x000a_05/01/26: Según CQ, actualizó el estado a 06. Calidad Finalizado_x000a_17/12/2025: Se reactiva mantenimiento debido a movimiento dentro del CQ post-devolución (27-10-25)_x000a_05/12/25: Según CQ, actualizó el estado a 05. En Calidad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7/06/2025: Se cambia de gestor de TI de Omar S. a Juan Carlos Z._x000a_14/08/2024 Se prolongo su atención toda vexz que e analista se encuentra atendiendo desarrollos de SENTINEL_x000a_07/08/24: Según CQ, actualizó el estado a 03. En Desarrollo_x000a_24/06/2024: Se cambió 'Recurso-Asignado' de Analista-BN a  ' ' _x000a_22/05/24 Se prioriza por ser un correctivo. Se Iniciará su atención luego del ID2241._x000a_02/05/2024: Se registra en la demanda Integral."/>
    <s v="RRHH"/>
    <s v="Compensaciones"/>
    <s v="2024-04"/>
    <s v="2024-05"/>
    <s v="2025-12"/>
    <x v="4"/>
    <x v="25"/>
    <m/>
    <m/>
    <m/>
    <m/>
    <d v="2024-05-22T00:00:00"/>
    <s v="2024-II"/>
    <n v="550"/>
    <n v="18.333333333333332"/>
    <s v="ID 107"/>
    <s v="Finalizada"/>
    <s v="Procesado"/>
    <x v="34"/>
    <x v="0"/>
    <m/>
    <m/>
    <s v="Culminado"/>
    <s v="BackOffice"/>
    <s v="Otros Requerimientos"/>
    <x v="1"/>
    <x v="1"/>
    <s v="Colocar en el Clearquest POSPUESTO"/>
    <d v="2026-01-12T00:00:00"/>
    <s v="Culminado"/>
    <s v="Ene 2026"/>
    <n v="2025"/>
    <s v="Culminado"/>
    <x v="0"/>
    <n v="1"/>
    <s v="POST"/>
    <s v="REACTIVADO"/>
    <s v="Reactivo"/>
    <s v="No aplica"/>
    <s v="IMPLEMENTADO 🔵"/>
    <n v="1"/>
    <n v="1"/>
    <n v="0"/>
    <n v="1"/>
    <d v="2024-07-11T00:00:00"/>
    <d v="2024-07-11T00:00:00"/>
    <d v="2025-12-01T00:00:00"/>
    <d v="2025-12-16T00:00:00"/>
    <d v="2025-12-30T00:00:00"/>
    <d v="2026-01-07T00:00:00"/>
    <d v="2026-01-23T00:00:00"/>
    <n v="345"/>
    <n v="1"/>
    <n v="200"/>
    <m/>
    <s v="4. PRODUCCIÓN"/>
    <m/>
    <m/>
    <n v="0"/>
    <n v="345"/>
    <n v="0"/>
    <n v="2760"/>
    <n v="0"/>
    <x v="9"/>
  </r>
  <r>
    <s v="M0506"/>
    <n v="2268"/>
    <x v="0"/>
    <s v="2024-T0342"/>
    <s v="2024-M0295"/>
    <s v="Mejoras a la funcionalidad de Contrataciones hasta 8UIT - Oracle EBS"/>
    <s v="Mejoras de acuerdo a lo remendado por Auditoría"/>
    <x v="6"/>
    <s v="Compras"/>
    <s v="Programación, Evaluación y Compras Menores"/>
    <d v="2024-05-20T00:00:00"/>
    <s v="MEMORANDO N° 00000599 - 2024-BN-2663"/>
    <s v="OSAI -: Oracle Sistema Administrativo Integrado"/>
    <s v="Oracle"/>
    <s v="Administrativo"/>
    <s v="No Aplica"/>
    <s v="No aplica"/>
    <x v="3"/>
    <s v="Recomendación"/>
    <s v="AUDITORIA INTERNA"/>
    <s v="P-022-2019-BN/1400"/>
    <s v="Evaluación del proceso de seguimiento y control logístico"/>
    <s v="N° 2"/>
    <s v="2.b"/>
    <d v="2024-11-29T00:00:00"/>
    <s v="Normal"/>
    <d v="2024-05-22T00:00:00"/>
    <x v="1"/>
    <s v="FS-Indra"/>
    <s v="Emerson Quecara Choquetico"/>
    <s v="Omar Sarmiento"/>
    <x v="1"/>
    <s v="03. Culminado"/>
    <m/>
    <d v="2024-05-24T00:00:00"/>
    <m/>
    <d v="2024-07-10T00:00:00"/>
    <d v="2025-05-05T00:00:00"/>
    <d v="2025-05-19T00:00:00"/>
    <d v="2025-05-21T00:00:00"/>
    <d v="2025-07-04T00:00:00"/>
    <d v="2025-09-21T04:48:00"/>
    <d v="2025-08-18T00:00:00"/>
    <d v="2026-01-12T00:00:00"/>
    <d v="2025-09-28T04:48:00"/>
    <s v="13/01/26: Según CQ, actualizó el estado a 08. Producción Finalizada_x000a_05/09/2025: Cartera reasignada a Omar Sarmiento_x000a_19/08/25: Según CQ, actualizó el estado a 07. En Despliegue_x000a_07/07/25: Según CQ, actualizó el estado a 06. Calidad Finalizado_x000a_17/06/2025: Se cambia de gestor de TI de Omar S. a Luis Alberto I._x000a_22/05/25: Según CQ, actualizó el estado a 05. En Calidad_x000a_07/05/25: Según CQ, actualizó el estado a 04. Desarrollo Finalizado_x000a_28/08/24: Según CQ, actualizó el estado a 03. En Desarrollo_x000a_15/08/24: Según CQ, actualizó el estado a 02. En Planificación_x000a_07/08/24: Según CQ, actualizó el estado a 02. En Planificación_x000a_31/05/24 Según CQ esta registrado el 27.05.24, esta registrado en el aplicativo de Indra y lo atenderá Rosana Bermejo._x000a_22/05/24 Se prioriza, para su atención por Fabrica."/>
    <s v="Logística"/>
    <s v="Compras"/>
    <s v="2024-05"/>
    <s v="2024-05"/>
    <s v="2025-05"/>
    <x v="4"/>
    <x v="7"/>
    <s v="Finalizado"/>
    <d v="2024-07-02T00:00:00"/>
    <d v="2025-05-19T00:00:00"/>
    <d v="2025-05-19T00:00:00"/>
    <d v="2024-05-22T00:00:00"/>
    <s v="2024-II"/>
    <n v="551"/>
    <n v="18.366666666666667"/>
    <s v="ID 100"/>
    <s v="Finalizada"/>
    <s v="Procesado"/>
    <x v="35"/>
    <x v="1"/>
    <s v="33"/>
    <s v="NO"/>
    <s v="Culminado"/>
    <s v="Oracle"/>
    <s v="Otros Requerimientos"/>
    <x v="0"/>
    <x v="0"/>
    <s v="Indra, pasa a Calidad el 28-Febrero-25"/>
    <d v="2026-01-12T00:00:00"/>
    <s v="Culminado"/>
    <s v="Ene 2026"/>
    <n v="2025"/>
    <s v="Culminado"/>
    <x v="0"/>
    <n v="1"/>
    <s v="PRE"/>
    <s v="NO"/>
    <s v="07. En Despliegue"/>
    <s v="No aplica"/>
    <s v="IMPLEMENTADO 🔵"/>
    <n v="1"/>
    <n v="1"/>
    <n v="0"/>
    <n v="1"/>
    <d v="2024-07-10T00:00:00"/>
    <d v="2024-07-10T00:00:00"/>
    <d v="2025-05-05T00:00:00"/>
    <d v="2025-05-21T00:00:00"/>
    <d v="2025-07-04T00:00:00"/>
    <d v="2025-08-18T00:00:00"/>
    <d v="2026-01-12T00:00:00"/>
    <n v="199"/>
    <n v="1"/>
    <n v="200"/>
    <m/>
    <s v="4. PRODUCCIÓN"/>
    <m/>
    <m/>
    <n v="0"/>
    <n v="199"/>
    <n v="0"/>
    <n v="1592"/>
    <n v="0"/>
    <x v="9"/>
  </r>
  <r>
    <s v="M0525"/>
    <n v="2289"/>
    <x v="0"/>
    <s v="2024-T0364"/>
    <s v="2024-M0308"/>
    <s v="Depuración de Datos de contacto, correos electrónicos y teléfonos celulares personal."/>
    <s v="Depuración de Datos Inconsistentes, correos electrónicos y celulares en BDUC"/>
    <x v="0"/>
    <s v="Captaciones y Pagaduría"/>
    <s v="Apertura de Cuentas"/>
    <d v="2024-05-20T00:00:00"/>
    <s v="MEMORANDO N° 00000297 - 2024-BN/3111"/>
    <s v="SIUC-Sistema de Información Unica de Clientes"/>
    <m/>
    <s v="Administrativo"/>
    <s v="No Aplica"/>
    <s v="No aplica"/>
    <x v="0"/>
    <m/>
    <s v="GG"/>
    <s v="No Aplica"/>
    <s v="No Aplica"/>
    <s v="No Aplica"/>
    <s v="No Aplica"/>
    <s v="No Aplica"/>
    <s v="Normal"/>
    <d v="2024-06-27T00:00:00"/>
    <x v="0"/>
    <s v="FS-Indra"/>
    <s v="Johnny Luis Rocca Surco"/>
    <s v="Junior Quicaño"/>
    <x v="5"/>
    <s v="02. En Proceso"/>
    <m/>
    <d v="2024-05-31T00:00:00"/>
    <d v="2025-11-03T00:00:00"/>
    <m/>
    <m/>
    <m/>
    <m/>
    <m/>
    <s v=""/>
    <m/>
    <m/>
    <s v=""/>
    <s v="24/04/26: Según CQ, actualizó el estado a 03. En Desarrollo_x000a_10/04/26: Según CQ, actualizó el estado a 04. Desarrollo Finalizado_x000a_25/03/26: Según CQ, actualizó el estado a 03. En Desarrollo_x000a_18/03/26: Según CQ, actualizó el estado a 04. Desarrollo Finalizado_x000a_26/01/26: Según CQ, actualizó el estado a 03. En Desarrollo_x000a_26/11/25: Según CQ, actualizó el estado a 05. En Calidad_x000a_21/11/25: Según CQ, actualizó el estado a 04. Desarrollo Finalizado_x000a_28/08/24: Según CQ, actualizó el estado a 03. En Desarrollo_x000a_15/08/24: Según CQ, actualizó el estado a 02. En Planificación_x000a_07/08/24: Según CQ, actualizó el estado a 02. En Planificación_x000a_31/05/2024: Se registró en el Backlog de requerimientos y se generó trámite para el inicio de su atención.. Solicitado por GG"/>
    <s v="Operac."/>
    <s v="CaptacionesPagaduría"/>
    <s v="2024-05"/>
    <s v="2024-06"/>
    <s v="No definido"/>
    <x v="0"/>
    <x v="1"/>
    <s v="En Proceso"/>
    <d v="2024-08-28T00:00:00"/>
    <d v="2025-07-31T00:00:00"/>
    <m/>
    <d v="2024-06-27T00:00:00"/>
    <s v="2024-II"/>
    <s v="Sin Fechas"/>
    <s v="No Aplica"/>
    <s v="ID 134"/>
    <s v="Finalizada"/>
    <s v="Rechazado"/>
    <x v="36"/>
    <x v="0"/>
    <m/>
    <m/>
    <s v="Sin Fecha"/>
    <s v="Clientes (BDUC)"/>
    <s v="Canales Presenciales"/>
    <x v="8"/>
    <x v="7"/>
    <s v="Pasa a Calidad en mar-25"/>
    <d v="2025-05-31T00:00:00"/>
    <s v="Vencida"/>
    <s v="May 2025"/>
    <n v="2025"/>
    <s v="Activos"/>
    <x v="0"/>
    <n v="0.45"/>
    <s v="PRE"/>
    <s v="NO"/>
    <s v="03. En Desarrollo"/>
    <s v="SI"/>
    <s v="EN CURSO 🟢"/>
    <n v="0.45"/>
    <n v="0.45"/>
    <n v="0"/>
    <n v="1"/>
    <d v="2025-11-03T00:00:00"/>
    <d v="2026-03-02T00:00:00"/>
    <d v="2026-03-31T00:00:00"/>
    <d v="2026-05-19T00:00:00"/>
    <d v="2026-06-19T00:00:00"/>
    <d v="2026-06-22T00:00:00"/>
    <d v="2026-06-26T00:00:00"/>
    <n v="22"/>
    <n v="1"/>
    <n v="25.142857142857142"/>
    <m/>
    <s v="1. DESARROLLO"/>
    <m/>
    <m/>
    <n v="0"/>
    <n v="22"/>
    <n v="0"/>
    <n v="25.142857142857142"/>
    <n v="0"/>
    <x v="6"/>
  </r>
  <r>
    <s v="M0526"/>
    <n v="2290"/>
    <x v="0"/>
    <s v="2024-T0372"/>
    <s v="2024-M0341"/>
    <s v="Incorporación de Campo para el cierre de cuentas de ahorro y corrientes."/>
    <s v="Incorporación de Campo para el cierre de cuentas de ahorro y corrientes."/>
    <x v="0"/>
    <s v="Captaciones y Pagaduría"/>
    <s v="Apertura de Cuentas"/>
    <d v="2024-05-22T00:00:00"/>
    <s v="MEMORANDO N° 00000312 - 2024-BN/3111"/>
    <s v="DPAH- Deposito de Ahorros MN"/>
    <s v="Cumplimiento Normativo"/>
    <s v="Administrativo"/>
    <s v="Cuenta de Ahorros"/>
    <s v="No aplica"/>
    <x v="3"/>
    <s v="Recomendación"/>
    <s v="AUDITORIA EXTERNA"/>
    <s v="Caipo y Asociados S. Civil, de R.L. - KPMG  "/>
    <s v="Memorándum de Recomendaciones sobre Aspectos de Control Interno, Contable y Otros al 31 de diciembre de 2023"/>
    <s v="I.6i "/>
    <s v="I.6i (RA)"/>
    <d v="2024-06-07T00:00:00"/>
    <s v="Normal"/>
    <d v="2024-06-27T00:00:00"/>
    <x v="0"/>
    <s v="FS-Olssa"/>
    <s v="Norma Fukunaga Fuentes"/>
    <s v="Junior Quicaño"/>
    <x v="1"/>
    <s v="03. Culminado"/>
    <m/>
    <d v="2024-06-10T00:00:00"/>
    <m/>
    <d v="2024-06-25T00:00:00"/>
    <d v="2025-02-20T00:00:00"/>
    <d v="2024-11-21T00:00:00"/>
    <d v="2025-02-26T00:00:00"/>
    <d v="2025-04-16T00:00:00"/>
    <d v="2025-01-19T14:24:00"/>
    <d v="2026-01-28T00:00:00"/>
    <d v="2026-03-19T00:00:00"/>
    <d v="2025-01-26T14:24:00"/>
    <s v="23/03/26: Según CQ, actualizó el estado a 08. Producción Finalizada_x000a_30/01/26: Según CQ, actualizó el estado a 07. En Despliegue_x000a_21/04/25: Según CQ, actualizó el estado a 06. Calidad Finalizado_x000a_27/02/25: Según CQ, actualizó el estado a 05. En Calidad_x000a_21/02/25: Según CQ, actualizó el estado a 04. Desarrollo Finalizado_x000a_07/01/2025: Se cambia el Recurso Asignado a Analista-BN debido a que el estado de INDRA es Rechazado_x000a_28/08/24: Según CQ, actualizó el estado a 03. En Desarrollo_x000a_15/08/24: Según CQ, actualizó el estado a 02. En Planificación_x000a_13/08/2024 Esta pendiente que fabrica remita el cronograma definitivo para planificar los plazos en certificación y produccón._x000a_07/08/24: Según CQ, actualizó el estado a 02. En Planificación_x000a_10/06/2024: Se registró en el Backlog de requerimientos"/>
    <s v="Operac."/>
    <s v="CaptacionesPagaduría"/>
    <s v="2024-05"/>
    <s v="2024-06"/>
    <s v="2025-02"/>
    <x v="2"/>
    <x v="20"/>
    <s v="Rechazado"/>
    <d v="2024-09-19T00:00:00"/>
    <d v="2024-11-21T00:00:00"/>
    <m/>
    <d v="2024-06-27T00:00:00"/>
    <s v="2024-II"/>
    <n v="632"/>
    <n v="21.066666666666666"/>
    <s v="ID 130"/>
    <s v="Finalizada"/>
    <s v="Procesado"/>
    <x v="37"/>
    <x v="1"/>
    <s v="2419"/>
    <s v="NO"/>
    <s v="Culminado"/>
    <s v="BackOffice"/>
    <s v="Otros Requerimientos"/>
    <x v="6"/>
    <x v="5"/>
    <s v="Debe entrar en febrero a calidad. "/>
    <d v="2026-03-19T00:00:00"/>
    <s v="Culminado"/>
    <s v="Mar 2026"/>
    <m/>
    <s v="Culminado"/>
    <x v="0"/>
    <n v="1"/>
    <s v="PRE"/>
    <s v="NO"/>
    <s v="06. Calidad Finalizado"/>
    <s v="No aplica"/>
    <s v="IMPLEMENTADO 🔵"/>
    <n v="1"/>
    <n v="1"/>
    <n v="0"/>
    <n v="1"/>
    <d v="2024-06-25T00:00:00"/>
    <d v="2024-06-25T00:00:00"/>
    <d v="2025-02-20T00:00:00"/>
    <d v="2025-02-26T00:00:00"/>
    <d v="2025-04-16T00:00:00"/>
    <d v="2026-01-28T00:00:00"/>
    <d v="2026-03-27T00:00:00"/>
    <n v="159"/>
    <n v="1"/>
    <n v="200"/>
    <m/>
    <s v="4. PRODUCCIÓN"/>
    <m/>
    <m/>
    <n v="0"/>
    <n v="159"/>
    <n v="0"/>
    <n v="1272"/>
    <n v="0"/>
    <x v="4"/>
  </r>
  <r>
    <s v="M0533"/>
    <n v="2282"/>
    <x v="0"/>
    <s v="2024-T0424"/>
    <s v="2024-M0368"/>
    <s v="Mejora en los aplicativos CRMY_CRPP"/>
    <s v="Se requiere Mostrar los nombres completos de los aplicativos CRMY Y CRPP, ya sea por consultar , desembolsar o recupero de crédito para la atención de la cartera Banca Gobierno Nacional"/>
    <x v="0"/>
    <s v="Servicios Bancarios y Recaudación"/>
    <s v="Soporte Servicios Financieros"/>
    <d v="2024-05-09T00:00:00"/>
    <s v="MEMORANDO N° 00000092 - 2024-BN/3241"/>
    <s v="CRPP- Cobranzas Municipales"/>
    <m/>
    <s v="Administrativo"/>
    <s v="No Aplica"/>
    <s v="No aplica"/>
    <x v="0"/>
    <m/>
    <s v="RIESGOS"/>
    <s v="No Aplica"/>
    <s v="No Aplica"/>
    <s v="No Aplica"/>
    <s v="No Aplica"/>
    <s v="No Aplica"/>
    <s v="Normal"/>
    <d v="2024-06-27T00:00:00"/>
    <x v="0"/>
    <s v="FS-Olssa"/>
    <s v="Maribel Marlene Medina Molina"/>
    <s v="Junior Quicaño"/>
    <x v="5"/>
    <s v="02. En Proceso"/>
    <m/>
    <d v="2024-07-11T00:00:00"/>
    <d v="2025-11-03T00:00:00"/>
    <d v="2024-07-11T00:00:00"/>
    <m/>
    <d v="2025-12-31T00:00:00"/>
    <m/>
    <m/>
    <d v="2026-08-03T04:48:00"/>
    <m/>
    <m/>
    <d v="2026-08-10T04:48:00"/>
    <s v="28/08/24: Según CQ, actualizó el estado a 03. En Desarrollo_x000a_15/08/24: Según CQ, actualizó el estado a 02. En Planificación_x000a_07/08/24: Según CQ, actualizó el estado a 02. En Planificación_x000a_11/07/24 Se creo el TD y se registro en la demanda tactica_x000a_27/06/24 El desarrollo está en proceso._x000a_24/05/2024: Se registró en la demanda integral."/>
    <s v="Operac."/>
    <s v="BancariosRecaudación"/>
    <s v="2024-05"/>
    <s v="2024-06"/>
    <s v="No definido"/>
    <x v="0"/>
    <x v="26"/>
    <m/>
    <m/>
    <m/>
    <m/>
    <d v="2024-06-27T00:00:00"/>
    <s v="2024-II"/>
    <s v="Sin Fecha Fin Producción"/>
    <s v="No Aplica"/>
    <s v="ID 81"/>
    <s v="Iniciada"/>
    <s v="Asignado"/>
    <x v="38"/>
    <x v="0"/>
    <m/>
    <m/>
    <s v="2026-Q3"/>
    <s v="BackOffice"/>
    <s v="Otros Requerimientos"/>
    <x v="0"/>
    <x v="0"/>
    <s v="Pasa a Calidad mar-25, Atendido por OLssa, se reasigna en CQ a Maria Eva."/>
    <d v="2026-08-10T04:48:00"/>
    <s v="2026-3"/>
    <s v="Ago 2026"/>
    <n v="2025"/>
    <s v="Activos"/>
    <x v="0"/>
    <n v="0.4"/>
    <s v="PRE"/>
    <s v="NO"/>
    <s v="03. En Desarrollo"/>
    <s v="SI"/>
    <s v="EN CURSO 🟢"/>
    <n v="0.43125000000000002"/>
    <n v="0.4"/>
    <n v="3.125E-2"/>
    <n v="0.92753623188405798"/>
    <d v="2025-11-03T00:00:00"/>
    <d v="2026-02-10T00:00:00"/>
    <d v="2026-08-17T00:00:00"/>
    <d v="2026-08-18T00:00:00"/>
    <d v="2026-09-18T00:00:00"/>
    <d v="2026-09-21T00:00:00"/>
    <d v="2026-09-25T00:00:00"/>
    <n v="131"/>
    <n v="0.51111111111111107"/>
    <n v="524"/>
    <m/>
    <s v="1. DESARROLLO"/>
    <m/>
    <m/>
    <n v="0.48888888888888893"/>
    <n v="68"/>
    <n v="63"/>
    <n v="272"/>
    <n v="252"/>
    <x v="2"/>
  </r>
  <r>
    <s v="M0534"/>
    <n v="2323"/>
    <x v="0"/>
    <s v="2024-T0433"/>
    <s v="2024-M0431"/>
    <s v="Actualizar la interface del mantenimiento 2018-M0564 para incluir la inclusión de duplicados de cronogramas y la comisión por envío físico de estado de cuenta en la emisión de boletas electrónicas del Crédito Hipotecario."/>
    <m/>
    <x v="1"/>
    <s v="Banca Personal"/>
    <s v="Crédito Hipotecario"/>
    <d v="2024-07-08T00:00:00"/>
    <s v="MEMORANDO N° 00000060 - 2024-BN-3341"/>
    <s v="CRHP-Sistema Creditos Hipotecarios"/>
    <s v="Facturación Electrónica - I"/>
    <s v="Otros"/>
    <s v="No Aplica"/>
    <s v="No aplica"/>
    <x v="2"/>
    <s v="Normativo"/>
    <s v="SUNAT"/>
    <s v="R.S. N° 193-2020/SUNAT"/>
    <m/>
    <m/>
    <m/>
    <m/>
    <s v="Heredado"/>
    <m/>
    <x v="0"/>
    <s v="FS-Indra"/>
    <s v="Javier Baltazar Urquiaga Salazar"/>
    <s v="Juan Carlos Zavaleta"/>
    <x v="1"/>
    <s v="03. Culminado"/>
    <m/>
    <d v="2024-07-16T00:00:00"/>
    <m/>
    <d v="2024-08-19T00:00:00"/>
    <d v="2025-07-16T00:00:00"/>
    <d v="2025-07-03T00:00:00"/>
    <d v="2025-07-23T00:00:00"/>
    <d v="2025-08-20T00:00:00"/>
    <d v="2025-11-07T04:48:00"/>
    <d v="2026-01-05T00:00:00"/>
    <d v="2026-01-12T00:00:00"/>
    <d v="2025-11-14T04:48:00"/>
    <s v="13/01/26: Según CQ, actualizó el estado a 08. Producción Finalizada_x000a_05/01/26: Según CQ, actualizó el estado a 07. En Despliegue_x000a_21/08/25: Según CQ, actualizó el estado a 06. Calidad Finalizado_x000a_24/07/25: Según CQ, actualizó el estado a 05. En Calidad_x000a_17/07/25: Según CQ, actualizó el estado a 04. Desarrollo Finalizado_x000a_17/06/2025: Se cambia de gestor de TI de Omar S. a Juan Carlos Z._x000a_28/08/24: Según CQ, actualizó el estado a 03. En Desarrollo_x000a_20/08/24: Según CQ, actualizó el estado a 02. En Planificación_x000a_31/07/2024 Javier Urquiaga en reunión co los usuarios de FE del área de finanzas acordaron que eliminarian algunos puntos del alcance por lo que enviarían un correo con las precisiones.(Correo miércoles 24/07/2024 16:50)_x000a_16/07/2024 Se registró en el Backlog de requerimientos y se genero el tramite documentario. Es hijo del requerimiento ID 941_x000a_NOTA: Dependencia del trámite 2022-T0144"/>
    <s v="Productos"/>
    <s v="BancaPersonal"/>
    <s v="2024-07"/>
    <s v="No definido"/>
    <s v="2025-07"/>
    <x v="4"/>
    <x v="21"/>
    <s v="Entregado"/>
    <d v="2024-09-19T00:00:00"/>
    <d v="2025-07-03T00:00:00"/>
    <d v="2025-07-03T00:00:00"/>
    <d v="2024-07-16T00:00:00"/>
    <s v="2024-III"/>
    <n v="511"/>
    <n v="17.033333333333335"/>
    <s v="ID 167-93"/>
    <s v="Finalizada"/>
    <s v="Procesado"/>
    <x v="39"/>
    <x v="0"/>
    <m/>
    <m/>
    <s v="Culminado"/>
    <s v="Créditos Hipotecarios"/>
    <s v="Productos"/>
    <x v="6"/>
    <x v="5"/>
    <s v="En cierre de construcción pasará a Calidad en quincena de febrero. -  Paquete 6"/>
    <d v="2026-01-12T00:00:00"/>
    <s v="Culminado"/>
    <s v="Ene 2026"/>
    <n v="2025"/>
    <s v="Culminado"/>
    <x v="0"/>
    <n v="1"/>
    <s v="PRE"/>
    <s v="NO"/>
    <s v="06. Calidad Finalizado"/>
    <s v="No aplica"/>
    <s v="IMPLEMENTADO 🔵"/>
    <n v="1"/>
    <n v="1"/>
    <n v="0"/>
    <n v="1"/>
    <d v="2024-08-19T00:00:00"/>
    <d v="2024-08-19T00:00:00"/>
    <d v="2025-07-16T00:00:00"/>
    <d v="2025-07-23T00:00:00"/>
    <d v="2025-08-20T00:00:00"/>
    <d v="2026-01-05T00:00:00"/>
    <d v="2026-01-15T00:00:00"/>
    <n v="225"/>
    <n v="1"/>
    <n v="200"/>
    <m/>
    <s v="4. PRODUCCIÓN"/>
    <m/>
    <m/>
    <n v="0"/>
    <n v="225"/>
    <n v="0"/>
    <n v="1800"/>
    <n v="0"/>
    <x v="9"/>
  </r>
  <r>
    <s v="M0535"/>
    <n v="2333"/>
    <x v="0"/>
    <s v="2024-T0444"/>
    <s v="2024-M0447"/>
    <s v="Generar facturas electrónicas por el cobro de las comisiones en cuentas de ahorro por retiro en ventanilla, consulta de últimos movimientos, emisión de estado de cuenta y consulta de saldo en MN y ME."/>
    <s v="Se requiere que el aplicativo O7Invoice contenga toda la informacion de comprobantes de pago que se genere por las operaciones de cargo procesados en las cuentas de ahorro que se graban diariamente en el archivo de movimiento diario DPAH"/>
    <x v="0"/>
    <s v="Captaciones y Pagaduría"/>
    <s v="Administración de Cuentas y Pagaduría"/>
    <d v="2024-07-05T00:00:00"/>
    <s v="MEMORANDO N° 00000705 - 2024-BN-3191"/>
    <s v="DPAH- Deposito de Ahorros MN"/>
    <s v="Facturación Electrónica - I"/>
    <s v="Otros"/>
    <s v="No Aplica"/>
    <s v="No aplica"/>
    <x v="2"/>
    <s v="Normativo"/>
    <s v="SUNAT"/>
    <s v="R.S. N° 193-2020/SUNAT"/>
    <m/>
    <m/>
    <m/>
    <m/>
    <s v="Heredado"/>
    <s v="No aplica"/>
    <x v="0"/>
    <s v="FS-Indra"/>
    <s v="Norma Fukunaga Fuentes"/>
    <s v="Juan Carlos Zavaleta"/>
    <x v="1"/>
    <s v="03. Culminado"/>
    <m/>
    <d v="2024-07-24T00:00:00"/>
    <m/>
    <d v="2024-08-27T00:00:00"/>
    <d v="2025-06-17T00:00:00"/>
    <d v="2025-06-27T00:00:00"/>
    <d v="2025-08-13T00:00:00"/>
    <d v="2025-08-13T00:00:00"/>
    <d v="2025-10-26T14:24:00"/>
    <d v="2026-01-23T00:00:00"/>
    <d v="2026-01-28T00:00:00"/>
    <d v="2025-11-02T14:24:00"/>
    <s v="30/01/26: Según CQ, actualizó el estado a 08. Producción Finalizada_x000a_26/01/26: Según CQ, actualizó el estado a 07. En Despliegue_x000a_14/08/25: Según CQ, actualizó el estado a 06. Calidad Finalizado_x000a_26/06/25: Según CQ, actualizó el estado a 05. En Calidad_x000a_19/06/25: Según CQ, actualizó el estado a 04. Desarrollo Finalizado_x000a_17/06/2025: Se cambia de gestor de TI de Omar S. a Juan Carlos Z._x000a_28/08/24: Según CQ, actualizó el estado a 02. En Planificación_x000a_24/07/2024 Se registró en el Backlog de requerimientos, se genero el tramite documentario y se registro en la demanda tactica_x000a_NOTA: Dependencia del trámite 2022-T0144"/>
    <s v="Operac."/>
    <s v="CaptacionesPagaduría"/>
    <s v="2024-07"/>
    <s v="No aplica"/>
    <s v="2025-06"/>
    <x v="4"/>
    <x v="21"/>
    <s v="Finalizado"/>
    <d v="2024-09-18T00:00:00"/>
    <d v="2025-06-27T00:00:00"/>
    <d v="2025-06-27T00:00:00"/>
    <d v="2024-07-24T00:00:00"/>
    <s v="2024-III"/>
    <n v="519"/>
    <n v="17.3"/>
    <s v="ID 159"/>
    <s v="Finalizada"/>
    <s v="Procesado"/>
    <x v="40"/>
    <x v="0"/>
    <m/>
    <m/>
    <s v="Culminado"/>
    <s v="BackOffice"/>
    <s v="Otros Requerimientos"/>
    <x v="1"/>
    <x v="1"/>
    <s v="Se coordinará con el area usuaria si la necesidad persiste."/>
    <d v="2026-01-28T00:00:00"/>
    <s v="Culminado"/>
    <s v="Ene 2026"/>
    <s v="Rev."/>
    <s v="Culminado"/>
    <x v="0"/>
    <n v="1"/>
    <s v="PRE"/>
    <s v="NO"/>
    <s v="06. Calidad Finalizado"/>
    <s v="No aplica"/>
    <s v="IMPLEMENTADO 🔵"/>
    <n v="1"/>
    <n v="1"/>
    <n v="0"/>
    <n v="1"/>
    <d v="2024-08-27T00:00:00"/>
    <d v="2024-08-27T00:00:00"/>
    <d v="2025-06-17T00:00:00"/>
    <d v="2025-08-13T00:00:00"/>
    <d v="2025-08-13T00:00:00"/>
    <d v="2026-01-23T00:00:00"/>
    <d v="2026-02-06T00:00:00"/>
    <n v="198"/>
    <n v="1"/>
    <n v="200"/>
    <m/>
    <s v="4. PRODUCCIÓN"/>
    <m/>
    <m/>
    <n v="0"/>
    <n v="198"/>
    <n v="0"/>
    <n v="1584"/>
    <n v="0"/>
    <x v="11"/>
  </r>
  <r>
    <s v="M0556"/>
    <n v="2235"/>
    <x v="0"/>
    <s v="2024-T0510"/>
    <s v="2024-M0509"/>
    <s v="Levantamiento de Incidencias en el módulo de RBFF-FONAVI"/>
    <s v="Correcto acceso al Módulo RBFF y correcta ejecución del archivo de publicados."/>
    <x v="0"/>
    <s v="Servicios Bancarios y Recaudación"/>
    <s v="Recaudación y Corresponsalía"/>
    <d v="2024-02-05T00:00:00"/>
    <s v="MEMORANDO N° 00000031 - 2024-BN/3243"/>
    <s v="PRCA- Prestamos Corresponsalia Agro"/>
    <m/>
    <s v="Agencias"/>
    <s v="No Aplica"/>
    <s v="No aplica"/>
    <x v="0"/>
    <m/>
    <s v="No Aplica"/>
    <s v="No Aplica"/>
    <s v="No Aplica"/>
    <s v="No Aplica"/>
    <s v="No Aplica"/>
    <s v="No Aplica"/>
    <s v="Normal"/>
    <d v="2024-08-29T00:00:00"/>
    <x v="0"/>
    <s v="FS-Olssa"/>
    <s v="María Eva Alfaro Apaza"/>
    <s v="Junior Quicaño"/>
    <x v="6"/>
    <s v="02. En Proceso"/>
    <m/>
    <d v="2024-09-02T00:00:00"/>
    <m/>
    <d v="2024-09-30T00:00:00"/>
    <d v="2024-11-25T00:00:00"/>
    <m/>
    <d v="2024-12-18T00:00:00"/>
    <d v="2025-01-06T00:00:00"/>
    <d v="2024-12-17T09:36:00"/>
    <m/>
    <m/>
    <d v="2024-12-24T09:36:00"/>
    <s v="07/01/25: Según CQ, actualizó el estado a 06. Calidad Finalizado_x000a_28/11/24: Según CQ, actualizó el estado a 05. En Calidad_x000a_26/11/24: Según CQ, actualizó el estado a 04. Desarrollo Finalizado_x000a_30/09/24: Según CQ, actualizó el estado a 03. En Desarrollo_x000a_27/06/24 Se revisará en un prox. comité cuando el recurso se libere. Se evaluará su envío a Fábrica._x000a_22/05/2024: A ser evaluado con J Rueda. Para revisar en Prox. Comité. Falta capacidad operativa._x000a_24/04/2024: Se registró en la demanda Integral "/>
    <s v="Operac."/>
    <s v="BancariosRecaudación"/>
    <s v="2024-02"/>
    <s v="2024-08"/>
    <s v="2024-11"/>
    <x v="0"/>
    <x v="15"/>
    <m/>
    <m/>
    <m/>
    <m/>
    <d v="2024-08-29T00:00:00"/>
    <s v="2024-III"/>
    <s v="Sin Fecha Fin Producción"/>
    <s v="No Aplica"/>
    <s v="ID 30"/>
    <s v="Finalizada"/>
    <s v="Certificado"/>
    <x v="41"/>
    <x v="0"/>
    <m/>
    <m/>
    <s v="Vencida"/>
    <s v="BackOffice"/>
    <s v="Otros Requerimientos"/>
    <x v="4"/>
    <x v="3"/>
    <m/>
    <d v="2025-02-28T00:00:00"/>
    <s v="Vencida"/>
    <s v="Feb 2025"/>
    <m/>
    <s v="Activos"/>
    <x v="0"/>
    <n v="0.85"/>
    <s v="PRE"/>
    <s v="NO"/>
    <s v="06. Calidad Finalizado"/>
    <s v="SI"/>
    <s v="ATRASADO 🔴"/>
    <n v="1"/>
    <n v="0.85"/>
    <n v="0.15000000000000002"/>
    <n v="0.85"/>
    <d v="2024-09-30T00:00:00"/>
    <d v="2024-09-30T00:00:00"/>
    <d v="2024-11-25T00:00:00"/>
    <d v="2024-12-18T00:00:00"/>
    <d v="2025-01-06T00:00:00"/>
    <d v="2026-02-19T00:00:00"/>
    <d v="2026-03-27T00:00:00"/>
    <n v="38"/>
    <n v="1"/>
    <n v="200"/>
    <m/>
    <s v="2. CALIDAD"/>
    <m/>
    <m/>
    <n v="0"/>
    <n v="38"/>
    <n v="0"/>
    <n v="304"/>
    <n v="0"/>
    <x v="4"/>
  </r>
  <r>
    <s v="M0595"/>
    <n v="2388"/>
    <x v="0"/>
    <s v="2024-T0475"/>
    <s v="2024-M0418"/>
    <s v="ME: Modificación para el registro de reclamos por bancaseguros en SARE intranet/internet, en mantenimiento y reportes"/>
    <s v="El SARE no cuenta con el detalle solicitado en la Resolución SBS 04036-2022, el cual es de carácter normativo/obligatorio."/>
    <x v="9"/>
    <s v="Experiencia de Cliente y Reclamos"/>
    <s v="Reclamos"/>
    <d v="2024-08-07T00:00:00"/>
    <s v="MEMORANDO N° 00000080 - 2024-BN/7832"/>
    <s v="SARE_Atención de Reclamos"/>
    <m/>
    <s v="Agencias"/>
    <s v="Crédito Hipotecario"/>
    <s v="Cobranzas "/>
    <x v="2"/>
    <s v="Normativo"/>
    <s v="SBS"/>
    <s v="Resolución S.B.S. N° 04036 - 2022"/>
    <m/>
    <m/>
    <m/>
    <d v="2024-01-01T00:00:00"/>
    <s v="Normal"/>
    <d v="2024-08-29T00:00:00"/>
    <x v="1"/>
    <s v="FS-Indra"/>
    <s v="Paul Alminagorta Cabezas"/>
    <s v="Maria Barboza"/>
    <x v="0"/>
    <s v="05. Descartado"/>
    <m/>
    <d v="2024-08-13T00:00:00"/>
    <m/>
    <d v="2026-02-25T00:00:00"/>
    <m/>
    <d v="2024-11-11T00:00:00"/>
    <m/>
    <m/>
    <d v="2024-05-06T14:24:00"/>
    <d v="2026-02-24T00:00:00"/>
    <m/>
    <d v="2024-05-13T14:24:00"/>
    <s v="19/01/2025: Cartera reasignada a Maria Barboza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3/01/2025 Cartera reasignada a Milagros Huamaní_x000a_23/08/2024:  Se registró en el Backlog de requerimientos."/>
    <s v="GerenciaGral."/>
    <s v="ClienteReclamos"/>
    <s v="2024-08"/>
    <s v="2024-08"/>
    <s v="No definido"/>
    <x v="0"/>
    <x v="12"/>
    <s v="Finalizado"/>
    <d v="2024-09-02T00:00:00"/>
    <d v="2024-11-11T00:00:00"/>
    <d v="2024-11-11T00:00:00"/>
    <d v="2024-08-29T00:00:00"/>
    <s v="2024-III"/>
    <s v="Sin Fecha Fin Producción"/>
    <s v="No Aplica"/>
    <s v="QC-215"/>
    <s v="Finalizada"/>
    <s v="Descartado"/>
    <x v="42"/>
    <x v="0"/>
    <m/>
    <m/>
    <s v="Vencida"/>
    <s v="BackOffice"/>
    <s v="Otros Requerimientos"/>
    <x v="8"/>
    <x v="7"/>
    <s v="Pase a calidad abril-25"/>
    <d v="2025-05-31T00:00:00"/>
    <s v="Vencida"/>
    <s v="May 2025"/>
    <n v="2025"/>
    <s v="Descartado"/>
    <x v="0"/>
    <n v="-0.01"/>
    <s v="POST"/>
    <s v="REACTIVADO"/>
    <s v="Reactivo"/>
    <s v="No aplica"/>
    <s v="Sin Cronograma 🔵"/>
    <s v=""/>
    <n v="-0.01"/>
    <s v=""/>
    <s v=""/>
    <m/>
    <m/>
    <m/>
    <m/>
    <m/>
    <m/>
    <m/>
    <n v="25"/>
    <n v="0.1"/>
    <n v="200"/>
    <m/>
    <s v="5. DESCARTADO"/>
    <m/>
    <m/>
    <n v="0.9"/>
    <n v="1"/>
    <n v="24"/>
    <n v="8"/>
    <n v="192"/>
    <x v="0"/>
  </r>
  <r>
    <s v="M0596"/>
    <n v="2391"/>
    <x v="0"/>
    <s v="2024-T0505"/>
    <s v="2024-M0449"/>
    <s v="Reducción a 5 minutos de los extornos para tasas canal ventanilla"/>
    <s v="Reducción a 5 minutos de los extornos para tasas canal ventanilla."/>
    <x v="0"/>
    <s v="Servicios Bancarios y Recaudación"/>
    <s v="Recaudación y Corresponsalía"/>
    <d v="2024-07-01T00:00:00"/>
    <s v="MEMORANDO N° 00000132 - 2024-BN/3243"/>
    <s v="RECA-Recaudacion"/>
    <m/>
    <s v="Agencias"/>
    <s v="No Aplica"/>
    <s v="Pagos "/>
    <x v="0"/>
    <m/>
    <s v="No Aplica"/>
    <s v="No Aplica"/>
    <s v="No Aplica"/>
    <s v="No Aplica"/>
    <s v="No Aplica"/>
    <s v="No Aplica"/>
    <s v="Normal"/>
    <d v="2024-08-29T00:00:00"/>
    <x v="0"/>
    <s v="Analista-BN"/>
    <s v="Jorge Lucio Ruedas Fernandez"/>
    <s v="Junior Quicaño"/>
    <x v="5"/>
    <s v="02. En Proceso"/>
    <m/>
    <d v="2024-08-28T00:00:00"/>
    <m/>
    <m/>
    <m/>
    <m/>
    <m/>
    <m/>
    <s v=""/>
    <m/>
    <m/>
    <s v=""/>
    <s v="08/05/26: Según CQ, actualizó el estado a 03. En Desarrollo_x000a_19/03/25: Según CQ, actualizó el estado a 06. Calidad Finalizado_x000a_07/03/25: Según CQ, actualizó el estado a 05. En Calidad_x000a_04/03/25: Según CQ, actualizó el estado a 04. Desarrollo Finalizado_x000a_03/09/24: Según CQ, actualizó el estado a 03. En Desarrollo_x000a_28/08/2024:  Se registró en el Backlog de requerimientos."/>
    <s v="Operac."/>
    <s v="BancariosRecaudación"/>
    <s v="2024-07"/>
    <s v="2024-08"/>
    <s v="No definido"/>
    <x v="0"/>
    <x v="1"/>
    <m/>
    <m/>
    <m/>
    <m/>
    <d v="2024-08-29T00:00:00"/>
    <s v="2024-III"/>
    <s v="Sin Fechas"/>
    <s v="No Aplica"/>
    <s v="ID 162"/>
    <s v="Finalizada"/>
    <s v="Rechazado"/>
    <x v="43"/>
    <x v="0"/>
    <m/>
    <m/>
    <s v="Sin Fecha"/>
    <s v="BackOffice"/>
    <s v="Otros Requerimientos"/>
    <x v="6"/>
    <x v="5"/>
    <s v="Desarrollo Terminado x JRueda, pasa a Calidad Feb-25 con Mantenimiento de saraweb (merge Feb.25) (2024-M0267)"/>
    <d v="2025-03-31T00:00:00"/>
    <s v="Vencida"/>
    <s v="Mar 2025"/>
    <m/>
    <s v="Activos"/>
    <x v="0"/>
    <n v="0.45"/>
    <s v="PRE"/>
    <s v="NO"/>
    <s v="06. Calidad Finalizado"/>
    <s v="SI"/>
    <s v="ATRASADO 🔴"/>
    <n v="1"/>
    <n v="0.45"/>
    <n v="0.55000000000000004"/>
    <n v="0.45"/>
    <d v="2024-08-29T00:00:00"/>
    <d v="2024-08-29T00:00:00"/>
    <d v="2025-03-03T00:00:00"/>
    <d v="2025-03-06T00:00:00"/>
    <d v="2025-03-18T00:00:00"/>
    <d v="2026-02-19T00:00:00"/>
    <d v="2026-03-27T00:00:00"/>
    <n v="121"/>
    <n v="1"/>
    <n v="242"/>
    <m/>
    <s v="1. DESARROLLO"/>
    <m/>
    <m/>
    <n v="0"/>
    <n v="121"/>
    <n v="0"/>
    <n v="242"/>
    <n v="0"/>
    <x v="4"/>
  </r>
  <r>
    <s v="M0604"/>
    <n v="2402"/>
    <x v="0"/>
    <s v="2024-T0531"/>
    <s v="2024-M0461"/>
    <s v="Emisión comprobante de pago por la comisión por uso de cajero BN por parte de clientes foráneos locales e internacionales"/>
    <m/>
    <x v="2"/>
    <s v="Canales Alternos"/>
    <s v="Canales Virtuales"/>
    <d v="2024-08-29T00:00:00"/>
    <s v="MEMORANDO N° 00000430 - 2024-BN-3252"/>
    <s v="TMIN-Tarjeta Multired Interfaces"/>
    <s v="Facturación Electrónica - I"/>
    <s v="Otros"/>
    <s v="No Aplica"/>
    <s v="No aplica"/>
    <x v="2"/>
    <s v="Normativo"/>
    <s v="SUNAT"/>
    <s v="R.S N° 193-2020/SUNAT"/>
    <m/>
    <m/>
    <m/>
    <d v="2024-09-30T00:00:00"/>
    <s v="Normal"/>
    <m/>
    <x v="0"/>
    <s v="FS-Indra"/>
    <s v="Vladimir Ronald Cajavilca Cajavilca"/>
    <s v="Juan Carlos Zavaleta"/>
    <x v="6"/>
    <s v="02. En Proceso"/>
    <m/>
    <d v="2024-09-05T00:00:00"/>
    <m/>
    <d v="2024-09-05T00:00:00"/>
    <d v="2025-08-07T00:00:00"/>
    <d v="2025-05-22T00:00:00"/>
    <d v="2025-08-08T00:00:00"/>
    <d v="2025-08-14T00:00:00"/>
    <d v="2025-09-02T14:24:00"/>
    <m/>
    <m/>
    <d v="2025-09-09T14:24:00"/>
    <s v="15/08/25: Según CQ, actualizó el estado a 06. Calidad Finalizado_x000a_11/08/25: Según CQ, actualizó el estado a 05. En Calidad_x000a_07/08/25: Según CQ, actualizó el estado a 04. Desarrollo Finalizado_x000a_17/06/2025: Se cambia de gestor de TI de Omar S. a Juan Carlos Z._x000a_09/09/24: Según CQ, actualizó el estado a 02. En Planificación_x000a_05/09/2024:  Se registró en el Backlog de requerimientos._x000a_NOTA: Dependencia del RQ con ID Histórico 941"/>
    <s v="B.Digital"/>
    <s v="CanalesAlternos"/>
    <s v="2024-08"/>
    <s v="No definido"/>
    <s v="2025-08"/>
    <x v="0"/>
    <x v="7"/>
    <s v="Entregado"/>
    <d v="2024-12-16T00:00:00"/>
    <d v="2025-05-22T00:00:00"/>
    <d v="2025-05-22T00:00:00"/>
    <d v="2024-09-05T00:00:00"/>
    <s v="2024-III"/>
    <s v="Sin Fecha Fin Producción"/>
    <s v="No Aplica"/>
    <s v="QC-212"/>
    <s v="Finalizada"/>
    <s v="Certificado"/>
    <x v="44"/>
    <x v="0"/>
    <m/>
    <m/>
    <s v="Vencida"/>
    <s v="ATM-Agentes-VISA"/>
    <s v="Canales Presenciales"/>
    <x v="8"/>
    <x v="7"/>
    <s v="24/04/25: Se tiene que Posponer en CQ debido a que no se tiene registor. de comisiones. Lucila Choy  indicó qeue se hará manualmente por el momento."/>
    <d v="2025-05-31T00:00:00"/>
    <s v="Vencida"/>
    <s v="May 2025"/>
    <n v="2025"/>
    <s v="Activos"/>
    <x v="3"/>
    <n v="0.85"/>
    <s v="PRE"/>
    <s v="NO"/>
    <s v="06. Calidad Finalizado"/>
    <s v="SI"/>
    <s v="ATRASADO 🔴"/>
    <n v="1"/>
    <n v="0.85"/>
    <n v="0.15000000000000002"/>
    <n v="0.85"/>
    <d v="2024-09-05T00:00:00"/>
    <d v="2024-09-05T00:00:00"/>
    <d v="2025-08-07T00:00:00"/>
    <d v="2025-08-08T00:00:00"/>
    <d v="2025-08-14T00:00:00"/>
    <d v="2026-02-19T00:00:00"/>
    <d v="2026-04-30T00:00:00"/>
    <n v="227"/>
    <n v="1"/>
    <n v="200"/>
    <m/>
    <s v="2. CALIDAD"/>
    <m/>
    <m/>
    <n v="0"/>
    <n v="227"/>
    <n v="0"/>
    <n v="1816"/>
    <n v="0"/>
    <x v="1"/>
  </r>
  <r>
    <s v="M0606"/>
    <n v="2404"/>
    <x v="0"/>
    <s v="2024-T0533"/>
    <s v="2024-M0462"/>
    <s v="Emisión de Comprobantes de pago por la comisión por reposición de la nueva tarjeta multired"/>
    <m/>
    <x v="2"/>
    <s v="Canales Alternos"/>
    <s v="Canales Virtuales"/>
    <d v="2024-08-29T00:00:00"/>
    <s v="MEMORANDO N° 00000430 - 2024-BN-3252"/>
    <s v="ATCA-Adm.Tarjetas Cajero Automático"/>
    <s v="Facturación Electrónica - I"/>
    <s v="Otros"/>
    <s v="No Aplica"/>
    <s v="No aplica"/>
    <x v="2"/>
    <s v="Normativo"/>
    <s v="SUNAT"/>
    <s v="R.S N° 193-2020/SUNAT"/>
    <m/>
    <m/>
    <m/>
    <d v="2024-09-30T00:00:00"/>
    <s v="Normal"/>
    <m/>
    <x v="0"/>
    <s v="FS-Indra"/>
    <s v="Waldo Antonio Basurto Valverde"/>
    <s v="Juan Carlos Zavaleta"/>
    <x v="1"/>
    <s v="03. Culminado"/>
    <m/>
    <d v="2024-09-05T00:00:00"/>
    <m/>
    <d v="2025-12-12T00:00:00"/>
    <d v="2025-12-16T00:00:00"/>
    <d v="2025-07-25T00:00:00"/>
    <d v="2025-12-16T00:00:00"/>
    <d v="2025-12-17T00:00:00"/>
    <d v="2025-05-30T00:00:00"/>
    <d v="2026-01-21T00:00:00"/>
    <d v="2026-01-21T00:00:00"/>
    <d v="2025-06-06T00:00:00"/>
    <s v="26/01/26: Según CQ, actualizó el estado a 08. Producción Finalizada_x000a_18/12/25: Según CQ, actualizó el estado a 06. Calidad Finalizado_x000a_17/12/25: Según CQ, actualizó el estado a 05. En Calidad_x000a_17/11/25: Según CQ, actualizó el estado a 03. En Desarrollo_x000a_27/10/25: Según CQ, actualizó el estado a 05. En Calidad_x000a_22/10/25: Según CQ, actualizó el estado a 04. Desarrollo Finalizado_x000a_17/06/2025: Se cambia de gestor de TI de Omar S. a Juan Carlos Z._x000a_05/09/2024:  Se registró en el Backlog de requerimientos._x000a_NOTA: Dependencia del RQ con ID Histórico 941"/>
    <s v="B.Digital"/>
    <s v="CanalesAlternos"/>
    <s v="2024-08"/>
    <s v="No definido"/>
    <s v="2025-12"/>
    <x v="4"/>
    <x v="14"/>
    <s v="Finalizado"/>
    <d v="2024-10-28T00:00:00"/>
    <d v="2025-07-25T00:00:00"/>
    <d v="2025-07-25T00:00:00"/>
    <d v="2024-09-05T00:00:00"/>
    <s v="2024-III"/>
    <n v="40"/>
    <n v="1.3333333333333333"/>
    <s v="ID 224"/>
    <s v="Finalizada"/>
    <s v="Procesado"/>
    <x v="45"/>
    <x v="0"/>
    <m/>
    <m/>
    <s v="Culminado"/>
    <s v="ATM-Agentes-VISA"/>
    <s v="Canales Presenciales"/>
    <x v="0"/>
    <x v="0"/>
    <s v="- Paquete 7"/>
    <d v="2026-01-21T00:00:00"/>
    <s v="Culminado"/>
    <s v="Ene 2026"/>
    <n v="2025"/>
    <s v="Culminado"/>
    <x v="0"/>
    <n v="1"/>
    <s v="PRE"/>
    <s v="NO"/>
    <s v="05. En Calidad"/>
    <s v="No aplica"/>
    <s v="IMPLEMENTADO 🔵"/>
    <n v="1"/>
    <n v="1"/>
    <n v="0"/>
    <n v="1"/>
    <d v="2025-12-12T00:00:00"/>
    <d v="2025-12-12T00:00:00"/>
    <d v="2025-12-16T00:00:00"/>
    <d v="2025-12-16T00:00:00"/>
    <d v="2025-12-17T00:00:00"/>
    <d v="2026-01-21T00:00:00"/>
    <d v="2026-01-23T00:00:00"/>
    <n v="3"/>
    <n v="1"/>
    <n v="200"/>
    <s v="BD"/>
    <s v="4. PRODUCCIÓN"/>
    <m/>
    <m/>
    <n v="0"/>
    <n v="3"/>
    <n v="0"/>
    <n v="24"/>
    <n v="0"/>
    <x v="9"/>
  </r>
  <r>
    <s v="M0698"/>
    <n v="2416"/>
    <x v="0"/>
    <s v="2024-T0557"/>
    <s v="2024-M0529"/>
    <s v="Emisión de comprobantes electrónicas por los cobros de comisión a través de la Transacción 3610"/>
    <m/>
    <x v="4"/>
    <s v="Contabilidad"/>
    <m/>
    <d v="2024-09-11T00:00:00"/>
    <s v="MEMORANDO N° 00000188 - 2024-BN-6210"/>
    <s v="PGCO-Pago de Comisiones"/>
    <s v="Facturación Electrónica - I"/>
    <s v="Otros"/>
    <s v="No Aplica"/>
    <s v="No aplica"/>
    <x v="2"/>
    <s v="Normativo"/>
    <s v="SUNAT"/>
    <s v="R.S. N° 193-2020/SUNAT"/>
    <m/>
    <m/>
    <m/>
    <d v="2024-12-31T00:00:00"/>
    <s v="Heredado"/>
    <m/>
    <x v="0"/>
    <s v="FS-Olssa"/>
    <s v="Maribel Marlene Medina Molina"/>
    <s v="Juan Carlos Zavaleta"/>
    <x v="3"/>
    <s v="04. Paralizado"/>
    <s v="Dependencia técnica"/>
    <d v="2024-09-18T00:00:00"/>
    <m/>
    <d v="2026-03-10T00:00:00"/>
    <d v="2026-02-26T00:00:00"/>
    <d v="2025-07-04T00:00:00"/>
    <d v="2026-03-03T00:00:00"/>
    <m/>
    <d v="2025-03-26T09:36:00"/>
    <m/>
    <m/>
    <d v="2025-04-02T09:36:00"/>
    <s v="10/03/26: Según CQ, actualizó el estado a 10. Paralizado_x000a_04/03/26: Según CQ, actualizó el estado a 03. En Desarrollo_x000a_27/02/26: Según CQ, actualizó el estado a 04. Desarrollo Finalizado_x000a_17/06/2025: Se cambia de gestor de TI de Omar S. a Juan Carlos Z._x000a_10/10/24: Según CQ, actualizó el estado a 03. En Desarrollo_x000a_18/09/2024:  Se registró en el Backlog de requerimientos. Se generó TD _x000a_NOTA: Dependencia del RQ con ID Histórico 941"/>
    <s v="Finanzas"/>
    <s v="Contabilidad"/>
    <s v="2024-09"/>
    <s v="No definido"/>
    <s v="2026-02"/>
    <x v="0"/>
    <x v="11"/>
    <s v="Rechazado"/>
    <d v="2024-11-14T00:00:00"/>
    <d v="2025-07-04T00:00:00"/>
    <m/>
    <d v="2024-09-18T00:00:00"/>
    <s v="2024-III"/>
    <s v="Sin Fecha Fin Producción"/>
    <s v="No Aplica"/>
    <s v="QC-240"/>
    <s v="Finalizada"/>
    <s v="Pospuesto"/>
    <x v="46"/>
    <x v="0"/>
    <m/>
    <m/>
    <s v="Vencida"/>
    <s v="BackOffice"/>
    <s v="Otros Requerimientos"/>
    <x v="0"/>
    <x v="0"/>
    <s v="- Paquete 7"/>
    <d v="2025-04-30T00:00:00"/>
    <s v="Vencida"/>
    <s v="Abr 2025"/>
    <n v="2025"/>
    <s v="Activos"/>
    <x v="0"/>
    <n v="0.12"/>
    <s v="PRE"/>
    <s v="NO"/>
    <s v="03. En Desarrollo"/>
    <s v="No aplica"/>
    <s v="PARALIZADO ⚪"/>
    <n v="0.6470588235294118"/>
    <n v="0.12"/>
    <n v="0.5270588235294118"/>
    <n v="0.18545454545454543"/>
    <d v="2026-01-16T00:00:00"/>
    <d v="2026-03-02T00:00:00"/>
    <d v="2026-03-31T00:00:00"/>
    <d v="2026-03-31T00:00:00"/>
    <d v="2026-06-12T00:00:00"/>
    <d v="2026-06-12T00:00:00"/>
    <d v="2026-06-30T00:00:00"/>
    <n v="22"/>
    <n v="1"/>
    <n v="200"/>
    <m/>
    <s v="6. PARALIZADO"/>
    <m/>
    <m/>
    <n v="0"/>
    <n v="22"/>
    <n v="0"/>
    <n v="176"/>
    <n v="0"/>
    <x v="6"/>
  </r>
  <r>
    <s v="M0699"/>
    <n v="2417"/>
    <x v="0"/>
    <s v="2024-T0558"/>
    <s v="2024-M0528"/>
    <s v="Emisión de Comprobantes de pago por las comisiones de uso del canal ATM BN"/>
    <m/>
    <x v="2"/>
    <s v="Canales Alternos"/>
    <s v="Canales Presenciales"/>
    <d v="2024-09-15T00:00:00"/>
    <s v="MEMORANDO N° 00000387 - 2024-BN-3251"/>
    <s v="TMIN-Tarjeta Multired Interfaces"/>
    <s v="Facturación Electrónica - I"/>
    <s v="Otros"/>
    <s v="No Aplica"/>
    <s v="No aplica"/>
    <x v="2"/>
    <s v="Normativo"/>
    <s v="SUNAT"/>
    <s v="R.S. N° 193-2020/SUNAT"/>
    <m/>
    <m/>
    <m/>
    <d v="2024-12-31T00:00:00"/>
    <s v="Heredado"/>
    <m/>
    <x v="0"/>
    <s v="FS-Indra"/>
    <s v="Vladimir Ronald Cajavilca Cajavilca"/>
    <s v="Juan Carlos Zavaleta"/>
    <x v="1"/>
    <s v="03. Culminado"/>
    <m/>
    <d v="2024-09-18T00:00:00"/>
    <m/>
    <d v="2024-10-03T00:00:00"/>
    <d v="2025-08-07T00:00:00"/>
    <d v="2025-05-23T00:00:00"/>
    <d v="2025-08-08T00:00:00"/>
    <d v="2025-08-20T00:00:00"/>
    <d v="2025-08-23T19:12:00"/>
    <d v="2026-01-09T00:00:00"/>
    <d v="2026-01-13T00:00:00"/>
    <d v="2025-08-30T19:12:00"/>
    <s v="14/01/26: Según CQ, actualizó el estado a 08. Producción Finalizada_x000a_12/01/26: Según CQ, actualizó el estado a 07. En Despliegue_x000a_21/08/25: Según CQ, actualizó el estado a 06. Calidad Finalizado_x000a_11/08/25: Según CQ, actualizó el estado a 05. En Calidad_x000a_07/08/25: Según CQ, actualizó el estado a 04. Desarrollo Finalizado_x000a_17/06/2025: Se cambia de gestor de TI de Omar S. a Juan Carlos Z._x000a_10/10/24: Según CQ, actualizó el estado a 03. En Desarrollo_x000a_18/09/2024:  Se registró en el Backlog de requerimientos. Se generó TD _x000a_NOTA: Dependencia del RQ con ID Histórico 941"/>
    <s v="B.Digital"/>
    <s v="CanalesAlternos"/>
    <s v="2024-09"/>
    <s v="No definido"/>
    <s v="2025-08"/>
    <x v="4"/>
    <x v="10"/>
    <s v="Entregado"/>
    <d v="2024-12-16T00:00:00"/>
    <d v="2025-05-23T00:00:00"/>
    <d v="2025-05-23T00:00:00"/>
    <d v="2024-09-18T00:00:00"/>
    <s v="2024-III"/>
    <n v="467"/>
    <n v="15.566666666666666"/>
    <s v="QC-241"/>
    <s v="Finalizada"/>
    <s v="Procesado"/>
    <x v="47"/>
    <x v="0"/>
    <m/>
    <m/>
    <s v="Culminado"/>
    <s v="ATM-Agentes-VISA"/>
    <s v="Canales Presenciales"/>
    <x v="8"/>
    <x v="7"/>
    <s v="- Paquete 7"/>
    <d v="2026-01-13T00:00:00"/>
    <s v="Culminado"/>
    <s v="Ene 2026"/>
    <n v="2025"/>
    <s v="Culminado"/>
    <x v="2"/>
    <n v="1"/>
    <s v="PRE"/>
    <s v="NO"/>
    <s v="06. Calidad Finalizado"/>
    <s v="No aplica"/>
    <s v="IMPLEMENTADO 🔵"/>
    <n v="1"/>
    <n v="1"/>
    <n v="0"/>
    <n v="1"/>
    <d v="2024-10-03T00:00:00"/>
    <d v="2024-10-03T00:00:00"/>
    <d v="2025-08-07T00:00:00"/>
    <d v="2025-08-08T00:00:00"/>
    <d v="2025-08-20T00:00:00"/>
    <d v="2026-01-09T00:00:00"/>
    <d v="2026-01-13T00:00:00"/>
    <n v="207"/>
    <n v="1"/>
    <n v="200"/>
    <m/>
    <s v="4. PRODUCCIÓN"/>
    <m/>
    <m/>
    <n v="0"/>
    <n v="207"/>
    <n v="0"/>
    <n v="1656"/>
    <n v="0"/>
    <x v="9"/>
  </r>
  <r>
    <s v="M0728"/>
    <n v="2461"/>
    <x v="0"/>
    <s v="2024-T0614"/>
    <s v="2024-M0546"/>
    <s v="Efectuar cambios en la Transacción 3210 Sedapal"/>
    <m/>
    <x v="0"/>
    <s v="Servicios Bancarios y Recaudación"/>
    <s v="Recaudación y Corresponsalía"/>
    <d v="2024-10-03T00:00:00"/>
    <s v="MEMORANDO N° 00000192 - 2024-BN/3243"/>
    <s v="PGOL-Pagos En Línea"/>
    <m/>
    <s v="Agencias"/>
    <s v="No Aplica"/>
    <s v="No aplica"/>
    <x v="0"/>
    <m/>
    <s v="No Aplica"/>
    <s v="No Aplica"/>
    <s v="No Aplica"/>
    <s v="No Aplica"/>
    <s v="No Aplica"/>
    <s v="No Aplica"/>
    <s v="Normal"/>
    <d v="2024-10-09T00:00:00"/>
    <x v="0"/>
    <s v="Analista-BN"/>
    <s v="Jorge Lucio Ruedas Fernandez"/>
    <s v="Junior Quicaño"/>
    <x v="0"/>
    <s v="05. Descartado"/>
    <m/>
    <d v="2024-10-09T00:00:00"/>
    <m/>
    <d v="2026-01-09T00:00:00"/>
    <d v="2026-01-09T00:00:00"/>
    <m/>
    <m/>
    <m/>
    <d v="2026-01-09T00:00:00"/>
    <m/>
    <m/>
    <d v="2026-01-16T00:00:00"/>
    <s v="12/01/26: Según CQ, actualizó el estado a 09. Descartad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3/03/2025: De acuerdo a lo coordinado la Fecha Fin Planificación pasará a marzo._x000a_14/10/2024: Según CQ, actualizó el estado a 03. En Desarrollo_x000a_09/10/2024 Se registró en el backlog, se creó el tramite y se priorizó a la demanda tactica"/>
    <s v="Operac."/>
    <s v="BancariosRecaudación"/>
    <s v="2024-10"/>
    <s v="2024-10"/>
    <s v="2026-01"/>
    <x v="0"/>
    <x v="16"/>
    <m/>
    <m/>
    <m/>
    <m/>
    <d v="2024-10-09T00:00:00"/>
    <s v="2024-IV"/>
    <s v="Sin Fecha Fin Producción"/>
    <s v="No Aplica"/>
    <s v="QC-256"/>
    <s v="Finalizada"/>
    <s v="Descartado"/>
    <x v="48"/>
    <x v="0"/>
    <m/>
    <m/>
    <s v="Vencida"/>
    <s v="BackOffice"/>
    <s v="Otros Requerimientos"/>
    <x v="4"/>
    <x v="5"/>
    <s v="Desarrollo Terminado x JRueda, pasa a Calidad Feb-25 con Mantenimiento de saraweb (merge Feb.25) (2024-M0267)"/>
    <d v="2025-03-31T00:00:00"/>
    <s v="Vencida"/>
    <s v="Mar 2025"/>
    <n v="2025"/>
    <s v="Descartado"/>
    <x v="0"/>
    <n v="-0.01"/>
    <s v="POST"/>
    <s v="REACTIVADO"/>
    <s v="Reactivo"/>
    <s v="No aplica"/>
    <s v="Sin Cronograma 🔵"/>
    <s v=""/>
    <n v="-0.01"/>
    <s v=""/>
    <s v=""/>
    <m/>
    <m/>
    <m/>
    <m/>
    <m/>
    <m/>
    <m/>
    <n v="25"/>
    <n v="0.1"/>
    <n v="200"/>
    <m/>
    <s v="5. DESCARTADO"/>
    <m/>
    <m/>
    <n v="0.9"/>
    <n v="1"/>
    <n v="24"/>
    <n v="8"/>
    <n v="192"/>
    <x v="0"/>
  </r>
  <r>
    <s v="M0751"/>
    <n v="2478"/>
    <x v="0"/>
    <s v="2024-T0647"/>
    <s v="2024-M0578"/>
    <s v="ME: FACTURACIONELECTRONICA .- CREACIÓN DE UNA INTERFACE ORACLE FAH PARA EL APLICATIVO DE BANKTRADE"/>
    <m/>
    <x v="0"/>
    <s v="Internacional"/>
    <s v="Comercio Exterior"/>
    <d v="2024-10-31T00:00:00"/>
    <s v="Correo s/n"/>
    <s v="OSAI -: Oracle Sistema Administrativo Integrado"/>
    <s v="Facturación Electrónica - I"/>
    <s v="Otros"/>
    <s v="No Aplica"/>
    <s v="No aplica"/>
    <x v="0"/>
    <m/>
    <s v="No Aplica"/>
    <s v="No Aplica"/>
    <s v="No Aplica"/>
    <s v="No Aplica"/>
    <s v="No Aplica"/>
    <s v="No Aplica"/>
    <s v="Regularizado"/>
    <d v="2024-10-31T00:00:00"/>
    <x v="1"/>
    <m/>
    <s v="Emerson Quecara Choquetico"/>
    <s v="Juan Carlos Zavaleta"/>
    <x v="6"/>
    <s v="02. En Proceso"/>
    <m/>
    <d v="2024-11-22T00:00:00"/>
    <m/>
    <d v="2025-05-19T00:00:00"/>
    <d v="2025-05-19T00:00:00"/>
    <d v="2024-12-22T00:00:00"/>
    <d v="2025-05-26T00:00:00"/>
    <d v="2025-06-09T00:00:00"/>
    <d v="2024-10-23T19:12:00"/>
    <m/>
    <m/>
    <d v="2024-10-30T19:12:00"/>
    <s v="18/05/26: Según CQ, actualizó el estado a 06. Calidad Finalizado_x000a_12/05/26: Según CQ, actualizó el estado a 06. Calidad Finalizado_x000a_08/05/26: Según CQ, actualizó el estado a 06. Calidad Finalizado_x000a_04/05/26: Según CQ, actualizó el estado a 06. Calidad Finalizado_x000a_27/04/26: Según CQ, actualizó el estado a 06. Calidad Finalizado_x000a_22/04/26: Según CQ, actualizó el estado a 06. Calidad Finalizado_x000a_20/04/26: Según CQ, actualizó el estado a 06. Calidad Finalizado_x000a_15/04/26: Según CQ, actualizó el estado a 08. Producción Finalizada_x000a_27/03/26: Según CQ, actualizó el estado a 06. Calidad Finalizado_x000a_27/03/26: Según CQ, actualizó el estado a 06. Calidad Finalizado_x000a_25/03/26: Según CQ, actualizó el estado a 06. Calidad Finalizado_x000a_24/03/26: Según CQ, actualizó el estado a 08. Producción Finalizada_x000a_23/03/26: Según CQ, actualizó el estado a 06. Calidad Finalizado_x000a_19/03/26: Según CQ, actualizó el estado a 06. Calidad Finalizado_x000a_18/03/26: Según CQ, actualizó el estado a 06. Calidad Finalizado_x000a_17/03/26: Según CQ, actualizó el estado a 06. Calidad Finalizado_x000a_05/03/26: Según CQ, actualizó el estado a 06. Calidad Finalizado_x000a_02/03/26: Según CQ, actualizó el estado a 06. Calidad Finalizado_x000a_27/02/26: Según CQ, actualizó el estado a 06. Calidad Finalizado_x000a_25/02/26: Según CQ, actualizó el estado a 06. Calidad Finalizado_x000a_19/02/26: Según CQ, actualizó el estado a 06. Calidad Finalizado_x000a_12/01/26: Según CQ, actualizó el estado a 06. Calidad Finalizado_x000a_09/01/2026: Se cambia del trámite 2024-T0701 al trámite 2024-T0647_x000a_16/12/2024: Se está asignando la Fecha de Priorización de Comité (31/10/2024) como Fecha de Solicitud a TI. [Regularizado]_x000a_22/11/24: Según CQ, actualizó el estado a 08. Producción Finalizada_x000a_21/11/24: Según CQ, actualizó el estado a 08. Producción Finalizada_x000a_20/11/24: Según CQ, actualizó el estado a 03. En Desarrollo_x000a_19/11/24: Según CQ, actualizó el estado a 03. En Desarrollo_x000a_18/11/24: Según CQ, actualizó el estado a 03. En Desarrollo_x000a_12/11/24: Según CQ, actualizó el estado a 03. En Desarrollo_x000a_07/11/24: Según CQ, actualizó el estado a 03. En Desarrollo_x000a_06/11/24: Según CQ, actualizó el estado a 03. En Desarrollo_x000a_05/11/24: Según CQ, actualizó el estado a 03. En Desarrollo_x000a_30/10/2024 Se registró en el Backlog"/>
    <s v="Operac."/>
    <s v="Internacional"/>
    <s v="2024-10"/>
    <s v="2024-10"/>
    <s v="2025-05"/>
    <x v="0"/>
    <x v="24"/>
    <m/>
    <m/>
    <m/>
    <m/>
    <m/>
    <s v="2024-IV"/>
    <s v="Sin Fecha Fin Producción"/>
    <s v="No Aplica"/>
    <m/>
    <s v="Finalizada"/>
    <s v="Certificado"/>
    <x v="49"/>
    <x v="0"/>
    <m/>
    <m/>
    <s v="Vencida"/>
    <s v="Oracle"/>
    <s v="Otros Requerimientos"/>
    <x v="1"/>
    <x v="1"/>
    <s v="EN proceso desarrollo por parte del proveedor de Banck Trade. Usuario Juan Carlos Carrasco, confirmará estado, de acuerdo a ello se paralizará en el CQ "/>
    <s v=""/>
    <s v="Sin Fecha"/>
    <s v="No definido"/>
    <n v="2025"/>
    <s v="Activos"/>
    <x v="0"/>
    <n v="0.85"/>
    <s v="PRE"/>
    <s v="NO"/>
    <s v="03. En Desarrollo"/>
    <s v="SI"/>
    <s v="EN RIESGO 🟡"/>
    <n v="0.96183206106870234"/>
    <n v="0.85"/>
    <n v="0.11183206106870236"/>
    <n v="0.8837301587301587"/>
    <d v="2025-05-19T00:00:00"/>
    <d v="2025-05-19T00:00:00"/>
    <d v="2025-05-19T00:00:00"/>
    <d v="2025-05-26T00:00:00"/>
    <d v="2025-06-09T00:00:00"/>
    <d v="2026-02-19T00:00:00"/>
    <d v="2026-06-01T00:00:00"/>
    <n v="1"/>
    <n v="1"/>
    <n v="200"/>
    <m/>
    <s v="2. CALIDAD"/>
    <m/>
    <m/>
    <n v="0"/>
    <n v="1"/>
    <n v="0"/>
    <n v="8"/>
    <n v="0"/>
    <x v="6"/>
  </r>
  <r>
    <s v="M0757"/>
    <n v="2412"/>
    <x v="0"/>
    <s v="2024-T0667"/>
    <s v="2024-M0621"/>
    <s v="Actualización del requerimiento de Oplaft en la BDUC – Fase 2 PEP"/>
    <s v="Identificar a las PEP declarado por el cliente, para ello se requiere realizar cambios en el módulo PEP de la BDUC."/>
    <x v="3"/>
    <s v="Prevención"/>
    <s v="Prevención"/>
    <d v="2024-09-09T00:00:00"/>
    <s v="MEMORANDO N° 00000074 - 2024-BN/1202"/>
    <s v="SIUC-Sistema de Información Unica de Clientes"/>
    <s v="Mejoras Tecnológicas"/>
    <s v="Agencias"/>
    <s v="Cuenta de Ahorros"/>
    <s v="No aplica"/>
    <x v="3"/>
    <s v="Recomendación"/>
    <s v="SBS"/>
    <s v="04-2024-DSBE"/>
    <s v="Informe de Inspección"/>
    <s v="N° 7; 25"/>
    <s v="7c; 25a"/>
    <s v="Abr-2025; Dic-2025"/>
    <s v="Normal"/>
    <d v="2024-11-06T00:00:00"/>
    <x v="0"/>
    <s v="FS-Indra"/>
    <s v="Johnny Luis Rocca Surco"/>
    <s v="Juan Carlos Zavaleta"/>
    <x v="6"/>
    <s v="02. En Proceso"/>
    <s v="Dependencia técnica"/>
    <d v="2024-11-06T00:00:00"/>
    <m/>
    <d v="2026-02-26T00:00:00"/>
    <d v="2026-03-02T00:00:00"/>
    <d v="2025-10-14T00:00:00"/>
    <d v="2026-03-04T00:00:00"/>
    <d v="2026-04-08T00:00:00"/>
    <d v="2025-08-21T00:00:00"/>
    <m/>
    <m/>
    <d v="2025-08-28T00:00:00"/>
    <s v="10/04/26: Según CQ, actualizó el estado a 06. Calidad Finalizado_x000a_05/03/26: Según CQ, actualizó el estado a 05. En Calidad_x000a_03/03/26: Según CQ, actualizó el estado a 04. Desarrollo Finalizado_x000a_19/02/26: Según CQ, actualizó el estado a 03. En Desarrollo_x000a_17/12/25: Según CQ, actualizó el estado a 05. En Calidad_x000a_15/12/25: Según CQ, actualizó el estado a 04. Desarrollo Finalizado_x000a_05/09/2025: Cartera reasignada a Juan Carlos Zavaleta_x000a_11/08/2025: Cartera reasignada a Percy Silva_x000a_05/08/2025: Se actualiza columna cartera por la denominación &quot;Mejoras Tecnológicas&quot;_x000a_29/04/2025 De acuerdo a cronograma remitido a TitoPareja, la fecha de pase a  producción es el 24/09/2025._x000a_02/04/25: Según CQ, actualizó el estado a 03. En Desarrollo_x000a_10/02/25: Pospuesto en CQ. Se retoma en mar-25 y pasa a Calidad en May-25_x000a_10/02/25: Según CQ, actualizó el estado a 10. Paralizado_x000a_07/02/25 En reunion con CN-Diego Villaverte y Oplaft se actualiza la categoría del requerimiento a Recomendación._x000a_20/01/2025 Cartera reasignada a Omar Sarmiento_x000a_22/11/24: Según CQ, actualizó el estado a 03. En Desarrollo_x000a_&quot;17/09/2024:  Se registró en el Backlog de requerimientos._x000a_16/09/24 Se informó al usuario que el requerimiento será tratado como un evolutivo, considerando cerrar primero los compromisos que se tienen para el presente año 2024.&quot;"/>
    <s v="PLAFT"/>
    <s v="Prevención"/>
    <s v="2024-09"/>
    <s v="2024-11"/>
    <s v="2026-03"/>
    <x v="0"/>
    <x v="10"/>
    <s v="Rechazado"/>
    <d v="2025-04-07T00:00:00"/>
    <d v="2025-10-14T00:00:00"/>
    <m/>
    <m/>
    <s v="2024-IV"/>
    <s v="Sin Fecha Fin Producción"/>
    <s v="No Aplica"/>
    <s v="QC-230"/>
    <s v="Finalizada"/>
    <s v="Certificado"/>
    <x v="50"/>
    <x v="2"/>
    <s v="1. 2963_x000a_2. 3019"/>
    <s v="NO_x000a_SI"/>
    <s v="Vencida"/>
    <s v="Clientes (BDUC)"/>
    <s v="Canales Presenciales"/>
    <x v="5"/>
    <x v="4"/>
    <s v="01/04/25 Asignado a Indra, se activará en CQ._x000a_Se actualiza a Pospuesto, se retoma en mar-25 y pasa a Calidad en May-25"/>
    <d v="2025-08-31T00:00:00"/>
    <s v="Vencida"/>
    <s v="Ago 2025"/>
    <n v="2025"/>
    <s v="Activos"/>
    <x v="0"/>
    <n v="0.99"/>
    <s v="PRE"/>
    <s v="NO"/>
    <s v="03. En Desarrollo"/>
    <s v="SI"/>
    <s v="EN CURSO 🟢"/>
    <n v="0.99"/>
    <n v="0.99"/>
    <n v="0"/>
    <n v="1"/>
    <d v="2025-11-03T00:00:00"/>
    <d v="2025-11-03T00:00:00"/>
    <d v="2026-03-31T00:00:00"/>
    <d v="2026-04-01T00:00:00"/>
    <d v="2026-04-30T00:00:00"/>
    <d v="2026-05-15T00:00:00"/>
    <d v="2026-05-18T00:00:00"/>
    <n v="102"/>
    <n v="1"/>
    <n v="200"/>
    <m/>
    <s v="2. CALIDAD"/>
    <m/>
    <m/>
    <n v="0"/>
    <n v="102"/>
    <n v="0"/>
    <n v="816"/>
    <n v="0"/>
    <x v="8"/>
  </r>
  <r>
    <s v="M0768"/>
    <n v="2499"/>
    <x v="0"/>
    <s v="2024-T0719"/>
    <s v="2024-M0644"/>
    <s v="Generación de Archivos Planos del proceso Operativo de Créditos Hipotecarios."/>
    <m/>
    <x v="0"/>
    <s v="Servicios Bancarios y Recaudación"/>
    <s v="Soporte Servicios Financieros"/>
    <d v="2024-09-30T00:00:00"/>
    <s v="MEMORANDO N° 00000225 - 2024-BN/3241"/>
    <s v="CRHP-Sistema Creditos Hipotecarios"/>
    <m/>
    <s v="Otros"/>
    <s v="Crédito Hipotecario"/>
    <s v="No aplica"/>
    <x v="3"/>
    <s v="Recomendación"/>
    <s v="AUDITORIA INTERNA / AUDITORÍA EXTERNA"/>
    <s v="P-011-2024-BN/1400_x000a_Memorándum de Recomendaciones sobre Aspectos de Control Interno, Contable y Otros al 31 de diciembre de 2024"/>
    <s v="Evaluación de los Saldos y Movimientos de las Operaciones en Trámite, así como su antiguedad_x000a_Memorándum de Recomendaciones sobre Aspectos de Control Interno, Contable y Otros al 31 de diciembre de 2024"/>
    <s v="N° 4_x000a_I.7"/>
    <s v="4.2_x000a_I.7.i - I.7.ii"/>
    <s v="1. 30/06/2026_x000a_2. 31/10/2025_x000a_3. 31/10/2025"/>
    <s v="Normal"/>
    <d v="2024-12-02T00:00:00"/>
    <x v="0"/>
    <s v="FS-Olssa"/>
    <s v="Pedro Jose Encalada Huertas"/>
    <s v="Junior Quicaño"/>
    <x v="1"/>
    <s v="03. Culminado"/>
    <m/>
    <d v="2024-12-02T00:00:00"/>
    <d v="2025-11-03T00:00:00"/>
    <d v="2024-12-02T00:00:00"/>
    <d v="2026-02-10T00:00:00"/>
    <d v="2025-12-31T00:00:00"/>
    <d v="2026-02-17T00:00:00"/>
    <d v="2026-03-03T00:00:00"/>
    <d v="2026-06-06T14:24:00"/>
    <d v="2026-03-17T00:00:00"/>
    <d v="2026-03-24T00:00:00"/>
    <d v="2026-06-13T14:24:00"/>
    <s v="25/03/26: Según CQ, actualizó el estado a 08. Producción Finalizada_x000a_17/03/26: Según CQ, actualizó el estado a 07. En Despliegue_x000a_04/03/26: Según CQ, actualizó el estado a 06. Calidad Finalizado_x000a_19/02/26: Según CQ, actualizó el estado a 05. En Calidad_x000a_11/02/26: Según CQ, actualizó el estado a 04. Desarrollo Finalizado_x000a_03/12/24: Según CQ, actualizó el estado a 03. En Desarrollo_x000a_02/12/2024:  Se registró en el Backlog de requerimientos, se creó trámite y se registró en la cartera."/>
    <s v="Operac."/>
    <s v="BancariosRecaudación"/>
    <s v="2024-09"/>
    <s v="2024-12"/>
    <s v="2026-02"/>
    <x v="2"/>
    <x v="27"/>
    <m/>
    <m/>
    <m/>
    <m/>
    <m/>
    <s v="2024-IV"/>
    <n v="477"/>
    <n v="15.9"/>
    <s v="QC-249"/>
    <s v="Finalizada"/>
    <s v="Procesado"/>
    <x v="51"/>
    <x v="3"/>
    <s v="1. 2772_x000a_2. 3145_x000a_3. 3146"/>
    <s v="NO_x000a_NO_x000a_NO"/>
    <s v="Culminado"/>
    <s v="Créditos Hipotecarios"/>
    <s v="Productos"/>
    <x v="8"/>
    <x v="7"/>
    <m/>
    <d v="2026-03-24T00:00:00"/>
    <s v="Culminado"/>
    <s v="Mar 2026"/>
    <n v="2025"/>
    <s v="Culminado"/>
    <x v="0"/>
    <n v="1"/>
    <s v="PRE"/>
    <s v="NO"/>
    <s v="03. En Desarrollo"/>
    <s v="No aplica"/>
    <s v="IMPLEMENTADO 🔵"/>
    <n v="1"/>
    <n v="1"/>
    <n v="0"/>
    <n v="1"/>
    <d v="2025-11-03T00:00:00"/>
    <d v="2025-11-03T00:00:00"/>
    <d v="2026-02-10T00:00:00"/>
    <d v="2026-02-17T00:00:00"/>
    <d v="2026-03-31T00:00:00"/>
    <d v="2026-04-01T00:00:00"/>
    <d v="2026-04-03T00:00:00"/>
    <n v="67"/>
    <n v="1"/>
    <n v="200"/>
    <m/>
    <s v="4. PRODUCCIÓN"/>
    <m/>
    <m/>
    <n v="0"/>
    <n v="67"/>
    <n v="0"/>
    <n v="536"/>
    <n v="0"/>
    <x v="1"/>
  </r>
  <r>
    <s v="M0790"/>
    <n v="2530"/>
    <x v="0"/>
    <s v="2024-T0665"/>
    <s v="2024-M0595"/>
    <s v="REVISION DE EVENTO DE INTERRUPCION DEL MICROSERVICIO MSGatewayRestGo"/>
    <m/>
    <x v="8"/>
    <s v="Construcción de Aplicaciones"/>
    <s v="Sistemas Bancarios"/>
    <m/>
    <m/>
    <s v="SOMP – SISTEMA DE OPERACIONES MULTIPAGOS"/>
    <m/>
    <s v="Banca Móvil (APP)"/>
    <s v="No Aplica"/>
    <s v="No aplica"/>
    <x v="0"/>
    <m/>
    <m/>
    <m/>
    <m/>
    <m/>
    <m/>
    <m/>
    <s v="Regularizado"/>
    <d v="2024-12-27T00:00:00"/>
    <x v="0"/>
    <s v="Analista-BN"/>
    <s v="Angela Rocio Risco Vega"/>
    <s v="Tomas Calvera"/>
    <x v="4"/>
    <s v="02. En Proceso"/>
    <m/>
    <d v="2024-11-04T00:00:00"/>
    <m/>
    <d v="2024-11-05T00:00:00"/>
    <d v="2024-11-20T00:00:00"/>
    <m/>
    <d v="2024-11-25T00:00:00"/>
    <d v="2024-12-18T00:00:00"/>
    <d v="2024-11-26T00:00:00"/>
    <d v="2025-01-15T00:00:00"/>
    <m/>
    <d v="2024-12-03T00:00:00"/>
    <s v="04/02/2026: Cartera reasignada a Tomas Calvera_x000a_05/09/2025: Cartera reasignada a Omar Sarmiento_x000a_11/08/2025: Cartera reasignada a Percy Silva_x000a_17/06/2025: Se cambia de gestor de TI de Omar S. a Milagros H._x000a_27/03/25: De acuerdo a la revisión del status del mantenimiento en el CQ se actualiza su Fecha Fin Compromiso a abril._x000a_18/02/25: Según CQ, actualizó el estado a 07. En Despliegue_x000a_20/01/2025 Cartera reasignada a Omar Sarmiento_x000a_16/01/25: Según CQ, actualizó el estado a 08. Producción Finalizada_x000a_27/12/24: Según CQ, actualizó el estado a 03. En Desarrollo_x000a_27/12/2024: Se registró en el Backlog como trámite Rugularizado"/>
    <s v="TI"/>
    <s v="ConstrucciónAplicaciones"/>
    <s v="No definido"/>
    <s v="2024-12"/>
    <s v="2024-11"/>
    <x v="0"/>
    <x v="15"/>
    <m/>
    <m/>
    <m/>
    <m/>
    <m/>
    <s v="2024-IV"/>
    <s v="Sin Fecha Fin Producción"/>
    <s v="No Aplica"/>
    <m/>
    <s v="Finalizada"/>
    <s v="Trasitorio_autorizado"/>
    <x v="52"/>
    <x v="0"/>
    <m/>
    <m/>
    <s v="Vencida"/>
    <s v="Pagalo.pe"/>
    <s v="Canales Virtuales"/>
    <x v="7"/>
    <x v="6"/>
    <m/>
    <d v="2025-06-30T00:00:00"/>
    <s v="Vencida"/>
    <s v="Jun 2025"/>
    <m/>
    <s v="Activos"/>
    <x v="5"/>
    <n v="0.9"/>
    <s v="PRE"/>
    <s v="NO"/>
    <s v="07. En Despliegue"/>
    <s v="SI"/>
    <s v="ATRASADO 🔴"/>
    <n v="1"/>
    <n v="0.9"/>
    <n v="9.9999999999999978E-2"/>
    <n v="0.9"/>
    <d v="2024-11-05T00:00:00"/>
    <d v="2024-11-05T00:00:00"/>
    <d v="2024-11-20T00:00:00"/>
    <d v="2024-11-25T00:00:00"/>
    <d v="2024-12-18T00:00:00"/>
    <d v="2025-01-15T00:00:00"/>
    <d v="2026-03-27T00:00:00"/>
    <n v="12"/>
    <n v="1"/>
    <n v="200"/>
    <m/>
    <s v="3. DESPLIEGUE"/>
    <m/>
    <m/>
    <n v="0"/>
    <n v="12"/>
    <n v="0"/>
    <n v="96"/>
    <n v="0"/>
    <x v="4"/>
  </r>
  <r>
    <s v="M0801"/>
    <n v="2544"/>
    <x v="0"/>
    <s v="2024-T0770"/>
    <s v="2024-M0687"/>
    <s v="Reporte de trazabilidad y validación criptográfica para el canal ATMs - Indecopi"/>
    <s v="Reporte de trazabilidad y validación criptográfica para el canal ATMs - Indecopi"/>
    <x v="2"/>
    <s v="Canales Alternos"/>
    <s v="Canales Presenciales"/>
    <d v="2024-10-30T00:00:00"/>
    <s v="MEMORANDO N° 00000448 - 2024-BN/3251"/>
    <s v="STRA - Proyecto de Stratus"/>
    <s v="ATM"/>
    <s v="ATMs"/>
    <s v="Cuenta de Ahorros"/>
    <s v="No aplica"/>
    <x v="2"/>
    <s v="Normativo"/>
    <s v="SBS"/>
    <s v="Resolución S.B.S. N° 504 - 2021"/>
    <m/>
    <m/>
    <m/>
    <m/>
    <s v="Normal"/>
    <d v="2024-12-30T00:00:00"/>
    <x v="0"/>
    <s v="FS-Indra"/>
    <s v="Vladimir Ronald Cajavilca Cajavilca"/>
    <s v="Omar Sarmiento"/>
    <x v="1"/>
    <s v="03. Culminado"/>
    <m/>
    <d v="2024-12-30T00:00:00"/>
    <m/>
    <d v="2025-04-01T00:00:00"/>
    <d v="2025-08-04T00:00:00"/>
    <d v="2025-07-31T00:00:00"/>
    <d v="2025-08-07T00:00:00"/>
    <d v="2025-10-27T00:00:00"/>
    <d v="2025-09-17T09:36:00"/>
    <d v="2026-01-28T00:00:00"/>
    <d v="2026-01-29T00:00:00"/>
    <d v="2025-09-24T09:36:00"/>
    <s v="30/01/26: Según CQ, actualizó el estado a 08. Producción Finalizada_x000a_30/12/2025: Cartera reasignada a Omar Sarmiento_x000a_30/10/25: Según CQ, actualizó el estado a 06. Calidad Finalizado_x000a_07/08/25: Según CQ, actualizó el estado a 05. En Calidad_x000a_04/08/25: Según CQ, actualizó el estado a 04. Desarrollo Finalizado_x000a_02/04/25: Según CQ, actualizó el estado a 03. En Desarrollo_x000a_19/03/25: Según CQ, actualizó el estado a 10. Paralizado_x000a_13/01/25: Maribel M.  indicó que envió el 09/01/25 a Jaime S. el  PCR para la revisión del requerimiento, estan a la espera de la respuesta_x000a_02/01/25: Según CQ, actualizó el estado a 03. En Desarrollo_x000a_30/12/2024:  Se registró en el Backlog de requerimientos, se creó trámite y se registró en la demanda priorizada."/>
    <s v="B.Digital"/>
    <s v="CanalesAlternos"/>
    <s v="2024-10"/>
    <s v="2024-12"/>
    <s v="2025-08"/>
    <x v="4"/>
    <x v="7"/>
    <s v="En Proceso"/>
    <d v="2025-04-14T00:00:00"/>
    <d v="2025-07-31T00:00:00"/>
    <m/>
    <m/>
    <s v="2024-IV"/>
    <n v="303"/>
    <n v="10.1"/>
    <s v="QC-298"/>
    <s v="Finalizada"/>
    <s v="Procesado"/>
    <x v="53"/>
    <x v="0"/>
    <m/>
    <m/>
    <s v="Culminado"/>
    <s v="ATM-Agentes-VISA"/>
    <s v="Canales Presenciales"/>
    <x v="7"/>
    <x v="6"/>
    <s v="1/04/2025 Fue derivado a Indra y se activará en CQ."/>
    <d v="2026-01-29T00:00:00"/>
    <s v="Culminado"/>
    <s v="Ene 2026"/>
    <n v="2025"/>
    <s v="Culminado"/>
    <x v="2"/>
    <n v="1"/>
    <s v="PRE"/>
    <s v="NO"/>
    <s v="05. En Calidad"/>
    <s v="No aplica"/>
    <s v="IMPLEMENTADO 🔵"/>
    <n v="1"/>
    <n v="1"/>
    <n v="0"/>
    <n v="1"/>
    <d v="2025-04-01T00:00:00"/>
    <d v="2025-04-01T00:00:00"/>
    <d v="2025-08-04T00:00:00"/>
    <d v="2025-08-07T00:00:00"/>
    <d v="2025-10-27T00:00:00"/>
    <d v="2026-01-28T00:00:00"/>
    <d v="2026-01-29T00:00:00"/>
    <n v="87"/>
    <n v="1"/>
    <n v="200"/>
    <m/>
    <s v="4. PRODUCCIÓN"/>
    <m/>
    <m/>
    <n v="0"/>
    <n v="87"/>
    <n v="0"/>
    <n v="696"/>
    <n v="0"/>
    <x v="9"/>
  </r>
  <r>
    <s v="M0808"/>
    <n v="2554"/>
    <x v="0"/>
    <s v="2025-T0043"/>
    <s v="2025-M0096"/>
    <s v="Mejoras en el Aplicativo BDUC sobre el módulo elección de medio de envío de estado de cuentas corrientes"/>
    <m/>
    <x v="0"/>
    <s v="Captaciones y Pagaduría"/>
    <s v="Apertura de Cuentas"/>
    <d v="2024-12-12T00:00:00"/>
    <s v="MEMORANDO N° 00000700 - 2024-BN/3111"/>
    <s v="SAVE-Sistema de Atención en Ventanillas"/>
    <m/>
    <s v="Otros"/>
    <s v="Cuenta Corriente "/>
    <s v="No aplica"/>
    <x v="3"/>
    <s v="Recomendación"/>
    <s v="AUDITORIA INTERNA"/>
    <s v="Resolución SBS N° 3274-2017 &quot;Reglamento de Gestión de Conducta de Mercado del Sistema Financiero&quot;"/>
    <s v="No Aplica"/>
    <s v="No Aplica"/>
    <s v="No Aplica"/>
    <d v="2024-12-31T00:00:00"/>
    <s v="Normal"/>
    <d v="2025-02-18T00:00:00"/>
    <x v="0"/>
    <s v="Analista-BN"/>
    <s v="Johnny Luis Rocca Surco"/>
    <s v="Junior Quicaño"/>
    <x v="5"/>
    <s v="02. En Proceso"/>
    <m/>
    <d v="2025-01-17T00:00:00"/>
    <d v="2025-11-03T00:00:00"/>
    <d v="2025-11-03T00:00:00"/>
    <m/>
    <d v="2025-12-31T00:00:00"/>
    <m/>
    <m/>
    <d v="2026-01-23T04:48:00"/>
    <d v="2025-10-30T00:00:00"/>
    <d v="2025-10-30T00:00:00"/>
    <d v="2026-01-30T04:48:00"/>
    <s v="30/10/25: Según CQ, actualizó el estado a 03. En Desarrollo_x000a_30/10/25: Según CQ, actualizó el estado a 07. En Despliegue_x000a_01/10/25: Según CQ, actualizó el estado a 03. En Desarrollo_x000a_25/09/25: Según CQ, actualizó el estado a 10. Paralizado_x000a_13/05/25: Se cambia Categoría de Normativo a Recomendación para darle seguimiento a Informe asignado_x000a_06/02/25: Según CQ, actualizó el estado a 03. En Desarrollo_x000a_17/01/2025: Se creó trámite y se registró en la demanda priorizada. Autorizados por la Jefatura de la Subgerencia de Construcción de Aplicaciones_x000a_13/01/2025: Se registró en el Backlog de requerimientos."/>
    <s v="Operac."/>
    <s v="CaptacionesPagaduría"/>
    <s v="2024-12"/>
    <s v="2025-02"/>
    <s v="No definido"/>
    <x v="5"/>
    <x v="16"/>
    <m/>
    <m/>
    <m/>
    <m/>
    <m/>
    <s v="2025-I"/>
    <n v="-4"/>
    <n v="-0.13333333333333333"/>
    <s v="QC-335"/>
    <s v="Finalizada"/>
    <s v="Finalizado"/>
    <x v="54"/>
    <x v="1"/>
    <s v="2912"/>
    <s v="SI"/>
    <s v="Vencida"/>
    <s v="Ventanilla"/>
    <s v="Canales Presenciales"/>
    <x v="8"/>
    <x v="7"/>
    <s v="Se asigna en CQ a Rossana Rojas - Indra. Pasa Calidad Abr-25."/>
    <d v="2025-05-31T00:00:00"/>
    <s v="Vencida"/>
    <s v="May 2025"/>
    <n v="2025"/>
    <s v="Activos"/>
    <x v="0"/>
    <n v="0.3"/>
    <s v="PRE"/>
    <s v="NO"/>
    <s v="03. En Desarrollo"/>
    <s v="SI"/>
    <s v="EN CURSO 🟢"/>
    <n v="0"/>
    <n v="0.3"/>
    <n v="-0.3"/>
    <s v=""/>
    <d v="2025-11-03T00:00:00"/>
    <d v="2026-09-01T00:00:00"/>
    <d v="2026-11-13T00:00:00"/>
    <d v="2026-11-16T00:00:00"/>
    <d v="2026-12-31T00:00:00"/>
    <d v="2027-01-04T00:00:00"/>
    <d v="2027-01-08T00:00:00"/>
    <n v="53"/>
    <n v="0"/>
    <n v="60.571428571428569"/>
    <m/>
    <s v="1. DESARROLLO"/>
    <m/>
    <m/>
    <n v="1"/>
    <n v="0"/>
    <n v="53"/>
    <n v="0"/>
    <n v="60.571428571428569"/>
    <x v="12"/>
  </r>
  <r>
    <s v="M0812"/>
    <n v="2563"/>
    <x v="0"/>
    <s v="2025-T0053"/>
    <s v="2025-M0050"/>
    <s v="BDUC (Módulo de Apertura Masiva)"/>
    <s v="Proyecto de Migración y Optimización de la Aplicación Distribuida (OPEN) Base de Datos Única de Clientes - BDUC (Módulo de Apertura Masiva) a la Actual Plataforma Tecnológica de Hardware y Software del BN - MIGRACIÓN DE DATACOM SERVER A TRAMAS"/>
    <x v="8"/>
    <s v="Construcción de Aplicaciones"/>
    <s v="Sistemas Bancarios"/>
    <d v="2025-01-22T00:00:00"/>
    <s v="HOJA DE ENVÍO N° 00000004 - 2025-BN/2561"/>
    <s v="SIUC-Sistema de Información Unica de Clientes"/>
    <s v="Mejoras Tecnológicas"/>
    <s v="Agencias"/>
    <s v="Crédito Hipotecario"/>
    <s v="Servicios Bancarios Diversos "/>
    <x v="3"/>
    <s v="Recomendación"/>
    <s v="SBS"/>
    <s v="106-VIG/2019-DSB&quot;E&quot;"/>
    <s v="Visita de inspección SBS 2019"/>
    <n v="6"/>
    <s v="6.f.i"/>
    <d v="2024-12-31T00:00:00"/>
    <s v="Normal"/>
    <d v="2025-02-18T00:00:00"/>
    <x v="0"/>
    <s v="FS-Indra"/>
    <s v="Johnny Luis Rocca Surco"/>
    <s v="Tomas Calvera"/>
    <x v="1"/>
    <s v="03. Culminado"/>
    <m/>
    <d v="2025-01-21T00:00:00"/>
    <m/>
    <d v="2025-12-23T00:00:00"/>
    <d v="2025-12-23T00:00:00"/>
    <d v="2025-08-18T00:00:00"/>
    <d v="2025-12-23T00:00:00"/>
    <d v="2026-03-30T00:00:00"/>
    <d v="2025-06-28T04:48:00"/>
    <d v="2026-04-06T00:00:00"/>
    <d v="2026-04-06T00:00:00"/>
    <d v="2025-07-05T04:48:00"/>
    <s v="10/04/26: Según CQ, actualizó el estado a 08. Producción Finalizada_x000a_06/04/26: Según CQ, actualizó el estado a 06. Calidad Finalizado_x000a_04/03/26: Según CQ, actualizó el estado a 05. En Calidad_x000a_03/03/26: Según CQ, actualizó el estado a 04. Desarrollo Finalizado_x000a_02/03/26: Según CQ, actualizó el estado a 03. En Desarrollo_x000a_25/02/26: Según CQ, actualizó el estado a 04. Desarrollo Finalizado_x000a_16/02/26: Según CQ, actualizó el estado a 03. En Desarrollo_x000a_04/02/2026: Cartera reasignada a Tomas Calvera_x000a_24/12/25: Según CQ, actualizó el estado a 05. En Calidad_x000a_05/09/2025: Cartera reasignada a Omar Sarmiento_x000a_11/08/2025: Cartera reasignada a Percy Silva_x000a_05/08/2025: Se actualiza columna cartera por la denominación &quot;Mejoras Tecnológicas&quot;_x000a_23/01/2025 Cartera reasignada a Milagros Huamaní_x000a_23/01/25: Según CQ, actualizó el estado a 03. En Desarrollo_x000a_21/01/2025: Se registró en el Backlog, se creó trámite y se priorizó."/>
    <s v="TI"/>
    <s v="ConstrucciónAplicaciones"/>
    <s v="2025-01"/>
    <s v="2025-02"/>
    <s v="2025-12"/>
    <x v="1"/>
    <x v="6"/>
    <s v="En Proceso"/>
    <d v="2025-02-07T00:00:00"/>
    <d v="2025-08-18T00:00:00"/>
    <m/>
    <m/>
    <s v="2025-I"/>
    <n v="104"/>
    <n v="3.4666666666666668"/>
    <s v="QC-367"/>
    <s v="Finalizada"/>
    <s v="Procesado"/>
    <x v="55"/>
    <x v="1"/>
    <n v="1404"/>
    <s v="SI"/>
    <s v="Culminado"/>
    <s v="Clientes (BDUC)"/>
    <s v="Canales Presenciales"/>
    <x v="12"/>
    <x v="11"/>
    <s v="En atención de Indra, su atención se prolonga par el sgte año 2026."/>
    <d v="2026-04-06T00:00:00"/>
    <s v="Culminado"/>
    <s v="Abr 2026"/>
    <n v="2026"/>
    <s v="Culminado"/>
    <x v="0"/>
    <n v="1"/>
    <s v="PRE"/>
    <s v="NO"/>
    <s v="03. En Desarrollo"/>
    <s v="No aplica"/>
    <s v="IMPLEMENTADO 🔵"/>
    <n v="1"/>
    <n v="1"/>
    <n v="0"/>
    <n v="1"/>
    <d v="2025-12-23T00:00:00"/>
    <d v="2025-12-23T00:00:00"/>
    <d v="2025-12-23T00:00:00"/>
    <d v="2025-12-23T00:00:00"/>
    <d v="2026-03-17T00:00:00"/>
    <d v="2026-03-18T00:00:00"/>
    <d v="2026-04-25T00:00:00"/>
    <n v="1"/>
    <n v="1"/>
    <n v="200"/>
    <m/>
    <s v="4. PRODUCCIÓN"/>
    <m/>
    <m/>
    <n v="0"/>
    <n v="1"/>
    <n v="0"/>
    <n v="8"/>
    <n v="0"/>
    <x v="1"/>
  </r>
  <r>
    <s v="M0814"/>
    <n v="2565"/>
    <x v="0"/>
    <s v="2025-T0065"/>
    <s v="2025-M0087"/>
    <s v="Requerimiento Modificación por Servicio de Desembolso CBD transacción 0553"/>
    <m/>
    <x v="0"/>
    <s v="Servicios Bancarios y Recaudación"/>
    <s v="Recaudación y Corresponsalía"/>
    <d v="2025-01-17T00:00:00"/>
    <s v="MEMORANDO N° 00000020 - 2025-BN/3243"/>
    <s v="PRCA- Prestamos Corresponsalia Agro"/>
    <m/>
    <s v="Agencias"/>
    <s v="No Aplica"/>
    <s v="No aplica"/>
    <x v="0"/>
    <m/>
    <s v="No Aplica"/>
    <s v="No Aplica"/>
    <s v="No Aplica"/>
    <s v="No Aplica"/>
    <s v="No Aplica"/>
    <s v="No Aplica"/>
    <s v="Normal"/>
    <d v="2025-02-18T00:00:00"/>
    <x v="0"/>
    <s v="Analista-BN"/>
    <s v="Waldo Antonio Basurto Valverde"/>
    <s v="Junior Quicaño"/>
    <x v="1"/>
    <s v="03. Culminado"/>
    <m/>
    <d v="2025-01-23T00:00:00"/>
    <d v="2025-11-03T00:00:00"/>
    <d v="2026-02-02T00:00:00"/>
    <d v="2026-02-02T00:00:00"/>
    <d v="2025-11-28T00:00:00"/>
    <d v="2026-02-16T00:00:00"/>
    <d v="2026-02-20T00:00:00"/>
    <d v="2025-11-01T14:24:00"/>
    <d v="2026-03-09T00:00:00"/>
    <d v="2026-03-09T00:00:00"/>
    <d v="2025-11-08T14:24:00"/>
    <s v="09/03/26: Según CQ, actualizó el estado a 08. Producción Finalizada_x000a_23/02/26: Según CQ, actualizó el estado a 06. Calidad Finalizado_x000a_16/02/26: Según CQ, actualizó el estado a 05. En Calidad_x000a_03/02/26: Según CQ, actualizó el estado a 04. Desarrollo Finalizado_x000a_28/01/26: Según CQ, actualizó el estado a 03. En Desarrollo_x000a_12/01/26: Según CQ, actualizó el estado a 05. En Calidad_x000a_12/01/26: Según CQ, actualizó el estado a 04. Desarrollo Finalizado_x000a_08/01/26: Según CQ, actualizó el estado a 05. En Calidad_x000a_24/12/25: Según CQ, actualizó el estado a 04. Desarrollo Finalizado_x000a_04/02/25: Según CQ, actualizó el estado a 03. En Desarrollo_x000a_23/01/2025: Se creó trámite y se registró en la demanda priorizada"/>
    <s v="Operac."/>
    <s v="BancariosRecaudación"/>
    <s v="2025-01"/>
    <s v="2025-02"/>
    <s v="2026-02"/>
    <x v="2"/>
    <x v="21"/>
    <m/>
    <m/>
    <m/>
    <m/>
    <m/>
    <s v="2025-I"/>
    <n v="35"/>
    <n v="1.1666666666666667"/>
    <s v="QC-350"/>
    <s v="Finalizada"/>
    <s v="Procesado"/>
    <x v="56"/>
    <x v="0"/>
    <m/>
    <m/>
    <s v="Culminado"/>
    <s v="BackOffice"/>
    <s v="Otros Requerimientos"/>
    <x v="6"/>
    <x v="5"/>
    <s v="Pasa calidad mar-25"/>
    <d v="2026-03-09T00:00:00"/>
    <s v="Culminado"/>
    <s v="Mar 2026"/>
    <n v="2025"/>
    <s v="Culminado"/>
    <x v="0"/>
    <n v="1"/>
    <s v="PRE"/>
    <s v="NO"/>
    <s v="03. En Desarrollo"/>
    <s v="No aplica"/>
    <s v="IMPLEMENTADO 🔵"/>
    <n v="1"/>
    <n v="1"/>
    <n v="0"/>
    <n v="1"/>
    <d v="2026-02-02T00:00:00"/>
    <d v="2026-02-02T00:00:00"/>
    <d v="2026-02-02T00:00:00"/>
    <d v="2026-02-16T00:00:00"/>
    <d v="2026-03-17T00:00:00"/>
    <d v="2026-03-18T00:00:00"/>
    <d v="2026-03-30T00:00:00"/>
    <n v="1"/>
    <n v="1"/>
    <n v="200"/>
    <m/>
    <s v="4. PRODUCCIÓN"/>
    <m/>
    <m/>
    <n v="0"/>
    <n v="1"/>
    <n v="0"/>
    <n v="8"/>
    <n v="0"/>
    <x v="4"/>
  </r>
  <r>
    <s v="M0819"/>
    <n v="2576"/>
    <x v="0"/>
    <s v="2025-T0083"/>
    <s v="2025-M0082"/>
    <s v="Incorporación de Carga Automática EMAPICA"/>
    <m/>
    <x v="0"/>
    <s v="Servicios Bancarios y Recaudación"/>
    <s v="Recaudación y Corresponsalía"/>
    <d v="2024-10-09T00:00:00"/>
    <s v="MEMORANDO N° 00000153 - 2024-BN/3243"/>
    <s v="PGCU-Pagos de Cupones"/>
    <m/>
    <s v="Agencias"/>
    <s v="No Aplica"/>
    <s v="Pagos "/>
    <x v="0"/>
    <m/>
    <s v="No Aplica"/>
    <s v="No Aplica"/>
    <s v="No Aplica"/>
    <s v="No Aplica"/>
    <s v="No Aplica"/>
    <s v="No Aplica"/>
    <s v="Normal"/>
    <d v="2025-02-18T00:00:00"/>
    <x v="0"/>
    <s v="Analista-BN"/>
    <s v="Jorge Lucio Ruedas Fernandez"/>
    <s v="Junior Quicaño"/>
    <x v="1"/>
    <s v="03. Culminado"/>
    <m/>
    <d v="2025-01-29T00:00:00"/>
    <d v="2025-11-03T00:00:00"/>
    <d v="2025-02-03T00:00:00"/>
    <d v="2025-12-24T00:00:00"/>
    <d v="2025-11-28T00:00:00"/>
    <d v="2026-01-08T00:00:00"/>
    <d v="2026-01-21T00:00:00"/>
    <d v="2026-03-27T04:48:00"/>
    <d v="2026-01-23T00:00:00"/>
    <d v="2026-01-25T00:00:00"/>
    <d v="2026-04-03T04:48:00"/>
    <s v="26/01/26: Según CQ, actualizó el estado a 08. Producción Finalizada_x000a_12/01/26: Según CQ, actualizó el estado a 05. En Calidad_x000a_29/12/25: Según CQ, actualizó el estado a 04. Desarrollo Finalizado_x000a_24/03/25: Según CQ, actualizó el estado a 03. En Desarrollo_x000a_29/01/2025: Se creó trámite y se registró en la demanda priorizada"/>
    <s v="Operac."/>
    <s v="BancariosRecaudación"/>
    <s v="2024-10"/>
    <s v="2025-02"/>
    <s v="2025-12"/>
    <x v="4"/>
    <x v="17"/>
    <m/>
    <m/>
    <m/>
    <m/>
    <m/>
    <s v="2025-I"/>
    <n v="356"/>
    <n v="11.866666666666667"/>
    <s v="QC-226"/>
    <s v="Finalizada"/>
    <s v="Procesado"/>
    <x v="57"/>
    <x v="0"/>
    <m/>
    <m/>
    <s v="Culminado"/>
    <s v="Sin Aplicativo"/>
    <s v="Sin Aplicativo"/>
    <x v="1"/>
    <x v="1"/>
    <m/>
    <d v="2026-01-25T00:00:00"/>
    <s v="Culminado"/>
    <s v="Ene 2026"/>
    <n v="2025"/>
    <s v="Culminado"/>
    <x v="0"/>
    <n v="1"/>
    <s v="PRE"/>
    <s v="NO"/>
    <s v="03. En Desarrollo"/>
    <s v="No aplica"/>
    <s v="IMPLEMENTADO 🔵"/>
    <n v="1"/>
    <n v="1"/>
    <n v="0"/>
    <n v="1"/>
    <d v="2025-02-03T00:00:00"/>
    <d v="2025-02-03T00:00:00"/>
    <d v="2025-12-24T00:00:00"/>
    <d v="2026-01-08T00:00:00"/>
    <d v="2026-01-21T00:00:00"/>
    <d v="2026-01-23T00:00:00"/>
    <d v="2026-01-25T00:00:00"/>
    <n v="228"/>
    <n v="1"/>
    <n v="200"/>
    <m/>
    <s v="4. PRODUCCIÓN"/>
    <m/>
    <m/>
    <n v="0"/>
    <n v="228"/>
    <n v="0"/>
    <n v="1824"/>
    <n v="0"/>
    <x v="9"/>
  </r>
  <r>
    <s v="M0831"/>
    <n v="2595"/>
    <x v="0"/>
    <s v="2025-T0111"/>
    <s v="2025-M0113"/>
    <s v="Automatización de la Emisión de Liquidación Prestamos Multired  "/>
    <m/>
    <x v="0"/>
    <s v="Servicios Bancarios y Recaudación"/>
    <s v="Soporte Servicios Financieros"/>
    <d v="2025-01-17T00:00:00"/>
    <s v="MEMORANDO N° 00000009 -2025-BN/3241"/>
    <s v="SSOC-Sistema Soporte de Créditos"/>
    <m/>
    <s v="Otros"/>
    <s v="Préstamos Multired "/>
    <s v="No aplica"/>
    <x v="0"/>
    <m/>
    <s v="No Aplica"/>
    <s v="No Aplica"/>
    <s v="No Aplica"/>
    <s v="No Aplica"/>
    <s v="No Aplica"/>
    <s v="No Aplica"/>
    <s v="Normal"/>
    <d v="2025-02-18T00:00:00"/>
    <x v="0"/>
    <s v="FS-Olssa"/>
    <s v="Fiorella Emma Galvan Soto"/>
    <s v="Junior Quicaño"/>
    <x v="1"/>
    <s v="03. Culminado"/>
    <m/>
    <d v="2025-02-04T00:00:00"/>
    <d v="2025-11-03T00:00:00"/>
    <d v="2025-07-17T00:00:00"/>
    <d v="2025-12-03T00:00:00"/>
    <d v="2025-12-31T00:00:00"/>
    <d v="2025-12-22T00:00:00"/>
    <d v="2026-03-13T00:00:00"/>
    <d v="2026-03-07T19:12:00"/>
    <d v="2026-03-17T00:00:00"/>
    <d v="2026-04-30T00:00:00"/>
    <d v="2026-03-14T19:12:00"/>
    <s v="04/05/26: Según CQ, actualizó el estado a 08. Producción Finalizada_x000a_17/03/26: Según CQ, actualizó el estado a 07. En Despliegue_x000a_16/03/26: Según CQ, actualizó el estado a 06. Calidad Finalizado_x000a_24/12/25: Según CQ, actualizó el estado a 05. En Calidad_x000a_04/12/25: Según CQ, actualizó el estado a 04. Desarrollo Finalizado_x000a_24/07/25: Según CQ, actualizó el estado a 03. En Desarrollo_x000a_10/02/25: Pospuesto en CQ. Se derivará a Olssa-Pedro, se inicia atención a partir de abr-25, se estima pase a calidad jun-25. Se generó mantenimiento, se asignó a Pedro y actualizó a POSPUESTO._x000a_10/02/25: Según CQ, actualizó el estado a 10. Paralizado_x000a_04/02/2025: Se registró en el Backlog, se creó trámite y se priorizó."/>
    <s v="Operac."/>
    <s v="BancariosRecaudación"/>
    <s v="2025-01"/>
    <s v="2025-02"/>
    <s v="2025-12"/>
    <x v="1"/>
    <x v="8"/>
    <m/>
    <m/>
    <m/>
    <m/>
    <m/>
    <s v="2025-I"/>
    <n v="287"/>
    <n v="9.5666666666666664"/>
    <m/>
    <s v="Finalizada"/>
    <s v="Procesado"/>
    <x v="58"/>
    <x v="0"/>
    <m/>
    <m/>
    <s v="Culminado"/>
    <s v="Sin Aplicativo"/>
    <s v="Sin Aplicativo"/>
    <x v="5"/>
    <x v="4"/>
    <s v="01/04/25 Se iniciará en mayo25 con Olssa._x000a_Se derivará a Olssa-Pedro, se inicia atención a partir de abr-25, se estima pase a calidad jun-25. Se generará mantenimiento, se asignará a Pedro y actualiza a POSPUESTO."/>
    <d v="2026-04-30T00:00:00"/>
    <s v="Culminado"/>
    <s v="Abr 2026"/>
    <n v="2025"/>
    <s v="Culminado"/>
    <x v="0"/>
    <n v="1"/>
    <s v="PRE"/>
    <s v="NO"/>
    <s v="03. En Desarrollo"/>
    <s v="No aplica"/>
    <s v="IMPLEMENTADO 🔵"/>
    <n v="1"/>
    <n v="1"/>
    <n v="0"/>
    <n v="1"/>
    <d v="2025-07-17T00:00:00"/>
    <d v="2025-07-17T00:00:00"/>
    <d v="2025-12-03T00:00:00"/>
    <d v="2025-12-22T00:00:00"/>
    <d v="2026-03-16T00:00:00"/>
    <d v="2026-03-17T00:00:00"/>
    <d v="2026-03-27T00:00:00"/>
    <n v="97"/>
    <n v="1"/>
    <n v="200"/>
    <m/>
    <s v="4. PRODUCCIÓN"/>
    <m/>
    <m/>
    <n v="0"/>
    <n v="97"/>
    <n v="0"/>
    <n v="776"/>
    <n v="0"/>
    <x v="4"/>
  </r>
  <r>
    <s v="M0832"/>
    <n v="2596"/>
    <x v="0"/>
    <s v="2025-T0112"/>
    <s v="2025-M0274"/>
    <s v="Requerimiento Correctivo Proceso de Generación de EECC corriente"/>
    <m/>
    <x v="0"/>
    <s v="Captaciones y Pagaduría"/>
    <s v="Administración de Cuentas y Pagaduría"/>
    <d v="2025-01-29T00:00:00"/>
    <s v="MEMORANDO N° 00000097 -2025-BN/3191"/>
    <s v="SIDG-Sistema de Datos Generales Clientes"/>
    <m/>
    <s v="Otros"/>
    <s v="Cuenta Corriente "/>
    <s v="No aplica"/>
    <x v="0"/>
    <m/>
    <s v="No Aplica"/>
    <s v="No Aplica"/>
    <s v="No Aplica"/>
    <s v="No Aplica"/>
    <s v="No Aplica"/>
    <s v="No Aplica"/>
    <s v="Normal"/>
    <d v="2025-02-18T00:00:00"/>
    <x v="0"/>
    <s v="Analista-BN"/>
    <s v="Eduardo Saul Cardenas Manrique"/>
    <s v="Junior Quicaño"/>
    <x v="1"/>
    <s v="03. Culminado"/>
    <m/>
    <d v="2025-02-04T00:00:00"/>
    <d v="2025-11-03T00:00:00"/>
    <d v="2025-04-01T00:00:00"/>
    <d v="2026-03-03T00:00:00"/>
    <d v="2026-01-30T00:00:00"/>
    <d v="2026-03-13T00:00:00"/>
    <d v="2026-03-27T00:00:00"/>
    <d v="2026-05-31T14:24:00"/>
    <d v="2026-04-13T00:00:00"/>
    <d v="2026-04-14T00:00:00"/>
    <d v="2026-06-07T14:24:00"/>
    <s v="15/04/26: Según CQ, actualizó el estado a 08. Producción Finalizada_x000a_06/04/26: Según CQ, actualizó el estado a 06. Calidad Finalizado_x000a_16/03/26: Según CQ, actualizó el estado a 05. En Calidad_x000a_04/03/26: Según CQ, actualizó el estado a 04. Desarrollo Finalizado_x000a_02/04/25: Según CQ, actualizó el estado a 03. En Desarrollo_x000a_04/02/2025: Se registró en el Backlog, se creó trámite y se priorizó."/>
    <s v="Operac."/>
    <s v="CaptacionesPagaduría"/>
    <s v="2025-01"/>
    <s v="2025-02"/>
    <s v="2026-03"/>
    <x v="1"/>
    <x v="27"/>
    <m/>
    <m/>
    <m/>
    <m/>
    <m/>
    <s v="2025-I"/>
    <n v="378"/>
    <n v="12.6"/>
    <s v="QC-353"/>
    <s v="Finalizada"/>
    <s v="Procesado"/>
    <x v="59"/>
    <x v="0"/>
    <m/>
    <m/>
    <s v="Culminado"/>
    <s v="Sin Aplicativo"/>
    <s v="Sin Aplicativo"/>
    <x v="9"/>
    <x v="8"/>
    <s v="01/04/25 Se remitirá a Indra._x000a_Se genera mantenimiento y se asignará a Indra-Johnny Roca. Se planificar el inicio en mar-25, pase a calidad jun-25"/>
    <d v="2026-04-14T00:00:00"/>
    <s v="Culminado"/>
    <s v="Abr 2026"/>
    <n v="2025"/>
    <s v="Culminado"/>
    <x v="0"/>
    <n v="1"/>
    <s v="PRE"/>
    <s v="NO"/>
    <s v="03. En Desarrollo"/>
    <s v="No aplica"/>
    <s v="IMPLEMENTADO 🔵"/>
    <n v="1"/>
    <n v="1"/>
    <n v="0"/>
    <n v="1"/>
    <d v="2025-11-03T00:00:00"/>
    <d v="2025-11-03T00:00:00"/>
    <d v="2026-03-09T00:00:00"/>
    <d v="2026-03-11T00:00:00"/>
    <d v="2026-04-06T00:00:00"/>
    <d v="2026-04-07T00:00:00"/>
    <d v="2026-04-13T00:00:00"/>
    <n v="86"/>
    <n v="1"/>
    <n v="200"/>
    <m/>
    <s v="4. PRODUCCIÓN"/>
    <m/>
    <m/>
    <n v="0"/>
    <n v="86"/>
    <n v="0"/>
    <n v="688"/>
    <n v="0"/>
    <x v="1"/>
  </r>
  <r>
    <s v="M0834"/>
    <n v="1792"/>
    <x v="0"/>
    <s v="2023-T0474"/>
    <s v="2023-M0421"/>
    <s v="Proyecto de Migración y Optimización de la Aplicación Base de Datos Única de Clientes"/>
    <s v="Incrementar los beneficios de la empresa a corto y mediano plazo, por medio de la optimización de las funcionalidades: Disponibilidad del servidor, Seguridad, etc"/>
    <x v="0"/>
    <s v="Captaciones y Pagaduría"/>
    <s v="Apertura de Cuentas"/>
    <d v="2023-08-17T00:00:00"/>
    <s v="Correo s/n"/>
    <s v="SIUC-Sistema de Información Unica de Clientes"/>
    <s v="Mejoras Tecnológicas"/>
    <s v="Otros"/>
    <s v="No Aplica"/>
    <s v="No aplica"/>
    <x v="3"/>
    <s v="Recomendación"/>
    <s v="SBS"/>
    <s v="106-VIG/2019-DSB&quot;E"/>
    <s v="Visita de inspección SBS 2019"/>
    <n v="6"/>
    <s v="6.f.i"/>
    <d v="2024-12-31T00:00:00"/>
    <s v="Normal"/>
    <d v="2025-02-18T00:00:00"/>
    <x v="0"/>
    <s v="FS-Indra"/>
    <s v="Johnny Luis Rocca Surco"/>
    <s v="Junior Quicaño"/>
    <x v="4"/>
    <s v="02. En Proceso"/>
    <m/>
    <d v="2023-08-17T00:00:00"/>
    <d v="2025-11-03T00:00:00"/>
    <d v="2025-12-23T00:00:00"/>
    <d v="2026-01-16T00:00:00"/>
    <d v="2026-01-30T00:00:00"/>
    <d v="2026-01-19T00:00:00"/>
    <d v="2026-02-03T00:00:00"/>
    <d v="2026-02-14T04:48:00"/>
    <d v="2026-02-10T00:00:00"/>
    <m/>
    <d v="2026-02-21T04:48:00"/>
    <s v="11/02/26: Según CQ, actualizó el estado a 07. En Despliegue_x000a_12/01/26: Según CQ, actualizó el estado a 10. Paralizado_x000a_05/08/2025: Se actualiza columna cartera por la denominación &quot;Mejoras Tecnológicas&quot;_x000a_05/02/2025: De acuerdo a lo solicitado por la OPP y Jefatura de Construcción s ehabilita el mantenimiento. Ademas se actualiza el tipo de EVOLUTIVO  a RECOMENDACIÓN._x000a_24/06/2024: Se cambió 'Recurso-Asignado' de ' ' a FS-Indra_x000a_10/06/2024: En cumplimiento del acuerdo 4.6 del acta Comité de demanda del 03.05.24 y lo remitido en memo N° 087; Se descarta el requerimient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13/12/2023: COMITÉ DEMANDA REGULARIZACIÓN: Se regulariza su registro según lo aprobado en comité_x000a_06/10/2023: Se registra el requerimiento según a solicitud del equipo de Construcción en el correo de 06.10.2023"/>
    <s v="Operac."/>
    <s v="CaptacionesPagaduría"/>
    <s v="2023-08"/>
    <s v="2025-02"/>
    <s v="2026-01"/>
    <x v="0"/>
    <x v="2"/>
    <s v="En Proceso"/>
    <d v="2025-01-09T00:00:00"/>
    <d v="2025-08-22T00:00:00"/>
    <m/>
    <m/>
    <s v="2025-I"/>
    <s v="Sin Fecha Fin Producción"/>
    <s v="No Aplica"/>
    <m/>
    <s v="Finalizada"/>
    <s v="Trasitorio_autorizado"/>
    <x v="60"/>
    <x v="1"/>
    <s v="1404"/>
    <s v="SI"/>
    <s v="Vencida"/>
    <s v="Clientes (BDUC)"/>
    <s v="Canales Presenciales"/>
    <x v="10"/>
    <x v="9"/>
    <m/>
    <d v="2025-12-31T00:00:00"/>
    <s v="Vencida"/>
    <s v="Dic 2025"/>
    <n v="2025"/>
    <s v="Activos"/>
    <x v="0"/>
    <n v="0.9"/>
    <s v="PRE"/>
    <s v="NO"/>
    <s v="03. En Desarrollo"/>
    <s v="SI"/>
    <s v="ATRASADO 🔴"/>
    <n v="1"/>
    <n v="0.9"/>
    <n v="9.9999999999999978E-2"/>
    <n v="0.9"/>
    <d v="2025-12-23T00:00:00"/>
    <d v="2025-12-23T00:00:00"/>
    <d v="2026-01-16T00:00:00"/>
    <d v="2026-01-19T00:00:00"/>
    <d v="2026-02-03T00:00:00"/>
    <d v="2026-02-10T00:00:00"/>
    <d v="2026-03-27T00:00:00"/>
    <n v="15"/>
    <n v="1"/>
    <n v="200"/>
    <m/>
    <s v="3. DESPLIEGUE"/>
    <m/>
    <m/>
    <n v="0"/>
    <n v="15"/>
    <n v="0"/>
    <n v="120"/>
    <n v="0"/>
    <x v="4"/>
  </r>
  <r>
    <s v="M0836"/>
    <n v="2603"/>
    <x v="0"/>
    <s v="2023-T0418"/>
    <s v="2023-M0369"/>
    <s v="Generación de Expedientes según Tipo de Régimen – Fase 1"/>
    <s v="Se requiere la generación de expedientes virtuales por tipo de régimen: General, Simplificado y reforzado."/>
    <x v="3"/>
    <s v="Oficialía de PLAFT"/>
    <s v="Prevención"/>
    <d v="2024-08-30T00:00:00"/>
    <s v="MEMORANDO N° 00000054 - 2024-BN/1202"/>
    <s v="LADI-Lavado de Dinero"/>
    <s v="Mejoras Tecnológicas"/>
    <s v="Otros"/>
    <s v="No Aplica"/>
    <s v="No aplica"/>
    <x v="0"/>
    <m/>
    <m/>
    <m/>
    <m/>
    <m/>
    <m/>
    <m/>
    <s v="Normal"/>
    <d v="2025-02-18T00:00:00"/>
    <x v="0"/>
    <s v="FS-Indra"/>
    <s v="Johnny Luis Rocca Surco"/>
    <s v="Juan Carlos Zavaleta"/>
    <x v="1"/>
    <s v="03. Culminado"/>
    <m/>
    <d v="2023-07-18T00:00:00"/>
    <m/>
    <d v="2025-04-21T00:00:00"/>
    <d v="2025-04-21T00:00:00"/>
    <d v="2025-06-13T00:00:00"/>
    <d v="2025-05-06T00:00:00"/>
    <d v="2025-07-02T00:00:00"/>
    <d v="2025-07-04T04:48:00"/>
    <d v="2026-01-21T00:00:00"/>
    <d v="2026-01-21T00:00:00"/>
    <d v="2025-07-11T04:48:00"/>
    <s v="26/01/26: Según CQ, actualizó el estado a 08. Producción Finalizada_x000a_05/09/2025: Cartera reasignada a Juan Carlos Zavaleta_x000a_11/08/2025: Cartera reasignada a Percy Silva_x000a_05/08/2025: Se actualiza columna cartera por la denominación &quot;Mejoras Tecnológicas&quot;_x000a_03/07/25: Según CQ, actualizó el estado a 06. Calidad Finalizado_x000a_07/05/25: Según CQ, actualizó el estado a 05. En Calidad_x000a_22/04/25: Según CQ, actualizó el estado a 04. Desarrollo Finalizado_x000a_21/04/25: Según CQ, actualizó el estado a 03. En Desarrollo_x000a_27/02/25: Según CQ, actualizó el estado a 05. En Calidad_x000a_20/02/25: Según CQ, actualizó el estado a 04. Desarrollo Finalizado_x000a_06/02/25: Se resgistró en el Backlog y se priorizó._x000a_04/02/25 Se regulariza su registro."/>
    <s v="PLAFT"/>
    <s v="OficialíaPLAFT"/>
    <s v="2024-08"/>
    <s v="2025-02"/>
    <s v="2025-04"/>
    <x v="4"/>
    <x v="6"/>
    <s v="Entregado"/>
    <d v="2024-06-21T00:00:00"/>
    <d v="2025-06-13T00:00:00"/>
    <d v="2025-06-13T00:00:00"/>
    <m/>
    <s v="2025-I"/>
    <n v="275"/>
    <n v="9.1666666666666661"/>
    <m/>
    <s v="Finalizada"/>
    <s v="Procesado"/>
    <x v="61"/>
    <x v="0"/>
    <m/>
    <m/>
    <s v="Culminado"/>
    <s v="BackOffice"/>
    <s v="Otros Requerimientos"/>
    <x v="6"/>
    <x v="5"/>
    <s v="Canvia termino el desarrollo, pasa a Calidad Feb-25"/>
    <d v="2026-01-21T00:00:00"/>
    <s v="Culminado"/>
    <s v="Ene 2026"/>
    <m/>
    <s v="Culminado"/>
    <x v="0"/>
    <n v="1"/>
    <s v="PRE"/>
    <s v="NO"/>
    <s v="06. Calidad Finalizado"/>
    <s v="No aplica"/>
    <s v="IMPLEMENTADO 🔵"/>
    <n v="1"/>
    <n v="1"/>
    <n v="0"/>
    <n v="1"/>
    <d v="2025-04-21T00:00:00"/>
    <d v="2025-04-21T00:00:00"/>
    <d v="2025-04-21T00:00:00"/>
    <d v="2025-05-06T00:00:00"/>
    <d v="2025-07-02T00:00:00"/>
    <d v="2026-01-21T00:00:00"/>
    <d v="2026-01-21T00:00:00"/>
    <n v="1"/>
    <n v="1"/>
    <n v="200"/>
    <m/>
    <s v="4. PRODUCCIÓN"/>
    <m/>
    <m/>
    <n v="0"/>
    <n v="1"/>
    <n v="0"/>
    <n v="8"/>
    <n v="0"/>
    <x v="9"/>
  </r>
  <r>
    <s v="M0839"/>
    <n v="2546"/>
    <x v="0"/>
    <s v="2025-T0132"/>
    <s v="2025-M0116"/>
    <s v="Reporte de trazabilidad y validación criptográfica para el canal Agentes - Indecopi"/>
    <s v="Reporte de trazabilidad y validación criptográfica para el canal Agentes - Indecopi"/>
    <x v="2"/>
    <s v="Canales Alternos"/>
    <s v="Canales Presenciales"/>
    <d v="2024-10-30T00:00:00"/>
    <s v="MEMORANDO N° 00000448 - 2024-BN/3251"/>
    <s v="TMIN-Tarjeta Multired Interfaces"/>
    <m/>
    <s v="ATMs"/>
    <s v="Cuenta de Ahorros"/>
    <s v="No aplica"/>
    <x v="2"/>
    <s v="Normativo"/>
    <s v="SBS"/>
    <s v="Resolución S.B.S. N°504-2021"/>
    <m/>
    <m/>
    <m/>
    <d v="2022-07-01T00:00:00"/>
    <s v="Normal"/>
    <d v="2025-02-18T00:00:00"/>
    <x v="0"/>
    <s v="FS-Indra"/>
    <s v="Vladimir Ronald Cajavilca Cajavilca"/>
    <s v="Omar Sarmiento"/>
    <x v="6"/>
    <s v="02. En Proceso"/>
    <m/>
    <d v="2025-02-07T00:00:00"/>
    <m/>
    <d v="2025-04-04T00:00:00"/>
    <d v="2026-01-15T00:00:00"/>
    <d v="2025-08-22T00:00:00"/>
    <d v="2026-01-15T00:00:00"/>
    <d v="2026-01-21T00:00:00"/>
    <d v="2025-10-17T00:00:00"/>
    <m/>
    <m/>
    <d v="2025-10-24T00:00:00"/>
    <s v="26/01/26: Según CQ, actualizó el estado a 06. Calidad Finalizado_x000a_16/01/26: Según CQ, actualizó el estado a 05. En Calidad_x000a_30/12/2025: Cartera reasignada a Omar Sarmiento_x000a_04/04/25: Según CQ, actualizó el estado a 03. En Desarrollo_x000a_19/03/25: Según CQ, actualizó el estado a 10. Paralizado_x000a_10/02/25: Según CQ, actualizó el estado a 03. En Desarrollo_x000a_07/02/2025: Se creó trámite y se registró en la Demanda Priorizada."/>
    <s v="B.Digital"/>
    <s v="CanalesAlternos"/>
    <s v="2024-10"/>
    <s v="2025-02"/>
    <s v="2026-01"/>
    <x v="0"/>
    <x v="13"/>
    <s v="En Proceso"/>
    <d v="2025-04-10T00:00:00"/>
    <d v="2025-08-22T00:00:00"/>
    <m/>
    <m/>
    <s v="2025-I"/>
    <s v="Sin Fecha Fin Producción"/>
    <s v="No Aplica"/>
    <s v="QC-297"/>
    <s v="Finalizada"/>
    <s v="Certificado"/>
    <x v="62"/>
    <x v="0"/>
    <m/>
    <m/>
    <s v="Vencida"/>
    <s v="ATM-Agentes-VISA"/>
    <s v="Canales Presenciales"/>
    <x v="1"/>
    <x v="1"/>
    <s v="01/04/25 Se activará en CQ y derivará a Indra._x000a_Se debe posponer en CQ. Se coordinará con el usuario para planificar su atención."/>
    <s v=""/>
    <s v="Sin Fecha"/>
    <s v="No definido"/>
    <n v="2025"/>
    <s v="Activos"/>
    <x v="1"/>
    <n v="0.85"/>
    <s v="PRE"/>
    <s v="NO"/>
    <s v="03. En Desarrollo"/>
    <s v="SI"/>
    <s v="ATRASADO 🔴"/>
    <n v="1"/>
    <n v="0.85"/>
    <n v="0.15000000000000002"/>
    <n v="0.85"/>
    <d v="2025-11-10T00:00:00"/>
    <d v="2025-11-10T00:00:00"/>
    <d v="2026-01-15T00:00:00"/>
    <d v="2026-01-15T00:00:00"/>
    <d v="2026-01-21T00:00:00"/>
    <d v="2026-02-19T00:00:00"/>
    <d v="2026-03-27T00:00:00"/>
    <n v="44"/>
    <n v="1"/>
    <n v="200"/>
    <s v="BD"/>
    <s v="2. CALIDAD"/>
    <m/>
    <m/>
    <n v="0"/>
    <n v="44"/>
    <n v="0"/>
    <n v="352"/>
    <n v="0"/>
    <x v="4"/>
  </r>
  <r>
    <s v="M0867"/>
    <n v="2632"/>
    <x v="0"/>
    <s v="2025-T0106"/>
    <s v="2025-M0086"/>
    <s v="IDENTIFICADOR DEL ERROR EN EL SISTEMA DEL ATM POR RETENCION DE TARJETA Y COBRO DE COMISION  POR REPOSICION"/>
    <s v="Para casos presentados en clientes con tarjetas de débito bloqueadas posterior al uso de ATM y sin comunicación precisa y oportuna del bloqueo."/>
    <x v="2"/>
    <s v="Canales Alternos"/>
    <s v="Canales Virtuales"/>
    <m/>
    <s v="Correo s/n"/>
    <s v="TMIN-Tarjeta Multired Interfaces"/>
    <m/>
    <s v="ATMs"/>
    <s v="No Aplica"/>
    <s v="No aplica"/>
    <x v="1"/>
    <m/>
    <m/>
    <m/>
    <m/>
    <m/>
    <m/>
    <m/>
    <s v="Regularizado"/>
    <d v="2025-02-18T00:00:00"/>
    <x v="0"/>
    <s v="Analista-BN"/>
    <s v="Vladimir Ronald Cajavilca Cajavilca"/>
    <s v="Omar Sarmiento"/>
    <x v="3"/>
    <s v="04. Paralizado"/>
    <s v="Falta recursos TI"/>
    <d v="2025-02-03T00:00:00"/>
    <m/>
    <d v="2025-02-03T00:00:00"/>
    <m/>
    <m/>
    <m/>
    <m/>
    <s v=""/>
    <m/>
    <m/>
    <s v=""/>
    <s v="30/12/2025: Cartera reasignada a Omar Sarmiento_x000a_24/12/25: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0/02/25: Según CQ, actualizó el estado a 03. En Desarrollo_x000a_17/02/2025: Se registró en el Backlog como trámite Rugularizado"/>
    <s v="B.Digital"/>
    <s v="CanalesAlternos"/>
    <s v="No definido"/>
    <s v="2025-02"/>
    <s v="No definido"/>
    <x v="0"/>
    <x v="1"/>
    <m/>
    <m/>
    <m/>
    <m/>
    <m/>
    <s v="2025-I"/>
    <s v="Sin Fecha Fin Producción"/>
    <s v="No Aplica"/>
    <s v="QC-283"/>
    <s v="Asignada"/>
    <s v="Pospuesto"/>
    <x v="63"/>
    <x v="0"/>
    <m/>
    <m/>
    <s v="Sin Fecha"/>
    <s v="ATM-Agentes-VISA"/>
    <s v="Canales Presenciales"/>
    <x v="5"/>
    <x v="4"/>
    <m/>
    <d v="2025-08-31T00:00:00"/>
    <s v="Vencida"/>
    <s v="Ago 2025"/>
    <n v="2025"/>
    <s v="Activos"/>
    <x v="2"/>
    <n v="0.12"/>
    <s v="POST"/>
    <s v="REACTIVADO"/>
    <s v="Reactivo"/>
    <s v="No aplica"/>
    <s v="PARALIZADO ⚪"/>
    <s v=""/>
    <n v="0.12"/>
    <s v=""/>
    <s v=""/>
    <m/>
    <m/>
    <m/>
    <m/>
    <m/>
    <m/>
    <d v="2027-03-31T00:00:00"/>
    <n v="25"/>
    <n v="0.1"/>
    <n v="200"/>
    <m/>
    <s v="6. PARALIZADO"/>
    <m/>
    <m/>
    <n v="0.9"/>
    <n v="1"/>
    <n v="24"/>
    <n v="8"/>
    <n v="192"/>
    <x v="3"/>
  </r>
  <r>
    <s v="M0874"/>
    <n v="2673"/>
    <x v="0"/>
    <s v="2025-T0247"/>
    <s v="2025-M0278"/>
    <s v="Validación CCI / DNI pago de proveedores del estado para abonos en cuentas de ahorro MN"/>
    <m/>
    <x v="0"/>
    <s v="Captaciones y Pagaduría"/>
    <s v="Sistema de Pagos"/>
    <d v="2025-02-27T00:00:00"/>
    <s v="MEMORANDO N° 00000031 -2025-BN/3116"/>
    <s v="DPAH- Deposito de Ahorros MN"/>
    <m/>
    <s v="Otros"/>
    <s v="Cuenta de Ahorros"/>
    <s v="No aplica"/>
    <x v="0"/>
    <m/>
    <s v="No Aplica"/>
    <s v="No Aplica"/>
    <s v="No Aplica"/>
    <s v="No Aplica"/>
    <s v="No Aplica"/>
    <s v="No Aplica"/>
    <s v="Normal"/>
    <d v="2025-03-31T00:00:00"/>
    <x v="0"/>
    <s v="FS-Olssa"/>
    <s v="Norma Fukunaga Fuentes"/>
    <s v="Junior Quicaño"/>
    <x v="0"/>
    <s v="05. Descartado"/>
    <m/>
    <d v="2025-03-13T00:00:00"/>
    <m/>
    <d v="2025-11-27T00:00:00"/>
    <m/>
    <m/>
    <m/>
    <m/>
    <s v=""/>
    <m/>
    <m/>
    <s v=""/>
    <s v="15/09/25: Según CQ, actualizó el estado a 09. Descartado_x000a_03/04/25: Según CQ, actualizó el estado a 03. En Desarrollo_x000a_13/03/2025: Se creó trámite y se registró en la Demanda Priorizada."/>
    <s v="Operac."/>
    <s v="CaptacionesPagaduría"/>
    <s v="2025-02"/>
    <s v="2025-03"/>
    <s v="No definido"/>
    <x v="0"/>
    <x v="1"/>
    <m/>
    <m/>
    <m/>
    <m/>
    <m/>
    <s v="2025-I"/>
    <s v="Sin Fecha Fin Producción"/>
    <s v="No Aplica"/>
    <s v="QC-384"/>
    <s v="Finalizada"/>
    <s v="Finalizado"/>
    <x v="64"/>
    <x v="0"/>
    <m/>
    <m/>
    <s v="Sin Fecha"/>
    <s v="BackOffice"/>
    <s v="Otros Requerimientos"/>
    <x v="1"/>
    <x v="1"/>
    <s v="1/04/2025 Fue derivado a Olssa. Se generará mantenimiento y se asignará a Norma."/>
    <s v=""/>
    <s v="Sin Fecha"/>
    <s v="No definido"/>
    <n v="2025"/>
    <s v="Descartado"/>
    <x v="0"/>
    <n v="-0.01"/>
    <s v="POST"/>
    <s v="REACTIVADO CONSTRUCCIÓN 26"/>
    <s v="09. Descartado"/>
    <s v="No aplica"/>
    <s v="Sin Cronograma 🔵"/>
    <s v=""/>
    <n v="-0.01"/>
    <s v=""/>
    <s v=""/>
    <m/>
    <m/>
    <m/>
    <m/>
    <m/>
    <m/>
    <m/>
    <n v="25"/>
    <n v="0.1"/>
    <n v="200"/>
    <m/>
    <s v="5. DESCARTADO"/>
    <m/>
    <m/>
    <n v="0.9"/>
    <n v="1"/>
    <n v="24"/>
    <n v="2.6666666666666665"/>
    <n v="64"/>
    <x v="0"/>
  </r>
  <r>
    <s v="M0886"/>
    <n v="2689"/>
    <x v="0"/>
    <s v="2025-T0206"/>
    <s v="2025-M0182"/>
    <s v="OPTIMIZACION EN EL SISTEMA DE TRANSFERENCIAS INTERBANCARIAS DIFERIDAS SITE VIA ( CCE ) - FASE 2"/>
    <m/>
    <x v="0"/>
    <s v="Captaciones y Pagaduría"/>
    <s v="Sistema de Pagos"/>
    <d v="2025-01-17T00:00:00"/>
    <s v="MEMORANDO N° 00000010 - 2025-BN/3116"/>
    <s v="SICA-Sistema de Canje Electronico"/>
    <m/>
    <s v="Otros"/>
    <s v="No Aplica"/>
    <s v="Transferencias de recursos "/>
    <x v="0"/>
    <m/>
    <s v="No Aplica"/>
    <s v="No Aplica"/>
    <s v="No Aplica"/>
    <s v="No Aplica"/>
    <s v="No Aplica"/>
    <s v="No Aplica"/>
    <s v="Regularizado"/>
    <d v="2025-03-31T00:00:00"/>
    <x v="0"/>
    <s v="FS-Olssa"/>
    <s v="Maribel Marlene Medina Molina/Pedro Jose Encalada Huertas"/>
    <s v="Junior Quicaño"/>
    <x v="5"/>
    <s v="02. En Proceso"/>
    <m/>
    <d v="2025-03-04T00:00:00"/>
    <d v="2025-11-03T00:00:00"/>
    <d v="2026-04-30T00:00:00"/>
    <d v="2026-02-11T00:00:00"/>
    <d v="2025-12-31T00:00:00"/>
    <d v="2026-02-23T00:00:00"/>
    <m/>
    <d v="2025-11-13T00:00:00"/>
    <m/>
    <m/>
    <d v="2025-11-20T00:00:00"/>
    <s v="06/04/26: Según CQ, actualizó el estado a 03. En Desarrollo_x000a_25/02/26: Según CQ, actualizó el estado a 05. En Calidad_x000a_12/02/26: Según CQ, actualizó el estado a 04. Desarrollo Finalizado_x000a_27/10/25: Según CQ, actualizó el estado a 03. En Desarrollo_x000a_08/09/25: Según CQ, actualizó el estado a 05. En Calidad_x000a_03/09/25: Según CQ, actualizó el estado a 04. Desarrollo Finalizado_x000a_25/08/25: Según CQ, actualizó el estado a 03. En Desarrollo_x000a_19/06/25: Según CQ, actualizó el estado a 05. En Calidad_x000a_20/05/25: Según CQ, actualizó el estado a 04. Desarrollo Finalizado_x000a_27/03/25: Según CQ, actualizó el estado a 03. En Desarrollo_x000a_24/03/25: Se regularizó registro en Backlog."/>
    <s v="Operac."/>
    <s v="CaptacionesPagaduría"/>
    <s v="2025-01"/>
    <s v="2025-03"/>
    <s v="2026-02"/>
    <x v="0"/>
    <x v="21"/>
    <m/>
    <m/>
    <m/>
    <m/>
    <m/>
    <s v="2025-I"/>
    <s v="Sin Fecha Fin Producción"/>
    <s v="No Aplica"/>
    <s v="QC-358"/>
    <s v="Finalizada,Finalizada"/>
    <s v="Asignado"/>
    <x v="65"/>
    <x v="0"/>
    <m/>
    <m/>
    <s v="Vencida"/>
    <s v="BackOffice"/>
    <s v="Otros Requerimientos"/>
    <x v="1"/>
    <x v="1"/>
    <m/>
    <s v=""/>
    <s v="Sin Fecha"/>
    <s v="No definido"/>
    <n v="2025"/>
    <s v="Activos"/>
    <x v="0"/>
    <n v="0.15"/>
    <s v="PRE"/>
    <s v="NO"/>
    <s v="03. En Desarrollo"/>
    <s v="SI"/>
    <s v="EN CURSO 🟢"/>
    <n v="0.10344827586206896"/>
    <n v="0.15"/>
    <n v="-4.655172413793103E-2"/>
    <n v="1.2"/>
    <d v="2025-10-28T00:00:00"/>
    <d v="2026-05-11T00:00:00"/>
    <d v="2026-06-22T00:00:00"/>
    <d v="2026-06-23T00:00:00"/>
    <d v="2026-07-24T00:00:00"/>
    <d v="2026-07-27T00:00:00"/>
    <d v="2026-08-03T00:00:00"/>
    <n v="31"/>
    <n v="0.16129032258064516"/>
    <n v="173.6"/>
    <m/>
    <s v="1. DESARROLLO"/>
    <m/>
    <m/>
    <n v="0.83870967741935487"/>
    <n v="5"/>
    <n v="26"/>
    <n v="28"/>
    <n v="145.6"/>
    <x v="5"/>
  </r>
  <r>
    <s v="M0891"/>
    <n v="2696"/>
    <x v="0"/>
    <s v="2025-T0241"/>
    <s v="2025-M0538"/>
    <s v="Revisión, Actualización, Optimización y Automatización del Proceso de Carga del RCD"/>
    <m/>
    <x v="8"/>
    <s v="Construcción de Aplicaciones"/>
    <s v="Sistemas Bancarios"/>
    <m/>
    <s v="Correo s/n"/>
    <s v="COBD-Contabilidad-RCD"/>
    <m/>
    <s v="Otros"/>
    <s v="No Aplica"/>
    <s v="No aplica"/>
    <x v="0"/>
    <m/>
    <m/>
    <m/>
    <m/>
    <m/>
    <m/>
    <m/>
    <s v="Regularizado"/>
    <d v="2025-03-31T00:00:00"/>
    <x v="0"/>
    <m/>
    <s v="Javier Baltazar Urquiaga Salazar"/>
    <s v="Tomas Calvera"/>
    <x v="1"/>
    <s v="03. Culminado"/>
    <m/>
    <d v="2025-03-11T00:00:00"/>
    <m/>
    <d v="2025-08-04T00:00:00"/>
    <d v="2025-10-08T00:00:00"/>
    <d v="2025-08-22T00:00:00"/>
    <d v="2025-10-20T00:00:00"/>
    <d v="2025-12-30T00:00:00"/>
    <d v="2025-08-29T04:48:00"/>
    <d v="2026-01-31T00:00:00"/>
    <d v="2026-03-10T00:00:00"/>
    <d v="2025-09-05T04:48:00"/>
    <s v="10/03/26: Según CQ, actualizó el estado a 08. Producción Finalizada_x000a_04/02/2026: Cartera reasignada a Tomas Calvera_x000a_02/02/26: Según CQ, actualizó el estado a 07. En Despliegue_x000a_28/01/26: Según CQ, actualizó el estado a 05. En Calidad_x000a_26/01/26: Según CQ, actualizó el estado a 03. En Desarrollo_x000a_09/09/25: Según CQ, actualizó el estado a 05. En Calidad_x000a_05/09/2025: Cartera reasignada a Omar Sarmiento_x000a_25/08/25: Según CQ, actualizó el estado a 04. Desarrollo Finalizado_x000a_11/08/2025: Cartera reasignada a Percy Silva_x000a_05/08/25: Según CQ, actualizó el estado a 03. En Desarrollo_x000a_24/03/25: Se regularizó registro en Backlog."/>
    <s v="TI"/>
    <s v="ConstrucciónAplicaciones"/>
    <s v="No definido"/>
    <s v="2025-03"/>
    <s v="2025-10"/>
    <x v="2"/>
    <x v="7"/>
    <m/>
    <m/>
    <m/>
    <m/>
    <m/>
    <s v="2025-I"/>
    <n v="218"/>
    <n v="7.2666666666666666"/>
    <m/>
    <s v="Finalizada"/>
    <s v="Transitorio_Procesado"/>
    <x v="66"/>
    <x v="0"/>
    <m/>
    <m/>
    <s v="Culminado"/>
    <s v="BackOffice"/>
    <s v="Otros Requerimientos"/>
    <x v="1"/>
    <x v="1"/>
    <s v="1/04/2025 Fue derivado a Indra. No requiere mantenimiento."/>
    <d v="2026-03-10T00:00:00"/>
    <s v="Culminado"/>
    <s v="Mar 2026"/>
    <s v="Rev."/>
    <s v="Culminado"/>
    <x v="0"/>
    <n v="1"/>
    <s v="PRE"/>
    <s v="NO"/>
    <s v="05. En Calidad"/>
    <s v="No aplica"/>
    <s v="IMPLEMENTADO 🔵"/>
    <n v="1"/>
    <n v="1"/>
    <n v="0"/>
    <n v="1"/>
    <d v="2025-08-04T00:00:00"/>
    <d v="2025-08-04T00:00:00"/>
    <d v="2025-10-08T00:00:00"/>
    <d v="2025-10-20T00:00:00"/>
    <d v="2025-12-30T00:00:00"/>
    <d v="2026-01-31T00:00:00"/>
    <d v="2026-03-27T00:00:00"/>
    <n v="47"/>
    <n v="1"/>
    <n v="200"/>
    <m/>
    <s v="4. PRODUCCIÓN"/>
    <m/>
    <m/>
    <n v="0"/>
    <n v="47"/>
    <n v="0"/>
    <n v="376"/>
    <n v="0"/>
    <x v="4"/>
  </r>
  <r>
    <s v="M0892"/>
    <n v="2698"/>
    <x v="0"/>
    <s v="2025-T0199"/>
    <s v="2025-M0537"/>
    <s v="REVISION, ACTUALIZACION, AUTOMATIZACION  Y OPTIMIZACION  DEL PROCESO CARGA DEL RCD ANEXO 5"/>
    <m/>
    <x v="8"/>
    <s v="Construcción de Aplicaciones"/>
    <s v="Sistemas Bancarios"/>
    <m/>
    <s v="Correo s/n"/>
    <s v="COBD-Contabilidad-RCD"/>
    <m/>
    <s v="Otros"/>
    <s v="Crédito Hipotecario"/>
    <s v="No aplica"/>
    <x v="0"/>
    <m/>
    <m/>
    <m/>
    <m/>
    <m/>
    <m/>
    <m/>
    <s v="Regularizado"/>
    <d v="2025-03-31T00:00:00"/>
    <x v="0"/>
    <m/>
    <s v="Javier Baltazar Urquiaga Salazar"/>
    <s v="Tomas Calvera"/>
    <x v="1"/>
    <s v="03. Culminado"/>
    <m/>
    <d v="2025-03-04T00:00:00"/>
    <m/>
    <d v="2025-08-04T00:00:00"/>
    <d v="2025-10-08T00:00:00"/>
    <d v="2025-08-22T00:00:00"/>
    <d v="2025-10-20T00:00:00"/>
    <d v="2025-12-30T00:00:00"/>
    <d v="2025-08-29T04:48:00"/>
    <d v="2026-01-30T00:00:00"/>
    <d v="2026-03-10T00:00:00"/>
    <d v="2025-09-05T04:48:00"/>
    <s v="10/03/26: Según CQ, actualizó el estado a 08. Producción Finalizada_x000a_04/02/2026: Cartera reasignada a Tomas Calvera_x000a_02/02/26: Según CQ, actualizó el estado a 07. En Despliegue_x000a_28/01/26: Según CQ, actualizó el estado a 05. En Calidad_x000a_26/01/26: Según CQ, actualizó el estado a 03. En Desarrollo_x000a_09/09/25: Según CQ, actualizó el estado a 05. En Calidad_x000a_05/09/2025: Cartera reasignada a Omar Sarmiento_x000a_25/08/25: Según CQ, actualizó el estado a 04. Desarrollo Finalizado_x000a_11/08/2025: Cartera reasignada a Percy Silva_x000a_05/08/25: Según CQ, actualizó el estado a 03. En Desarrollo_x000a_24/03/25: Se regularizó registro en Backlog."/>
    <s v="TI"/>
    <s v="ConstrucciónAplicaciones"/>
    <s v="No definido"/>
    <s v="2025-03"/>
    <s v="2025-10"/>
    <x v="2"/>
    <x v="7"/>
    <m/>
    <m/>
    <m/>
    <m/>
    <m/>
    <s v="2025-I"/>
    <n v="218"/>
    <n v="7.2666666666666666"/>
    <m/>
    <s v="Finalizada"/>
    <s v="Transitorio_Procesado"/>
    <x v="67"/>
    <x v="0"/>
    <m/>
    <m/>
    <s v="Culminado"/>
    <s v="BackOffice"/>
    <s v="Otros Requerimientos"/>
    <x v="1"/>
    <x v="1"/>
    <s v="1/04/2025 Fue derivado a Indra. No requiere mantenimiento."/>
    <d v="2026-03-10T00:00:00"/>
    <s v="Culminado"/>
    <s v="Mar 2026"/>
    <s v="Rev."/>
    <s v="Culminado"/>
    <x v="0"/>
    <n v="1"/>
    <s v="PRE"/>
    <s v="NO"/>
    <s v="05. En Calidad"/>
    <s v="No aplica"/>
    <s v="IMPLEMENTADO 🔵"/>
    <n v="1"/>
    <n v="1"/>
    <n v="0"/>
    <n v="1"/>
    <d v="2025-08-04T00:00:00"/>
    <d v="2025-08-04T00:00:00"/>
    <d v="2025-10-08T00:00:00"/>
    <d v="2025-10-20T00:00:00"/>
    <d v="2025-12-30T00:00:00"/>
    <d v="2026-01-30T00:00:00"/>
    <d v="2026-03-27T00:00:00"/>
    <n v="47"/>
    <n v="1"/>
    <n v="200"/>
    <m/>
    <s v="4. PRODUCCIÓN"/>
    <m/>
    <m/>
    <n v="0"/>
    <n v="47"/>
    <n v="0"/>
    <n v="376"/>
    <n v="0"/>
    <x v="4"/>
  </r>
  <r>
    <s v="M0895"/>
    <n v="2704"/>
    <x v="0"/>
    <s v="2025-T0173"/>
    <s v="2025-M0148"/>
    <s v="INTERFAZ SISTEMA CONTABILIDAD BASE DE DATOS (COBD) Y BANK TRADE- BNKT"/>
    <m/>
    <x v="0"/>
    <s v="Internacional"/>
    <s v="Comercio Exterior"/>
    <m/>
    <s v="Correo s/n"/>
    <s v="COBD-Contabilidad-RCD"/>
    <m/>
    <s v="Otros"/>
    <s v="Crédito Documentario "/>
    <s v="No aplica"/>
    <x v="1"/>
    <m/>
    <m/>
    <m/>
    <s v="No Aplica"/>
    <s v="No Aplica"/>
    <s v="No Aplica"/>
    <s v="No Aplica"/>
    <s v="Regularizado"/>
    <d v="2025-03-31T00:00:00"/>
    <x v="0"/>
    <s v="FS-Olssa"/>
    <s v="Pedro Jose Encalada Huertas"/>
    <s v="Junior Quicaño"/>
    <x v="1"/>
    <s v="03. Culminado"/>
    <m/>
    <d v="2025-02-24T00:00:00"/>
    <m/>
    <d v="2025-02-24T00:00:00"/>
    <m/>
    <m/>
    <m/>
    <m/>
    <s v=""/>
    <d v="2025-07-18T00:00:00"/>
    <d v="2026-01-13T00:00:00"/>
    <s v=""/>
    <s v="14/01/26: Según CQ, actualizó el estado a 08. Producción Finalizada_x000a_24/07/25: Según CQ, actualizó el estado a 07. En Despliegue_x000a_27/03/25: Según CQ, actualizó el estado a 03. En Desarrollo_x000a_24/03/25: Se regularizó registro en Backlog."/>
    <s v="Operac."/>
    <s v="Internacional"/>
    <s v="No definido"/>
    <s v="2025-03"/>
    <s v="No definido"/>
    <x v="4"/>
    <x v="1"/>
    <m/>
    <m/>
    <m/>
    <m/>
    <m/>
    <s v="2025-I"/>
    <n v="323"/>
    <n v="10.766666666666667"/>
    <m/>
    <s v="Finalizada"/>
    <s v="Transitorio_Procesado"/>
    <x v="68"/>
    <x v="0"/>
    <m/>
    <m/>
    <s v="Culminado"/>
    <s v="BackOffice"/>
    <s v="Otros Requerimientos"/>
    <x v="1"/>
    <x v="1"/>
    <m/>
    <d v="2026-01-13T00:00:00"/>
    <s v="Culminado"/>
    <s v="Ene 2026"/>
    <n v="2025"/>
    <s v="Culminado"/>
    <x v="0"/>
    <n v="1"/>
    <s v="PRE"/>
    <s v="NO"/>
    <s v="07. En Despliegue"/>
    <s v="No aplica"/>
    <s v="IMPLEMENTADO 🔵"/>
    <n v="1"/>
    <n v="1"/>
    <n v="0"/>
    <n v="1"/>
    <d v="2025-02-24T00:00:00"/>
    <d v="2025-02-24T00:00:00"/>
    <s v=""/>
    <s v=""/>
    <s v=""/>
    <d v="2025-07-18T00:00:00"/>
    <d v="2026-01-13T00:00:00"/>
    <n v="25"/>
    <n v="0.1"/>
    <n v="200"/>
    <m/>
    <s v="4. PRODUCCIÓN"/>
    <m/>
    <m/>
    <n v="0.9"/>
    <n v="1"/>
    <n v="24"/>
    <n v="8"/>
    <n v="192"/>
    <x v="9"/>
  </r>
  <r>
    <s v="M0896"/>
    <n v="2705"/>
    <x v="0"/>
    <s v="2025-T0193"/>
    <s v="2025-M0171"/>
    <s v="Actualización de Tablas de Parámetros de Prestamos Multired y de Tarjeta de Crédito"/>
    <m/>
    <x v="1"/>
    <s v="Banca Personal"/>
    <s v="Préstamo Multired"/>
    <m/>
    <s v="Correo s/n"/>
    <s v="PRAH - Prestamos Multired"/>
    <m/>
    <s v="Agencias"/>
    <s v="Préstamos Multired "/>
    <s v="No aplica"/>
    <x v="0"/>
    <m/>
    <m/>
    <m/>
    <m/>
    <m/>
    <m/>
    <m/>
    <s v="Regularizado"/>
    <d v="2025-03-31T00:00:00"/>
    <x v="0"/>
    <s v="Analista-BN"/>
    <s v="Pedro Jose Encalada Huertas"/>
    <s v="Milagros Huamani"/>
    <x v="1"/>
    <s v="03. Culminado"/>
    <m/>
    <d v="2025-03-03T00:00:00"/>
    <m/>
    <d v="2025-03-03T00:00:00"/>
    <d v="2025-07-24T00:00:00"/>
    <m/>
    <d v="2025-08-31T00:00:00"/>
    <d v="2025-09-26T00:00:00"/>
    <d v="2025-09-19T04:48:00"/>
    <d v="2026-01-19T00:00:00"/>
    <d v="2026-01-21T00:00:00"/>
    <d v="2025-09-26T04:48:00"/>
    <s v="26/01/26: Según CQ, actualizó el estado a 08. Producción Finalizada_x000a_21/01/26: Según CQ, actualizó el estado a 07. En Despliegue_x000a_29/09/25: Según CQ, actualizó el estado a 06. Calidad Finalizado_x000a_18/08/25: Según CQ, actualizó el estado a 05. En Calidad_x000a_25/07/25: Según CQ, actualizó el estado a 04. Desarrollo Finalizado_x000a_27/03/25: Según CQ, actualizó el estado a 03. En Desarrollo_x000a_24/03/25: Se regularizó registro en Backlog."/>
    <s v="Productos"/>
    <s v="BancaPersonal"/>
    <s v="No definido"/>
    <s v="2025-03"/>
    <s v="2025-07"/>
    <x v="4"/>
    <x v="7"/>
    <m/>
    <m/>
    <m/>
    <m/>
    <m/>
    <s v="2025-I"/>
    <n v="324"/>
    <n v="10.8"/>
    <m/>
    <s v="Finalizada"/>
    <s v="Procesado"/>
    <x v="69"/>
    <x v="0"/>
    <m/>
    <m/>
    <s v="Culminado"/>
    <s v="Préstamos Multired"/>
    <s v="Productos"/>
    <x v="1"/>
    <x v="1"/>
    <m/>
    <d v="2026-01-21T00:00:00"/>
    <s v="Culminado"/>
    <s v="Ene 2026"/>
    <n v="2025"/>
    <s v="Culminado"/>
    <x v="0"/>
    <n v="1"/>
    <s v="PRE"/>
    <s v="NO"/>
    <s v="06. Calidad Finalizado"/>
    <s v="No aplica"/>
    <s v="IMPLEMENTADO 🔵"/>
    <n v="1"/>
    <n v="1"/>
    <n v="0"/>
    <n v="1"/>
    <d v="2025-03-03T00:00:00"/>
    <d v="2025-03-03T00:00:00"/>
    <d v="2025-07-24T00:00:00"/>
    <d v="2025-08-31T00:00:00"/>
    <d v="2025-09-26T00:00:00"/>
    <d v="2026-01-19T00:00:00"/>
    <d v="2026-01-21T00:00:00"/>
    <n v="103"/>
    <n v="1"/>
    <n v="200"/>
    <m/>
    <s v="4. PRODUCCIÓN"/>
    <m/>
    <m/>
    <n v="0"/>
    <n v="103"/>
    <n v="0"/>
    <n v="824"/>
    <n v="0"/>
    <x v="9"/>
  </r>
  <r>
    <s v="M0901"/>
    <n v="2234"/>
    <x v="0"/>
    <s v="2025-T0238"/>
    <s v="2025-M0199"/>
    <s v="Automatización Contable de Servicios Educativos."/>
    <m/>
    <x v="0"/>
    <s v="Servicios Bancarios y Recaudación"/>
    <s v="Recaudación y Corresponsalía"/>
    <d v="2024-02-14T00:00:00"/>
    <s v="MEMORANDO N° 00000037 -2024-BN/3243"/>
    <s v="RECA-Recaudacion"/>
    <m/>
    <s v="Banca Móvil (APP)"/>
    <s v="No Aplica"/>
    <s v="Cobranzas "/>
    <x v="0"/>
    <m/>
    <s v="No Aplica"/>
    <s v="No Aplica"/>
    <s v="No Aplica"/>
    <s v="No Aplica"/>
    <s v="No Aplica"/>
    <s v="No Aplica"/>
    <s v="Normal"/>
    <d v="2025-03-31T00:00:00"/>
    <x v="0"/>
    <s v="Analista-BN"/>
    <s v="Jorge Lucio Ruedas Fernandez"/>
    <s v="Junior Quicaño"/>
    <x v="3"/>
    <s v="04. Paralizado"/>
    <s v="Dependencia técnica"/>
    <d v="2025-03-10T00:00:00"/>
    <d v="2025-11-03T00:00:00"/>
    <d v="2025-04-01T00:00:00"/>
    <m/>
    <m/>
    <m/>
    <m/>
    <s v=""/>
    <m/>
    <m/>
    <s v=""/>
    <s v="24/03/2026 Devuelto de Certificación por detectar incidencias en el escaneo de Seguridad._x000a_12/01/26: Según CQ, actualizó el estado a 10. Paralizado_x000a_02/04/25: Según CQ, actualizó el estado a 03. En Desarrollo_x000a_10/03/25: Se creó trámite._x000a_29/08/2024: Por evaluar jorge rueda y valery _x000a_27/06/24 Se revisará en un prox. comité cuando el recurso se libere._x000a_22/05/24 No se cuenta con recursos para atender temas de Págalo._x000a_24/04/2024: Se registró en la demanda Integral "/>
    <s v="Operac."/>
    <s v="BancariosRecaudación"/>
    <s v="2024-02"/>
    <s v="2025-03"/>
    <s v="No definido"/>
    <x v="0"/>
    <x v="1"/>
    <m/>
    <m/>
    <m/>
    <m/>
    <m/>
    <s v="2025-I"/>
    <s v="Sin Fecha Fin Producción"/>
    <s v="No Aplica"/>
    <m/>
    <s v="Pospuesta"/>
    <s v="Pospuesto"/>
    <x v="70"/>
    <x v="0"/>
    <m/>
    <m/>
    <s v="Sin Fecha"/>
    <s v="BackOffice"/>
    <s v="Otros Requerimientos"/>
    <x v="1"/>
    <x v="1"/>
    <s v="01/04/25 se derivará a Olssa, y se asignará a JRueda."/>
    <s v=""/>
    <s v="Sin Fecha"/>
    <s v="No definido"/>
    <n v="2025"/>
    <s v="Activos"/>
    <x v="0"/>
    <n v="0.12"/>
    <s v="PRE"/>
    <s v="NO"/>
    <s v="03. En Desarrollo"/>
    <s v="No aplica"/>
    <s v="PARALIZADO ⚪"/>
    <s v=""/>
    <n v="0.12"/>
    <s v=""/>
    <s v=""/>
    <m/>
    <m/>
    <m/>
    <m/>
    <m/>
    <m/>
    <d v="2026-11-30T00:00:00"/>
    <n v="25"/>
    <n v="0.1"/>
    <n v="200"/>
    <m/>
    <s v="6. PARALIZADO"/>
    <m/>
    <m/>
    <n v="0.9"/>
    <n v="1"/>
    <n v="24"/>
    <n v="8"/>
    <n v="192"/>
    <x v="13"/>
  </r>
  <r>
    <s v="M0915"/>
    <n v="2638"/>
    <x v="0"/>
    <s v="2025-T0162"/>
    <s v="2025-M0306"/>
    <s v="Mantenimiento de Base de Datos para cálculo de requerimiento de capital por riesgo de crédito"/>
    <m/>
    <x v="7"/>
    <s v="Riesgos Crediticios y Financieros"/>
    <s v="Riesgos Crediticios"/>
    <d v="2025-01-17T00:00:00"/>
    <s v="MEMORANDO N° 000000004- 2025-BN-1520"/>
    <s v="COBD-Contabilidad-RCD"/>
    <m/>
    <s v="Otros"/>
    <s v="Tarjeta de Crédito "/>
    <s v="No aplica"/>
    <x v="2"/>
    <s v="Normativo"/>
    <s v="SBS"/>
    <s v="Resolución SBS N° 4345-2023"/>
    <m/>
    <m/>
    <m/>
    <m/>
    <s v="Normal"/>
    <d v="2025-03-31T00:00:00"/>
    <x v="0"/>
    <s v="Analista-BN"/>
    <s v="Andrés Quiñones Gonzales"/>
    <s v="Maria Barboza"/>
    <x v="5"/>
    <s v="02. En Proceso"/>
    <m/>
    <d v="2025-02-20T00:00:00"/>
    <m/>
    <d v="2025-04-16T00:00:00"/>
    <m/>
    <m/>
    <m/>
    <m/>
    <s v=""/>
    <m/>
    <m/>
    <s v=""/>
    <s v="19/01/2025: Cartera reasignada a Maria Barboza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Milagros Huamani_x000a_11/08/2025: Cartera reasignada a Percy Silva_x000a_21/04/25: Según CQ, actualizó el estado a 03. En Desarrollo_x000a_20/02/2025: Se registró en el Backlog, se creó trámite y se priorizó."/>
    <s v="Riesgos"/>
    <s v="CrediticiosFinancieros"/>
    <s v="2025-01"/>
    <s v="2025-03"/>
    <s v="No definido"/>
    <x v="0"/>
    <x v="1"/>
    <m/>
    <m/>
    <m/>
    <m/>
    <m/>
    <s v="2025-I"/>
    <s v="Sin Fecha Fin Producción"/>
    <s v="No Aplica"/>
    <s v="QC-347"/>
    <s v="Pospuesta"/>
    <s v="Asignado"/>
    <x v="71"/>
    <x v="0"/>
    <m/>
    <m/>
    <s v="Sin Fecha"/>
    <s v="BackOffice"/>
    <s v="Otros Requerimientos"/>
    <x v="1"/>
    <x v="1"/>
    <s v="Repetido"/>
    <s v=""/>
    <s v="Sin Fecha"/>
    <s v="No definido"/>
    <s v="Rev."/>
    <s v="Activos"/>
    <x v="0"/>
    <n v="0.15"/>
    <s v="POST"/>
    <s v="REACTIVADO"/>
    <s v="Reactivo"/>
    <s v="SI"/>
    <s v="EN CURSO 🟢"/>
    <n v="0"/>
    <n v="0.15"/>
    <n v="-0.15"/>
    <s v=""/>
    <d v="2025-11-03T00:00:00"/>
    <d v="2026-09-01T00:00:00"/>
    <d v="2026-10-15T00:00:00"/>
    <d v="2026-10-15T00:00:00"/>
    <d v="2026-11-17T00:00:00"/>
    <d v="2026-11-17T00:00:00"/>
    <d v="2027-03-08T00:00:00"/>
    <n v="32"/>
    <n v="0"/>
    <n v="256"/>
    <m/>
    <s v="1. DESARROLLO"/>
    <m/>
    <m/>
    <n v="1"/>
    <n v="0"/>
    <n v="32"/>
    <n v="0"/>
    <n v="256"/>
    <x v="3"/>
  </r>
  <r>
    <s v="M0922"/>
    <n v="2652"/>
    <x v="0"/>
    <s v="2025-T0205"/>
    <s v="2025-M0180"/>
    <s v="Extracción periódica de la información del sistema SYGNUS que se encuentra en el entorno de Open Distribuido"/>
    <m/>
    <x v="5"/>
    <s v="Administración de Personal"/>
    <s v="Registro de Personal"/>
    <d v="2025-02-28T00:00:00"/>
    <s v="MEMORANDO N° 00000004 - 2025-BN/2320"/>
    <s v="OSAI -: Oracle Sistema Administrativo Integrado"/>
    <s v="Big Data"/>
    <s v="Otros"/>
    <s v="No Aplica"/>
    <s v="No aplica"/>
    <x v="0"/>
    <m/>
    <m/>
    <m/>
    <m/>
    <m/>
    <m/>
    <m/>
    <s v="Normal"/>
    <d v="2025-03-31T00:00:00"/>
    <x v="1"/>
    <s v="FS-Olssa"/>
    <s v="Luis Enrique Almeyda Pachas"/>
    <s v="Juan Carlos Zavaleta"/>
    <x v="1"/>
    <s v="03. Culminado"/>
    <m/>
    <d v="2025-03-04T00:00:00"/>
    <m/>
    <d v="2025-10-13T00:00:00"/>
    <d v="2025-10-21T00:00:00"/>
    <m/>
    <d v="2025-10-27T00:00:00"/>
    <d v="2025-11-19T00:00:00"/>
    <d v="2025-10-24T04:48:00"/>
    <d v="2026-01-28T00:00:00"/>
    <d v="2026-01-29T00:00:00"/>
    <d v="2025-10-31T04:48:00"/>
    <s v="30/01/26: Según CQ, actualizó el estado a 08. Producción Finalizada_x000a_21/11/25: Según CQ, actualizó el estado a 06. Calidad Finalizado_x000a_30/10/25: Según CQ, actualizó el estado a 05. En Calidad_x000a_22/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01/04/25: Según CQ, actualizó el estado a 03. En Desarrollo_x000a_03/03/2025: Se registró en el Backlog y se creó trámite."/>
    <s v="RRHH"/>
    <s v="AdministraciónPersonal"/>
    <s v="2025-02"/>
    <s v="2025-03"/>
    <s v="2025-10"/>
    <x v="4"/>
    <x v="13"/>
    <m/>
    <m/>
    <m/>
    <m/>
    <m/>
    <s v="2025-I"/>
    <n v="108"/>
    <n v="3.6"/>
    <s v="QC-403"/>
    <s v="Finalizada"/>
    <s v="Procesado"/>
    <x v="72"/>
    <x v="0"/>
    <m/>
    <m/>
    <s v="Culminado"/>
    <s v="Oracle"/>
    <s v="Otros Requerimientos"/>
    <x v="1"/>
    <x v="1"/>
    <m/>
    <d v="2026-01-29T00:00:00"/>
    <s v="Culminado"/>
    <s v="Ene 2026"/>
    <m/>
    <s v="Culminado"/>
    <x v="0"/>
    <n v="1"/>
    <s v="PRE"/>
    <s v="NO"/>
    <s v="04. Desarrollo Finalizado"/>
    <s v="No aplica"/>
    <s v="IMPLEMENTADO 🔵"/>
    <n v="1"/>
    <n v="1"/>
    <n v="0"/>
    <n v="1"/>
    <d v="2025-10-13T00:00:00"/>
    <d v="2025-10-13T00:00:00"/>
    <d v="2025-10-21T00:00:00"/>
    <d v="2025-10-27T00:00:00"/>
    <d v="2025-11-19T00:00:00"/>
    <d v="2026-01-28T00:00:00"/>
    <d v="2026-01-30T00:00:00"/>
    <n v="7"/>
    <n v="1"/>
    <n v="200"/>
    <m/>
    <s v="4. PRODUCCIÓN"/>
    <m/>
    <m/>
    <n v="0"/>
    <n v="7"/>
    <n v="0"/>
    <n v="56"/>
    <n v="0"/>
    <x v="9"/>
  </r>
  <r>
    <s v="M0923"/>
    <n v="2653"/>
    <x v="0"/>
    <s v="2025-T0210"/>
    <s v="2025-M0203"/>
    <s v="Extracción periódica de la información del sistema SIP (Sistema Integral de Personal) que se encuentra en el entorno de mainframe"/>
    <m/>
    <x v="5"/>
    <s v="Administración de Personal"/>
    <s v="Registro de Personal"/>
    <d v="2025-02-28T00:00:00"/>
    <s v="MEMORANDO N° 00000004 - 2025-BN/2320"/>
    <s v="RHPP- Recursos humanos planillas"/>
    <s v="Big Data"/>
    <s v="Otros"/>
    <s v="No Aplica"/>
    <s v="No aplica"/>
    <x v="0"/>
    <m/>
    <m/>
    <m/>
    <m/>
    <m/>
    <m/>
    <m/>
    <s v="Normal"/>
    <d v="2025-03-31T00:00:00"/>
    <x v="1"/>
    <s v="Analista-BN"/>
    <s v="Luis Enrique Almeyda Pachas"/>
    <s v="Juan Carlos Zavaleta"/>
    <x v="1"/>
    <s v="03. Culminado"/>
    <m/>
    <d v="2025-03-05T00:00:00"/>
    <m/>
    <d v="2025-10-13T00:00:00"/>
    <d v="2025-10-15T00:00:00"/>
    <m/>
    <d v="2025-10-23T00:00:00"/>
    <d v="2025-11-19T00:00:00"/>
    <d v="2025-10-15T19:12:00"/>
    <d v="2026-01-29T00:00:00"/>
    <d v="2026-05-15T00:00:00"/>
    <d v="2025-10-22T19:12:00"/>
    <s v="18/05/26: Según CQ, actualizó el estado a 08. Producción Finalizada_x000a_30/01/26: Según CQ, actualizó el estado a 07. En Despliegue_x000a_21/11/25: Según CQ, actualizó el estado a 06. Calidad Finalizado_x000a_24/10/25: Según CQ, actualizó el estado a 05. En Calidad_x000a_16/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0"/>
    <x v="6"/>
    <x v="13"/>
    <m/>
    <m/>
    <m/>
    <m/>
    <m/>
    <s v="2025-I"/>
    <n v="214"/>
    <n v="7.1333333333333337"/>
    <s v="QC-403"/>
    <s v="Finalizada"/>
    <s v="Procesado"/>
    <x v="73"/>
    <x v="0"/>
    <m/>
    <m/>
    <s v="Culminado"/>
    <s v="BackOffice"/>
    <s v="Otros Requerimientos"/>
    <x v="1"/>
    <x v="1"/>
    <m/>
    <d v="2026-05-15T00:00:00"/>
    <s v="Culminado"/>
    <s v="May 2026"/>
    <m/>
    <s v="Culminado"/>
    <x v="0"/>
    <n v="1"/>
    <s v="PRE"/>
    <s v="NO"/>
    <s v="05. En Calidad"/>
    <s v="No aplica"/>
    <s v="IMPLEMENTADO 🔵"/>
    <n v="1"/>
    <n v="1"/>
    <n v="0"/>
    <n v="1"/>
    <d v="2025-10-13T00:00:00"/>
    <d v="2025-10-13T00:00:00"/>
    <d v="2025-10-15T00:00:00"/>
    <d v="2025-10-23T00:00:00"/>
    <d v="2025-11-19T00:00:00"/>
    <d v="2026-01-29T00:00:00"/>
    <d v="2026-03-27T00:00:00"/>
    <n v="3"/>
    <n v="1"/>
    <n v="200"/>
    <m/>
    <s v="4. PRODUCCIÓN"/>
    <m/>
    <m/>
    <n v="0"/>
    <n v="3"/>
    <n v="0"/>
    <n v="24"/>
    <n v="0"/>
    <x v="4"/>
  </r>
  <r>
    <s v="M0924"/>
    <n v="2654"/>
    <x v="0"/>
    <s v="2025-T0211"/>
    <s v="2025-M0204"/>
    <s v="Extracción periódica de la información del sistema Oracle Financial que se encuentra en el entorno de Open Distribuido"/>
    <m/>
    <x v="5"/>
    <s v="Administración de Personal"/>
    <s v="Registro de Personal"/>
    <d v="2025-02-28T00:00:00"/>
    <s v="MEMORANDO N° 00000004 - 2025-BN/2320"/>
    <s v="OSAI -: Oracle Sistema Administrativo Integrado"/>
    <s v="Big Data"/>
    <s v="Otros"/>
    <s v="No Aplica"/>
    <s v="No aplica"/>
    <x v="0"/>
    <m/>
    <m/>
    <m/>
    <m/>
    <m/>
    <m/>
    <m/>
    <s v="Normal"/>
    <d v="2025-03-31T00:00:00"/>
    <x v="1"/>
    <s v="Analista-BN"/>
    <s v="Luis Enrique Almeyda Pachas"/>
    <s v="Juan Carlos Zavaleta"/>
    <x v="1"/>
    <s v="03. Culminado"/>
    <m/>
    <d v="2025-03-05T00:00:00"/>
    <m/>
    <d v="2025-10-13T00:00:00"/>
    <d v="2025-10-24T00:00:00"/>
    <m/>
    <d v="2025-10-27T00:00:00"/>
    <d v="2025-12-16T00:00:00"/>
    <d v="2025-10-28T09:36:00"/>
    <d v="2026-01-28T00:00:00"/>
    <d v="2026-01-29T00:00:00"/>
    <d v="2025-11-04T09:36:00"/>
    <s v="30/01/26: Según CQ, actualizó el estado a 08. Producción Finalizada_x000a_17/12/25: Según CQ, actualizó el estado a 06. Calidad Finalizado_x000a_30/10/25: Según CQ, actualizó el estado a 05. En Calidad_x000a_27/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0"/>
    <x v="4"/>
    <x v="21"/>
    <m/>
    <m/>
    <m/>
    <m/>
    <m/>
    <s v="2025-I"/>
    <n v="108"/>
    <n v="3.6"/>
    <s v="QC-403"/>
    <s v="Finalizada"/>
    <s v="Procesado"/>
    <x v="74"/>
    <x v="0"/>
    <m/>
    <m/>
    <s v="Culminado"/>
    <s v="Oracle"/>
    <s v="Otros Requerimientos"/>
    <x v="1"/>
    <x v="1"/>
    <m/>
    <d v="2026-01-29T00:00:00"/>
    <s v="Culminado"/>
    <s v="Ene 2026"/>
    <m/>
    <s v="Culminado"/>
    <x v="0"/>
    <n v="1"/>
    <s v="PRE"/>
    <s v="NO"/>
    <s v="04. Desarrollo Finalizado"/>
    <s v="No aplica"/>
    <s v="IMPLEMENTADO 🔵"/>
    <n v="1"/>
    <n v="1"/>
    <n v="0"/>
    <n v="1"/>
    <d v="2025-10-13T00:00:00"/>
    <d v="2025-10-13T00:00:00"/>
    <d v="2025-10-24T00:00:00"/>
    <d v="2025-10-27T00:00:00"/>
    <d v="2025-12-16T00:00:00"/>
    <d v="2026-01-28T00:00:00"/>
    <d v="2026-01-29T00:00:00"/>
    <n v="10"/>
    <n v="1"/>
    <n v="200"/>
    <m/>
    <s v="4. PRODUCCIÓN"/>
    <m/>
    <m/>
    <n v="0"/>
    <n v="10"/>
    <n v="0"/>
    <n v="80"/>
    <n v="0"/>
    <x v="9"/>
  </r>
  <r>
    <s v="M0925"/>
    <n v="2655"/>
    <x v="0"/>
    <s v="2025-T0212"/>
    <s v="2025-M0206"/>
    <s v="Extraer información relacionada a maestra de empleados siguiendo el diseño propuesto en el presente documento"/>
    <m/>
    <x v="5"/>
    <s v="Administración de Personal"/>
    <s v="Registro de Personal"/>
    <d v="2025-02-28T00:00:00"/>
    <s v="MEMORANDO N° 00000004 - 2025-BN/2320"/>
    <s v="BNDA-Data Analítica BN"/>
    <s v="Big Data"/>
    <s v="Otros"/>
    <s v="No Aplica"/>
    <s v="No aplica"/>
    <x v="0"/>
    <m/>
    <m/>
    <m/>
    <m/>
    <m/>
    <m/>
    <m/>
    <s v="Normal"/>
    <d v="2025-03-31T00:00:00"/>
    <x v="1"/>
    <s v="FS-Olssa"/>
    <s v="Luis Enrique Almeyda Pachas"/>
    <s v="Juan Carlos Zavaleta"/>
    <x v="1"/>
    <s v="03. Culminado"/>
    <m/>
    <d v="2025-03-05T00:00:00"/>
    <m/>
    <d v="2025-05-27T00:00:00"/>
    <d v="2025-12-12T00:00:00"/>
    <m/>
    <d v="2025-12-22T00:00:00"/>
    <d v="2026-02-11T00:00:00"/>
    <d v="2026-03-01T14:24:00"/>
    <d v="2026-03-18T00:00:00"/>
    <d v="2026-03-23T00:00:00"/>
    <d v="2026-03-08T14:24:00"/>
    <s v="23/03/26: Según CQ, actualizó el estado a 08. Producción Finalizada_x000a_19/03/26: Según CQ, actualizó el estado a 07. En Despliegue_x000a_12/02/26: Según CQ, actualizó el estado a 06. Calidad Finalizado_x000a_30/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2"/>
    <x v="2"/>
    <x v="8"/>
    <m/>
    <m/>
    <m/>
    <m/>
    <m/>
    <s v="2025-I"/>
    <n v="300"/>
    <n v="10"/>
    <s v="QC-403"/>
    <s v="Finalizada"/>
    <s v="Procesado"/>
    <x v="75"/>
    <x v="0"/>
    <m/>
    <m/>
    <s v="Culminado"/>
    <s v="BackOffice"/>
    <s v="Otros Requerimientos"/>
    <x v="1"/>
    <x v="1"/>
    <m/>
    <d v="2026-03-23T00:00:00"/>
    <s v="Culminado"/>
    <s v="Mar 2026"/>
    <m/>
    <s v="Culminado"/>
    <x v="0"/>
    <n v="1"/>
    <s v="PRE"/>
    <s v="NO"/>
    <s v="03. En Desarrollo"/>
    <s v="No aplica"/>
    <s v="IMPLEMENTADO 🔵"/>
    <n v="1"/>
    <n v="1"/>
    <n v="0"/>
    <n v="1"/>
    <d v="2025-05-27T00:00:00"/>
    <d v="2025-05-27T00:00:00"/>
    <d v="2025-12-12T00:00:00"/>
    <d v="2025-12-22T00:00:00"/>
    <d v="2026-02-11T00:00:00"/>
    <d v="2026-02-19T00:00:00"/>
    <d v="2026-03-27T00:00:00"/>
    <n v="140"/>
    <n v="1"/>
    <n v="200"/>
    <m/>
    <s v="4. PRODUCCIÓN"/>
    <m/>
    <m/>
    <n v="0"/>
    <n v="140"/>
    <n v="0"/>
    <n v="1120"/>
    <n v="0"/>
    <x v="4"/>
  </r>
  <r>
    <s v="M0926"/>
    <n v="2656"/>
    <x v="0"/>
    <s v="2025-T0213"/>
    <s v="2025-M0207"/>
    <s v="Extraer información relacionada a maestra de empleados - Dirección siguiendo el diseño propuesto en el presente documento"/>
    <m/>
    <x v="5"/>
    <s v="Administración de Personal"/>
    <s v="Registro de Personal"/>
    <d v="2025-02-28T00:00:00"/>
    <s v="MEMORANDO N° 00000004 - 2025-BN/2320"/>
    <s v="BNDA-Data Analítica BN"/>
    <s v="Big Data"/>
    <s v="Otros"/>
    <s v="No Aplica"/>
    <s v="No aplica"/>
    <x v="0"/>
    <m/>
    <m/>
    <m/>
    <m/>
    <m/>
    <m/>
    <m/>
    <s v="Normal"/>
    <d v="2025-03-31T00:00:00"/>
    <x v="1"/>
    <s v="FS-Olssa"/>
    <s v="Luis Enrique Almeyda Pachas"/>
    <s v="Juan Carlos Zavaleta"/>
    <x v="1"/>
    <s v="03. Culminado"/>
    <m/>
    <d v="2025-03-05T00:00:00"/>
    <m/>
    <d v="2025-05-27T00:00:00"/>
    <d v="2025-12-12T00:00:00"/>
    <m/>
    <d v="2025-12-22T00:00:00"/>
    <d v="2026-02-11T00:00:00"/>
    <d v="2026-03-01T14:24:00"/>
    <d v="2026-03-18T00:00:00"/>
    <d v="2026-03-23T00:00:00"/>
    <d v="2026-03-08T14:24:00"/>
    <s v="23/03/26: Según CQ, actualizó el estado a 08. Producción Finalizada_x000a_19/03/26: Según CQ, actualizó el estado a 07. En Despliegue_x000a_12/02/26: Según CQ, actualizó el estado a 06. Calidad Finalizado_x000a_30/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2"/>
    <x v="2"/>
    <x v="8"/>
    <m/>
    <m/>
    <m/>
    <m/>
    <m/>
    <s v="2025-I"/>
    <n v="300"/>
    <n v="10"/>
    <s v="QC-403"/>
    <s v="Finalizada"/>
    <s v="Procesado"/>
    <x v="76"/>
    <x v="0"/>
    <m/>
    <m/>
    <s v="Culminado"/>
    <s v="BackOffice"/>
    <s v="Otros Requerimientos"/>
    <x v="1"/>
    <x v="1"/>
    <m/>
    <d v="2026-03-23T00:00:00"/>
    <s v="Culminado"/>
    <s v="Mar 2026"/>
    <m/>
    <s v="Culminado"/>
    <x v="0"/>
    <n v="1"/>
    <s v="PRE"/>
    <s v="NO"/>
    <s v="03. En Desarrollo"/>
    <s v="No aplica"/>
    <s v="IMPLEMENTADO 🔵"/>
    <n v="1"/>
    <n v="1"/>
    <n v="0"/>
    <n v="1"/>
    <d v="2025-05-27T00:00:00"/>
    <d v="2025-05-27T00:00:00"/>
    <d v="2025-12-12T00:00:00"/>
    <d v="2025-12-22T00:00:00"/>
    <d v="2026-02-11T00:00:00"/>
    <d v="2026-02-19T00:00:00"/>
    <d v="2026-03-27T00:00:00"/>
    <n v="140"/>
    <n v="1"/>
    <n v="200"/>
    <m/>
    <s v="4. PRODUCCIÓN"/>
    <m/>
    <m/>
    <n v="0"/>
    <n v="140"/>
    <n v="0"/>
    <n v="1120"/>
    <n v="0"/>
    <x v="4"/>
  </r>
  <r>
    <s v="M0927"/>
    <n v="2657"/>
    <x v="0"/>
    <s v="2025-T0214"/>
    <s v="2025-M0186"/>
    <s v="Extraer información relacionada a maestra de empleados - Dependientes siguiendo el diseño propuesto en el presente documento"/>
    <m/>
    <x v="5"/>
    <s v="Administración de Personal"/>
    <s v="Registro de Personal"/>
    <d v="2025-02-28T00:00:00"/>
    <s v="MEMORANDO N° 00000004 - 2025-BN/2320"/>
    <s v="BNDA-Data Analítica BN"/>
    <s v="Big Data"/>
    <s v="Otros"/>
    <s v="No Aplica"/>
    <s v="No aplica"/>
    <x v="0"/>
    <m/>
    <m/>
    <m/>
    <m/>
    <m/>
    <m/>
    <m/>
    <s v="Normal"/>
    <d v="2025-03-31T00:00:00"/>
    <x v="1"/>
    <s v="FS-Olssa"/>
    <s v="Luis Enrique Almeyda Pachas"/>
    <s v="Juan Carlos Zavaleta"/>
    <x v="1"/>
    <s v="03. Culminado"/>
    <m/>
    <d v="2025-03-05T00:00:00"/>
    <m/>
    <d v="2025-03-05T00:00:00"/>
    <d v="2025-12-12T00:00:00"/>
    <m/>
    <d v="2025-12-22T00:00:00"/>
    <d v="2026-02-11T00:00:00"/>
    <d v="2026-04-03T19:12:00"/>
    <d v="2026-03-18T00:00:00"/>
    <d v="2026-03-23T00:00:00"/>
    <d v="2026-04-10T19:12:00"/>
    <s v="23/03/26: Según CQ, actualizó el estado a 08. Producción Finalizada_x000a_19/03/26: Según CQ, actualizó el estado a 07. En Despliegue_x000a_12/02/26: Según CQ, actualizó el estado a 06. Calidad Finalizado_x000a_28/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01/04/25: Según CQ, actualizó el estado a 03. En Desarrollo_x000a_05/03/2025: Se registró en el Backlog y se creó trámite."/>
    <s v="RRHH"/>
    <s v="AdministraciónPersonal"/>
    <s v="2025-02"/>
    <s v="2025-03"/>
    <s v="2025-12"/>
    <x v="2"/>
    <x v="17"/>
    <s v="Rechazado"/>
    <m/>
    <m/>
    <m/>
    <m/>
    <s v="2025-I"/>
    <n v="383"/>
    <n v="12.766666666666667"/>
    <s v="QC-403"/>
    <s v="Finalizada"/>
    <s v="Procesado"/>
    <x v="77"/>
    <x v="0"/>
    <m/>
    <m/>
    <s v="Culminado"/>
    <s v="BackOffice"/>
    <s v="Otros Requerimientos"/>
    <x v="1"/>
    <x v="1"/>
    <m/>
    <d v="2026-03-23T00:00:00"/>
    <s v="Culminado"/>
    <s v="Mar 2026"/>
    <m/>
    <s v="Culminado"/>
    <x v="0"/>
    <n v="1"/>
    <s v="PRE"/>
    <s v="NO"/>
    <s v="03. En Desarrollo"/>
    <s v="No aplica"/>
    <s v="IMPLEMENTADO 🔵"/>
    <n v="1"/>
    <n v="1"/>
    <n v="0"/>
    <n v="1"/>
    <d v="2025-03-05T00:00:00"/>
    <d v="2025-03-05T00:00:00"/>
    <d v="2025-12-12T00:00:00"/>
    <d v="2025-12-22T00:00:00"/>
    <d v="2026-02-11T00:00:00"/>
    <d v="2026-02-19T00:00:00"/>
    <d v="2026-03-27T00:00:00"/>
    <n v="198"/>
    <n v="1"/>
    <n v="200"/>
    <m/>
    <s v="4. PRODUCCIÓN"/>
    <m/>
    <m/>
    <n v="0"/>
    <n v="198"/>
    <n v="0"/>
    <n v="1584"/>
    <n v="0"/>
    <x v="4"/>
  </r>
  <r>
    <s v="M0944"/>
    <n v="2598"/>
    <x v="0"/>
    <s v="2025-T0332"/>
    <s v="2025-M0618"/>
    <s v="IMPLEMENTACIÓN DEL PRE-CALENDARIO (CRONOGRAMA) DE PAGOS Y EL PRE REGISTRO DE DESEMBOLSO EN EL CRMY"/>
    <s v="Este desarrollo tiene como objetivo minimizar el riesgo de errores manuales en los procesos asociados a la línea de crédito para Instituciones Financieras Intermediarias (IFIs)."/>
    <x v="1"/>
    <s v="Inclusión Financiera"/>
    <s v="Banca Privada"/>
    <d v="2025-02-03T00:00:00"/>
    <s v="MEMORANDO N° 00000005 - 2025-BN/8412"/>
    <s v="CRLA-Créditos – Líneas Aprobadas"/>
    <m/>
    <s v="Otros"/>
    <s v="Préstamos Institucionales"/>
    <s v="No aplica"/>
    <x v="0"/>
    <m/>
    <m/>
    <m/>
    <m/>
    <m/>
    <m/>
    <m/>
    <s v="Normal"/>
    <d v="2025-04-30T00:00:00"/>
    <x v="0"/>
    <m/>
    <s v="Pedro Jose Encalada Huertas"/>
    <s v="Milagros Huamani"/>
    <x v="3"/>
    <s v="04. Paralizado"/>
    <s v="Falta recursos TI"/>
    <d v="2025-04-04T00:00:00"/>
    <m/>
    <d v="2025-09-12T00:00:00"/>
    <m/>
    <m/>
    <m/>
    <m/>
    <s v=""/>
    <m/>
    <m/>
    <s v=""/>
    <s v="23/03/26: Pospuesto por Construcción  por no contar con Recurso TI disponible._x000a_15/12/25: Según CQ, actualizó el estado a 10. Paralizado_x000a_15/09/25: Según CQ, actualizó el estado a 03. En Desarrollo_x000a_04/04/25: Se creó trámite en CQ y se priorizó."/>
    <s v="Productos"/>
    <s v="InclusiónFinanciera"/>
    <s v="2025-02"/>
    <s v="2025-04"/>
    <s v="No definido"/>
    <x v="0"/>
    <x v="1"/>
    <m/>
    <m/>
    <m/>
    <m/>
    <m/>
    <s v="2025-II"/>
    <s v="Sin Fecha Fin Producción"/>
    <s v="No Aplica"/>
    <s v="QC-326"/>
    <s v="Pospuesta"/>
    <s v="Pospuesto"/>
    <x v="78"/>
    <x v="0"/>
    <m/>
    <m/>
    <s v="Sin Fecha"/>
    <s v="Sin Aplicativo"/>
    <s v="Sin Aplicativo"/>
    <x v="1"/>
    <x v="1"/>
    <m/>
    <s v=""/>
    <s v="Sin Fecha"/>
    <s v="No definido"/>
    <m/>
    <s v="Activos"/>
    <x v="0"/>
    <n v="0.12"/>
    <s v="PRE"/>
    <s v="NO"/>
    <s v="03. En Desarrollo"/>
    <s v="No aplica"/>
    <s v="PARALIZADO ⚪"/>
    <s v=""/>
    <n v="0.12"/>
    <s v=""/>
    <s v=""/>
    <m/>
    <m/>
    <m/>
    <m/>
    <m/>
    <m/>
    <d v="2026-08-31T00:00:00"/>
    <n v="25"/>
    <n v="0.1"/>
    <n v="200"/>
    <m/>
    <s v="6. PARALIZADO"/>
    <m/>
    <m/>
    <n v="0.9"/>
    <n v="1"/>
    <n v="24"/>
    <n v="8"/>
    <n v="192"/>
    <x v="5"/>
  </r>
  <r>
    <s v="M0949"/>
    <n v="2713"/>
    <x v="0"/>
    <s v="2025-T0339"/>
    <s v="2025-M0312"/>
    <s v="MEJORAS EN EL CANAL DE PÁGALO Y INCORPORACIÓN DE OSINERGMIN Y CONAFOVICER - Incorporación de nuevas entidades públicas en el canal Págalo.pe - DISEÑO"/>
    <s v="Actualmente existen trámites que solo se recaudan a través de las agencias del BN, lo que obliga a los ciudadanos acercarse a las oficinas de manera presencial a realizar sus pagos, generando pérdida de tiempo y dinero al trasladarse."/>
    <x v="2"/>
    <s v="Canales Alternos"/>
    <s v="Canales Virtuales"/>
    <d v="2025-03-25T00:00:00"/>
    <s v="MEMORANDO N° 00000154 - 2025-BN/3252"/>
    <s v="SOMP – SISTEMA DE OPERACIONES MULTIPAGOS"/>
    <m/>
    <s v="Banca Móvil (APP)"/>
    <s v="No Aplica"/>
    <s v="Pagos "/>
    <x v="0"/>
    <m/>
    <m/>
    <m/>
    <m/>
    <m/>
    <m/>
    <m/>
    <s v="Normal"/>
    <d v="2025-04-30T00:00:00"/>
    <x v="0"/>
    <s v="FS-Indra"/>
    <s v="Angela Rocio Risco Vega/Adolfo Martin Escobar Bustamante/Jorge Lucio Ruedas Fernandez"/>
    <s v="Omar Sarmiento"/>
    <x v="0"/>
    <s v="05. Descartado"/>
    <m/>
    <d v="2025-04-07T00:00:00"/>
    <m/>
    <d v="2025-04-16T00:00:00"/>
    <m/>
    <d v="2025-06-23T00:00:00"/>
    <m/>
    <m/>
    <d v="2025-07-20T04:48:00"/>
    <m/>
    <m/>
    <d v="2025-07-27T04:48:00"/>
    <s v="26/02/2026 El req. fue atendido por la FS llegando hasta el diseño. Se ha creado el mantenimiento 2026- M0008 en la cartera de operaciones donde se culminará la tención._x000a_30/12/2025: Cartera reasignada a Omar Sarmiento_x000a_21/04/25: Según CQ, actualizó el estado a 03. En Desarrollo_x000a_07/04/25: Se creó trámite en CQ_x000a_25/03/25: Se registró en el Backlog."/>
    <s v="B.Digital"/>
    <s v="CanalesAlternos"/>
    <s v="2025-03"/>
    <s v="2025-04"/>
    <s v="No definido"/>
    <x v="0"/>
    <x v="6"/>
    <s v="Entregado"/>
    <d v="2025-04-30T00:00:00"/>
    <d v="2025-06-23T00:00:00"/>
    <d v="2025-06-23T00:00:00"/>
    <m/>
    <s v="2025-II"/>
    <s v="Sin Fecha Fin Producción"/>
    <s v="No Aplica"/>
    <s v="QC-434"/>
    <s v="Finalizada,Finalizada,Finalizada"/>
    <s v="Asignado"/>
    <x v="79"/>
    <x v="0"/>
    <m/>
    <m/>
    <s v="Vencida"/>
    <s v="Pagalo.pe"/>
    <s v="Canales Virtuales"/>
    <x v="5"/>
    <x v="4"/>
    <m/>
    <d v="2025-08-31T00:00:00"/>
    <s v="Vencida"/>
    <s v="Ago 2025"/>
    <m/>
    <s v="Descartado"/>
    <x v="5"/>
    <n v="-0.01"/>
    <s v="PRE"/>
    <s v="NO"/>
    <s v="03. En Desarrollo"/>
    <s v="No aplica"/>
    <s v="Sin Cronograma 🔵"/>
    <s v=""/>
    <n v="-0.01"/>
    <s v=""/>
    <s v=""/>
    <m/>
    <m/>
    <m/>
    <m/>
    <m/>
    <m/>
    <m/>
    <n v="25"/>
    <n v="0.1"/>
    <n v="200"/>
    <s v="BD"/>
    <s v="5. DESCARTADO"/>
    <m/>
    <m/>
    <n v="0.9"/>
    <n v="1"/>
    <n v="24"/>
    <n v="12"/>
    <n v="288"/>
    <x v="0"/>
  </r>
  <r>
    <s v="M0969"/>
    <n v="2750"/>
    <x v="0"/>
    <s v="2025-T0372"/>
    <s v="2025-M0322"/>
    <s v="Apertura de Cuenta de Detracciones en Línea Persona Jurídica"/>
    <m/>
    <x v="0"/>
    <s v="Captaciones y Pagaduría"/>
    <s v="Administración de Cuentas y Pagaduría"/>
    <d v="2024-07-05T00:00:00"/>
    <s v="MEMORANDO N° 00000369 - 2024-BN/3111"/>
    <s v="SIUC-Sistema de Información Unica de Clientes"/>
    <m/>
    <s v="Otros"/>
    <s v="Cuenta Corriente "/>
    <s v="No aplica"/>
    <x v="0"/>
    <m/>
    <m/>
    <m/>
    <s v="No Aplica"/>
    <s v="No Aplica"/>
    <s v="No Aplica"/>
    <s v="No Aplica"/>
    <s v="Normal"/>
    <d v="2025-04-30T00:00:00"/>
    <x v="0"/>
    <s v="FS-Indra"/>
    <s v="Angela Rocio Risco Vega"/>
    <s v="Junior Quicaño"/>
    <x v="5"/>
    <s v="02. En Proceso"/>
    <m/>
    <d v="2025-04-16T00:00:00"/>
    <m/>
    <m/>
    <m/>
    <d v="2025-06-20T00:00:00"/>
    <m/>
    <m/>
    <s v=""/>
    <m/>
    <m/>
    <s v=""/>
    <s v="23/03/26: Según CQ, actualizó el estado a 03. En Desarrollo_x000a_19/03/26: Según CQ, actualizó el estado a 05. En Calidad_x000a_15/01/26: Según CQ, actualizó el estado a 07. En Despliegue_x000a_21/08/25: Según CQ, actualizó el estado a 06. Calidad Finalizado_x000a_18/08/25: Según CQ, actualizó el estado a 05. En Calidad_x000a_11/08/25: Según CQ, actualizó el estado a 04. Desarrollo Finalizado_x000a_23/04/25: Según CQ, actualizó el estado a 03. En Desarrollo_x000a_16/04/2025: Se registró en el Backlog y se generó trámite"/>
    <s v="Operac."/>
    <s v="CaptacionesPagaduría"/>
    <s v="2024-07"/>
    <s v="2025-04"/>
    <s v="No definido"/>
    <x v="0"/>
    <x v="1"/>
    <s v="Entregado"/>
    <d v="2025-05-02T00:00:00"/>
    <d v="2025-06-20T00:00:00"/>
    <d v="2025-06-20T00:00:00"/>
    <m/>
    <s v="2025-II"/>
    <s v="Sin Fechas"/>
    <s v="No Aplica"/>
    <m/>
    <s v="Finalizada"/>
    <s v="Rechazado"/>
    <x v="80"/>
    <x v="0"/>
    <m/>
    <m/>
    <s v="Sin Fecha"/>
    <s v="Clientes (BDUC)"/>
    <s v="Canales Presenciales"/>
    <x v="1"/>
    <x v="1"/>
    <m/>
    <s v=""/>
    <s v="Sin Fecha"/>
    <s v="No definido"/>
    <m/>
    <s v="Activos"/>
    <x v="0"/>
    <n v="0.45"/>
    <s v="PRE"/>
    <s v="NO"/>
    <s v="06. Calidad Finalizado"/>
    <s v="SI"/>
    <s v="ATRASADO 🔴"/>
    <n v="1"/>
    <n v="0.45"/>
    <n v="0.55000000000000004"/>
    <n v="0.45"/>
    <d v="2025-04-22T00:00:00"/>
    <d v="2025-04-22T00:00:00"/>
    <d v="2025-08-08T00:00:00"/>
    <d v="2025-08-15T00:00:00"/>
    <d v="2025-08-20T00:00:00"/>
    <d v="2026-01-14T00:00:00"/>
    <d v="2026-04-27T00:00:00"/>
    <n v="76"/>
    <n v="1"/>
    <n v="152"/>
    <m/>
    <s v="1. DESARROLLO"/>
    <m/>
    <m/>
    <n v="0"/>
    <n v="76"/>
    <n v="0"/>
    <n v="152"/>
    <n v="0"/>
    <x v="1"/>
  </r>
  <r>
    <s v="M0971"/>
    <n v="2726"/>
    <x v="0"/>
    <s v="2025-T0314"/>
    <s v="2025-M0653"/>
    <s v="Proceso para la eliminación automática de firmas Saraweb Branch – MEF_x000a_(Batch/Mainframe)"/>
    <m/>
    <x v="0"/>
    <s v="Captaciones y Pagaduría"/>
    <s v="Apertura de Cuentas"/>
    <d v="2024-09-20T00:00:00"/>
    <s v="MEMORANDO N° 00000571 -2024-BN/3111"/>
    <s v="SIGN- Registro de Firmas"/>
    <m/>
    <s v="Saraweb Sign"/>
    <s v="Cuenta Corriente "/>
    <s v="No aplica"/>
    <x v="0"/>
    <m/>
    <s v="No Aplica"/>
    <s v="No Aplica"/>
    <s v="No Aplica"/>
    <s v="No Aplica"/>
    <s v="No Aplica"/>
    <s v="No Aplica"/>
    <s v="Normal"/>
    <d v="2025-04-30T00:00:00"/>
    <x v="0"/>
    <s v="FS-Olssa"/>
    <s v="Rossana Rojas Alvaro"/>
    <s v="Junior Quicaño"/>
    <x v="5"/>
    <s v="02. En Proceso"/>
    <m/>
    <d v="2025-04-01T00:00:00"/>
    <d v="2025-11-03T00:00:00"/>
    <d v="2025-09-30T00:00:00"/>
    <d v="2025-12-22T00:00:00"/>
    <d v="2025-12-31T00:00:00"/>
    <d v="2026-01-19T00:00:00"/>
    <d v="2026-01-27T00:00:00"/>
    <d v="2026-02-05T19:12:00"/>
    <d v="2026-01-28T00:00:00"/>
    <m/>
    <d v="2026-02-12T19:12:00"/>
    <s v="02/02/26: Según CQ, actualizó el estado a 03. En Desarrollo_x000a_30/01/26: Según CQ, actualizó el estado a 07. En Despliegue_x000a_28/01/26: Según CQ, actualizó el estado a 06. Calidad Finalizado_x000a_05/01/26: Según CQ, actualizó el estado a 05. En Calidad_x000a_24/12/25: Según CQ, actualizó el estado a 04. Desarrollo Finalizado_x000a_01/10/25: Según CQ, actualizó el estado a 03. En Desarrollo_x000a_01/04/2025: Se registró en el Backlog y se generó trámite"/>
    <s v="Operac."/>
    <s v="CaptacionesPagaduría"/>
    <s v="2024-09"/>
    <s v="2025-04"/>
    <s v="2025-12"/>
    <x v="0"/>
    <x v="2"/>
    <m/>
    <m/>
    <m/>
    <m/>
    <m/>
    <s v="2025-II"/>
    <s v="Sin Fecha Fin Producción"/>
    <s v="No Aplica"/>
    <s v="QC-250"/>
    <s v="Finalizada"/>
    <s v="Asignado"/>
    <x v="81"/>
    <x v="0"/>
    <m/>
    <m/>
    <s v="Vencida"/>
    <s v="Sin Aplicativo"/>
    <s v="Sin Aplicativo"/>
    <x v="1"/>
    <x v="1"/>
    <m/>
    <s v=""/>
    <s v="Sin Fecha"/>
    <s v="No definido"/>
    <m/>
    <s v="Activos"/>
    <x v="0"/>
    <n v="0.15"/>
    <s v="PRE"/>
    <s v="NO"/>
    <s v="03. En Desarrollo"/>
    <s v="SI"/>
    <s v="EN CURSO 🟢"/>
    <n v="0.15"/>
    <n v="0.15"/>
    <n v="0"/>
    <n v="1"/>
    <d v="2025-09-30T00:00:00"/>
    <d v="2026-03-02T00:00:00"/>
    <d v="2026-06-30T00:00:00"/>
    <d v="2026-07-01T00:00:00"/>
    <d v="2026-07-31T00:00:00"/>
    <d v="2026-08-03T00:00:00"/>
    <d v="2026-08-07T00:00:00"/>
    <n v="85"/>
    <n v="0.63218390804597702"/>
    <n v="170"/>
    <m/>
    <s v="1. DESARROLLO"/>
    <m/>
    <m/>
    <n v="0.36781609195402298"/>
    <n v="54"/>
    <n v="31"/>
    <n v="108"/>
    <n v="62"/>
    <x v="5"/>
  </r>
  <r>
    <s v="M0972"/>
    <n v="2746"/>
    <x v="0"/>
    <s v="2025-T0364"/>
    <s v="2025-M0298"/>
    <s v="Desactivación del servicio BIM relacionado a la Cuenta DNI"/>
    <s v="La desactivación del servicio BIM relacionado a la Cuenta DNI, por estar en trámite la resolución de contrato con el proveedor del servicio."/>
    <x v="2"/>
    <s v="Canales Alternos"/>
    <s v="Canales Virtuales"/>
    <d v="2025-04-10T00:00:00"/>
    <s v="MEMORANDO N° 00000042 - 2025-BN/7901"/>
    <s v="PCDI-Proyecto Cuenta DNI"/>
    <m/>
    <s v="Otros"/>
    <s v="No Aplica"/>
    <s v="No aplica"/>
    <x v="0"/>
    <m/>
    <m/>
    <m/>
    <m/>
    <m/>
    <m/>
    <m/>
    <s v="Normal"/>
    <d v="2025-04-30T00:00:00"/>
    <x v="0"/>
    <s v="Analista-BN"/>
    <s v="Angela Rocio Risco Vega"/>
    <s v="Omar Sarmiento"/>
    <x v="1"/>
    <s v="03. Culminado"/>
    <m/>
    <d v="2025-04-10T00:00:00"/>
    <m/>
    <d v="2025-04-10T00:00:00"/>
    <m/>
    <m/>
    <m/>
    <m/>
    <s v=""/>
    <d v="2025-04-16T00:00:00"/>
    <d v="2026-01-13T00:00:00"/>
    <s v=""/>
    <s v="14/01/26: Según CQ, actualizó el estado a 08. Producción Finalizada_x000a_30/12/2025: Cartera reasignada a Omar Sarmiento_x000a_23/04/25: Según CQ, actualizó el estado a 07. En Despliegue_x000a_10/04/2025: Se registró en el Backlog y se generó trámite"/>
    <s v="B.Digital"/>
    <s v="CanalesAlternos"/>
    <s v="2025-04"/>
    <s v="2025-04"/>
    <s v="No definido"/>
    <x v="4"/>
    <x v="1"/>
    <m/>
    <m/>
    <m/>
    <m/>
    <m/>
    <s v="2025-II"/>
    <n v="278"/>
    <n v="9.2666666666666675"/>
    <s v="QC-95"/>
    <s v="Finalizada"/>
    <s v="Transitorio_Procesado"/>
    <x v="82"/>
    <x v="0"/>
    <m/>
    <m/>
    <s v="Culminado"/>
    <s v="Cuenta DNI"/>
    <s v="Canales Virtuales"/>
    <x v="1"/>
    <x v="1"/>
    <m/>
    <d v="2026-01-13T00:00:00"/>
    <s v="Culminado"/>
    <s v="Ene 2026"/>
    <m/>
    <s v="Culminado"/>
    <x v="0"/>
    <n v="1"/>
    <s v="PRE"/>
    <s v="NO"/>
    <s v="07. En Despliegue"/>
    <s v="No aplica"/>
    <s v="IMPLEMENTADO 🔵"/>
    <n v="1"/>
    <n v="1"/>
    <n v="0"/>
    <n v="1"/>
    <d v="2025-04-10T00:00:00"/>
    <d v="2025-04-10T00:00:00"/>
    <s v=""/>
    <s v=""/>
    <s v=""/>
    <d v="2025-04-16T00:00:00"/>
    <d v="2026-01-13T00:00:00"/>
    <n v="25"/>
    <n v="0.1"/>
    <n v="200"/>
    <m/>
    <s v="4. PRODUCCIÓN"/>
    <m/>
    <m/>
    <n v="0.9"/>
    <n v="1"/>
    <n v="24"/>
    <n v="8"/>
    <n v="192"/>
    <x v="9"/>
  </r>
  <r>
    <s v="M1018"/>
    <n v="2768"/>
    <x v="0"/>
    <s v="2025-T0306"/>
    <s v="2025-M0268"/>
    <s v="CORRECCION DE LA DESCRIPCION QUE CONTIENE EL CAMPO CENTRO DE LABORES"/>
    <m/>
    <x v="0"/>
    <s v="Captaciones y Pagaduría"/>
    <s v="Apertura de Cuentas"/>
    <m/>
    <s v="Correo s/n"/>
    <s v="SIUC-Sistema de Información Unica de Clientes"/>
    <m/>
    <s v="Otros"/>
    <s v="No Aplica"/>
    <s v="No aplica"/>
    <x v="1"/>
    <m/>
    <m/>
    <m/>
    <m/>
    <m/>
    <m/>
    <m/>
    <s v="Regularizado"/>
    <d v="2025-04-30T00:00:00"/>
    <x v="0"/>
    <s v="FS-Indra"/>
    <s v="Johnny Luis Rocca Surco"/>
    <s v="Junior Quicaño"/>
    <x v="1"/>
    <s v="03. Culminado"/>
    <m/>
    <d v="2025-03-27T00:00:00"/>
    <m/>
    <d v="2025-03-27T00:00:00"/>
    <d v="2025-07-25T00:00:00"/>
    <d v="2025-07-31T00:00:00"/>
    <d v="2025-07-28T00:00:00"/>
    <d v="2025-08-08T00:00:00"/>
    <d v="2025-09-19T09:36:00"/>
    <d v="2025-09-05T00:00:00"/>
    <d v="2026-03-10T00:00:00"/>
    <d v="2025-09-26T09:36:00"/>
    <s v="11/03/26: Según CQ, actualizó el estado a 08. Producción Finalizada_x000a_03/03/26: Según CQ, actualizó el estado a 07. En Despliegue_x000a_08/09/25: Según CQ, actualizó el estado a 07. En Despliegue_x000a_07/05/25: Según CQ, actualizó el estado a 03. En Desarrollo_x000a_29/04/2025: Se regularizó requerimiento en el Backlog."/>
    <s v="Operac."/>
    <s v="CaptacionesPagaduría"/>
    <s v="No definido"/>
    <s v="2025-04"/>
    <s v="2025-07"/>
    <x v="2"/>
    <x v="7"/>
    <s v="Entregado"/>
    <d v="2025-04-15T00:00:00"/>
    <d v="2025-07-31T00:00:00"/>
    <d v="2025-07-31T00:00:00"/>
    <m/>
    <s v="2025-II"/>
    <n v="348"/>
    <n v="11.6"/>
    <m/>
    <s v="Finalizada"/>
    <s v="Transitorio_Procesado"/>
    <x v="83"/>
    <x v="0"/>
    <m/>
    <m/>
    <s v="Culminado"/>
    <s v="Clientes (BDUC)"/>
    <s v="Canales Presenciales"/>
    <x v="1"/>
    <x v="1"/>
    <m/>
    <d v="2026-03-10T00:00:00"/>
    <s v="Culminado"/>
    <s v="Mar 2026"/>
    <m/>
    <s v="Culminado"/>
    <x v="0"/>
    <n v="1"/>
    <s v="PRE"/>
    <s v="NO"/>
    <s v="07. En Despliegue"/>
    <s v="No aplica"/>
    <s v="IMPLEMENTADO 🔵"/>
    <n v="1"/>
    <n v="1"/>
    <n v="0"/>
    <n v="1"/>
    <d v="2025-03-27T00:00:00"/>
    <d v="2025-03-27T00:00:00"/>
    <d v="2025-07-25T00:00:00"/>
    <d v="2025-07-28T00:00:00"/>
    <d v="2025-08-08T00:00:00"/>
    <d v="2025-09-05T00:00:00"/>
    <d v="2026-03-27T00:00:00"/>
    <n v="86"/>
    <n v="1"/>
    <n v="200"/>
    <m/>
    <s v="4. PRODUCCIÓN"/>
    <m/>
    <m/>
    <n v="0"/>
    <n v="86"/>
    <n v="0"/>
    <n v="688"/>
    <n v="0"/>
    <x v="4"/>
  </r>
  <r>
    <s v="M1020"/>
    <n v="2770"/>
    <x v="0"/>
    <s v="2025-T0290"/>
    <s v="2025-M0255"/>
    <s v="Optimización de accesos y procesos de SIGA"/>
    <m/>
    <x v="0"/>
    <s v="Caja y Valores"/>
    <s v="Caja y Valores en Custodia"/>
    <m/>
    <m/>
    <s v="TMIN-Tarjeta Multired Interfaces"/>
    <m/>
    <s v="Otros"/>
    <s v="No Aplica"/>
    <s v="No aplica"/>
    <x v="0"/>
    <m/>
    <s v="No Aplica"/>
    <s v="No Aplica"/>
    <s v="No Aplica"/>
    <s v="No Aplica"/>
    <s v="No Aplica"/>
    <s v="No Aplica"/>
    <s v="Regularizado"/>
    <d v="2025-04-30T00:00:00"/>
    <x v="0"/>
    <s v="Analista-BN"/>
    <s v="Eduardo Saul Cardenas Manrique"/>
    <s v="Junior Quicaño"/>
    <x v="4"/>
    <s v="02. En Proceso"/>
    <m/>
    <d v="2025-03-25T00:00:00"/>
    <d v="2025-11-03T00:00:00"/>
    <d v="2025-03-25T00:00:00"/>
    <m/>
    <d v="2026-01-30T00:00:00"/>
    <m/>
    <m/>
    <d v="2026-06-03T09:36:00"/>
    <d v="2026-04-14T00:00:00"/>
    <m/>
    <d v="2026-06-10T09:36:00"/>
    <s v="15/04/26: Según CQ, actualizó el estado a 07. En Despliegue_x000a_07/05/25: Según CQ, actualizó el estado a 03. En Desarrollo_x000a_29/04/2025: Se regularizó requerimiento en el Backlog."/>
    <s v="Operac."/>
    <s v="CajaValores"/>
    <s v="No definido"/>
    <s v="2025-04"/>
    <s v="No definido"/>
    <x v="0"/>
    <x v="27"/>
    <m/>
    <m/>
    <m/>
    <m/>
    <m/>
    <s v="2025-II"/>
    <s v="Sin Fecha Fin Producción"/>
    <s v="No Aplica"/>
    <m/>
    <s v="Finalizada"/>
    <s v="Trasitorio_autorizado"/>
    <x v="84"/>
    <x v="0"/>
    <m/>
    <m/>
    <s v="2026-Q2"/>
    <s v="ATM-Agentes-VISA"/>
    <s v="Canales Presenciales"/>
    <x v="1"/>
    <x v="1"/>
    <m/>
    <d v="2026-06-10T09:36:00"/>
    <s v="2026-2"/>
    <s v="Jun 2026"/>
    <m/>
    <s v="Activos"/>
    <x v="0"/>
    <n v="0.9"/>
    <s v="PRE"/>
    <s v="NO"/>
    <s v="03. En Desarrollo"/>
    <s v="SI"/>
    <s v="ATRASADO 🔴"/>
    <n v="1"/>
    <n v="0.9"/>
    <n v="9.9999999999999978E-2"/>
    <n v="0.9"/>
    <d v="2025-11-03T00:00:00"/>
    <d v="2026-03-02T00:00:00"/>
    <d v="2026-03-09T00:00:00"/>
    <d v="2026-03-11T00:00:00"/>
    <d v="2026-04-06T00:00:00"/>
    <d v="2026-04-07T00:00:00"/>
    <d v="2026-04-13T00:00:00"/>
    <n v="6"/>
    <n v="1"/>
    <n v="200"/>
    <m/>
    <s v="3. DESPLIEGUE"/>
    <m/>
    <m/>
    <n v="0"/>
    <n v="6"/>
    <n v="0"/>
    <n v="48"/>
    <n v="0"/>
    <x v="1"/>
  </r>
  <r>
    <s v="M1021"/>
    <n v="2772"/>
    <x v="0"/>
    <s v="2025-T0345"/>
    <s v="2025-M0293"/>
    <s v="MC: BN y  SEDAPAL, adecuar los digitos de referencia de 7 Digitos, para facilitar los datos en el archivo conciliatorio y continuar con la cobranza"/>
    <m/>
    <x v="0"/>
    <s v="Servicios Bancarios y Recaudación"/>
    <s v="Recaudación y Corresponsalía"/>
    <m/>
    <m/>
    <s v="RECA-Recaudacion"/>
    <m/>
    <s v="Agencias"/>
    <s v="No Aplica"/>
    <s v="Servicios Bancarios Diversos "/>
    <x v="0"/>
    <m/>
    <m/>
    <m/>
    <m/>
    <m/>
    <m/>
    <m/>
    <s v="Regularizado"/>
    <d v="2025-04-30T00:00:00"/>
    <x v="0"/>
    <s v="Analista-BN"/>
    <s v="Jorge Lucio Ruedas Fernandez"/>
    <s v="Junior Quicaño"/>
    <x v="1"/>
    <s v="03. Culminado"/>
    <m/>
    <d v="2025-04-08T00:00:00"/>
    <m/>
    <d v="2025-04-09T00:00:00"/>
    <d v="2025-04-10T00:00:00"/>
    <m/>
    <m/>
    <m/>
    <d v="2025-04-10T09:36:00"/>
    <d v="2025-04-10T00:00:00"/>
    <d v="2026-01-13T00:00:00"/>
    <d v="2025-04-17T09:36:00"/>
    <s v="14/01/26: Según CQ, actualizó el estado a 08. Producción Finalizada_x000a_07/05/25: Según CQ, actualizó el estado a 07. En Despliegue_x000a_29/04/2025: Se regularizó requerimiento en el Backlog."/>
    <s v="Operac."/>
    <s v="BancariosRecaudación"/>
    <s v="No definido"/>
    <s v="2025-04"/>
    <s v="2025-04"/>
    <x v="4"/>
    <x v="11"/>
    <m/>
    <m/>
    <m/>
    <m/>
    <m/>
    <s v="2025-II"/>
    <n v="279"/>
    <n v="9.3000000000000007"/>
    <m/>
    <s v="Finalizada"/>
    <s v="Transitorio_Procesado"/>
    <x v="85"/>
    <x v="0"/>
    <m/>
    <m/>
    <s v="Culminado"/>
    <s v="BackOffice"/>
    <s v="Otros Requerimientos"/>
    <x v="1"/>
    <x v="1"/>
    <m/>
    <d v="2026-01-13T00:00:00"/>
    <s v="Culminado"/>
    <s v="Ene 2026"/>
    <m/>
    <s v="Culminado"/>
    <x v="0"/>
    <n v="1"/>
    <s v="PRE"/>
    <s v="NO"/>
    <s v="07. En Despliegue"/>
    <s v="No aplica"/>
    <s v="IMPLEMENTADO 🔵"/>
    <n v="1"/>
    <n v="1"/>
    <n v="0"/>
    <n v="1"/>
    <d v="2025-04-09T00:00:00"/>
    <d v="2025-04-09T00:00:00"/>
    <d v="2025-08-08T00:00:00"/>
    <s v=""/>
    <s v=""/>
    <d v="2025-04-10T00:00:00"/>
    <d v="2026-01-13T00:00:00"/>
    <n v="85"/>
    <n v="1"/>
    <n v="200"/>
    <m/>
    <s v="4. PRODUCCIÓN"/>
    <m/>
    <m/>
    <n v="0"/>
    <n v="85"/>
    <n v="0"/>
    <n v="680"/>
    <n v="0"/>
    <x v="9"/>
  </r>
  <r>
    <s v="M1023"/>
    <n v="2774"/>
    <x v="0"/>
    <s v="2025-T0367"/>
    <s v="2025-M0301"/>
    <s v="ME: ATENCION DE FUNCIONALIDADES QUE FUERON RE - PRIORIZADOS COBN LA FINALIDAD DE CULMINAR EL PRODUCTO MINIMO VIABLE (MVP) DE LA APLICACION SAHE HORAS EXTRAS"/>
    <m/>
    <x v="5"/>
    <s v="Compensaciones"/>
    <s v="Aplicación y Control de Planillas"/>
    <m/>
    <s v="Correo s/n"/>
    <s v="SAHE-Sistema de Administracion Horas Extras"/>
    <m/>
    <s v="Otros"/>
    <s v="No Aplica"/>
    <s v="No aplica"/>
    <x v="0"/>
    <m/>
    <m/>
    <m/>
    <m/>
    <m/>
    <m/>
    <m/>
    <s v="Regularizado"/>
    <d v="2025-04-30T00:00:00"/>
    <x v="1"/>
    <s v="Analista-BN"/>
    <s v="Darwin Ander Valenzuela Ñiquen"/>
    <s v="Juan Carlos Zavaleta"/>
    <x v="5"/>
    <s v="02. En Proceso"/>
    <s v="Falta recursos TI"/>
    <d v="2025-04-10T00:00:00"/>
    <m/>
    <d v="2026-05-04T00:00:00"/>
    <d v="2025-11-21T00:00:00"/>
    <m/>
    <d v="2025-11-25T00:00:00"/>
    <m/>
    <d v="2025-09-16T09:36:00"/>
    <m/>
    <m/>
    <d v="2025-09-23T09:36:00"/>
    <s v="05/05/26: Según CQ, actualizó el estado a 03. En Desarrollo_x000a_27/02/26: Según CQ, actualizó el estado a 10. Paralizado_x000a_15/01/26: Según CQ, actualizó el estado a 03. En Desarrollo_x000a_26/11/25: Según CQ, actualizó el estado a 05. En Calidad_x000a_24/11/25: Según CQ, actualizó el estado a 04. Desarrollo Finalizado_x000a_15/07/25: Según CQ, actualizó el estado a 03. En Desarrollo_x000a_17/06/2025: Se cambia de gestor de TI de Omar S. a Juan Carlos Z._x000a_29/04/2025: Se regularizó requerimiento en el Backlog."/>
    <s v="RRHH"/>
    <s v="Compensaciones"/>
    <s v="No definido"/>
    <s v="2025-04"/>
    <s v="2025-11"/>
    <x v="0"/>
    <x v="7"/>
    <m/>
    <m/>
    <m/>
    <m/>
    <m/>
    <s v="2025-II"/>
    <s v="Sin Fecha Fin Producción"/>
    <s v="No Aplica"/>
    <m/>
    <s v="Finalizada"/>
    <s v="Asignado"/>
    <x v="86"/>
    <x v="0"/>
    <m/>
    <m/>
    <s v="Vencida"/>
    <s v="BackOffice"/>
    <s v="Otros Requerimientos"/>
    <x v="1"/>
    <x v="1"/>
    <m/>
    <s v=""/>
    <s v="Sin Fecha"/>
    <s v="No definido"/>
    <m/>
    <s v="Activos"/>
    <x v="0"/>
    <n v="0.15"/>
    <s v="PRE"/>
    <s v="NO"/>
    <s v="03. En Desarrollo"/>
    <s v="SI"/>
    <s v="ATRASADO 🔴"/>
    <n v="0.75324675324675328"/>
    <n v="0.15"/>
    <n v="0.60324675324675325"/>
    <n v="0.19913793103448274"/>
    <m/>
    <d v="2026-02-25T00:00:00"/>
    <d v="2026-05-08T00:00:00"/>
    <d v="2026-05-09T00:00:00"/>
    <d v="2026-06-05T00:00:00"/>
    <d v="2026-06-06T00:00:00"/>
    <d v="2026-06-12T00:00:00"/>
    <n v="52"/>
    <n v="1"/>
    <n v="416"/>
    <m/>
    <s v="1. DESARROLLO"/>
    <m/>
    <m/>
    <n v="0"/>
    <n v="52"/>
    <n v="0"/>
    <n v="416"/>
    <n v="0"/>
    <x v="6"/>
  </r>
  <r>
    <s v="M1024"/>
    <n v="2775"/>
    <x v="0"/>
    <s v="2025-T0323"/>
    <s v="2025-M0282"/>
    <s v="REPORTE DIARIO EN OPERACIONES EN CUENTAS CORRIENTES"/>
    <m/>
    <x v="0"/>
    <s v="Captaciones y Pagaduría"/>
    <s v="Apertura de Cuentas"/>
    <m/>
    <s v="Correo s/n"/>
    <s v="SICT-Sistema de Informacón de Cuentas Corrientes"/>
    <m/>
    <s v="Otros"/>
    <s v="Cuenta Corriente "/>
    <s v="No aplica"/>
    <x v="1"/>
    <m/>
    <s v="No Aplica"/>
    <s v="No Aplica"/>
    <s v="No Aplica"/>
    <s v="No Aplica"/>
    <s v="No Aplica"/>
    <s v="No Aplica"/>
    <s v="Regularizado"/>
    <d v="2025-04-30T00:00:00"/>
    <x v="0"/>
    <s v="FS-Olssa"/>
    <s v="Eduardo Saul Cardenas Manrique"/>
    <s v="Junior Quicaño"/>
    <x v="5"/>
    <s v="02. En Proceso"/>
    <m/>
    <d v="2025-04-03T00:00:00"/>
    <d v="2025-11-03T00:00:00"/>
    <d v="2025-04-03T00:00:00"/>
    <m/>
    <d v="2025-12-31T00:00:00"/>
    <m/>
    <m/>
    <d v="2026-04-18T19:12:00"/>
    <m/>
    <m/>
    <d v="2026-04-25T19:12:00"/>
    <s v="07/05/25: Según CQ, actualizó el estado a 03. En Desarrollo_x000a_29/04/2025: Se regularizó requerimiento en el Backlog."/>
    <s v="Operac."/>
    <s v="CaptacionesPagaduría"/>
    <s v="No definido"/>
    <s v="2025-04"/>
    <s v="No definido"/>
    <x v="0"/>
    <x v="17"/>
    <m/>
    <m/>
    <m/>
    <m/>
    <m/>
    <s v="2025-II"/>
    <s v="Sin Fecha Fin Producción"/>
    <s v="No Aplica"/>
    <s v="QC-317"/>
    <s v="Finalizada"/>
    <s v="Asignado"/>
    <x v="87"/>
    <x v="0"/>
    <m/>
    <m/>
    <s v="Vencida"/>
    <s v="BackOffice"/>
    <s v="Otros Requerimientos"/>
    <x v="1"/>
    <x v="1"/>
    <m/>
    <s v=""/>
    <s v="Sin Fecha"/>
    <s v="No definido"/>
    <m/>
    <s v="Activos"/>
    <x v="0"/>
    <n v="0.15"/>
    <s v="PRE"/>
    <s v="NO"/>
    <s v="03. En Desarrollo"/>
    <s v="SI"/>
    <s v="ATRASADO 🔴"/>
    <n v="1"/>
    <n v="0.15"/>
    <n v="0.85"/>
    <n v="0.15"/>
    <d v="2025-11-03T00:00:00"/>
    <d v="2026-03-02T00:00:00"/>
    <d v="2026-03-09T00:00:00"/>
    <d v="2026-03-11T00:00:00"/>
    <d v="2026-04-10T00:00:00"/>
    <d v="2026-04-13T00:00:00"/>
    <d v="2026-04-17T00:00:00"/>
    <n v="6"/>
    <n v="1"/>
    <n v="6.8571428571428568"/>
    <m/>
    <s v="1. DESARROLLO"/>
    <m/>
    <m/>
    <n v="0"/>
    <n v="6"/>
    <n v="0"/>
    <n v="6.8571428571428568"/>
    <n v="0"/>
    <x v="1"/>
  </r>
  <r>
    <s v="M1025"/>
    <n v="2776"/>
    <x v="0"/>
    <s v="2025-T0365"/>
    <s v="2025-M0299"/>
    <s v="ACTUALIZAR LAS CARPETAS DE ENTRADA DIFERIDAS."/>
    <m/>
    <x v="8"/>
    <s v="Construcción de Aplicaciones"/>
    <s v="Sistemas Bancarios"/>
    <m/>
    <m/>
    <s v="PCDI-Proyecto Cuenta DNI"/>
    <m/>
    <s v="Otros"/>
    <s v="No Aplica"/>
    <s v="No aplica"/>
    <x v="0"/>
    <m/>
    <m/>
    <m/>
    <m/>
    <m/>
    <m/>
    <m/>
    <s v="Regularizado"/>
    <d v="2025-04-30T00:00:00"/>
    <x v="0"/>
    <s v="Analista-BN"/>
    <s v="Angela Rocio Risco Vega"/>
    <s v="Tomas Calvera"/>
    <x v="4"/>
    <s v="02. En Proceso"/>
    <m/>
    <d v="2025-04-10T00:00:00"/>
    <m/>
    <d v="2025-04-10T00:00:00"/>
    <d v="2025-04-13T00:00:00"/>
    <m/>
    <d v="2025-04-14T00:00:00"/>
    <d v="2025-04-15T00:00:00"/>
    <d v="2025-04-14T04:48:00"/>
    <d v="2025-04-16T00:00:00"/>
    <m/>
    <d v="2025-04-21T04:48:00"/>
    <s v="04/02/2026: Cartera reasignada a Tomas Calvera_x000a_05/09/2025: Cartera reasignada a Omar Sarmiento_x000a_11/08/2025: Cartera reasignada a Percy Silva_x000a_07/05/25: Según CQ, actualizó el estado a 07. En Despliegue_x000a_29/04/2025: Se regularizó requerimiento en el Backlog."/>
    <s v="TI"/>
    <s v="ConstrucciónAplicaciones"/>
    <s v="No definido"/>
    <s v="2025-04"/>
    <s v="2025-04"/>
    <x v="0"/>
    <x v="11"/>
    <m/>
    <m/>
    <m/>
    <m/>
    <m/>
    <s v="2025-II"/>
    <s v="Sin Fecha Fin Producción"/>
    <s v="No Aplica"/>
    <m/>
    <s v="Finalizada"/>
    <s v="Trasitorio_autorizado"/>
    <x v="88"/>
    <x v="0"/>
    <m/>
    <m/>
    <s v="Vencida"/>
    <s v="Cuenta DNI"/>
    <s v="Canales Virtuales"/>
    <x v="1"/>
    <x v="1"/>
    <m/>
    <s v=""/>
    <s v="Sin Fecha"/>
    <s v="No definido"/>
    <m/>
    <s v="Activos"/>
    <x v="0"/>
    <n v="0.9"/>
    <s v="PRE"/>
    <s v="NO"/>
    <s v="07. En Despliegue"/>
    <s v="SI"/>
    <s v="ATRASADO 🔴"/>
    <n v="1"/>
    <n v="0.9"/>
    <n v="9.9999999999999978E-2"/>
    <n v="0.9"/>
    <d v="2025-04-10T00:00:00"/>
    <d v="2025-04-10T00:00:00"/>
    <d v="2025-04-13T00:00:00"/>
    <d v="2025-04-14T00:00:00"/>
    <d v="2025-04-15T00:00:00"/>
    <d v="2025-04-16T00:00:00"/>
    <d v="2026-03-27T00:00:00"/>
    <n v="2"/>
    <n v="1"/>
    <n v="200"/>
    <m/>
    <s v="3. DESPLIEGUE"/>
    <m/>
    <m/>
    <n v="0"/>
    <n v="2"/>
    <n v="0"/>
    <n v="16"/>
    <n v="0"/>
    <x v="4"/>
  </r>
  <r>
    <s v="M1030"/>
    <n v="2782"/>
    <x v="0"/>
    <s v="2025-T0388"/>
    <s v="2025-M0328"/>
    <s v="ME: MIGRACION Y MEJORA DEL APLICATIVO WEB POAD ADMINISTRACION PORTAL DEL EMPLEADO - FASE II"/>
    <m/>
    <x v="5"/>
    <s v="Desarrollo del Talento"/>
    <s v="Cultura Organizacional"/>
    <m/>
    <s v="Correo s/n"/>
    <s v="POAD_Administración_Portal_Empleado"/>
    <m/>
    <s v="Otros"/>
    <s v="No Aplica"/>
    <s v="Oficinas Compartidas "/>
    <x v="1"/>
    <m/>
    <m/>
    <m/>
    <m/>
    <m/>
    <m/>
    <m/>
    <s v="Regularizado"/>
    <d v="2025-04-30T00:00:00"/>
    <x v="1"/>
    <m/>
    <s v="Paul Alminagorta Cabezas"/>
    <s v="Juan Carlos Zavaleta"/>
    <x v="5"/>
    <s v="02. En Proceso"/>
    <m/>
    <d v="2025-04-24T00:00:00"/>
    <m/>
    <d v="2025-11-26T00:00:00"/>
    <d v="2025-08-22T00:00:00"/>
    <m/>
    <d v="2025-10-02T00:00:00"/>
    <m/>
    <d v="2025-07-14T14:24:00"/>
    <m/>
    <m/>
    <d v="2025-07-21T14:24:00"/>
    <s v="03/10/25: Según CQ, actualizó el estado a 03. En Desarrollo_x000a_25/08/25: Según CQ, actualizó el estado a 05. En Calidad_x000a_14/08/25: Según CQ, actualizó el estado a 03. En Desarrollo_x000a_17/06/2025: Se cambia de gestor de TI de Omar S. a Juan Carlos Z._x000a_29/04/2025: Se regularizó requerimiento en el Backlog."/>
    <s v="RRHH"/>
    <s v="DesarrolloTalento"/>
    <s v="No definido"/>
    <s v="2025-04"/>
    <s v="2025-08"/>
    <x v="0"/>
    <x v="6"/>
    <m/>
    <m/>
    <m/>
    <m/>
    <m/>
    <s v="2025-II"/>
    <s v="Sin Fecha Fin Producción"/>
    <s v="No Aplica"/>
    <m/>
    <s v="Finalizada"/>
    <s v="Asignado"/>
    <x v="89"/>
    <x v="0"/>
    <m/>
    <m/>
    <s v="Vencida"/>
    <s v="BackOffice"/>
    <s v="Otros Requerimientos"/>
    <x v="1"/>
    <x v="1"/>
    <m/>
    <s v=""/>
    <s v="Sin Fecha"/>
    <s v="No definido"/>
    <m/>
    <s v="Activos"/>
    <x v="0"/>
    <n v="0.15"/>
    <s v="PRE"/>
    <s v="NO"/>
    <s v="03. En Desarrollo"/>
    <s v="SI"/>
    <s v="EN CURSO 🟢"/>
    <n v="1.282051282051282E-2"/>
    <n v="0.15"/>
    <n v="-0.13717948717948716"/>
    <n v="1.2"/>
    <d v="2026-05-18T00:00:00"/>
    <d v="2026-05-18T00:00:00"/>
    <d v="2026-07-31T00:00:00"/>
    <d v="2026-08-01T00:00:00"/>
    <d v="2026-08-20T00:00:00"/>
    <d v="2026-09-01T00:00:00"/>
    <d v="2026-09-07T00:00:00"/>
    <n v="52"/>
    <n v="-1.8181818181818181E-2"/>
    <n v="83.2"/>
    <m/>
    <s v="1. DESARROLLO"/>
    <m/>
    <m/>
    <n v="1.0181818181818181"/>
    <n v="1"/>
    <n v="51"/>
    <n v="1.6"/>
    <n v="81.600000000000009"/>
    <x v="2"/>
  </r>
  <r>
    <s v="M1031"/>
    <n v="2783"/>
    <x v="0"/>
    <s v="2025-T0302"/>
    <s v="2025-M0266"/>
    <s v="MC: Migración del servicio de transmisión en linea de Host a ambiente distribuido - PAGALO.PE"/>
    <m/>
    <x v="8"/>
    <s v="Construcción de Aplicaciones"/>
    <s v="Sistemas Bancarios"/>
    <m/>
    <m/>
    <s v="SOMP – SISTEMA DE OPERACIONES MULTIPAGOS"/>
    <m/>
    <s v="Banca Móvil (APP)"/>
    <s v="No Aplica"/>
    <s v="Cobranzas "/>
    <x v="0"/>
    <m/>
    <m/>
    <m/>
    <m/>
    <m/>
    <m/>
    <m/>
    <s v="Regularizado"/>
    <d v="2025-04-30T00:00:00"/>
    <x v="0"/>
    <s v="FS-Olssa"/>
    <s v="Jorge Lucio Ruedas Fernandez/Angela Rocio Risco Vega"/>
    <s v="Tomas Calvera"/>
    <x v="7"/>
    <s v="02. En Proceso"/>
    <m/>
    <d v="2025-03-26T00:00:00"/>
    <m/>
    <d v="2026-04-23T00:00:00"/>
    <d v="2026-04-29T00:00:00"/>
    <m/>
    <d v="2026-05-08T00:00:00"/>
    <m/>
    <d v="2026-05-01T09:36:00"/>
    <m/>
    <m/>
    <d v="2026-05-08T09:36:00"/>
    <s v="12/05/26: Según CQ, actualizó el estado a 05. En Calidad_x000a_04/05/26: Según CQ, actualizó el estado a 04. Desarrollo Finalizado_x000a_20/04/26: Según CQ, actualizó el estado a 03. En Desarrollo_x000a_04/02/2026: Cartera reasignada a Tomas Calvera_x000a_30/01/26: Según CQ, actualizó el estado a 05. En Calidad_x000a_12/01/26: Según CQ, actualizó el estado a 04. Desarrollo Finalizado_x000a_26/11/25: Según CQ, actualizó el estado a 03. En Desarrollo_x000a_24/11/25: Según CQ, actualizó el estado a 05. En Calidad_x000a_19/11/25: Según CQ, actualizó el estado a 04. Desarrollo Finalizado_x000a_05/09/2025: Cartera reasignada a Omar Sarmiento_x000a_11/08/2025: Cartera reasignada a Percy Silva_x000a_07/05/25: Según CQ, actualizó el estado a 03. En Desarrollo_x000a_29/04/2025: Se regularizó requerimiento en el Backlog."/>
    <s v="TI"/>
    <s v="ConstrucciónAplicaciones"/>
    <s v="No definido"/>
    <s v="2025-04"/>
    <s v="2026-04"/>
    <x v="0"/>
    <x v="0"/>
    <m/>
    <m/>
    <m/>
    <m/>
    <m/>
    <s v="2025-II"/>
    <s v="Sin Fecha Fin Producción"/>
    <s v="No Aplica"/>
    <m/>
    <s v="Finalizada,Finalizada"/>
    <s v="En_Certificación"/>
    <x v="90"/>
    <x v="0"/>
    <m/>
    <m/>
    <s v="Vencida"/>
    <s v="Pagalo.pe"/>
    <s v="Canales Virtuales"/>
    <x v="1"/>
    <x v="1"/>
    <m/>
    <s v=""/>
    <s v="Sin Fecha"/>
    <s v="No definido"/>
    <m/>
    <s v="Activos"/>
    <x v="5"/>
    <n v="0.7"/>
    <s v="PRE"/>
    <s v="NO"/>
    <s v="03. En Desarrollo"/>
    <s v="SI"/>
    <s v="ATRASADO 🔴"/>
    <n v="1"/>
    <n v="0.7"/>
    <n v="0.30000000000000004"/>
    <n v="0.7"/>
    <d v="2026-01-08T00:00:00"/>
    <d v="2026-01-08T00:00:00"/>
    <d v="2026-01-09T00:00:00"/>
    <d v="2026-01-29T00:00:00"/>
    <d v="2026-02-27T00:00:00"/>
    <d v="2026-03-02T00:00:00"/>
    <d v="2026-04-27T00:00:00"/>
    <n v="2"/>
    <n v="1"/>
    <n v="200"/>
    <m/>
    <s v="2. CALIDAD"/>
    <m/>
    <m/>
    <n v="0"/>
    <n v="2"/>
    <n v="0"/>
    <n v="16"/>
    <n v="0"/>
    <x v="1"/>
  </r>
  <r>
    <s v="M1038"/>
    <n v="2793"/>
    <x v="0"/>
    <s v="2025-T0425"/>
    <s v="2025-M0364"/>
    <s v="Transferencias Interbancarias Inmediatas  entrantes ME   -  Movil Android"/>
    <m/>
    <x v="0"/>
    <s v="Captaciones y Pagaduría"/>
    <s v="Sistema de Pagos"/>
    <d v="2024-12-02T00:00:00"/>
    <s v="MEMORANDO N° 00000188 - 2024-BN/3116"/>
    <s v="SABM - Sistema Atencion Banca Movil"/>
    <m/>
    <s v="Multired Virtual (Web)"/>
    <s v="No Aplica"/>
    <s v="No aplica"/>
    <x v="0"/>
    <m/>
    <s v="No Aplica"/>
    <s v="No Aplica"/>
    <s v="No Aplica"/>
    <s v="No Aplica"/>
    <s v="No Aplica"/>
    <s v="No Aplica"/>
    <s v="Normal"/>
    <d v="2025-05-29T00:00:00"/>
    <x v="2"/>
    <s v="Analista-BN"/>
    <s v="Marilu Cordova Quispe"/>
    <s v="Junior Quicaño"/>
    <x v="3"/>
    <s v="04. Paralizado"/>
    <s v="Dependencia Usuario"/>
    <d v="2025-05-08T00:00:00"/>
    <d v="2025-11-03T00:00:00"/>
    <d v="2025-05-08T00:00:00"/>
    <m/>
    <m/>
    <m/>
    <m/>
    <s v=""/>
    <m/>
    <m/>
    <s v=""/>
    <s v="24/03/2026 Requerimiento no priorizado por el usuario._x000a_05/12/25: Según CQ, actualizó el estado a 10. Paralizado_x000a_12/05/25: Según CQ, actualizó el estado a 03. En Desarrollo_x000a_08/05/25: Se registró en el Backlog y se generó trámite"/>
    <s v="Operac."/>
    <s v="CaptacionesPagaduría"/>
    <s v="2024-12"/>
    <s v="2025-05"/>
    <s v="No definido"/>
    <x v="0"/>
    <x v="1"/>
    <m/>
    <m/>
    <m/>
    <m/>
    <m/>
    <s v="2025-II"/>
    <s v="Sin Fecha Fin Producción"/>
    <s v="No Aplica"/>
    <s v="QC-333"/>
    <s v="Iniciada"/>
    <s v="Pospuesto"/>
    <x v="91"/>
    <x v="0"/>
    <m/>
    <m/>
    <s v="Sin Fecha"/>
    <s v="Banca Movil"/>
    <s v="Canales Virtuales"/>
    <x v="1"/>
    <x v="1"/>
    <m/>
    <s v=""/>
    <s v="Sin Fecha"/>
    <s v="No definido"/>
    <m/>
    <s v="Activos"/>
    <x v="4"/>
    <n v="0.12"/>
    <s v="PRE"/>
    <s v="NO"/>
    <s v="03. En Desarrollo"/>
    <s v="No aplica"/>
    <s v="PARALIZADO ⚪"/>
    <s v=""/>
    <n v="0.12"/>
    <s v=""/>
    <s v=""/>
    <m/>
    <m/>
    <m/>
    <m/>
    <m/>
    <m/>
    <m/>
    <n v="25"/>
    <n v="0.1"/>
    <n v="200"/>
    <m/>
    <s v="6. PARALIZADO"/>
    <m/>
    <m/>
    <n v="0.9"/>
    <n v="1"/>
    <n v="24"/>
    <n v="8"/>
    <n v="192"/>
    <x v="0"/>
  </r>
  <r>
    <s v="M1039"/>
    <n v="2794"/>
    <x v="0"/>
    <s v="2025-T0424"/>
    <s v="2025-M0363"/>
    <s v="Transferencias Interbancarias Inmediatas  entrantes ME   -  Movil IOS"/>
    <m/>
    <x v="0"/>
    <s v="Captaciones y Pagaduría"/>
    <s v="Sistema de Pagos"/>
    <d v="2024-12-02T00:00:00"/>
    <s v="MEMORANDO N° 00000188 - 2024-BN/3116"/>
    <s v="SABM - Sistema Atencion Banca Movil"/>
    <m/>
    <s v="Multired Virtual (Web)"/>
    <s v="No Aplica"/>
    <s v="No aplica"/>
    <x v="0"/>
    <m/>
    <s v="No Aplica"/>
    <s v="No Aplica"/>
    <s v="No Aplica"/>
    <s v="No Aplica"/>
    <s v="No Aplica"/>
    <s v="No Aplica"/>
    <s v="Normal"/>
    <d v="2025-05-29T00:00:00"/>
    <x v="2"/>
    <s v="Analista-BN"/>
    <s v="Marilu Cordova Quispe"/>
    <s v="Junior Quicaño"/>
    <x v="3"/>
    <s v="04. Paralizado"/>
    <s v="Dependencia Usuario"/>
    <d v="2025-05-08T00:00:00"/>
    <d v="2025-11-03T00:00:00"/>
    <d v="2025-05-08T00:00:00"/>
    <m/>
    <m/>
    <m/>
    <m/>
    <s v=""/>
    <m/>
    <m/>
    <s v=""/>
    <s v="24/03/2026 Requerimiento no priorizado por el usuario._x000a_05/12/25: Según CQ, actualizó el estado a 10. Paralizado_x000a_12/05/25: Según CQ, actualizó el estado a 03. En Desarrollo_x000a_08/05/25: Se registró en el Backlog y se generó trámite"/>
    <s v="Operac."/>
    <s v="CaptacionesPagaduría"/>
    <s v="2024-12"/>
    <s v="2025-05"/>
    <s v="No definido"/>
    <x v="0"/>
    <x v="1"/>
    <m/>
    <m/>
    <m/>
    <m/>
    <m/>
    <s v="2025-II"/>
    <s v="Sin Fecha Fin Producción"/>
    <s v="No Aplica"/>
    <s v="QC-333"/>
    <s v="Iniciada"/>
    <s v="Pospuesto"/>
    <x v="92"/>
    <x v="0"/>
    <m/>
    <m/>
    <s v="Sin Fecha"/>
    <s v="Banca Movil"/>
    <s v="Canales Virtuales"/>
    <x v="1"/>
    <x v="1"/>
    <m/>
    <s v=""/>
    <s v="Sin Fecha"/>
    <s v="No definido"/>
    <m/>
    <s v="Activos"/>
    <x v="4"/>
    <n v="0.12"/>
    <s v="PRE"/>
    <s v="NO"/>
    <s v="03. En Desarrollo"/>
    <s v="No aplica"/>
    <s v="PARALIZADO ⚪"/>
    <s v=""/>
    <n v="0.12"/>
    <s v=""/>
    <s v=""/>
    <m/>
    <m/>
    <m/>
    <m/>
    <m/>
    <m/>
    <m/>
    <n v="25"/>
    <n v="0.1"/>
    <n v="200"/>
    <m/>
    <s v="6. PARALIZADO"/>
    <m/>
    <m/>
    <n v="0.9"/>
    <n v="1"/>
    <n v="24"/>
    <n v="8"/>
    <n v="192"/>
    <x v="0"/>
  </r>
  <r>
    <s v="M1043"/>
    <n v="2802"/>
    <x v="0"/>
    <s v="2025-T0444"/>
    <s v="2025-M0379"/>
    <s v="Inscripción de Nuevos Centros de Captura Saraweb Sing"/>
    <m/>
    <x v="0"/>
    <s v="Captaciones y Pagaduría"/>
    <s v="Apertura de Cuentas"/>
    <d v="2025-05-16T00:00:00"/>
    <s v="MEMORANDO N° 00000270 -2025-BN/3111"/>
    <s v="SIGN- Registro de Firmas"/>
    <m/>
    <s v="Agencias"/>
    <s v="Cuenta Corriente "/>
    <s v="No aplica"/>
    <x v="0"/>
    <m/>
    <m/>
    <m/>
    <m/>
    <m/>
    <m/>
    <m/>
    <s v="Normal"/>
    <d v="2025-05-29T00:00:00"/>
    <x v="0"/>
    <s v="Analista-BN"/>
    <s v="Rossana Rojas Alvaro"/>
    <s v="Junior Quicaño"/>
    <x v="4"/>
    <s v="02. En Proceso"/>
    <m/>
    <d v="2025-05-19T00:00:00"/>
    <m/>
    <d v="2025-05-19T00:00:00"/>
    <d v="2025-05-24T00:00:00"/>
    <m/>
    <d v="2025-05-25T00:00:00"/>
    <d v="2025-05-28T00:00:00"/>
    <d v="2025-05-26T00:00:00"/>
    <d v="2025-05-30T00:00:00"/>
    <m/>
    <d v="2025-06-02T00:00:00"/>
    <s v="02/06/25: Según CQ, actualizó el estado a 07. En Despliegue_x000a_20/05/25: Según CQ, actualizó el estado a 03. En Desarrollo_x000a_19/05/25: Se registró en el Backlog y se generó trámite"/>
    <s v="Operac."/>
    <s v="CaptacionesPagaduría"/>
    <s v="2025-05"/>
    <s v="2025-05"/>
    <s v="2025-05"/>
    <x v="0"/>
    <x v="14"/>
    <m/>
    <m/>
    <m/>
    <m/>
    <m/>
    <s v="2025-II"/>
    <s v="Sin Fecha Fin Producción"/>
    <s v="No Aplica"/>
    <s v="QC-132"/>
    <s v="Finalizada"/>
    <s v="Trasitorio_autorizado"/>
    <x v="93"/>
    <x v="0"/>
    <m/>
    <m/>
    <s v="Vencida"/>
    <s v="Sin Aplicativo"/>
    <s v="Sin Aplicativo"/>
    <x v="1"/>
    <x v="1"/>
    <m/>
    <s v=""/>
    <s v="Sin Fecha"/>
    <s v="No definido"/>
    <m/>
    <s v="Activos"/>
    <x v="0"/>
    <n v="0.9"/>
    <s v="PRE"/>
    <s v="NO"/>
    <s v="07. En Despliegue"/>
    <s v="SI"/>
    <s v="ATRASADO 🔴"/>
    <n v="1"/>
    <n v="0.9"/>
    <n v="9.9999999999999978E-2"/>
    <n v="0.9"/>
    <d v="2025-05-19T00:00:00"/>
    <d v="2025-05-19T00:00:00"/>
    <d v="2025-05-24T00:00:00"/>
    <d v="2025-05-25T00:00:00"/>
    <d v="2025-05-28T00:00:00"/>
    <d v="2025-05-30T00:00:00"/>
    <d v="2026-03-27T00:00:00"/>
    <n v="5"/>
    <n v="1"/>
    <n v="200"/>
    <m/>
    <s v="3. DESPLIEGUE"/>
    <m/>
    <m/>
    <n v="0"/>
    <n v="5"/>
    <n v="0"/>
    <n v="40"/>
    <n v="0"/>
    <x v="4"/>
  </r>
  <r>
    <s v="M1049"/>
    <n v="2809"/>
    <x v="0"/>
    <s v="2025-T0458"/>
    <s v="2025-M0465"/>
    <s v="Adicionar los nombres completos y el DNI del depositante en el reporte SICT4178 cuando son abonos en Cta Cte por el agente Globokas 0990"/>
    <m/>
    <x v="0"/>
    <s v="Captaciones y Pagaduría"/>
    <s v="Administración de Cuentas y Pagaduría"/>
    <d v="2025-04-11T00:00:00"/>
    <s v="MEMORANDO N° 00000408 -2025-BN/3191"/>
    <s v="SICT-Sistema de Informacón de Cuentas Corrientes"/>
    <m/>
    <s v="Agente Multired"/>
    <s v="Cuenta Corriente "/>
    <s v="No aplica"/>
    <x v="0"/>
    <m/>
    <s v="No Aplica"/>
    <s v="No Aplica"/>
    <s v="No Aplica"/>
    <s v="No Aplica"/>
    <s v="No Aplica"/>
    <s v="No Aplica"/>
    <s v="Normal"/>
    <m/>
    <x v="0"/>
    <s v="Analista-BN"/>
    <s v="Eduardo Saul Cardenas Manrique"/>
    <s v="Junior Quicaño"/>
    <x v="5"/>
    <s v="02. En Proceso"/>
    <m/>
    <d v="2025-05-22T00:00:00"/>
    <d v="2025-11-03T00:00:00"/>
    <d v="2026-05-08T00:00:00"/>
    <d v="2025-06-30T00:00:00"/>
    <m/>
    <d v="2025-07-08T00:00:00"/>
    <m/>
    <d v="2025-02-25T04:48:00"/>
    <m/>
    <m/>
    <d v="2025-03-04T04:48:00"/>
    <s v="15/07/25: Según CQ, actualizó el estado a 03. En Desarrollo_x000a_09/07/25: Según CQ, actualizó el estado a 05. En Calidad_x000a_02/07/25: Según CQ, actualizó el estado a 04. Desarrollo Finalizado_x000a_20/06/25: Según CQ, actualizó el estado a 03. En Desarrollo_x000a_22/05/25: Se registró en el Backlog y se creó trámite."/>
    <s v="Operac."/>
    <s v="CaptacionesPagaduría"/>
    <s v="2025-04"/>
    <s v="No definido"/>
    <s v="2025-06"/>
    <x v="0"/>
    <x v="28"/>
    <m/>
    <m/>
    <m/>
    <m/>
    <m/>
    <s v="2025-II"/>
    <s v="Sin Fecha Fin Producción"/>
    <s v="No Aplica"/>
    <s v="QC-439"/>
    <s v="Finalizada"/>
    <s v="Asignado"/>
    <x v="94"/>
    <x v="0"/>
    <m/>
    <m/>
    <s v="Vencida"/>
    <s v="BackOffice"/>
    <s v="Otros Requerimientos"/>
    <x v="1"/>
    <x v="1"/>
    <m/>
    <s v=""/>
    <s v="Sin Fecha"/>
    <s v="No definido"/>
    <m/>
    <s v="Activos"/>
    <x v="0"/>
    <n v="0.15"/>
    <s v="PRE"/>
    <s v="NO"/>
    <s v="03. En Desarrollo"/>
    <s v="SI"/>
    <s v="ATRASADO 🔴"/>
    <n v="1"/>
    <n v="0.15"/>
    <n v="0.85"/>
    <n v="0.15"/>
    <d v="2025-11-03T00:00:00"/>
    <d v="2026-03-02T00:00:00"/>
    <d v="2026-03-30T00:00:00"/>
    <d v="2026-04-01T00:00:00"/>
    <d v="2026-04-30T00:00:00"/>
    <d v="2026-05-06T00:00:00"/>
    <d v="2026-05-10T00:00:00"/>
    <n v="21"/>
    <n v="1"/>
    <n v="24"/>
    <m/>
    <s v="1. DESARROLLO"/>
    <m/>
    <m/>
    <n v="0"/>
    <n v="21"/>
    <n v="0"/>
    <n v="24"/>
    <n v="0"/>
    <x v="8"/>
  </r>
  <r>
    <s v="M1052"/>
    <n v="2806"/>
    <x v="0"/>
    <s v="2025-T0473"/>
    <s v="2025-M0659"/>
    <s v="INCORPORACIÓN FUNCIONALIDADES APLICACIÓN EMULACIÓN CTAS. MONETARIAS"/>
    <s v="Mejora del proceso de actualización y sectorización que debe realizarse de manera diaria"/>
    <x v="4"/>
    <s v="Estudios Económicos y Financieros"/>
    <s v="Estadísticas y Estudios Económicos"/>
    <d v="2025-05-06T00:00:00"/>
    <s v="MEMORANDO N° 0000007 - 2025-BN3444"/>
    <s v="FICM-Finanzas Cuentas Monetarias"/>
    <m/>
    <s v="Otros"/>
    <s v="No Aplica"/>
    <s v="No aplica"/>
    <x v="0"/>
    <m/>
    <m/>
    <m/>
    <m/>
    <m/>
    <m/>
    <m/>
    <s v="Normal"/>
    <d v="2025-05-29T00:00:00"/>
    <x v="1"/>
    <m/>
    <s v="Valery Aldo Versategui Malpica"/>
    <s v="Juan Carlos Zavaleta"/>
    <x v="1"/>
    <s v="03. Culminado"/>
    <m/>
    <d v="2025-05-26T00:00:00"/>
    <m/>
    <d v="2025-10-02T00:00:00"/>
    <d v="2025-11-27T00:00:00"/>
    <m/>
    <d v="2025-12-05T00:00:00"/>
    <d v="2026-01-13T00:00:00"/>
    <d v="2025-12-19T09:36:00"/>
    <d v="2026-01-23T00:00:00"/>
    <d v="2026-01-28T00:00:00"/>
    <d v="2025-12-26T09:36:00"/>
    <s v="30/01/26: Según CQ, actualizó el estado a 08. Producción Finalizada_x000a_26/01/26: Según CQ, actualizó el estado a 07. En Despliegue_x000a_14/01/26: Según CQ, actualizó el estado a 06. Calidad Finalizado_x000a_05/12/25: Según CQ, actualizó el estado a 05. En Calidad_x000a_01/12/25: Según CQ, actualizó el estado a 04. Desarrollo Finalizado_x000a_03/10/25: Según CQ, actualizó el estado a 03. En Desarrollo_x000a_17/06/2025: Se cambia de gestor de TI de Omar S. a Juan Carlos Z."/>
    <s v="Finanzas"/>
    <s v="EconómicosFinancieros"/>
    <s v="2025-05"/>
    <s v="2025-05"/>
    <s v="2025-11"/>
    <x v="4"/>
    <x v="23"/>
    <m/>
    <m/>
    <m/>
    <m/>
    <m/>
    <s v="2025-II"/>
    <n v="118"/>
    <n v="3.9333333333333331"/>
    <s v="QC-100"/>
    <s v="Finalizada"/>
    <s v="Procesado"/>
    <x v="95"/>
    <x v="0"/>
    <m/>
    <m/>
    <s v="Culminado"/>
    <s v="Sin Aplicativo"/>
    <s v="Sin Aplicativo"/>
    <x v="1"/>
    <x v="1"/>
    <m/>
    <d v="2026-01-28T00:00:00"/>
    <s v="Culminado"/>
    <s v="Ene 2026"/>
    <m/>
    <s v="Culminado"/>
    <x v="0"/>
    <n v="1"/>
    <s v="PRE"/>
    <s v="NO"/>
    <s v="03. En Desarrollo"/>
    <s v="No aplica"/>
    <s v="IMPLEMENTADO 🔵"/>
    <n v="1"/>
    <n v="1"/>
    <n v="0"/>
    <n v="1"/>
    <d v="2025-10-02T00:00:00"/>
    <d v="2025-10-02T00:00:00"/>
    <d v="2025-11-27T00:00:00"/>
    <d v="2025-12-05T00:00:00"/>
    <d v="2026-01-13T00:00:00"/>
    <d v="2026-01-23T00:00:00"/>
    <d v="2026-02-05T00:00:00"/>
    <n v="40"/>
    <n v="1"/>
    <n v="200"/>
    <m/>
    <s v="4. PRODUCCIÓN"/>
    <m/>
    <m/>
    <n v="0"/>
    <n v="40"/>
    <n v="0"/>
    <n v="320"/>
    <n v="0"/>
    <x v="11"/>
  </r>
  <r>
    <s v="M1053"/>
    <n v="2836"/>
    <x v="0"/>
    <s v="2025-T0474"/>
    <s v="2025-M0425"/>
    <s v="Habilitar en la transacción 1410 las Transferencias Interbancarias diferidas vía CCE con cargo a cuentas de ahorro PJ"/>
    <m/>
    <x v="0"/>
    <s v="Captaciones y Pagaduría"/>
    <s v="Sistema de Pagos"/>
    <d v="2025-05-25T00:00:00"/>
    <s v="MEMORANDO N° 00000086 -2025-BN/3116"/>
    <s v="DPAH- Deposito de Ahorros MN"/>
    <s v="Rutinarios Saraweb"/>
    <s v="Ventanilla - Saraweb"/>
    <s v="No Aplica"/>
    <s v="No aplica"/>
    <x v="0"/>
    <m/>
    <s v="No Aplica"/>
    <s v="No Aplica"/>
    <s v="No Aplica"/>
    <s v="No Aplica"/>
    <s v="No Aplica"/>
    <s v="No Aplica"/>
    <s v="Normal"/>
    <d v="2025-05-29T00:00:00"/>
    <x v="0"/>
    <s v="FS-Olssa"/>
    <s v="Norma Fukunaga Fuentes"/>
    <s v="Junior Quicaño"/>
    <x v="5"/>
    <s v="02. En Proceso"/>
    <m/>
    <m/>
    <d v="2025-11-03T00:00:00"/>
    <d v="2025-06-04T00:00:00"/>
    <m/>
    <d v="2025-12-31T00:00:00"/>
    <m/>
    <m/>
    <d v="2026-03-25T00:00:00"/>
    <m/>
    <m/>
    <d v="2026-04-01T00:00:00"/>
    <s v="05/06/25: Según CQ, actualizó el estado a 03. En Desarrollo_x000a_"/>
    <s v="Operac."/>
    <s v="CaptacionesPagaduría"/>
    <s v="2025-05"/>
    <s v="2025-05"/>
    <s v="No definido"/>
    <x v="0"/>
    <x v="17"/>
    <m/>
    <m/>
    <m/>
    <m/>
    <m/>
    <s v="2025-II"/>
    <s v="Sin Fecha Fin Producción"/>
    <s v="No Aplica"/>
    <m/>
    <s v="Iniciada"/>
    <s v="Asignado"/>
    <x v="96"/>
    <x v="0"/>
    <m/>
    <m/>
    <s v="Vencida"/>
    <s v="BackOffice"/>
    <s v="Otros Requerimientos"/>
    <x v="1"/>
    <x v="1"/>
    <m/>
    <s v=""/>
    <s v="Sin Fecha"/>
    <s v="No definido"/>
    <m/>
    <s v="Activos"/>
    <x v="0"/>
    <n v="0.25"/>
    <s v="PRE"/>
    <s v="NO"/>
    <s v="03. En Desarrollo"/>
    <s v="SI"/>
    <s v="ATRASADO 🔴"/>
    <n v="1"/>
    <n v="0.25"/>
    <n v="0.75"/>
    <n v="0.25"/>
    <d v="2025-11-03T00:00:00"/>
    <d v="2026-03-02T00:00:00"/>
    <d v="2026-03-30T00:00:00"/>
    <d v="2026-04-01T00:00:00"/>
    <d v="2026-04-30T00:00:00"/>
    <d v="2026-05-04T00:00:00"/>
    <d v="2026-05-08T00:00:00"/>
    <n v="21"/>
    <n v="1"/>
    <n v="56"/>
    <m/>
    <s v="1. DESARROLLO"/>
    <m/>
    <s v="Pospuesto coordinar Olssa"/>
    <n v="0"/>
    <n v="21"/>
    <n v="0"/>
    <n v="56"/>
    <n v="0"/>
    <x v="8"/>
  </r>
  <r>
    <s v="M1058"/>
    <n v="2812"/>
    <x v="0"/>
    <s v="2025-T0484"/>
    <s v="2025-M0422"/>
    <s v="Clientes no aceptados por actividad económica en BDUC."/>
    <m/>
    <x v="3"/>
    <s v="Prevención"/>
    <s v="Prevención"/>
    <d v="2025-05-18T00:00:00"/>
    <s v="MEMORANDO N° 00000030 - 2025-BN/1202"/>
    <s v="SIUC-Sistema de Información Unica de Clientes"/>
    <m/>
    <s v="Agencias"/>
    <s v="Cuenta de Ahorros"/>
    <s v="No aplica"/>
    <x v="0"/>
    <m/>
    <m/>
    <m/>
    <m/>
    <m/>
    <m/>
    <m/>
    <s v="Normal"/>
    <d v="2025-05-29T00:00:00"/>
    <x v="0"/>
    <s v="FS-Olssa"/>
    <s v="Pedro Jose Encalada Huertas"/>
    <s v="Juan Carlos Zavaleta"/>
    <x v="4"/>
    <s v="02. En Proceso"/>
    <m/>
    <d v="2025-05-28T00:00:00"/>
    <m/>
    <d v="2025-05-29T00:00:00"/>
    <d v="2025-09-15T00:00:00"/>
    <m/>
    <d v="2025-09-18T00:00:00"/>
    <d v="2025-10-10T00:00:00"/>
    <d v="2025-10-28T14:24:00"/>
    <d v="2025-11-06T00:00:00"/>
    <m/>
    <d v="2025-11-04T14:24:00"/>
    <s v="07/11/25: Según CQ, actualizó el estado a 07. En Despliegue_x000a_09/10/25: Según CQ, actualizó el estado a 05. En Calidad_x000a_03/10/25: Según CQ, actualizó el estado a 04. Desarrollo Finalizado_x000a_05/09/2025: Cartera reasignada a Juan Carlos Zavaleta_x000a_11/08/2025: Cartera reasignada a Percy Silva_x000a_05/06/25: Según CQ, actualizó el estado a 03. En Desarrollo_x000a_28/25/25: Se registró en el Backlog y se creó trámite "/>
    <s v="PLAFT"/>
    <s v="Prevención"/>
    <s v="2025-05"/>
    <s v="2025-05"/>
    <s v="2025-09"/>
    <x v="0"/>
    <x v="21"/>
    <m/>
    <m/>
    <m/>
    <m/>
    <m/>
    <s v="2025-II"/>
    <s v="Sin Fecha Fin Producción"/>
    <s v="No Aplica"/>
    <s v="QC-136"/>
    <s v="Finalizada"/>
    <s v="Trasitorio_autorizado"/>
    <x v="97"/>
    <x v="0"/>
    <m/>
    <m/>
    <s v="Vencida"/>
    <s v="Clientes (BDUC)"/>
    <s v="Canales Presenciales"/>
    <x v="1"/>
    <x v="1"/>
    <m/>
    <s v=""/>
    <s v="Sin Fecha"/>
    <s v="No definido"/>
    <m/>
    <s v="Activos"/>
    <x v="0"/>
    <n v="0.9"/>
    <s v="PRE"/>
    <s v="NO"/>
    <s v="05. En Calidad"/>
    <s v="SI"/>
    <s v="ATRASADO 🔴"/>
    <n v="1"/>
    <n v="0.9"/>
    <n v="9.9999999999999978E-2"/>
    <n v="0.9"/>
    <d v="2025-05-29T00:00:00"/>
    <d v="2025-05-29T00:00:00"/>
    <d v="2025-09-15T00:00:00"/>
    <d v="2025-09-18T00:00:00"/>
    <d v="2025-10-10T00:00:00"/>
    <d v="2025-11-06T00:00:00"/>
    <d v="2026-03-27T00:00:00"/>
    <n v="76"/>
    <n v="1"/>
    <n v="200"/>
    <m/>
    <s v="3. DESPLIEGUE"/>
    <m/>
    <m/>
    <n v="0"/>
    <n v="76"/>
    <n v="0"/>
    <n v="608"/>
    <n v="0"/>
    <x v="4"/>
  </r>
  <r>
    <s v="M1063"/>
    <n v="2497"/>
    <x v="0"/>
    <s v="2025-T0439"/>
    <s v="2025-M0431"/>
    <s v="INCLUSIÓN DE TASAS DE DNI ELECTRÓNICO DE RENIEC Y PASAPORTE BIOMÉTRICO DE MIGRACIONES Y ACTUALIZACIÓN DE DEPENDENCIAS Y DISTRITOS JUDICIALES PARA EL PAGO DE TASAS DEL PODER JUDICIAL EN EL CANAL AGENTE BN"/>
    <m/>
    <x v="2"/>
    <s v="Canales Alternos"/>
    <s v="Canales Presenciales"/>
    <d v="2024-11-20T00:00:00"/>
    <s v="MEMORANDO N° 00000464 - 2024-BN/3251"/>
    <s v="TMIN-Tarjeta Multired Interfaces"/>
    <m/>
    <s v="Otros"/>
    <s v="No Aplica"/>
    <s v="No aplica"/>
    <x v="0"/>
    <m/>
    <m/>
    <m/>
    <m/>
    <m/>
    <m/>
    <m/>
    <s v="Normal"/>
    <d v="2025-05-29T00:00:00"/>
    <x v="0"/>
    <s v="Analista-BN"/>
    <s v="Vladimir Ronald Cajavilca Cajavilca"/>
    <s v="Omar Sarmiento"/>
    <x v="5"/>
    <s v="02. En Proceso"/>
    <m/>
    <m/>
    <m/>
    <d v="2025-06-05T00:00:00"/>
    <m/>
    <m/>
    <m/>
    <m/>
    <s v=""/>
    <m/>
    <m/>
    <s v=""/>
    <s v="26/02/2026 El final de desarrollo (julio) está condicionado a que la nueva FS inicie su atención en abril_x000a_30/12/2025: Cartera reasignada a Omar Sarmiento_x000a_09/06/25: Según CQ, actualizó el estado a 03. En Desarrollo_x000a_25/11/2024: Se registró en el Backlog"/>
    <s v="B.Digital"/>
    <s v="CanalesAlternos"/>
    <s v="2024-11"/>
    <s v="2025-05"/>
    <s v="No definido"/>
    <x v="0"/>
    <x v="1"/>
    <m/>
    <m/>
    <m/>
    <m/>
    <m/>
    <s v="2025-II"/>
    <s v="Sin Fecha Fin Producción"/>
    <s v="No Aplica"/>
    <m/>
    <s v="Iniciada"/>
    <s v="Asignado"/>
    <x v="98"/>
    <x v="0"/>
    <m/>
    <m/>
    <s v="Sin Fecha"/>
    <s v="ATM-Agentes-VISA"/>
    <s v="Canales Presenciales"/>
    <x v="1"/>
    <x v="1"/>
    <m/>
    <s v=""/>
    <s v="Sin Fecha"/>
    <s v="No definido"/>
    <m/>
    <s v="Activos"/>
    <x v="0"/>
    <n v="0.25"/>
    <s v="PRE"/>
    <s v="NO"/>
    <s v="03. En Desarrollo"/>
    <s v="SI"/>
    <s v="EN RIESGO 🟡"/>
    <n v="0.41984732824427479"/>
    <n v="0.25"/>
    <n v="0.16984732824427479"/>
    <n v="0.59545454545454546"/>
    <d v="2025-11-10T00:00:00"/>
    <d v="2026-03-02T00:00:00"/>
    <d v="2026-07-30T00:00:00"/>
    <d v="2026-08-03T00:00:00"/>
    <d v="2026-08-31T00:00:00"/>
    <d v="2026-09-01T00:00:00"/>
    <d v="2026-09-04T00:00:00"/>
    <n v="105"/>
    <n v="0.50458715596330272"/>
    <n v="76.36363636363636"/>
    <s v="BD"/>
    <s v="1. DESARROLLO"/>
    <m/>
    <m/>
    <n v="0.49541284403669728"/>
    <n v="54"/>
    <n v="51"/>
    <n v="39.272727272727273"/>
    <n v="37.090909090909093"/>
    <x v="2"/>
  </r>
  <r>
    <s v="M1082"/>
    <n v="2834"/>
    <x v="0"/>
    <s v="2025-T0433"/>
    <s v="2025-M0370"/>
    <s v="MN: Actualización de las tablas de alineamiento contable correspondiente al producto TC"/>
    <m/>
    <x v="1"/>
    <s v="Banca Personal"/>
    <s v="Tarjeta de Crédito"/>
    <m/>
    <m/>
    <s v="SITC – Tarjeta de Crédito"/>
    <m/>
    <s v="Otros"/>
    <s v="Tarjeta de Crédito "/>
    <s v="No aplica"/>
    <x v="3"/>
    <s v="Recomendación"/>
    <s v="AUDITORIA INTERNA"/>
    <s v="P-005-2019-BN/1400"/>
    <s v="Evaluación Cuatrimestral de la Clasificación de la Cartera de Créditos al III Cuatrimestre 2018"/>
    <n v="4"/>
    <s v="4.b"/>
    <d v="2024-03-16T00:00:00"/>
    <s v="Regularizado"/>
    <d v="2025-05-29T00:00:00"/>
    <x v="0"/>
    <s v="Analista-BN"/>
    <s v="Javier Baltazar Urquiaga Salazar"/>
    <s v="Milagros Huamani"/>
    <x v="4"/>
    <s v="02. En Proceso"/>
    <m/>
    <m/>
    <m/>
    <d v="2025-05-12T00:00:00"/>
    <d v="2025-05-24T00:00:00"/>
    <m/>
    <d v="2025-05-26T00:00:00"/>
    <d v="2025-06-02T00:00:00"/>
    <d v="2025-05-28T19:12:00"/>
    <d v="2025-06-05T00:00:00"/>
    <m/>
    <d v="2025-06-04T19:12:00"/>
    <s v="09/06/25: Según CQ, actualizó el estado a 07. En Despliegue_x000a_30/05/25: Según CQ, actualizó el estado a 03. En Desarrollo_x000a_28/05/2025: Se regularizó requerimiento en el Backlog."/>
    <s v="Productos"/>
    <s v="BancaPersonal"/>
    <s v="No definido"/>
    <s v="2025-05"/>
    <s v="2025-05"/>
    <x v="0"/>
    <x v="14"/>
    <m/>
    <m/>
    <m/>
    <m/>
    <m/>
    <s v="2025-II"/>
    <s v="Sin Fecha Fin Producción"/>
    <s v="No Aplica"/>
    <m/>
    <s v="Finalizada"/>
    <s v="Trasitorio_autorizado"/>
    <x v="99"/>
    <x v="1"/>
    <s v="226"/>
    <s v="NO"/>
    <s v="Vencida"/>
    <s v="Tarjeta Tesoro"/>
    <s v="Productos"/>
    <x v="1"/>
    <x v="1"/>
    <m/>
    <s v=""/>
    <s v="Sin Fecha"/>
    <s v="No definido"/>
    <m/>
    <s v="Activos"/>
    <x v="0"/>
    <n v="0.9"/>
    <s v="PRE"/>
    <s v="NO"/>
    <s v="07. En Despliegue"/>
    <s v="SI"/>
    <s v="ATRASADO 🔴"/>
    <n v="1"/>
    <n v="0.9"/>
    <n v="9.9999999999999978E-2"/>
    <n v="0.9"/>
    <d v="2025-05-12T00:00:00"/>
    <d v="2025-05-12T00:00:00"/>
    <d v="2025-05-24T00:00:00"/>
    <d v="2025-05-26T00:00:00"/>
    <d v="2025-06-02T00:00:00"/>
    <d v="2025-06-05T00:00:00"/>
    <d v="2026-03-27T00:00:00"/>
    <n v="10"/>
    <n v="1"/>
    <n v="200"/>
    <m/>
    <s v="3. DESPLIEGUE"/>
    <m/>
    <m/>
    <n v="0"/>
    <n v="10"/>
    <n v="0"/>
    <n v="80"/>
    <n v="0"/>
    <x v="4"/>
  </r>
  <r>
    <s v="M1083"/>
    <n v="2835"/>
    <x v="0"/>
    <s v="2025-T0398"/>
    <s v="2025-M0337"/>
    <s v="ME: AUTOMATIZACION DE LOS PROCESOS DE ARCHIVOS DE DOCUMENTOS(SGAC)"/>
    <m/>
    <x v="6"/>
    <s v="Servicios"/>
    <s v="Archivo Central"/>
    <m/>
    <m/>
    <s v="SGAC-Sistema de Gestión Archivo Central"/>
    <m/>
    <s v="Otros"/>
    <s v="Cuenta Corriente "/>
    <s v="No aplica"/>
    <x v="0"/>
    <m/>
    <m/>
    <m/>
    <m/>
    <m/>
    <m/>
    <m/>
    <s v="Regularizado"/>
    <d v="2025-05-29T00:00:00"/>
    <x v="1"/>
    <s v="Analista-BN"/>
    <s v="Jorge Mora Ruelas"/>
    <s v="Omar Sarmiento"/>
    <x v="1"/>
    <s v="03. Culminado"/>
    <m/>
    <m/>
    <m/>
    <d v="2025-07-21T00:00:00"/>
    <d v="2025-07-31T00:00:00"/>
    <m/>
    <d v="2025-09-08T00:00:00"/>
    <d v="2025-09-25T00:00:00"/>
    <d v="2025-08-04T00:00:00"/>
    <d v="2025-11-13T00:00:00"/>
    <d v="2026-01-15T00:00:00"/>
    <d v="2025-08-11T00:00:00"/>
    <s v="16/01/26: Según CQ, actualizó el estado a 08. Producción Finalizada_x000a_14/11/25: Según CQ, actualizó el estado a 07. En Despliegue_x000a_29/09/25: Según CQ, actualizó el estado a 06. Calidad Finalizado_x000a_05/09/2025: Cartera reasignada a Omar Sarmiento_x000a_04/08/25: Según CQ, actualizó el estado a 05. En Calidad_x000a_01/08/25: Según CQ, actualizó el estado a 04. Desarrollo Finalizado_x000a_24/07/25: Según CQ, actualizó el estado a 03. En Desarrollo_x000a_28/05/2025: Se regularizó requerimiento en el Backlog."/>
    <s v="Logística"/>
    <s v="Servicios"/>
    <s v="No definido"/>
    <s v="2025-05"/>
    <s v="2025-07"/>
    <x v="4"/>
    <x v="10"/>
    <m/>
    <m/>
    <m/>
    <m/>
    <m/>
    <s v="2025-II"/>
    <n v="178"/>
    <n v="5.9333333333333336"/>
    <m/>
    <s v="Finalizada"/>
    <s v="Procesado"/>
    <x v="100"/>
    <x v="0"/>
    <m/>
    <m/>
    <s v="Culminado"/>
    <s v="BackOffice"/>
    <s v="Otros Requerimientos"/>
    <x v="1"/>
    <x v="1"/>
    <m/>
    <d v="2026-01-15T00:00:00"/>
    <s v="Culminado"/>
    <s v="Ene 2026"/>
    <m/>
    <s v="Culminado"/>
    <x v="0"/>
    <n v="1"/>
    <s v="PRE"/>
    <s v="NO"/>
    <s v="06. Calidad Finalizado"/>
    <s v="No aplica"/>
    <s v="IMPLEMENTADO 🔵"/>
    <n v="1"/>
    <n v="1"/>
    <n v="0"/>
    <n v="1"/>
    <d v="2025-07-21T00:00:00"/>
    <d v="2025-07-21T00:00:00"/>
    <d v="2025-07-31T00:00:00"/>
    <d v="2025-09-08T00:00:00"/>
    <d v="2025-09-25T00:00:00"/>
    <d v="2025-11-13T00:00:00"/>
    <d v="2026-01-15T00:00:00"/>
    <n v="7"/>
    <n v="1"/>
    <n v="200"/>
    <m/>
    <s v="4. PRODUCCIÓN"/>
    <m/>
    <m/>
    <n v="0"/>
    <n v="7"/>
    <n v="0"/>
    <n v="56"/>
    <n v="0"/>
    <x v="9"/>
  </r>
  <r>
    <s v="M1088"/>
    <n v="2846"/>
    <x v="0"/>
    <s v="2025-T0476"/>
    <s v="2025-M0404"/>
    <s v="ME: Implementación de Servicio en Línea y sin Base de Datos - Osinergmin -Hub de integración_x000a_"/>
    <m/>
    <x v="0"/>
    <s v="Servicios Bancarios y Recaudación"/>
    <s v="Recaudación y Corresponsalía"/>
    <m/>
    <m/>
    <s v="SHUB_Hub de Integración"/>
    <m/>
    <s v="Agencias"/>
    <s v="No Aplica"/>
    <s v="Servicios Bancarios Diversos "/>
    <x v="0"/>
    <m/>
    <m/>
    <m/>
    <m/>
    <m/>
    <m/>
    <m/>
    <s v="Regularizado"/>
    <d v="2025-05-29T00:00:00"/>
    <x v="0"/>
    <s v="FS-Olssa"/>
    <s v="Fiorella Emma Galvan Soto"/>
    <s v="Junior Quicaño"/>
    <x v="1"/>
    <s v="03. Culminado"/>
    <m/>
    <m/>
    <m/>
    <d v="2025-05-27T00:00:00"/>
    <d v="2025-08-04T00:00:00"/>
    <m/>
    <d v="2025-10-17T00:00:00"/>
    <d v="2025-10-31T00:00:00"/>
    <d v="2025-08-31T14:24:00"/>
    <d v="2025-11-13T00:00:00"/>
    <d v="2026-03-10T00:00:00"/>
    <d v="2025-09-07T14:24:00"/>
    <s v="10/03/26: Según CQ, actualizó el estado a 08. Producción Finalizada_x000a_14/11/25: Según CQ, actualizó el estado a 07. En Despliegue_x000a_03/11/25: Según CQ, actualizó el estado a 06. Calidad Finalizado_x000a_18/08/25: Según CQ, actualizó el estado a 05. En Calidad_x000a_05/08/25: Según CQ, actualizó el estado a 04. Desarrollo Finalizado_x000a_30/05/25: Según CQ, actualizó el estado a 03. En Desarrollo_x000a_28/05/2025: Se regularizó requerimiento en el Backlog."/>
    <s v="Operac."/>
    <s v="BancariosRecaudación"/>
    <s v="No definido"/>
    <s v="2025-05"/>
    <s v="2025-08"/>
    <x v="2"/>
    <x v="7"/>
    <m/>
    <m/>
    <m/>
    <m/>
    <m/>
    <s v="2025-II"/>
    <n v="287"/>
    <n v="9.5666666666666664"/>
    <m/>
    <s v="Finalizada"/>
    <s v="Procesado"/>
    <x v="101"/>
    <x v="0"/>
    <m/>
    <m/>
    <s v="Culminado"/>
    <s v="BackOffice"/>
    <s v="Otros Requerimientos"/>
    <x v="1"/>
    <x v="1"/>
    <m/>
    <d v="2026-03-10T00:00:00"/>
    <s v="Culminado"/>
    <s v="Mar 2026"/>
    <m/>
    <s v="Culminado"/>
    <x v="0"/>
    <n v="1"/>
    <s v="PRE"/>
    <s v="NO"/>
    <s v="05. En Calidad"/>
    <s v="No aplica"/>
    <s v="IMPLEMENTADO 🔵"/>
    <n v="1"/>
    <n v="1"/>
    <n v="0"/>
    <n v="1"/>
    <d v="2025-05-27T00:00:00"/>
    <d v="2025-05-27T00:00:00"/>
    <d v="2025-08-04T00:00:00"/>
    <d v="2025-10-17T00:00:00"/>
    <d v="2025-10-31T00:00:00"/>
    <d v="2025-11-13T00:00:00"/>
    <d v="2026-03-27T00:00:00"/>
    <n v="48"/>
    <n v="1"/>
    <n v="200"/>
    <m/>
    <s v="4. PRODUCCIÓN"/>
    <m/>
    <m/>
    <n v="0"/>
    <n v="48"/>
    <n v="0"/>
    <n v="384"/>
    <n v="0"/>
    <x v="4"/>
  </r>
  <r>
    <s v="M1097"/>
    <n v="2854"/>
    <x v="0"/>
    <s v="2025-T0505"/>
    <s v="2025-M0426"/>
    <s v="Generación Clave Internet y Afiliación  CDD en Banca Móvil por Biometria – Capa Front Android"/>
    <m/>
    <x v="2"/>
    <s v="Canales Alternos"/>
    <s v="Canales Presenciales"/>
    <d v="2024-01-18T00:00:00"/>
    <s v="MEMORANDO N° 00000052 - 2024-BN/3252"/>
    <s v="SABM - Sistema Atencion Banca Movil"/>
    <m/>
    <s v="Banca Móvil (APP)"/>
    <s v="Cuenta de Ahorros"/>
    <s v="No aplica"/>
    <x v="0"/>
    <m/>
    <m/>
    <m/>
    <m/>
    <m/>
    <m/>
    <m/>
    <s v="Normal"/>
    <d v="2025-06-27T00:00:00"/>
    <x v="2"/>
    <s v="Analista-BN"/>
    <s v="Marilu Cordova Quispe"/>
    <s v="Omar Sarmiento"/>
    <x v="6"/>
    <s v="02. En Proceso"/>
    <m/>
    <m/>
    <m/>
    <d v="2025-06-04T00:00:00"/>
    <d v="2025-08-14T00:00:00"/>
    <m/>
    <d v="2025-08-19T00:00:00"/>
    <d v="2025-10-28T00:00:00"/>
    <d v="2025-09-11T09:36:00"/>
    <m/>
    <m/>
    <d v="2025-09-18T09:36:00"/>
    <s v="18/03/26: Según CQ, actualizó el estado a 06. Calidad Finalizado_x000a_12/01/26: Según CQ, actualizó el estado a 05. En Calidad_x000a_05/01/26: Según CQ, actualizó el estado a 04. Desarrollo Finalizado_x000a_30/12/2025: Cartera reasignada a Omar Sarmiento_x000a_01/12/25: Según CQ, actualizó el estado a 03. En Desarrollo_x000a_30/10/25: Según CQ, actualizó el estado a 06. Calidad Finalizado_x000a_20/08/25: Según CQ, actualizó el estado a 05. En Calidad_x000a_15/08/25: Según CQ, actualizó el estado a 04. Desarrollo Finalizado_x000a_27/06/25: Según CQ, actualizó el estado a 03. En Desarrollo_x000a_04/06/25: Se registró en el Backlog y se creó trámite."/>
    <s v="B.Digital"/>
    <s v="CanalesAlternos"/>
    <s v="2024-01"/>
    <s v="2025-06"/>
    <s v="2025-08"/>
    <x v="0"/>
    <x v="7"/>
    <m/>
    <m/>
    <m/>
    <m/>
    <m/>
    <s v="2025-II"/>
    <s v="Sin Fecha Fin Producción"/>
    <s v="No Aplica"/>
    <m/>
    <s v="Finalizada"/>
    <s v="Certificado"/>
    <x v="102"/>
    <x v="0"/>
    <m/>
    <m/>
    <s v="Vencida"/>
    <s v="Banca Movil"/>
    <s v="Canales Virtuales"/>
    <x v="1"/>
    <x v="1"/>
    <m/>
    <s v=""/>
    <s v="Sin Fecha"/>
    <s v="No definido"/>
    <m/>
    <s v="Activos"/>
    <x v="4"/>
    <n v="0.85"/>
    <s v="PRE"/>
    <s v="NO"/>
    <s v="05. En Calidad"/>
    <s v="SI"/>
    <s v="ATRASADO 🔴"/>
    <n v="1"/>
    <n v="0.85"/>
    <n v="0.15000000000000002"/>
    <n v="0.85"/>
    <d v="2025-06-04T00:00:00"/>
    <d v="2025-06-04T00:00:00"/>
    <d v="2025-08-14T00:00:00"/>
    <d v="2025-08-19T00:00:00"/>
    <d v="2026-03-13T00:00:00"/>
    <d v="2026-03-16T00:00:00"/>
    <d v="2026-03-27T00:00:00"/>
    <n v="50"/>
    <n v="1"/>
    <n v="200"/>
    <s v="BD"/>
    <s v="2. CALIDAD"/>
    <m/>
    <m/>
    <n v="0"/>
    <n v="50"/>
    <n v="0"/>
    <n v="400"/>
    <n v="0"/>
    <x v="4"/>
  </r>
  <r>
    <s v="M1098"/>
    <n v="2855"/>
    <x v="0"/>
    <s v="2025-T0506"/>
    <s v="2025-M0427"/>
    <s v="Generación Clave Internet y Afiliación  CDD en Banca Móvil por Biometria – Capa Front IOS"/>
    <m/>
    <x v="2"/>
    <s v="Canales Alternos"/>
    <s v="Canales Virtuales"/>
    <d v="2024-01-18T00:00:00"/>
    <s v="MEMORANDO N° 00000052 - 2024-BN/3252"/>
    <s v="SABM - Sistema Atencion Banca Movil"/>
    <m/>
    <s v="Banca Móvil (APP)"/>
    <s v="Cuenta de Ahorros"/>
    <s v="No aplica"/>
    <x v="0"/>
    <m/>
    <m/>
    <m/>
    <m/>
    <m/>
    <m/>
    <m/>
    <s v="Normal"/>
    <d v="2025-06-27T00:00:00"/>
    <x v="2"/>
    <s v="Analista-BN"/>
    <s v="Marilu Cordova Quispe"/>
    <s v="Omar Sarmiento"/>
    <x v="6"/>
    <s v="02. En Proceso"/>
    <m/>
    <m/>
    <m/>
    <d v="2025-06-04T00:00:00"/>
    <d v="2025-08-14T00:00:00"/>
    <m/>
    <d v="2025-08-19T00:00:00"/>
    <d v="2025-10-28T00:00:00"/>
    <d v="2025-09-11T09:36:00"/>
    <m/>
    <m/>
    <d v="2025-09-18T09:36:00"/>
    <s v="18/03/26: Según CQ, actualizó el estado a 06. Calidad Finalizado_x000a_12/01/26: Según CQ, actualizó el estado a 05. En Calidad_x000a_12/01/26: Según CQ, actualizó el estado a 04. Desarrollo Finalizado_x000a_08/01/26: Según CQ, actualizó el estado a 05. En Calidad_x000a_05/01/26: Según CQ, actualizó el estado a 04. Desarrollo Finalizado_x000a_30/12/2025: Cartera reasignada a Omar Sarmiento_x000a_01/12/25: Según CQ, actualizó el estado a 03. En Desarrollo_x000a_30/10/25: Según CQ, actualizó el estado a 06. Calidad Finalizado_x000a_20/08/25: Según CQ, actualizó el estado a 05. En Calidad_x000a_15/08/25: Según CQ, actualizó el estado a 04. Desarrollo Finalizado_x000a_27/06/25: Según CQ, actualizó el estado a 03. En Desarrollo_x000a_04/06/25: Se registró en el Backlog y se creó trámite."/>
    <s v="B.Digital"/>
    <s v="CanalesAlternos"/>
    <s v="2024-01"/>
    <s v="2025-06"/>
    <s v="2025-08"/>
    <x v="0"/>
    <x v="7"/>
    <m/>
    <m/>
    <m/>
    <m/>
    <m/>
    <s v="2025-II"/>
    <s v="Sin Fecha Fin Producción"/>
    <s v="No Aplica"/>
    <m/>
    <s v="Finalizada"/>
    <s v="Certificado"/>
    <x v="103"/>
    <x v="0"/>
    <m/>
    <m/>
    <s v="Vencida"/>
    <s v="Banca Movil"/>
    <s v="Canales Virtuales"/>
    <x v="1"/>
    <x v="1"/>
    <m/>
    <s v=""/>
    <s v="Sin Fecha"/>
    <s v="No definido"/>
    <m/>
    <s v="Activos"/>
    <x v="4"/>
    <n v="0.85"/>
    <s v="PRE"/>
    <s v="NO"/>
    <s v="05. En Calidad"/>
    <s v="SI"/>
    <s v="ATRASADO 🔴"/>
    <n v="1"/>
    <n v="0.85"/>
    <n v="0.15000000000000002"/>
    <n v="0.85"/>
    <d v="2025-06-04T00:00:00"/>
    <d v="2025-06-04T00:00:00"/>
    <d v="2025-08-14T00:00:00"/>
    <d v="2025-08-19T00:00:00"/>
    <d v="2026-03-17T00:00:00"/>
    <d v="2026-03-18T00:00:00"/>
    <d v="2026-03-30T00:00:00"/>
    <n v="50"/>
    <n v="1"/>
    <n v="200"/>
    <s v="BD"/>
    <s v="2. CALIDAD"/>
    <m/>
    <m/>
    <n v="0"/>
    <n v="50"/>
    <n v="0"/>
    <n v="400"/>
    <n v="0"/>
    <x v="4"/>
  </r>
  <r>
    <s v="M1104"/>
    <n v="2867"/>
    <x v="0"/>
    <s v="2025-T0563"/>
    <s v="2025-M0570"/>
    <s v="CARGA DE TABLAS BNDJF11, BNDJF12, BNDJ13 EN REPOSITORIO DE BIGDATA PARA LA GENERACIÓN DE REPORTES DEJA"/>
    <s v="Transferir de forma diaria los datos de las tablas BNDJF11, BNDJF12, BNDJ13 que corresponden a la base 060, al repositorio de BIGDATA para el acceso de los usuarios de la Sección Depósitos Judiciales y Administrativos"/>
    <x v="0"/>
    <s v="Servicios Bancarios y Recaudación"/>
    <s v="Depósitos Judiciales y Administrativos"/>
    <d v="2025-05-14T00:00:00"/>
    <s v="MEMORANDO N° 00000049 - 2025-BN/3212"/>
    <s v="DEJA-Depositos judiciales y administrativos"/>
    <s v="Big Data"/>
    <s v="Otros"/>
    <s v="Depósitos Judiciales y Administrativos"/>
    <s v="Servicios Bancarios Diversos "/>
    <x v="0"/>
    <m/>
    <m/>
    <m/>
    <m/>
    <m/>
    <m/>
    <s v="No Aplica"/>
    <s v="Normal"/>
    <d v="2025-06-27T00:00:00"/>
    <x v="1"/>
    <s v="Analista-BN"/>
    <s v="Luis Enrique Almeyda Pachas"/>
    <s v="Juan Carlos Zavaleta"/>
    <x v="5"/>
    <s v="02. En Proceso"/>
    <s v="Dependencia Usuario"/>
    <m/>
    <m/>
    <d v="2025-11-06T00:00:00"/>
    <m/>
    <m/>
    <m/>
    <m/>
    <s v=""/>
    <m/>
    <m/>
    <s v=""/>
    <s v="29/04/26: Según CQ, actualizó el estado a 03. En Desarrollo_x000a_02/03/26: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6/11/25: Según CQ, actualizó el estado a 09. Descartado_x000a_18/06/25: Se registró en el Backlog. "/>
    <s v="Operac."/>
    <s v="BancariosRecaudación"/>
    <s v="2025-05"/>
    <s v="2025-06"/>
    <s v="No definido"/>
    <x v="0"/>
    <x v="1"/>
    <m/>
    <m/>
    <m/>
    <m/>
    <m/>
    <s v="2025-II"/>
    <s v="Sin Fecha Fin Producción"/>
    <s v="No Aplica"/>
    <m/>
    <s v="Iniciada"/>
    <s v="Asignado"/>
    <x v="104"/>
    <x v="0"/>
    <m/>
    <m/>
    <s v="Sin Fecha"/>
    <s v="BackOffice"/>
    <s v="Otros Requerimientos"/>
    <x v="1"/>
    <x v="1"/>
    <m/>
    <s v=""/>
    <s v="Sin Fecha"/>
    <s v="No definido"/>
    <m/>
    <s v="Activos"/>
    <x v="0"/>
    <n v="0.25"/>
    <s v="POST"/>
    <s v="REACTIVADO"/>
    <s v="Reactivo"/>
    <s v="SI"/>
    <s v="EN CURSO 🟢"/>
    <n v="0"/>
    <n v="0.25"/>
    <n v="-0.25"/>
    <s v=""/>
    <m/>
    <d v="2026-07-16T00:00:00"/>
    <d v="2026-08-31T00:00:00"/>
    <d v="2026-09-01T00:00:00"/>
    <d v="2026-09-30T00:00:00"/>
    <d v="2026-10-01T00:00:00"/>
    <d v="2026-10-10T00:00:00"/>
    <n v="31"/>
    <n v="0"/>
    <n v="82.666666666666657"/>
    <m/>
    <s v="1. DESARROLLO"/>
    <m/>
    <m/>
    <n v="1"/>
    <n v="0"/>
    <n v="31"/>
    <n v="0"/>
    <n v="82.666666666666657"/>
    <x v="7"/>
  </r>
  <r>
    <s v="M1105"/>
    <n v="2868"/>
    <x v="0"/>
    <s v="2025-T0540"/>
    <s v="2025-M0641"/>
    <s v="Biometría Dactilar para la Transacción 0550  "/>
    <m/>
    <x v="0"/>
    <s v="Servicios Bancarios y Recaudación"/>
    <s v="Recaudación y Corresponsalía"/>
    <d v="2025-06-07T00:00:00"/>
    <s v="MEMORANDO N° 00000141 - 2025-BN/3243"/>
    <s v="PRCA- Prestamos Corresponsalia Agro"/>
    <s v="Saraweb"/>
    <s v="Ventanilla - Saraweb"/>
    <s v="No Aplica"/>
    <s v="No aplica"/>
    <x v="0"/>
    <m/>
    <m/>
    <m/>
    <m/>
    <s v="No Aplica"/>
    <s v="No Aplica"/>
    <s v="No Aplica"/>
    <s v="Normal"/>
    <d v="2025-06-27T00:00:00"/>
    <x v="0"/>
    <s v="Analista-BN"/>
    <s v="María Eva Alfaro Apaza"/>
    <s v="Junior Quicaño"/>
    <x v="1"/>
    <s v="03. Culminado"/>
    <m/>
    <m/>
    <m/>
    <d v="2025-12-01T00:00:00"/>
    <d v="2025-12-01T00:00:00"/>
    <m/>
    <d v="2025-12-01T00:00:00"/>
    <d v="2025-12-11T00:00:00"/>
    <d v="2025-12-01T00:00:00"/>
    <d v="2026-01-07T00:00:00"/>
    <d v="2026-01-13T00:00:00"/>
    <d v="2025-12-08T00:00:00"/>
    <s v="14/01/26: Según CQ, actualizó el estado a 08. Producción Finalizada_x000a_12/01/26: Según CQ, actualizó el estado a 07. En Despliegue_x000a_12/01/26: Según CQ, actualizó el estado a 06. Calidad Finalizado_x000a_08/01/26: Según CQ, actualizó el estado a 07. En Despliegue_x000a_15/12/25: Según CQ, actualizó el estado a 06. Calidad Finalizado_x000a_02/12/25: Según CQ, actualizó el estado a 05. En Calidad_x000a_01/12/25: Según CQ, actualizó el estado a 03. En Desarrollo_x000a_27/11/25: Según CQ, actualizó el estado a 07. En Despliegue_x000a_21/11/25: Según CQ, actualizó el estado a 06. Calidad Finalizado_x000a_22/10/25: Según CQ, actualizó el estado a 05. En Calidad_x000a_20/10/25: Según CQ, actualizó el estado a 04. Desarrollo Finalizado_x000a_01/10/25: Según CQ, actualizó el estado a 03. En Desarrollo_x000a_18/06/25: Se registró en el Backlog y se generó trámite"/>
    <s v="Operac."/>
    <s v="BancariosRecaudación"/>
    <s v="2025-06"/>
    <s v="2025-06"/>
    <s v="2025-12"/>
    <x v="4"/>
    <x v="23"/>
    <m/>
    <m/>
    <m/>
    <m/>
    <m/>
    <s v="2025-II"/>
    <n v="43"/>
    <n v="1.4333333333333333"/>
    <m/>
    <s v="Finalizada"/>
    <s v="Procesado"/>
    <x v="105"/>
    <x v="0"/>
    <m/>
    <m/>
    <s v="Culminado"/>
    <s v="BackOffice"/>
    <s v="Otros Requerimientos"/>
    <x v="1"/>
    <x v="1"/>
    <m/>
    <d v="2026-01-13T00:00:00"/>
    <s v="Culminado"/>
    <s v="Ene 2026"/>
    <m/>
    <s v="Culminado"/>
    <x v="0"/>
    <n v="1"/>
    <s v="PRE"/>
    <s v="NO"/>
    <s v="05. En Calidad"/>
    <s v="No aplica"/>
    <s v="IMPLEMENTADO 🔵"/>
    <n v="1"/>
    <n v="1"/>
    <n v="0"/>
    <n v="1"/>
    <d v="2025-12-01T00:00:00"/>
    <d v="2025-12-01T00:00:00"/>
    <d v="2025-12-01T00:00:00"/>
    <d v="2025-12-01T00:00:00"/>
    <d v="2025-12-11T00:00:00"/>
    <d v="2026-01-07T00:00:00"/>
    <d v="2026-01-16T00:00:00"/>
    <n v="1"/>
    <n v="1"/>
    <n v="200"/>
    <m/>
    <s v="4. PRODUCCIÓN"/>
    <m/>
    <m/>
    <n v="0"/>
    <n v="1"/>
    <n v="0"/>
    <n v="8"/>
    <n v="0"/>
    <x v="9"/>
  </r>
  <r>
    <s v="M1109"/>
    <n v="2873"/>
    <x v="0"/>
    <s v="2025-T0565"/>
    <s v="2025-M0518"/>
    <s v="REGISTRO DE FAMILIARES EN EL POEM INCLUYENDO EL SEGURO  VIDA LEY"/>
    <s v="Contar con los datos de familiares de primer grado de afinidad y segundo grado de consanguinidad, a fin de que sean utilizados en los procesos del Seguro de Vida Ley"/>
    <x v="5"/>
    <s v="Desarrollo del Talento"/>
    <s v="Asistencia y Bienestar"/>
    <d v="2025-06-18T00:00:00"/>
    <s v="MEMORANDO N° 00000630 -2025-BN/4113"/>
    <s v="POEM_Portal del Empleado"/>
    <m/>
    <s v="Otros"/>
    <s v="No Aplica"/>
    <s v="Cobranzas "/>
    <x v="2"/>
    <s v="Normativo"/>
    <s v="OTROS"/>
    <s v="Decreto Legislativo N° 688 Ley de consolidación de Beneficios Sociales y sus normas modificatorias, complementarias y reglaentarias"/>
    <m/>
    <m/>
    <m/>
    <m/>
    <s v="Normal"/>
    <d v="2025-06-27T00:00:00"/>
    <x v="1"/>
    <m/>
    <m/>
    <s v="Juan Carlos Zavaleta"/>
    <x v="3"/>
    <s v="04. Paralizado"/>
    <s v="Dependencia técnica"/>
    <m/>
    <m/>
    <m/>
    <m/>
    <m/>
    <m/>
    <m/>
    <s v=""/>
    <m/>
    <m/>
    <s v=""/>
    <s v="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07/25: Según CQ, actualizó el estado a 10. Paralizado_x000a_18/06/25: Se registró en el Backlog. "/>
    <s v="RRHH"/>
    <s v="DesarrolloTalento"/>
    <s v="2025-06"/>
    <s v="2025-06"/>
    <s v="No definido"/>
    <x v="0"/>
    <x v="1"/>
    <m/>
    <m/>
    <m/>
    <m/>
    <m/>
    <s v="2025-II"/>
    <s v="Sin Fechas"/>
    <s v="No Aplica"/>
    <m/>
    <m/>
    <s v="Pospuesto"/>
    <x v="106"/>
    <x v="0"/>
    <m/>
    <m/>
    <s v="Sin Fecha"/>
    <s v="BackOffice"/>
    <s v="Otros Requerimientos"/>
    <x v="1"/>
    <x v="1"/>
    <m/>
    <s v=""/>
    <s v="Sin Fecha"/>
    <s v="No definido"/>
    <m/>
    <s v="Activos"/>
    <x v="0"/>
    <n v="0.12"/>
    <s v="POST"/>
    <s v="REACTIVADO"/>
    <s v="Reactivo"/>
    <s v="No aplica"/>
    <s v="PARALIZADO ⚪"/>
    <n v="0"/>
    <n v="0.12"/>
    <n v="-0.12"/>
    <s v=""/>
    <m/>
    <d v="2026-07-01T00:00:00"/>
    <d v="2026-08-30T00:00:00"/>
    <d v="2026-09-01T00:00:00"/>
    <d v="2026-09-30T00:00:00"/>
    <d v="2026-10-01T00:00:00"/>
    <d v="2026-10-05T00:00:00"/>
    <n v="41"/>
    <n v="0"/>
    <n v="200"/>
    <m/>
    <s v="6. PARALIZADO"/>
    <m/>
    <m/>
    <n v="1"/>
    <n v="0"/>
    <n v="41"/>
    <n v="0"/>
    <n v="328"/>
    <x v="7"/>
  </r>
  <r>
    <s v="M1111"/>
    <n v="2877"/>
    <x v="0"/>
    <s v="2025-T0502"/>
    <s v="2025-M0419"/>
    <s v="Mejora Reporte  Reprogramaciones – Crédito de consumo e Hipotecario"/>
    <s v="Generar un reporte  mensual por producto – Crédito reprogramado_x000a_Generar un proceso  para actualizar el campo P76_TREPROGRA"/>
    <x v="1"/>
    <s v="Banca Personal"/>
    <s v="Préstamo Multired"/>
    <d v="2025-06-09T00:00:00"/>
    <s v="MEMORANDO N° 00000145 - 2025-BN/3347"/>
    <s v="PRAH - Prestamos Multired"/>
    <m/>
    <s v="Otros"/>
    <s v="Préstamos Multired "/>
    <s v="No aplica"/>
    <x v="3"/>
    <s v="Recomendación"/>
    <s v="AUDITORIA INTERNA"/>
    <s v="P-009-2024-BN/1400"/>
    <s v="Revisión del adecuado cumplimiento de las disposiciones regulatorias sobre los créditos reprogramados en el marco de oficios emitidos por la SBS"/>
    <s v="N° 4"/>
    <s v="4.b"/>
    <d v="2026-03-02T00:00:00"/>
    <s v="Normal"/>
    <d v="2025-06-27T00:00:00"/>
    <x v="0"/>
    <s v="FS-Olssa"/>
    <s v="Pedro Jose Encalada Huertas"/>
    <s v="Milagros Huamani"/>
    <x v="3"/>
    <s v="04. Paralizado"/>
    <s v="Dependencia Usuario"/>
    <m/>
    <m/>
    <d v="2025-11-24T00:00:00"/>
    <d v="2025-09-03T00:00:00"/>
    <m/>
    <d v="2025-09-11T00:00:00"/>
    <m/>
    <d v="2025-08-01T04:48:00"/>
    <m/>
    <m/>
    <d v="2025-08-08T04:48:00"/>
    <s v="23/03/26: Pospuesto por el usuario Omar Cribillero, por prioridad de otros mantenimiento en calidad, cabe indicar que el desarrollo esta culminado._x000a_15/12/25: Según CQ, actualizó el estado a 10. Paralizado_x000a_15/09/25: Según CQ, actualizó el estado a 03. En Desarrollo_x000a_04/04/25: Se creó trámite en CQ y se priorizó._x000a_15/12/25: Según CQ, actualizó el estado a 10. Paralizado_x000a_15/09/25: Según CQ, actualizó el estado a 03. En Desarrollo_x000a_04/04/25: Se creó trámite en CQ y se priorizó._x000a_27/02/26: Según CQ, actualizó el estado a 10. Paralizado_x000a_12/09/25: Según CQ, actualizó el estado a 03. En Desarrollo_x000a_08/09/25: Según CQ, actualizó el estado a 05. En Calidad_x000a_04/09/25: Según CQ, actualizó el estado a 04. Desarrollo Finalizado_x000a_27/06/25: Según CQ, actualizó el estado a 03. En Desarrollo_x000a_24/06/25: Se registró en el Backlog. "/>
    <s v="Productos"/>
    <s v="BancaPersonal"/>
    <s v="2025-06"/>
    <s v="2025-06"/>
    <s v="2025-09"/>
    <x v="0"/>
    <x v="10"/>
    <m/>
    <m/>
    <m/>
    <m/>
    <m/>
    <s v="2025-II"/>
    <s v="Sin Fecha Fin Producción"/>
    <s v="No Aplica"/>
    <m/>
    <s v="Finalizada"/>
    <s v="Pospuesto"/>
    <x v="107"/>
    <x v="4"/>
    <s v="2740"/>
    <s v="NO"/>
    <s v="Vencida"/>
    <s v="Préstamos Multired"/>
    <s v="Productos"/>
    <x v="1"/>
    <x v="1"/>
    <m/>
    <s v=""/>
    <s v="Sin Fecha"/>
    <s v="No definido"/>
    <m/>
    <s v="Activos"/>
    <x v="0"/>
    <n v="0.12"/>
    <s v="PRE"/>
    <s v="NO"/>
    <s v="03. En Desarrollo"/>
    <s v="No aplica"/>
    <s v="PARALIZADO ⚪"/>
    <s v=""/>
    <n v="0.12"/>
    <s v=""/>
    <s v=""/>
    <m/>
    <m/>
    <m/>
    <m/>
    <m/>
    <m/>
    <d v="2026-11-30T00:00:00"/>
    <n v="25"/>
    <n v="0.1"/>
    <n v="200"/>
    <m/>
    <s v="6. PARALIZADO"/>
    <m/>
    <m/>
    <n v="0.9"/>
    <n v="1"/>
    <n v="24"/>
    <n v="8"/>
    <n v="192"/>
    <x v="13"/>
  </r>
  <r>
    <s v="M1112"/>
    <n v="2878"/>
    <x v="0"/>
    <s v="2025-T0485"/>
    <s v="2025-M0406"/>
    <s v="DESARROLLO DE PROYECTOS DE MIGRACION, OPTIMIZACION Y MANTENIMIENTO DE APLICACIONES : BDUC Y SACH"/>
    <m/>
    <x v="8"/>
    <s v="Construcción de Aplicaciones"/>
    <s v="Sistemas Bancarios"/>
    <m/>
    <m/>
    <s v="SIUC-Sistema de Información Unica de Clientes"/>
    <m/>
    <s v="Otros"/>
    <s v="No Aplica"/>
    <s v="No aplica"/>
    <x v="0"/>
    <m/>
    <m/>
    <m/>
    <m/>
    <m/>
    <m/>
    <m/>
    <s v="Regularizado"/>
    <d v="2025-06-27T00:00:00"/>
    <x v="0"/>
    <s v="FS-Olssa"/>
    <s v="Johnny Luis Rocca Surco"/>
    <s v="Tomas Calvera"/>
    <x v="5"/>
    <s v="02. En Proceso"/>
    <m/>
    <m/>
    <m/>
    <d v="2025-06-23T00:00:00"/>
    <m/>
    <m/>
    <m/>
    <m/>
    <s v=""/>
    <m/>
    <m/>
    <s v=""/>
    <s v="04/02/2026: Cartera reasignada a Tomas Calvera_x000a_05/09/2025: Cartera reasignada a Omar Sarmiento_x000a_11/08/2025: Cartera reasignada a Percy Silva_x000a_27/06/25: Según CQ, actualizó el estado a 03. En Desarrollo_x000a_25/06/2025: Se regularizó requerimiento en el Backlog."/>
    <s v="TI"/>
    <s v="ConstrucciónAplicaciones"/>
    <s v="No definido"/>
    <s v="2025-06"/>
    <s v="No definido"/>
    <x v="0"/>
    <x v="1"/>
    <m/>
    <m/>
    <m/>
    <m/>
    <m/>
    <s v="2025-II"/>
    <s v="Sin Fecha Fin Producción"/>
    <s v="No Aplica"/>
    <m/>
    <s v="Iniciada"/>
    <s v="Asignado"/>
    <x v="108"/>
    <x v="0"/>
    <m/>
    <m/>
    <s v="Sin Fecha"/>
    <s v="Clientes (BDUC)"/>
    <s v="Canales Presenciales"/>
    <x v="1"/>
    <x v="1"/>
    <m/>
    <s v=""/>
    <s v="Sin Fecha"/>
    <s v="No definido"/>
    <m/>
    <s v="Activos"/>
    <x v="0"/>
    <n v="0.25"/>
    <s v="PRE"/>
    <s v="NO"/>
    <s v="03. En Desarrollo"/>
    <s v="SI"/>
    <s v="EN RIESGO 🟡"/>
    <n v="0.65476190476190477"/>
    <n v="0.55000000000000004"/>
    <n v="0.10476190476190472"/>
    <n v="0.84000000000000008"/>
    <d v="2025-11-03T00:00:00"/>
    <d v="2026-03-02T00:00:00"/>
    <d v="2026-03-11T00:00:00"/>
    <d v="2026-05-18T00:00:00"/>
    <d v="2026-06-19T00:00:00"/>
    <d v="2026-06-22T00:00:00"/>
    <d v="2026-06-26T00:00:00"/>
    <n v="8"/>
    <n v="1"/>
    <n v="9.1428571428571423"/>
    <m/>
    <s v="1. DESARROLLO"/>
    <m/>
    <m/>
    <n v="0"/>
    <n v="8"/>
    <n v="0"/>
    <n v="9.1428571428571423"/>
    <n v="0"/>
    <x v="6"/>
  </r>
  <r>
    <s v="M1114"/>
    <n v="2880"/>
    <x v="0"/>
    <s v="2025-T0510"/>
    <s v="2025-M0433"/>
    <s v="ME :INCLUSIÓN DE TASAS DE DNI ELECTRÓNICO DE RENIEC Y PASAPORTE BIOMÉTRICO DE MIGRACIONES"/>
    <m/>
    <x v="2"/>
    <s v="Canales Alternos"/>
    <s v="Canales Presenciales"/>
    <m/>
    <m/>
    <s v="TMIN-Tarjeta Multired Interfaces"/>
    <m/>
    <s v="Otros"/>
    <s v="No Aplica"/>
    <s v="No aplica"/>
    <x v="0"/>
    <m/>
    <m/>
    <m/>
    <m/>
    <m/>
    <m/>
    <m/>
    <s v="Regularizado"/>
    <d v="2025-06-27T00:00:00"/>
    <x v="0"/>
    <s v="Analista-BN"/>
    <s v="Vladimir Ronald Cajavilca Cajavilca"/>
    <s v="Omar Sarmiento"/>
    <x v="5"/>
    <s v="02. En Proceso"/>
    <m/>
    <m/>
    <m/>
    <d v="2025-06-05T00:00:00"/>
    <m/>
    <m/>
    <m/>
    <m/>
    <s v=""/>
    <m/>
    <m/>
    <s v=""/>
    <s v="26/02/2026 El final de desarrollo (julio) está condicionado a que la nueva FS inicie su atención en abril_x000a_30/12/2025: Cartera reasignada a Omar Sarmiento_x000a_27/06/25: Según CQ, actualizó el estado a 03. En Desarrollo_x000a_25/06/2025: Se regularizó requerimiento en el Backlog."/>
    <s v="B.Digital"/>
    <s v="CanalesAlternos"/>
    <s v="No definido"/>
    <s v="2025-06"/>
    <s v="No definido"/>
    <x v="0"/>
    <x v="1"/>
    <m/>
    <m/>
    <m/>
    <m/>
    <m/>
    <s v="2025-II"/>
    <s v="Sin Fecha Fin Producción"/>
    <s v="No Aplica"/>
    <m/>
    <s v="Iniciada"/>
    <s v="Asignado"/>
    <x v="109"/>
    <x v="0"/>
    <m/>
    <m/>
    <s v="Sin Fecha"/>
    <s v="ATM-Agentes-VISA"/>
    <s v="Canales Presenciales"/>
    <x v="1"/>
    <x v="1"/>
    <m/>
    <s v=""/>
    <s v="Sin Fecha"/>
    <s v="No definido"/>
    <m/>
    <s v="Activos"/>
    <x v="0"/>
    <n v="0.25"/>
    <s v="PRE"/>
    <s v="NO"/>
    <s v="03. En Desarrollo"/>
    <s v="SI"/>
    <s v="EN RIESGO 🟡"/>
    <n v="0.41984732824427479"/>
    <n v="0.25"/>
    <n v="0.16984732824427479"/>
    <n v="0.59545454545454546"/>
    <d v="2025-11-10T00:00:00"/>
    <d v="2026-03-02T00:00:00"/>
    <d v="2026-07-30T00:00:00"/>
    <d v="2026-08-03T00:00:00"/>
    <d v="2026-08-31T00:00:00"/>
    <d v="2026-09-01T00:00:00"/>
    <d v="2026-09-04T00:00:00"/>
    <n v="105"/>
    <n v="0.50458715596330272"/>
    <n v="76.36363636363636"/>
    <s v="BD"/>
    <s v="1. DESARROLLO"/>
    <m/>
    <m/>
    <n v="0.49541284403669728"/>
    <n v="54"/>
    <n v="51"/>
    <n v="39.272727272727273"/>
    <n v="37.090909090909093"/>
    <x v="2"/>
  </r>
  <r>
    <s v="M1115"/>
    <n v="2881"/>
    <x v="0"/>
    <s v="2025-T0511"/>
    <s v="2025-M0434"/>
    <s v="ACTUALIZACIÓN DE DEPENDENCIAS Y DISTRITOS JUDICIALES PARA EL PAGO DE TASAS DEL PODER JUDICIAL EN EL CANAL AG"/>
    <m/>
    <x v="2"/>
    <s v="Canales Alternos"/>
    <s v="Canales Presenciales"/>
    <m/>
    <m/>
    <s v="TMIN-Tarjeta Multired Interfaces"/>
    <m/>
    <s v="Otros"/>
    <s v="No Aplica"/>
    <s v="No aplica"/>
    <x v="0"/>
    <m/>
    <m/>
    <m/>
    <m/>
    <m/>
    <m/>
    <m/>
    <s v="Regularizado"/>
    <d v="2025-06-27T00:00:00"/>
    <x v="0"/>
    <s v="Analista-BN"/>
    <s v="Vladimir Ronald Cajavilca Cajavilca"/>
    <s v="Omar Sarmiento"/>
    <x v="5"/>
    <s v="02. En Proceso"/>
    <m/>
    <m/>
    <m/>
    <d v="2025-06-05T00:00:00"/>
    <m/>
    <m/>
    <m/>
    <m/>
    <s v=""/>
    <m/>
    <m/>
    <s v=""/>
    <s v="26/02/2026 El final de desarrollo (julio) está condicionado a que la nueva FS inicie su atención en abril_x000a_30/12/2025: Cartera reasignada a Omar Sarmiento_x000a_27/06/25: Según CQ, actualizó el estado a 03. En Desarrollo_x000a_25/06/2025: Se regularizó requerimiento en el Backlog."/>
    <s v="B.Digital"/>
    <s v="CanalesAlternos"/>
    <s v="No definido"/>
    <s v="2025-06"/>
    <s v="No definido"/>
    <x v="0"/>
    <x v="1"/>
    <m/>
    <m/>
    <m/>
    <m/>
    <m/>
    <s v="2025-II"/>
    <s v="Sin Fecha Fin Producción"/>
    <s v="No Aplica"/>
    <m/>
    <s v="Iniciada"/>
    <s v="Asignado"/>
    <x v="110"/>
    <x v="0"/>
    <m/>
    <m/>
    <s v="Sin Fecha"/>
    <s v="ATM-Agentes-VISA"/>
    <s v="Canales Presenciales"/>
    <x v="1"/>
    <x v="1"/>
    <m/>
    <s v=""/>
    <s v="Sin Fecha"/>
    <s v="No definido"/>
    <m/>
    <s v="Activos"/>
    <x v="0"/>
    <n v="0.25"/>
    <s v="PRE"/>
    <s v="NO"/>
    <s v="03. En Desarrollo"/>
    <s v="SI"/>
    <s v="EN RIESGO 🟡"/>
    <n v="0.41984732824427479"/>
    <n v="0.25"/>
    <n v="0.16984732824427479"/>
    <n v="0.59545454545454546"/>
    <d v="2025-11-10T00:00:00"/>
    <d v="2026-03-02T00:00:00"/>
    <d v="2026-07-30T00:00:00"/>
    <d v="2026-08-03T00:00:00"/>
    <d v="2026-08-31T00:00:00"/>
    <d v="2026-09-01T00:00:00"/>
    <d v="2026-09-04T00:00:00"/>
    <n v="105"/>
    <n v="0.50458715596330272"/>
    <n v="76.36363636363636"/>
    <s v="BD"/>
    <s v="1. DESARROLLO"/>
    <m/>
    <m/>
    <n v="0.49541284403669728"/>
    <n v="54"/>
    <n v="51"/>
    <n v="39.272727272727273"/>
    <n v="37.090909090909093"/>
    <x v="2"/>
  </r>
  <r>
    <s v="M1120"/>
    <n v="2896"/>
    <x v="0"/>
    <s v="2025-T0573"/>
    <s v="2025-M0517"/>
    <s v="MEJORA EN LOS PROCESOS EVALUACIÓN DEL SISTEMA SIEP - EVALUACIÓN DE COMPETENCIAS LABORALES"/>
    <s v="La implementación de los nuevos lineamientos de la Guía Pictográfica Gestión del Desempeño del corporativo FONAFE, subsanar las incidencias presentadas en el último proceso de evaluación de competencias y optimizar la experiencia del usuario para un mejor posicionamiento de la herramienta y del proceso en el Banco"/>
    <x v="5"/>
    <s v="Desarrollo del Talento"/>
    <s v="Desarrollo Profesional"/>
    <d v="2025-06-26T00:00:00"/>
    <s v="MEMORANDO N° 00000035 -2025-BN/4111"/>
    <s v="SIEP - Sistema Integral de Evaluacion de Personal"/>
    <m/>
    <s v="Otros"/>
    <s v="No Aplica"/>
    <s v="No aplica"/>
    <x v="0"/>
    <m/>
    <m/>
    <m/>
    <m/>
    <m/>
    <m/>
    <m/>
    <s v="Normal"/>
    <d v="2025-06-27T00:00:00"/>
    <x v="1"/>
    <s v="Analista-BN"/>
    <s v="Jorge Mora Ruelas"/>
    <s v="Juan Carlos Zavaleta"/>
    <x v="1"/>
    <s v="03. Culminado"/>
    <m/>
    <m/>
    <m/>
    <d v="2025-07-17T00:00:00"/>
    <d v="2025-12-05T00:00:00"/>
    <d v="2025-11-14T00:00:00"/>
    <d v="2025-12-05T00:00:00"/>
    <d v="2026-01-09T00:00:00"/>
    <d v="2026-01-01T00:00:00"/>
    <d v="2026-01-09T00:00:00"/>
    <d v="2026-01-13T00:00:00"/>
    <d v="2026-01-08T00:00:00"/>
    <s v="14/01/26: Según CQ, actualizó el estado a 08. Producción Finalizada_x000a_12/01/26: Según CQ, actualizó el estado a 07. En Despliegue_x000a_10/12/25: Según CQ, actualizó el estado a 05. En Calidad_x000a_05/12/25: Según CQ, actualizó el estado a 04. Desarrollo Finalizado_x000a_24/07/25: Según CQ, actualizó el estado a 03. En Desarrollo_x000a_26/06/2025: Se registró requerimiento en el Backlog."/>
    <s v="RRHH"/>
    <s v="DesarrolloTalento"/>
    <s v="2025-06"/>
    <s v="2025-06"/>
    <s v="2025-12"/>
    <x v="4"/>
    <x v="16"/>
    <m/>
    <m/>
    <m/>
    <m/>
    <m/>
    <s v="2025-II"/>
    <n v="180"/>
    <n v="6"/>
    <m/>
    <s v="Finalizada"/>
    <s v="Procesado"/>
    <x v="111"/>
    <x v="0"/>
    <m/>
    <m/>
    <s v="Culminado"/>
    <s v="BackOffice"/>
    <s v="Otros Requerimientos"/>
    <x v="1"/>
    <x v="1"/>
    <m/>
    <d v="2026-01-13T00:00:00"/>
    <s v="Culminado"/>
    <s v="Ene 2026"/>
    <m/>
    <s v="Culminado"/>
    <x v="0"/>
    <n v="1"/>
    <s v="PRE"/>
    <s v="NO"/>
    <s v="03. En Desarrollo"/>
    <s v="No aplica"/>
    <s v="IMPLEMENTADO 🔵"/>
    <n v="1"/>
    <n v="1"/>
    <n v="0"/>
    <n v="1"/>
    <d v="2025-07-17T00:00:00"/>
    <d v="2025-07-17T00:00:00"/>
    <d v="2025-12-05T00:00:00"/>
    <d v="2025-12-05T00:00:00"/>
    <d v="2026-01-09T00:00:00"/>
    <d v="2026-01-09T00:00:00"/>
    <d v="2026-01-28T00:00:00"/>
    <n v="99"/>
    <n v="1"/>
    <n v="200"/>
    <m/>
    <s v="4. PRODUCCIÓN"/>
    <m/>
    <m/>
    <n v="0"/>
    <n v="99"/>
    <n v="0"/>
    <n v="792"/>
    <n v="0"/>
    <x v="9"/>
  </r>
  <r>
    <s v="M1134"/>
    <n v="2344"/>
    <x v="0"/>
    <s v="2025-T0627"/>
    <s v="2025-M0521"/>
    <s v="Restricción Abonos Encargos Reversión"/>
    <s v="Restricción de Abonos SARA WEB y Host para cuentas de tipo 16 encargos SIAF"/>
    <x v="0"/>
    <s v="Captaciones y Pagaduría"/>
    <s v="Administración de Cuentas y Pagaduría"/>
    <d v="2024-07-22T00:00:00"/>
    <s v="MEMORANDO N° 00000779 - 2024-BN/3191"/>
    <s v="SICT-Sistema de Informacón de Cuentas Corrientes"/>
    <m/>
    <s v="Todos los canales"/>
    <s v="Cuenta Corriente "/>
    <s v="No aplica"/>
    <x v="1"/>
    <m/>
    <s v="No Aplica"/>
    <s v="No Aplica"/>
    <s v="No Aplica"/>
    <s v="No Aplica"/>
    <s v="No Aplica"/>
    <s v="No Aplica"/>
    <s v="Normal"/>
    <d v="2025-07-30T00:00:00"/>
    <x v="0"/>
    <s v="FS-Olssa"/>
    <s v="Eduardo Saul Cardenas Manrique"/>
    <s v="Junior Quicaño"/>
    <x v="1"/>
    <s v="03. Culminado"/>
    <m/>
    <m/>
    <d v="2025-11-03T00:00:00"/>
    <d v="2025-07-18T00:00:00"/>
    <d v="2025-11-18T00:00:00"/>
    <d v="2025-12-31T00:00:00"/>
    <d v="2025-12-12T00:00:00"/>
    <d v="2025-12-17T00:00:00"/>
    <d v="2026-03-07T09:36:00"/>
    <d v="2026-01-14T00:00:00"/>
    <d v="2026-01-15T00:00:00"/>
    <d v="2026-03-14T09:36:00"/>
    <s v="15/01/26: Según CQ, actualizó el estado a 08. Producción Finalizada_x000a_18/12/25: Según CQ, actualizó el estado a 06. Calidad Finalizado_x000a_26/11/25: Según CQ, actualizó el estado a 05. En Calidad_x000a_19/11/25: Según CQ, actualizó el estado a 04. Desarrollo Finalizado_x000a_25/07/25: Según CQ, actualizó el estado a 03. En Desarrollo_x000a_05/08/2024:  Se registró en el Backlog de requerimientos."/>
    <s v="Operac."/>
    <s v="CaptacionesPagaduría"/>
    <s v="2024-07"/>
    <s v="2025-07"/>
    <s v="2025-11"/>
    <x v="4"/>
    <x v="8"/>
    <m/>
    <m/>
    <m/>
    <m/>
    <m/>
    <s v="2025-III"/>
    <n v="181"/>
    <n v="6.0333333333333332"/>
    <m/>
    <s v="Finalizada"/>
    <s v="Procesado"/>
    <x v="112"/>
    <x v="0"/>
    <m/>
    <m/>
    <s v="Culminado"/>
    <s v="BackOffice"/>
    <s v="Otros Requerimientos"/>
    <x v="1"/>
    <x v="1"/>
    <m/>
    <d v="2026-01-15T00:00:00"/>
    <s v="Culminado"/>
    <s v="Ene 2026"/>
    <m/>
    <s v="Culminado"/>
    <x v="0"/>
    <n v="1"/>
    <s v="PRE"/>
    <s v="NO"/>
    <s v="03. En Desarrollo"/>
    <s v="No aplica"/>
    <s v="IMPLEMENTADO 🔵"/>
    <n v="1"/>
    <n v="1"/>
    <n v="0"/>
    <n v="1"/>
    <d v="2025-07-18T00:00:00"/>
    <d v="2025-07-18T00:00:00"/>
    <d v="2025-11-18T00:00:00"/>
    <d v="2025-12-12T00:00:00"/>
    <d v="2025-12-17T00:00:00"/>
    <d v="2026-01-14T00:00:00"/>
    <d v="2026-02-19T00:00:00"/>
    <n v="85"/>
    <n v="1"/>
    <n v="200"/>
    <m/>
    <s v="4. PRODUCCIÓN"/>
    <m/>
    <m/>
    <n v="0"/>
    <n v="85"/>
    <n v="0"/>
    <n v="680"/>
    <n v="0"/>
    <x v="11"/>
  </r>
  <r>
    <s v="M1143"/>
    <n v="2913"/>
    <x v="0"/>
    <s v="2025-T0605"/>
    <s v="2025-M0494"/>
    <s v="Tarjeta de Crédito sin seguro de desgravamen"/>
    <s v="Tarjeta de Crédito sin seguro de desgravamen"/>
    <x v="1"/>
    <s v="Banca Personal"/>
    <s v="Tarjeta de Crédito"/>
    <d v="2025-07-15T00:00:00"/>
    <s v="MEMORANDO N° 00000058 - 2025-BN/3345 "/>
    <s v="SITC – Tarjeta de Crédito"/>
    <m/>
    <s v="Agencias"/>
    <s v="Tarjeta de Crédito "/>
    <s v="No aplica"/>
    <x v="2"/>
    <s v="Normativo"/>
    <s v="SBS"/>
    <m/>
    <m/>
    <m/>
    <m/>
    <d v="2025-09-01T00:00:00"/>
    <s v="Normal"/>
    <d v="2025-07-30T00:00:00"/>
    <x v="0"/>
    <s v="Analista-BN"/>
    <s v="Pedro Jose Encalada Huertas"/>
    <s v="Milagros Huamani"/>
    <x v="1"/>
    <s v="03. Culminado"/>
    <m/>
    <m/>
    <m/>
    <d v="2025-07-07T00:00:00"/>
    <d v="2025-11-05T00:00:00"/>
    <m/>
    <d v="2025-11-06T00:00:00"/>
    <d v="2026-04-06T00:00:00"/>
    <d v="2025-12-23T09:36:00"/>
    <d v="2026-04-08T00:00:00"/>
    <d v="2026-04-14T00:00:00"/>
    <d v="2025-12-30T09:36:00"/>
    <s v="15/04/26: Según CQ, actualizó el estado a 08. Producción Finalizada_x000a_10/04/26: Según CQ, actualizó el estado a 07. En Despliegue_x000a_07/11/25: Según CQ, actualizó el estado a 05. En Calidad_x000a_06/11/25: Según CQ, actualizó el estado a 04. Desarrollo Finalizado_x000a_25/07/25: Según CQ, actualizó el estado a 03. En Desarrollo_x000a_07/07/2025: Se registró en el Backlog y se creó trámite"/>
    <s v="Productos"/>
    <s v="BancaPersonal"/>
    <s v="2025-07"/>
    <s v="2025-07"/>
    <s v="2025-11"/>
    <x v="1"/>
    <x v="23"/>
    <m/>
    <m/>
    <m/>
    <m/>
    <m/>
    <s v="2025-III"/>
    <n v="281"/>
    <n v="9.3666666666666671"/>
    <m/>
    <s v="Finalizada"/>
    <s v="Procesado"/>
    <x v="113"/>
    <x v="0"/>
    <m/>
    <m/>
    <s v="Culminado"/>
    <s v="Tarjeta Tesoro"/>
    <s v="Productos"/>
    <x v="1"/>
    <x v="1"/>
    <m/>
    <d v="2026-04-14T00:00:00"/>
    <s v="Culminado"/>
    <s v="Abr 2026"/>
    <m/>
    <s v="Culminado"/>
    <x v="0"/>
    <n v="1"/>
    <s v="PRE"/>
    <s v="NO"/>
    <s v="03. En Desarrollo"/>
    <s v="No aplica"/>
    <s v="IMPLEMENTADO 🔵"/>
    <n v="1"/>
    <n v="1"/>
    <n v="0"/>
    <n v="1"/>
    <d v="2025-07-07T00:00:00"/>
    <d v="2025-07-07T00:00:00"/>
    <d v="2025-11-05T00:00:00"/>
    <d v="2025-11-06T00:00:00"/>
    <d v="2026-03-16T00:00:00"/>
    <d v="2026-03-17T00:00:00"/>
    <d v="2026-04-27T00:00:00"/>
    <n v="85"/>
    <n v="1"/>
    <n v="200"/>
    <m/>
    <s v="4. PRODUCCIÓN"/>
    <m/>
    <m/>
    <n v="0"/>
    <n v="85"/>
    <n v="0"/>
    <n v="680"/>
    <n v="0"/>
    <x v="1"/>
  </r>
  <r>
    <s v="M1145"/>
    <n v="2918"/>
    <x v="0"/>
    <s v="2025-T0606"/>
    <s v="2025-M0503"/>
    <s v="Pago en Dólares de Servicios Digitales para no Domiciliados"/>
    <m/>
    <x v="0"/>
    <s v="Servicios Bancarios y Recaudación"/>
    <s v="Recaudación y Corresponsalía"/>
    <d v="2025-07-01T00:00:00"/>
    <s v="MEMORANDO N° 00000167 -2025-BN/3243"/>
    <s v="SUTE-Sunat Pago Facil"/>
    <s v="SUNAT"/>
    <s v="Otros"/>
    <s v="No Aplica"/>
    <s v="Pagos "/>
    <x v="0"/>
    <m/>
    <m/>
    <m/>
    <m/>
    <m/>
    <m/>
    <m/>
    <s v="Normal"/>
    <d v="2025-07-30T00:00:00"/>
    <x v="0"/>
    <s v="Analista-BN"/>
    <s v="Fiorella Emma Galvan Soto"/>
    <s v="Junior Quicaño"/>
    <x v="4"/>
    <s v="02. En Proceso"/>
    <m/>
    <m/>
    <m/>
    <d v="2025-07-10T00:00:00"/>
    <d v="2025-10-06T00:00:00"/>
    <m/>
    <d v="2025-10-11T00:00:00"/>
    <d v="2026-01-23T00:00:00"/>
    <d v="2025-11-10T04:48:00"/>
    <d v="2026-03-12T00:00:00"/>
    <m/>
    <d v="2025-11-17T04:48:00"/>
    <s v="16/03/26: Según CQ, actualizó el estado a 07. En Despliegue_x000a_26/01/26: Según CQ, actualizó el estado a 06. Calidad Finalizado_x000a_13/10/25: Según CQ, actualizó el estado a 05. En Calidad_x000a_07/10/25: Según CQ, actualizó el estado a 04. Desarrollo Finalizado_x000a_25/07/25: Según CQ, actualizó el estado a 03. En Desarrollo_x000a_07/07/2025: Se registró en el Backlog"/>
    <s v="Operac."/>
    <s v="BancariosRecaudación"/>
    <s v="2025-07"/>
    <s v="2025-07"/>
    <s v="2025-10"/>
    <x v="0"/>
    <x v="21"/>
    <m/>
    <m/>
    <m/>
    <m/>
    <m/>
    <s v="2025-III"/>
    <s v="Sin Fecha Fin Producción"/>
    <s v="No Aplica"/>
    <m/>
    <s v="Finalizada"/>
    <s v="Ordenado"/>
    <x v="114"/>
    <x v="0"/>
    <m/>
    <m/>
    <s v="Vencida"/>
    <s v="Sin Aplicativo"/>
    <s v="Sin Aplicativo"/>
    <x v="1"/>
    <x v="1"/>
    <m/>
    <s v=""/>
    <s v="Sin Fecha"/>
    <s v="No definido"/>
    <m/>
    <s v="Activos"/>
    <x v="0"/>
    <n v="0.9"/>
    <s v="PRE"/>
    <s v="NO"/>
    <s v="05. En Calidad"/>
    <s v="SI"/>
    <s v="ATRASADO 🔴"/>
    <n v="1"/>
    <n v="0.9"/>
    <n v="9.9999999999999978E-2"/>
    <n v="0.9"/>
    <d v="2025-07-10T00:00:00"/>
    <d v="2025-07-10T00:00:00"/>
    <d v="2025-10-06T00:00:00"/>
    <d v="2025-10-11T00:00:00"/>
    <d v="2026-01-23T00:00:00"/>
    <d v="2026-02-19T00:00:00"/>
    <d v="2026-03-27T00:00:00"/>
    <n v="61"/>
    <n v="1"/>
    <n v="200"/>
    <m/>
    <s v="3. DESPLIEGUE"/>
    <m/>
    <m/>
    <n v="0"/>
    <n v="61"/>
    <n v="0"/>
    <n v="488"/>
    <n v="0"/>
    <x v="4"/>
  </r>
  <r>
    <s v="M1148"/>
    <n v="2926"/>
    <x v="0"/>
    <s v="2025-T0612"/>
    <s v="2025-M0502"/>
    <s v="REQUERIMIENTO DE INFORMACIÓN PARA EL PLAN ESTRATÉGICO DE SEGURIDAD DE INFORMACIÓN"/>
    <m/>
    <x v="0"/>
    <s v="Captaciones y Pagaduría"/>
    <s v="Apertura de Cuentas"/>
    <d v="2025-06-08T00:00:00"/>
    <s v="MEMORANDO N° 00000229 -2025-BN/3111"/>
    <s v="SIUC-Sistema de Información Unica de Clientes"/>
    <s v="Big Data"/>
    <s v="Otros"/>
    <s v="No Aplica"/>
    <s v="No aplica"/>
    <x v="0"/>
    <m/>
    <s v="No Aplica"/>
    <s v="No Aplica"/>
    <s v="No Aplica"/>
    <s v="No Aplica"/>
    <s v="No Aplica"/>
    <s v="No Aplica"/>
    <s v="Normal"/>
    <d v="2025-07-30T00:00:00"/>
    <x v="0"/>
    <s v="FS-Olssa"/>
    <s v="Johnny Luis Rocca Surco"/>
    <s v="Junior Quicaño"/>
    <x v="5"/>
    <s v="02. En Proceso"/>
    <m/>
    <m/>
    <d v="2025-11-03T00:00:00"/>
    <m/>
    <m/>
    <d v="2025-11-15T00:00:00"/>
    <m/>
    <m/>
    <s v=""/>
    <m/>
    <m/>
    <s v=""/>
    <s v="20/04/26: Según CQ, actualizó el estado a 03. En Desarrollo_x000a_15/04/26: Según CQ, actualizó el estado a 05. En Calidad_x000a_09/03/26: Según CQ, actualizó el estado a 07. En Despliegue_x000a_23/02/26: Según CQ, actualizó el estado a 06. Calidad Finalizado_x000a_03/02/26: Según CQ, actualizó el estado a 05. En Calidad_x000a_12/01/26: Según CQ, actualizó el estado a 04. Desarrollo Finalizado_x000a_08/01/26: Según CQ, actualizó el estado a 03. En Desarrollo por Dependencia con otros mantenimientos._x000a_29/12/25: Según CQ, actualizó el estado a 04. Desarrollo Finalizado_x000a_25/07/25: Según CQ, actualizó el estado a 03. En Desarrollo_x000a_09/07/2025: Se registró en el Backlog"/>
    <s v="Operac."/>
    <s v="CaptacionesPagaduría"/>
    <s v="2025-06"/>
    <s v="2025-07"/>
    <s v="No definido"/>
    <x v="0"/>
    <x v="1"/>
    <m/>
    <m/>
    <m/>
    <m/>
    <m/>
    <s v="2025-III"/>
    <s v="Sin Fechas"/>
    <s v="No Aplica"/>
    <m/>
    <s v="Finalizada"/>
    <s v="Rechazado"/>
    <x v="115"/>
    <x v="0"/>
    <m/>
    <m/>
    <s v="Sin Fecha"/>
    <s v="Clientes (BDUC)"/>
    <s v="Canales Presenciales"/>
    <x v="1"/>
    <x v="1"/>
    <m/>
    <s v=""/>
    <s v="Sin Fecha"/>
    <s v="No definido"/>
    <m/>
    <s v="Activos"/>
    <x v="0"/>
    <n v="0.45"/>
    <s v="PRE"/>
    <s v="NO"/>
    <s v="03. En Desarrollo"/>
    <s v="SI"/>
    <s v="EN CURSO 🟢"/>
    <n v="0"/>
    <n v="0.45"/>
    <n v="-0.45"/>
    <s v=""/>
    <d v="2025-07-09T00:00:00"/>
    <d v="2026-09-01T00:00:00"/>
    <d v="2026-11-13T00:00:00"/>
    <d v="2026-11-16T00:00:00"/>
    <d v="2026-12-31T00:00:00"/>
    <d v="2027-01-04T00:00:00"/>
    <d v="2027-01-08T00:00:00"/>
    <n v="53"/>
    <n v="0"/>
    <n v="60.571428571428569"/>
    <m/>
    <s v="1. DESARROLLO"/>
    <m/>
    <m/>
    <n v="1"/>
    <n v="0"/>
    <n v="53"/>
    <n v="0"/>
    <n v="60.571428571428569"/>
    <x v="12"/>
  </r>
  <r>
    <s v="M1149"/>
    <n v="2928"/>
    <x v="0"/>
    <s v="2025-T0622"/>
    <s v="2025-M0511"/>
    <s v="Mejora de proceso para la generación y validación de la Base de Datos Crediticias"/>
    <m/>
    <x v="1"/>
    <s v="Banca Personal"/>
    <s v="Préstamo Multired"/>
    <d v="2025-07-11T00:00:00"/>
    <s v="MEMORANDO N° 00000034 - 2025-BN/3340"/>
    <s v="CRHP-Sistema Creditos Hipotecarios"/>
    <m/>
    <s v="Otros"/>
    <s v="Préstamos Multired "/>
    <s v="No aplica"/>
    <x v="3"/>
    <s v="Recomendación"/>
    <s v="SBS"/>
    <s v="04-2024-DSBE"/>
    <s v="Informe de Inspección N° 00004 - 2024 - DSBE"/>
    <s v="N°19"/>
    <s v="19.a, 19.d"/>
    <d v="2025-08-31T00:00:00"/>
    <s v="Normal"/>
    <d v="2025-07-30T00:00:00"/>
    <x v="0"/>
    <s v="Analista-BN"/>
    <s v="Javier Baltazar Urquiaga Salazar"/>
    <s v="Milagros Huamani"/>
    <x v="3"/>
    <s v="04. Paralizado"/>
    <s v="Falta recursos TI"/>
    <m/>
    <m/>
    <d v="2025-07-14T00:00:00"/>
    <m/>
    <m/>
    <m/>
    <m/>
    <s v=""/>
    <m/>
    <m/>
    <s v=""/>
    <s v="23/03/26: Pospuesto por Construcción  por no contar con Recurso TI disponible._x000a_15/12/25: Según CQ, actualizó el estado a 10. Paralizado_x000a_15/09/25: Según CQ, actualizó el estado a 03. En Desarrollo_x000a_04/04/25: Se creó trámite en CQ y se priorizó._x000a_27/02/26: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5/07/25: Según CQ, actualizó el estado a 03. En Desarrollo_x000a_14/07/2025: Se registró en el Backlog y se creó trámite"/>
    <s v="Productos"/>
    <s v="BancaPersonal"/>
    <s v="2025-07"/>
    <s v="2025-07"/>
    <s v="No definido"/>
    <x v="0"/>
    <x v="1"/>
    <m/>
    <m/>
    <m/>
    <m/>
    <m/>
    <s v="2025-III"/>
    <s v="Sin Fecha Fin Producción"/>
    <s v="No Aplica"/>
    <m/>
    <s v="Pospuesta"/>
    <s v="Pospuesto"/>
    <x v="116"/>
    <x v="4"/>
    <s v="3000"/>
    <s v="NO"/>
    <s v="Sin Fecha"/>
    <s v="Créditos Hipotecarios"/>
    <s v="Productos"/>
    <x v="1"/>
    <x v="1"/>
    <m/>
    <s v=""/>
    <s v="Sin Fecha"/>
    <s v="No definido"/>
    <m/>
    <s v="Activos"/>
    <x v="0"/>
    <n v="0.12"/>
    <s v="POST"/>
    <s v="REACTIVADO"/>
    <s v="Reactivo"/>
    <s v="No aplica"/>
    <s v="PARALIZADO ⚪"/>
    <s v=""/>
    <n v="0.12"/>
    <s v=""/>
    <s v=""/>
    <m/>
    <m/>
    <m/>
    <m/>
    <m/>
    <m/>
    <d v="2026-11-30T00:00:00"/>
    <n v="25"/>
    <n v="0.1"/>
    <n v="200"/>
    <m/>
    <s v="6. PARALIZADO"/>
    <m/>
    <m/>
    <n v="0.9"/>
    <n v="1"/>
    <n v="24"/>
    <n v="8"/>
    <n v="192"/>
    <x v="13"/>
  </r>
  <r>
    <s v="M1151"/>
    <n v="2930"/>
    <x v="0"/>
    <s v="2025-T0629"/>
    <s v="2025-M0638"/>
    <s v="Reporte CDJA solicitado por OCI poder Judicial"/>
    <m/>
    <x v="0"/>
    <s v="Servicios Bancarios y Recaudación"/>
    <s v="Depósitos Judiciales y Administrativos"/>
    <d v="2025-07-10T00:00:00"/>
    <s v="MEMORANDO N° 00000156 - 2025-BN/3212"/>
    <s v="DEJA-Depositos judiciales y administrativos"/>
    <m/>
    <s v="Otros"/>
    <s v="Depósitos Judiciales y Administrativos"/>
    <s v="Servicios Bancarios Diversos "/>
    <x v="0"/>
    <m/>
    <s v="No Aplica"/>
    <s v="No Aplica"/>
    <s v="No Aplica"/>
    <s v="No Aplica"/>
    <s v="No Aplica"/>
    <s v="No Aplica"/>
    <s v="Normal"/>
    <d v="2025-07-30T00:00:00"/>
    <x v="1"/>
    <s v="Analista-BN"/>
    <s v="Valery Aldo Versategui Malpica"/>
    <s v="Junior Quicaño"/>
    <x v="1"/>
    <s v="03. Culminado"/>
    <m/>
    <m/>
    <d v="2025-11-03T00:00:00"/>
    <d v="2025-09-22T00:00:00"/>
    <d v="2025-11-18T00:00:00"/>
    <d v="2025-11-15T00:00:00"/>
    <d v="2025-11-19T00:00:00"/>
    <d v="2026-02-27T00:00:00"/>
    <d v="2025-12-06T14:24:00"/>
    <d v="2026-03-09T00:00:00"/>
    <d v="2026-03-09T00:00:00"/>
    <d v="2025-12-13T14:24:00"/>
    <s v="09/03/26: Según CQ, actualizó el estado a 08. Producción Finalizada_x000a_02/03/26: Según CQ, actualizó el estado a 06. Calidad Finalizado_x000a_25/02/26: Según CQ, actualizó el estado a 05. En Calidad_x000a_19/02/26: Según CQ, actualizó el estado a 04. Desarrollo Finalizado_x000a_12/01/26: Según CQ, actualizó el estado a 03. En Desarrollo_x000a_12/01/26: Según CQ, actualizó el estado a 05. En Calidad_x000a_06/01/26: Según CQ, actualizó el estado a 03. En Desarrollo_x000a_21/11/25: Según CQ, actualizó el estado a 05. En Calidad_x000a_19/11/25: Según CQ, actualizó el estado a 04. Desarrollo Finalizado_x000a_23/09/25: Según CQ, actualizó el estado a 03. En Desarrollo_x000a_18/07/2025: Se registró en el Backlog y se creó trámite"/>
    <s v="Operac."/>
    <s v="BancariosRecaudación"/>
    <s v="2025-07"/>
    <s v="2025-07"/>
    <s v="2025-11"/>
    <x v="2"/>
    <x v="23"/>
    <m/>
    <m/>
    <m/>
    <m/>
    <m/>
    <s v="2025-III"/>
    <n v="168"/>
    <n v="5.6"/>
    <m/>
    <s v="Finalizada"/>
    <s v="Procesado"/>
    <x v="117"/>
    <x v="0"/>
    <m/>
    <m/>
    <s v="Culminado"/>
    <s v="BackOffice"/>
    <s v="Otros Requerimientos"/>
    <x v="1"/>
    <x v="1"/>
    <m/>
    <d v="2026-03-09T00:00:00"/>
    <s v="Culminado"/>
    <s v="Mar 2026"/>
    <m/>
    <s v="Culminado"/>
    <x v="0"/>
    <n v="1"/>
    <s v="PRE"/>
    <s v="NO"/>
    <s v="03. En Desarrollo"/>
    <s v="No aplica"/>
    <s v="IMPLEMENTADO 🔵"/>
    <n v="1"/>
    <n v="1"/>
    <n v="0"/>
    <n v="1"/>
    <d v="2025-09-22T00:00:00"/>
    <d v="2025-09-22T00:00:00"/>
    <d v="2025-11-18T00:00:00"/>
    <d v="2026-03-02T00:00:00"/>
    <d v="2026-03-13T00:00:00"/>
    <d v="2026-04-20T00:00:00"/>
    <d v="2026-04-24T00:00:00"/>
    <n v="41"/>
    <n v="1"/>
    <n v="200"/>
    <m/>
    <s v="4. PRODUCCIÓN"/>
    <m/>
    <m/>
    <n v="0"/>
    <n v="41"/>
    <n v="0"/>
    <n v="328"/>
    <n v="0"/>
    <x v="1"/>
  </r>
  <r>
    <s v="M1158"/>
    <n v="2946"/>
    <x v="0"/>
    <s v="2025-T0591"/>
    <s v="2025-M0483"/>
    <s v="Mejoras en los procesos de Tarjetas de Créditos (Personal y Tarjeta Tesoro)."/>
    <m/>
    <x v="8"/>
    <s v="Construcción de Aplicaciones"/>
    <s v="Sistemas Bancarios"/>
    <m/>
    <s v="Correo s/n"/>
    <s v="SITC – Tarjeta de Crédito"/>
    <m/>
    <s v="Agencias"/>
    <s v="Tarjeta de Crédito "/>
    <s v="No aplica"/>
    <x v="1"/>
    <m/>
    <m/>
    <m/>
    <m/>
    <m/>
    <m/>
    <m/>
    <s v="Regularizado"/>
    <d v="2025-07-30T00:00:00"/>
    <x v="0"/>
    <s v="Analista-BN"/>
    <s v="Pedro Jose Encalada Huertas"/>
    <s v="Junior Quicaño"/>
    <x v="5"/>
    <s v="02. En Proceso"/>
    <m/>
    <m/>
    <m/>
    <d v="2025-07-02T00:00:00"/>
    <m/>
    <m/>
    <m/>
    <m/>
    <s v=""/>
    <m/>
    <m/>
    <s v=""/>
    <s v="04/02/2026: Cartera reasignada a Tomas Calvera_x000a_05/09/2025: Cartera reasignada a Omar Sarmiento_x000a_11/08/2025: Cartera reasignada a Percy Silva_x000a_25/07/25: Según CQ, actualizó el estado a 03. En Desarrollo_x000a_25/07/2025: Se registró en el Backlog como regularizado."/>
    <s v="TI"/>
    <s v="ConstrucciónAplicaciones"/>
    <s v="No definido"/>
    <s v="2025-07"/>
    <s v="No definido"/>
    <x v="0"/>
    <x v="1"/>
    <m/>
    <m/>
    <m/>
    <m/>
    <m/>
    <s v="2025-III"/>
    <s v="Sin Fecha Fin Producción"/>
    <s v="No Aplica"/>
    <m/>
    <s v="Iniciada"/>
    <s v="Asignado"/>
    <x v="118"/>
    <x v="0"/>
    <m/>
    <m/>
    <s v="Sin Fecha"/>
    <s v="Tarjeta Tesoro"/>
    <s v="Productos"/>
    <x v="1"/>
    <x v="1"/>
    <m/>
    <s v=""/>
    <s v="Sin Fecha"/>
    <s v="No definido"/>
    <m/>
    <s v="Activos"/>
    <x v="0"/>
    <n v="0.25"/>
    <s v="PRE"/>
    <s v="NO"/>
    <s v="03. En Desarrollo"/>
    <s v="SI"/>
    <s v="ATRASADO 🔴"/>
    <n v="1"/>
    <n v="0.25"/>
    <n v="0.75"/>
    <n v="0.25"/>
    <d v="2025-11-03T00:00:00"/>
    <d v="2026-03-02T00:00:00"/>
    <d v="2026-03-27T00:00:00"/>
    <d v="2026-04-01T00:00:00"/>
    <d v="2026-04-30T00:00:00"/>
    <d v="2026-05-01T00:00:00"/>
    <d v="2026-05-05T00:00:00"/>
    <n v="20"/>
    <n v="1"/>
    <n v="32"/>
    <m/>
    <s v="1. DESARROLLO"/>
    <m/>
    <m/>
    <n v="0"/>
    <n v="20"/>
    <n v="0"/>
    <n v="32"/>
    <n v="0"/>
    <x v="8"/>
  </r>
  <r>
    <s v="M1159"/>
    <n v="2947"/>
    <x v="0"/>
    <s v="2025-T0602"/>
    <s v="2025-M0491"/>
    <s v="PM Sin Seguro de Desgravamen – Factibilidad y Aprobación"/>
    <m/>
    <x v="1"/>
    <s v="Banca Personal"/>
    <s v="Préstamo Multired"/>
    <m/>
    <s v="Correo s/n"/>
    <s v="PRAH - Prestamos Multired"/>
    <m/>
    <s v="Agencias"/>
    <s v="Préstamos Multired "/>
    <s v="No aplica"/>
    <x v="2"/>
    <s v="Normativo"/>
    <s v="SBS"/>
    <s v="Resolución SBS N° 0890-2025"/>
    <m/>
    <m/>
    <m/>
    <m/>
    <s v="Regularizado"/>
    <d v="2025-07-30T00:00:00"/>
    <x v="0"/>
    <s v="Analista-BN"/>
    <s v="Pedro Jose Encalada Huertas"/>
    <s v="Milagros Huamani"/>
    <x v="1"/>
    <s v="03. Culminado"/>
    <m/>
    <m/>
    <m/>
    <d v="2025-10-07T00:00:00"/>
    <d v="2025-10-07T00:00:00"/>
    <m/>
    <d v="2025-10-22T00:00:00"/>
    <d v="2025-11-24T00:00:00"/>
    <d v="2025-10-07T00:00:00"/>
    <d v="2026-01-21T00:00:00"/>
    <d v="2026-01-21T00:00:00"/>
    <d v="2025-10-14T00:00:00"/>
    <s v="26/01/26: Según CQ, actualizó el estado a 08. Producción Finalizada_x000a_26/11/25: Según CQ, actualizó el estado a 06. Calidad Finalizado_x000a_10/10/25: Según CQ, actualizó el estado a 05. En Calidad_x000a_09/10/25: Según CQ, actualizó el estado a 04. Desarrollo Finalizado_x000a_19/09/25: Según CQ, actualizó el estado a 03. En Desarrollo_x000a_02/09/25: Según CQ, actualizó el estado a 05. En Calidad_x000a_01/09/25: Según CQ, actualizó el estado a 04. Desarrollo Finalizado_x000a_25/07/25: Según CQ, actualizó el estado a 03. En Desarrollo_x000a_25/07/2025: Se registró en el Backlog como regularizado."/>
    <s v="Productos"/>
    <s v="BancaPersonal"/>
    <s v="No definido"/>
    <s v="2025-07"/>
    <s v="2025-10"/>
    <x v="4"/>
    <x v="13"/>
    <m/>
    <m/>
    <m/>
    <m/>
    <m/>
    <s v="2025-III"/>
    <n v="106"/>
    <n v="3.5333333333333332"/>
    <m/>
    <s v="Finalizada"/>
    <s v="Procesado"/>
    <x v="119"/>
    <x v="0"/>
    <m/>
    <m/>
    <s v="Culminado"/>
    <s v="Préstamos Multired"/>
    <s v="Productos"/>
    <x v="1"/>
    <x v="1"/>
    <m/>
    <d v="2026-01-21T00:00:00"/>
    <s v="Culminado"/>
    <s v="Ene 2026"/>
    <m/>
    <s v="Culminado"/>
    <x v="0"/>
    <n v="1"/>
    <s v="PRE"/>
    <s v="NO"/>
    <s v="05. En Calidad"/>
    <s v="No aplica"/>
    <s v="IMPLEMENTADO 🔵"/>
    <n v="1"/>
    <n v="1"/>
    <n v="0"/>
    <n v="1"/>
    <d v="2025-10-07T00:00:00"/>
    <d v="2025-10-07T00:00:00"/>
    <d v="2025-10-07T00:00:00"/>
    <d v="2025-10-22T00:00:00"/>
    <d v="2025-11-24T00:00:00"/>
    <d v="2026-01-21T00:00:00"/>
    <d v="2026-01-21T00:00:00"/>
    <n v="1"/>
    <n v="1"/>
    <n v="200"/>
    <m/>
    <s v="4. PRODUCCIÓN"/>
    <m/>
    <m/>
    <n v="0"/>
    <n v="1"/>
    <n v="0"/>
    <n v="8"/>
    <n v="0"/>
    <x v="9"/>
  </r>
  <r>
    <s v="M1163"/>
    <n v="2620"/>
    <x v="0"/>
    <s v="2025-T0037"/>
    <s v="2025-M0036"/>
    <s v="Soporte para el Proceso Batch del producto Tarjeta Tesoro MEF"/>
    <s v="Garantizar la construcción de los procesos batch del Sistema Tarjeta Tesoro, que permitan generar los reportes operativos y contables requerido por las áreas usuarias del BN. "/>
    <x v="8"/>
    <s v="Construcción de Aplicaciones"/>
    <s v="Sistemas Bancarios"/>
    <m/>
    <m/>
    <s v="SITC – Tarjeta de Crédito"/>
    <m/>
    <s v="Otros"/>
    <s v="Tarjeta de Crédito "/>
    <s v="Cuenta Corriente "/>
    <x v="0"/>
    <m/>
    <m/>
    <m/>
    <m/>
    <m/>
    <m/>
    <m/>
    <s v="Regularizado"/>
    <d v="2025-02-18T00:00:00"/>
    <x v="0"/>
    <s v="FS-Indra"/>
    <s v="Pedro Jose Encalada Huertas"/>
    <s v="Junior Quicaño"/>
    <x v="5"/>
    <s v="02. En Proceso"/>
    <m/>
    <m/>
    <m/>
    <d v="2025-01-16T00:00:00"/>
    <m/>
    <d v="2025-07-03T00:00:00"/>
    <m/>
    <m/>
    <d v="2025-09-08T04:48:00"/>
    <m/>
    <m/>
    <d v="2025-09-15T04:48:00"/>
    <s v="04/02/2026: Cartera reasignada a Tomas Calvera_x000a_05/09/2025: Cartera reasignada a Omar Sarmiento_x000a_11/08/2025: Cartera reasignada a Percy Silva_x000a_25/07/25: Según CQ, actualizó el estado a 03. En Desarrollo_x000a_17/02/2025: Se registró en el Backlog como trámite Rugularizado._x000a_19/02/2025: Se priorizó en el Portafolio de Demanda Estratégica."/>
    <s v="TI"/>
    <s v="ConstrucciónAplicaciones"/>
    <s v="No definido"/>
    <s v="2025-02"/>
    <s v="No definido"/>
    <x v="0"/>
    <x v="7"/>
    <s v="Finalizado"/>
    <d v="2025-02-17T00:00:00"/>
    <d v="2025-07-03T00:00:00"/>
    <d v="2025-07-03T00:00:00"/>
    <m/>
    <s v="2025-III"/>
    <s v="Sin Fecha Fin Producción"/>
    <s v="No Aplica"/>
    <m/>
    <s v="Iniciada"/>
    <s v="Asignado"/>
    <x v="120"/>
    <x v="0"/>
    <m/>
    <m/>
    <s v="Vencida"/>
    <s v="Tarjeta Tesoro"/>
    <s v="Productos"/>
    <x v="1"/>
    <x v="1"/>
    <m/>
    <s v=""/>
    <s v="Sin Fecha"/>
    <s v="No definido"/>
    <m/>
    <s v="Activos"/>
    <x v="0"/>
    <n v="0.25"/>
    <s v="PRE"/>
    <s v="NO"/>
    <s v="03. En Desarrollo"/>
    <s v="SI"/>
    <s v="ATRASADO 🔴"/>
    <n v="1"/>
    <n v="0.25"/>
    <n v="0.75"/>
    <n v="0.25"/>
    <d v="2025-11-03T00:00:00"/>
    <d v="2026-03-02T00:00:00"/>
    <d v="2026-03-27T00:00:00"/>
    <d v="2026-04-01T00:00:00"/>
    <d v="2026-04-30T00:00:00"/>
    <d v="2026-05-01T00:00:00"/>
    <d v="2026-05-05T00:00:00"/>
    <n v="20"/>
    <n v="1"/>
    <n v="32"/>
    <m/>
    <s v="1. DESARROLLO"/>
    <m/>
    <m/>
    <n v="0"/>
    <n v="20"/>
    <n v="0"/>
    <n v="32"/>
    <n v="0"/>
    <x v="8"/>
  </r>
  <r>
    <s v="M1164"/>
    <n v="2631"/>
    <x v="0"/>
    <s v="2025-T0088"/>
    <s v="2025-M0079"/>
    <s v="INCLUIR EN EL MODULO DE GESTION LA OPCION DE REGISTRO, ACTUALIZACION Y CONSULTA DE LOS ATRIBUTOS DE LA TARJETA DE CREDITO Y TARJETAS DE TESORO."/>
    <s v="Se requiere incluir en el módulo de gestión la opción de registro, modificación y consulta de los atributos de la tarjeta de crédito y tarjeta tesoro, actualización de correo electrónico y celular."/>
    <x v="1"/>
    <s v="Banca Personal"/>
    <s v="Tarjeta de Crédito"/>
    <m/>
    <m/>
    <s v="SITC – Tarjeta de Crédito"/>
    <m/>
    <s v="Otros"/>
    <s v="Tarjeta de Crédito "/>
    <s v="No aplica"/>
    <x v="0"/>
    <m/>
    <m/>
    <m/>
    <m/>
    <m/>
    <m/>
    <m/>
    <s v="Regularizado"/>
    <d v="2025-02-18T00:00:00"/>
    <x v="0"/>
    <s v="FS-Olssa"/>
    <s v="Fiorella Emma Galvan Soto"/>
    <s v="Milagros Huamani"/>
    <x v="1"/>
    <s v="03. Culminado"/>
    <m/>
    <m/>
    <m/>
    <d v="2025-01-31T00:00:00"/>
    <d v="2025-06-16T00:00:00"/>
    <m/>
    <d v="2025-06-30T00:00:00"/>
    <d v="2025-07-22T00:00:00"/>
    <d v="2025-08-09T09:36:00"/>
    <d v="2025-11-13T00:00:00"/>
    <d v="2026-01-07T00:00:00"/>
    <d v="2025-08-16T09:36:00"/>
    <s v="12/01/26: Según CQ, actualizó el estado a 08. Producción Finalizada_x000a_12/01/26: Según CQ, actualizó el estado a 07. En Despliegue_x000a_08/01/26: Según CQ, actualizó el estado a 08. Producción Finalizada_x000a_14/11/25: Según CQ, actualizó el estado a 07. En Despliegue_x000a_25/07/25: Según CQ, actualizó el estado a 06. Calidad Finalizado_x000a_26/03/2025: Se registró en el Portafolio de Proyectos bajo el requerimiento hijo del proyecto Tarjeta Tesoro ID 2314._x000a_17/02/2025: Se registró en el Backlog como trámite Rugularizado"/>
    <s v="Productos"/>
    <s v="BancaPersonal"/>
    <s v="No definido"/>
    <s v="2025-02"/>
    <s v="2025-06"/>
    <x v="4"/>
    <x v="10"/>
    <m/>
    <m/>
    <m/>
    <m/>
    <m/>
    <s v="2025-III"/>
    <n v="341"/>
    <n v="11.366666666666667"/>
    <m/>
    <s v="Finalizada"/>
    <s v="Procesado"/>
    <x v="121"/>
    <x v="0"/>
    <m/>
    <m/>
    <s v="Culminado"/>
    <s v="Tarjeta Tesoro"/>
    <s v="Productos"/>
    <x v="1"/>
    <x v="1"/>
    <m/>
    <d v="2026-01-07T00:00:00"/>
    <s v="Culminado"/>
    <s v="Ene 2026"/>
    <m/>
    <s v="Culminado"/>
    <x v="0"/>
    <n v="1"/>
    <s v="PRE"/>
    <s v="NO"/>
    <s v="06. Calidad Finalizado"/>
    <s v="No aplica"/>
    <s v="IMPLEMENTADO 🔵"/>
    <n v="1"/>
    <n v="1"/>
    <n v="0"/>
    <n v="1"/>
    <d v="2025-01-31T00:00:00"/>
    <d v="2025-01-31T00:00:00"/>
    <d v="2025-06-16T00:00:00"/>
    <d v="2025-06-30T00:00:00"/>
    <d v="2025-07-22T00:00:00"/>
    <d v="2025-11-13T00:00:00"/>
    <d v="2026-01-07T00:00:00"/>
    <n v="96"/>
    <n v="1"/>
    <n v="200"/>
    <m/>
    <s v="4. PRODUCCIÓN"/>
    <m/>
    <m/>
    <n v="0"/>
    <n v="96"/>
    <n v="0"/>
    <n v="768"/>
    <n v="0"/>
    <x v="9"/>
  </r>
  <r>
    <s v="M1165"/>
    <n v="2703"/>
    <x v="0"/>
    <s v="2025-T0164"/>
    <s v="2025-M0143"/>
    <s v="IMPLEMENTAR PROCESO  AUTOMATICO CONTABLE"/>
    <m/>
    <x v="2"/>
    <s v="Canales Alternos"/>
    <s v="Canales Presenciales"/>
    <m/>
    <s v="Correo s/n"/>
    <s v="SITC – Tarjeta de Crédito"/>
    <m/>
    <s v="Otros"/>
    <s v="No Aplica"/>
    <s v="No aplica"/>
    <x v="1"/>
    <m/>
    <m/>
    <m/>
    <m/>
    <m/>
    <m/>
    <m/>
    <s v="Regularizado"/>
    <d v="2025-03-31T00:00:00"/>
    <x v="0"/>
    <s v="Analista-BN"/>
    <s v="Vladimir Ronald Cajavilca Cajavilca"/>
    <s v="Omar Sarmiento"/>
    <x v="3"/>
    <s v="04. Paralizado"/>
    <s v="Falta recursos TI"/>
    <m/>
    <m/>
    <d v="2025-02-20T00:00:00"/>
    <m/>
    <m/>
    <m/>
    <m/>
    <s v=""/>
    <m/>
    <m/>
    <s v=""/>
    <s v="27/02/26: Según CQ, actualizó el estado a 10. Paralizado_x000a_04/02/2026: Cartera reasignada a Omar Sarmient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5/07/25: Según CQ, actualizó el estado a 03. En Desarrollo_x000a_12/05/2025: Se registró en el Portafolio de Proyecto de Demanda Estratégica._x000a_24/03/25: Se regularizó registro en Backlog. Requerimiento asociado a tarjeta tesoro"/>
    <s v="B.Digital"/>
    <s v="CanalesAlternos"/>
    <s v="No definido"/>
    <s v="2025-03"/>
    <s v="No definido"/>
    <x v="0"/>
    <x v="1"/>
    <m/>
    <m/>
    <m/>
    <m/>
    <m/>
    <s v="2025-III"/>
    <s v="Sin Fecha Fin Producción"/>
    <s v="No Aplica"/>
    <m/>
    <s v="Asignada"/>
    <s v="Pospuesto"/>
    <x v="122"/>
    <x v="0"/>
    <m/>
    <m/>
    <s v="Sin Fecha"/>
    <s v="Tarjeta Tesoro"/>
    <s v="Productos"/>
    <x v="1"/>
    <x v="1"/>
    <m/>
    <s v=""/>
    <s v="Sin Fecha"/>
    <s v="No definido"/>
    <m/>
    <s v="Activos"/>
    <x v="0"/>
    <n v="0.12"/>
    <s v="POST"/>
    <s v="REACTIVADO"/>
    <s v="Reactivo"/>
    <s v="No aplica"/>
    <s v="PARALIZADO ⚪"/>
    <s v=""/>
    <n v="0.12"/>
    <s v=""/>
    <s v=""/>
    <m/>
    <m/>
    <m/>
    <m/>
    <m/>
    <m/>
    <d v="2027-03-31T00:00:00"/>
    <n v="25"/>
    <n v="0.1"/>
    <n v="200"/>
    <m/>
    <s v="6. PARALIZADO"/>
    <m/>
    <m/>
    <n v="0.9"/>
    <n v="1"/>
    <n v="24"/>
    <n v="8"/>
    <n v="192"/>
    <x v="3"/>
  </r>
  <r>
    <s v="M1167"/>
    <n v="2902"/>
    <x v="0"/>
    <s v="2025-T0649"/>
    <s v="2025-M0574"/>
    <s v="SIRE REGISTRO DE VENTAS"/>
    <s v="Actualmente los citados registros se generan desde el Módulo de Cuentas por Pagar y FAH FE Administrador del Sistema Oracle Financial. Sin embargo, conforme a las nuevas disposiciones, se requiere la creación o modificación del Registro de Ventas e Ingresos y Registro de Compras"/>
    <x v="4"/>
    <s v="Contabilidad"/>
    <s v="Tributación"/>
    <d v="2025-06-27T00:00:00"/>
    <s v="MEMORANDO N° 00000040 - 2025-BN/2501"/>
    <s v="OSAI -: Oracle Sistema Administrativo Integrado"/>
    <m/>
    <s v="Otros"/>
    <s v="No Aplica"/>
    <s v="No aplica"/>
    <x v="2"/>
    <s v="Normativo"/>
    <s v="SUNAT"/>
    <s v="R.S 112-2021/SUNAT"/>
    <m/>
    <m/>
    <m/>
    <m/>
    <s v="Normal"/>
    <d v="2025-07-30T00:00:00"/>
    <x v="1"/>
    <m/>
    <s v="Emerson Quecara Choquetico"/>
    <s v="Juan Carlos Zavaleta"/>
    <x v="7"/>
    <s v="02. En Proceso"/>
    <m/>
    <m/>
    <m/>
    <d v="2025-08-27T00:00:00"/>
    <d v="2026-04-14T00:00:00"/>
    <m/>
    <d v="2026-04-15T00:00:00"/>
    <m/>
    <d v="2026-07-15T00:00:00"/>
    <m/>
    <m/>
    <d v="2026-07-22T00:00:00"/>
    <s v="20/04/26: Según CQ, actualizó el estado a 05. En Calidad_x000a_15/04/26: Según CQ, actualizó el estado a 04. Desarrollo Finalizado_x000a_13/04/2026 En desarrollo y se proyecta pasar a Calidad en los próximos días_x000a_28/08/25: Según CQ, actualizó el estado a 03. En Desarrollo_x000a_02/07/2025: Se registró requerimiento en el Backlog. RQ forma parte de Facturación Electrónica."/>
    <s v="Finanzas"/>
    <s v="Contabilidad"/>
    <s v="2025-06"/>
    <s v="2025-07"/>
    <s v="2026-04"/>
    <x v="0"/>
    <x v="29"/>
    <m/>
    <m/>
    <m/>
    <m/>
    <m/>
    <s v="2025-III"/>
    <s v="Sin Fecha Fin Producción"/>
    <s v="No Aplica"/>
    <m/>
    <s v="Finalizada"/>
    <s v="En_Certificación"/>
    <x v="123"/>
    <x v="0"/>
    <m/>
    <m/>
    <s v="2026-Q3"/>
    <s v="Oracle"/>
    <s v="Otros Requerimientos"/>
    <x v="1"/>
    <x v="1"/>
    <m/>
    <d v="2026-07-22T00:00:00"/>
    <s v="2026-3"/>
    <s v="Jul 2026"/>
    <m/>
    <s v="Activos"/>
    <x v="0"/>
    <n v="0.7"/>
    <s v="PRE"/>
    <s v="NO"/>
    <s v="03. En Desarrollo"/>
    <s v="SI"/>
    <s v="ATRASADO 🔴"/>
    <n v="1"/>
    <n v="0.7"/>
    <n v="0.30000000000000004"/>
    <n v="0.7"/>
    <d v="2025-11-03T00:00:00"/>
    <d v="2026-03-02T00:00:00"/>
    <d v="2026-04-17T00:00:00"/>
    <d v="2026-04-18T00:00:00"/>
    <d v="2026-05-11T00:00:00"/>
    <d v="2026-05-12T00:00:00"/>
    <d v="2026-05-17T00:00:00"/>
    <n v="35"/>
    <n v="1"/>
    <n v="200"/>
    <m/>
    <s v="2. CALIDAD"/>
    <m/>
    <m/>
    <n v="0"/>
    <n v="35"/>
    <n v="0"/>
    <n v="280"/>
    <n v="0"/>
    <x v="8"/>
  </r>
  <r>
    <s v="M1169"/>
    <n v="2936"/>
    <x v="0"/>
    <s v="2025-T0651"/>
    <s v="2025-M0770"/>
    <s v="Identificación de riesgos cambiario crediticio para los clientes minoristas "/>
    <s v="Identificación de riesgos cambiario crediticio para los clientes minoristas bajo los criterios consignados en la Resolución SBS Nº 00774-2025 Y creación de BD de clientes minoristas expuestos a riesgo cambiario crediticio."/>
    <x v="7"/>
    <s v="Riesgos Crediticios y Financieros"/>
    <s v="Evaluación de Cartera de Créditos"/>
    <d v="2025-07-03T00:00:00"/>
    <s v="MEMORANDO N° 00000030 - 2025-BN/2191"/>
    <s v="COBD-Contabilidad-RCD"/>
    <m/>
    <s v="Otros"/>
    <s v="Crédito Hipotecario"/>
    <s v="No aplica"/>
    <x v="2"/>
    <s v="Normativo"/>
    <s v="SBS"/>
    <s v="Resolución SBS N° 00774-2025"/>
    <m/>
    <m/>
    <m/>
    <m/>
    <s v="Normal"/>
    <d v="2025-07-30T00:00:00"/>
    <x v="0"/>
    <m/>
    <s v="Pedro Jose Encalada Huertas"/>
    <s v="Maria Barboza"/>
    <x v="7"/>
    <s v="02. En Proceso"/>
    <m/>
    <m/>
    <m/>
    <d v="2025-12-16T00:00:00"/>
    <d v="2026-03-19T00:00:00"/>
    <m/>
    <d v="2026-03-30T00:00:00"/>
    <m/>
    <d v="2026-04-25T04:48:00"/>
    <m/>
    <m/>
    <d v="2026-05-02T04:48:00"/>
    <s v="06/04/26: Según CQ, actualizó el estado a 05. En Calidad_x000a_23/03/26: Según CQ, actualizó el estado a 04. Desarrollo Finalizado_x000a_19/01/2025: Cartera reasignada a Maria Barboza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Milagros Huamani_x000a_11/08/2025: Cartera reasignada a Percy Silva_x000a_22/07/2025: Se registró en el Backlog"/>
    <s v="Riesgos"/>
    <s v="CrediticiosFinancieros"/>
    <s v="2025-07"/>
    <s v="2025-07"/>
    <s v="2026-03"/>
    <x v="0"/>
    <x v="0"/>
    <m/>
    <m/>
    <m/>
    <m/>
    <m/>
    <s v="2025-III"/>
    <s v="Sin Fecha Fin Producción"/>
    <s v="No Aplica"/>
    <m/>
    <s v="Finalizada"/>
    <s v="En_Certificación"/>
    <x v="124"/>
    <x v="0"/>
    <m/>
    <m/>
    <s v="Vencida"/>
    <s v="BackOffice"/>
    <s v="Otros Requerimientos"/>
    <x v="1"/>
    <x v="1"/>
    <m/>
    <s v=""/>
    <s v="Sin Fecha"/>
    <s v="No definido"/>
    <m/>
    <s v="Activos"/>
    <x v="0"/>
    <n v="0.7"/>
    <s v="POST"/>
    <s v="REACTIVADO"/>
    <s v="Reactivo"/>
    <s v="SI"/>
    <s v="ATRASADO 🔴"/>
    <n v="0.9"/>
    <n v="0.7"/>
    <n v="0.20000000000000007"/>
    <n v="0.77777777777777768"/>
    <d v="2025-12-16T00:00:00"/>
    <d v="2026-03-02T00:00:00"/>
    <d v="2026-03-19T00:00:00"/>
    <d v="2026-03-19T00:00:00"/>
    <d v="2026-04-15T00:00:00"/>
    <d v="2026-04-15T00:00:00"/>
    <d v="2026-04-30T00:00:00"/>
    <n v="14"/>
    <n v="1"/>
    <n v="200"/>
    <m/>
    <s v="2. CALIDAD"/>
    <m/>
    <m/>
    <n v="0"/>
    <n v="14"/>
    <n v="0"/>
    <n v="112"/>
    <n v="0"/>
    <x v="1"/>
  </r>
  <r>
    <s v="M1172"/>
    <n v="2958"/>
    <x v="0"/>
    <s v="2025-T0653"/>
    <s v="2025-M0598"/>
    <s v="Cambio Plataforma IZIPAY para el canal Pagalo.pe"/>
    <m/>
    <x v="2"/>
    <s v="Canales Alternos"/>
    <s v="Canales Virtuales"/>
    <d v="2025-07-22T00:00:00"/>
    <s v="MEMORANDO N° 00000330 - 2025-BN/3252"/>
    <s v="SOMP – SISTEMA DE OPERACIONES MULTIPAGOS"/>
    <m/>
    <s v="Otros"/>
    <s v="No Aplica"/>
    <s v="No aplica"/>
    <x v="0"/>
    <m/>
    <m/>
    <m/>
    <m/>
    <m/>
    <m/>
    <m/>
    <s v="Normal"/>
    <d v="2025-08-29T00:00:00"/>
    <x v="0"/>
    <m/>
    <s v="Angela Rocio Risco Vega"/>
    <s v="Omar Sarmiento"/>
    <x v="4"/>
    <s v="02. En Proceso"/>
    <s v="Dependencia técnica"/>
    <m/>
    <m/>
    <d v="2025-09-01T00:00:00"/>
    <d v="2026-01-08T00:00:00"/>
    <m/>
    <d v="2026-01-28T00:00:00"/>
    <d v="2026-04-28T00:00:00"/>
    <d v="2026-02-28T14:24:00"/>
    <d v="2026-05-07T00:00:00"/>
    <m/>
    <d v="2026-03-07T14:24:00"/>
    <s v="08/05/26: Según CQ, actualizó el estado a 07. En Despliegue_x000a_29/04/26: Según CQ, actualizó el estado a 06. Calidad Finalizado_x000a_30/01/26: Según CQ, actualizó el estado a 05. En Calidad_x000a_12/01/26: Según CQ, actualizó el estado a 04. Desarrollo Finalizado_x000a_12/01/26: Según CQ, actualizó el estado a 03. En Desarrollo_x000a_30/12/2025: Cartera reasignada a Omar Sarmiento_x000a_02/09/25: Según CQ, actualizó el estado a 03. En Desarrollo_x000a_"/>
    <s v="B.Digital"/>
    <s v="CanalesAlternos"/>
    <s v="2025-07"/>
    <s v="2025-08"/>
    <s v="2026-01"/>
    <x v="0"/>
    <x v="8"/>
    <m/>
    <m/>
    <m/>
    <m/>
    <m/>
    <s v="2025-III"/>
    <s v="Sin Fecha Fin Producción"/>
    <s v="No Aplica"/>
    <m/>
    <s v="Finalizada"/>
    <s v="Ordenado"/>
    <x v="125"/>
    <x v="0"/>
    <m/>
    <m/>
    <s v="Vencida"/>
    <s v="Pagalo.pe"/>
    <s v="Canales Virtuales"/>
    <x v="1"/>
    <x v="1"/>
    <m/>
    <s v=""/>
    <s v="Sin Fecha"/>
    <s v="No definido"/>
    <m/>
    <s v="Activos"/>
    <x v="5"/>
    <n v="0.9"/>
    <s v="PRE"/>
    <s v="NO"/>
    <s v="03. En Desarrollo"/>
    <s v="SI"/>
    <s v="ATRASADO 🔴"/>
    <n v="1"/>
    <n v="0.9"/>
    <n v="9.9999999999999978E-2"/>
    <n v="0.9"/>
    <d v="2025-09-01T00:00:00"/>
    <d v="2025-09-01T00:00:00"/>
    <d v="2026-01-08T00:00:00"/>
    <d v="2026-01-28T00:00:00"/>
    <d v="2026-03-17T00:00:00"/>
    <d v="2026-03-18T00:00:00"/>
    <d v="2026-04-30T00:00:00"/>
    <n v="88"/>
    <n v="1"/>
    <n v="200"/>
    <s v="BD"/>
    <s v="3. DESPLIEGUE"/>
    <m/>
    <m/>
    <n v="0"/>
    <n v="88"/>
    <n v="0"/>
    <n v="704"/>
    <n v="0"/>
    <x v="1"/>
  </r>
  <r>
    <s v="M1177"/>
    <n v="2971"/>
    <x v="0"/>
    <s v="2025-T0676"/>
    <s v="2025-M0556"/>
    <s v="Actualización de Factores en las bases de datos de los reportes ARCHNIV_F y REPORTNIV_F"/>
    <m/>
    <x v="7"/>
    <s v="Riesgos Crediticios y Financieros"/>
    <s v="Evaluación de Cartera de Créditos"/>
    <d v="2025-08-14T00:00:00"/>
    <s v="MEMORANDO N° 00000034 - 2025-BN/2191"/>
    <s v="COBD-Contabilidad-RCD"/>
    <m/>
    <s v="Otros"/>
    <s v="Crédito Hipotecario"/>
    <s v="No aplica"/>
    <x v="3"/>
    <m/>
    <s v="AUDITORIA INTERNA"/>
    <s v="P-028-2024-BN/1400"/>
    <s v="Evaluación del Riesgo de sobreendeudamiento"/>
    <s v="N°1"/>
    <s v="1.a, 1.b"/>
    <s v="1. 31/12/2025_x000a_2. 31/07/2026"/>
    <s v="Normal"/>
    <d v="2025-08-29T00:00:00"/>
    <x v="0"/>
    <m/>
    <s v="Andrés Quiñones Gonzales"/>
    <s v="Milagros Huamani"/>
    <x v="1"/>
    <s v="03. Culminado"/>
    <m/>
    <m/>
    <m/>
    <d v="2025-08-14T00:00:00"/>
    <d v="2025-11-07T00:00:00"/>
    <m/>
    <d v="2025-11-11T00:00:00"/>
    <d v="2025-12-03T00:00:00"/>
    <d v="2025-12-11T00:00:00"/>
    <d v="2026-01-07T00:00:00"/>
    <d v="2026-01-13T00:00:00"/>
    <d v="2025-12-18T00:00:00"/>
    <s v="14/01/26: Según CQ, actualizó el estado a 08. Producción Finalizada_x000a_12/01/26: Según CQ, actualizó el estado a 07. En Despliegue_x000a_12/01/26: Según CQ, actualizó el estado a 06. Calidad Finalizado_x000a_08/01/26: Según CQ, actualizó el estado a 07. En Despliegue_x000a_04/12/25: Según CQ, actualizó el estado a 06. Calidad Finalizado_x000a_13/11/25: Según CQ, actualizó el estado a 05. En Calidad_x000a_07/11/25: Según CQ, actualizó el estado a 04. Desarrollo Finalizado_x000a_05/09/2025: Cartera reasignada a Milagros Huamani_x000a_25/08/25: Según CQ, actualizó el estado a 03. En Desarrollo_x000a_"/>
    <s v="Riesgos"/>
    <s v="CrediticiosFinancieros"/>
    <s v="2025-08"/>
    <s v="2025-08"/>
    <s v="2025-11"/>
    <x v="4"/>
    <x v="23"/>
    <m/>
    <m/>
    <m/>
    <m/>
    <m/>
    <s v="2025-III"/>
    <n v="152"/>
    <n v="5.0666666666666664"/>
    <m/>
    <s v="Finalizada"/>
    <s v="Procesado"/>
    <x v="126"/>
    <x v="2"/>
    <s v="1. 3167_x000a_2. 3168"/>
    <s v="NO_x000a_NO"/>
    <s v="Culminado"/>
    <s v="BackOffice"/>
    <s v="Otros Requerimientos"/>
    <x v="1"/>
    <x v="1"/>
    <m/>
    <d v="2026-01-13T00:00:00"/>
    <s v="Culminado"/>
    <s v="Ene 2026"/>
    <m/>
    <s v="Culminado"/>
    <x v="0"/>
    <n v="1"/>
    <s v="PRE"/>
    <s v="NO"/>
    <s v="03. En Desarrollo"/>
    <s v="No aplica"/>
    <s v="IMPLEMENTADO 🔵"/>
    <n v="1"/>
    <n v="1"/>
    <n v="0"/>
    <n v="1"/>
    <d v="2025-08-14T00:00:00"/>
    <d v="2025-08-14T00:00:00"/>
    <d v="2025-11-07T00:00:00"/>
    <d v="2025-11-11T00:00:00"/>
    <d v="2025-12-03T00:00:00"/>
    <d v="2026-01-07T00:00:00"/>
    <d v="2026-02-04T00:00:00"/>
    <n v="61"/>
    <n v="1"/>
    <n v="200"/>
    <m/>
    <s v="4. PRODUCCIÓN"/>
    <m/>
    <m/>
    <n v="0"/>
    <n v="61"/>
    <n v="0"/>
    <n v="488"/>
    <n v="0"/>
    <x v="11"/>
  </r>
  <r>
    <s v="M1183"/>
    <n v="2978"/>
    <x v="0"/>
    <s v="2025-T0687"/>
    <s v="2025-M0575"/>
    <s v="Enrolamiento en línea – 2da parte:  Migración bd y reportería"/>
    <m/>
    <x v="2"/>
    <s v="Canales Alternos"/>
    <s v="Canales Virtuales"/>
    <d v="2023-11-06T00:00:00"/>
    <s v="MEMORANDO N° 00000134 -2023-BN/3252"/>
    <s v="SIAT - Sistema de Atributos"/>
    <m/>
    <s v="Agencias"/>
    <s v="No Aplica"/>
    <s v="No aplica"/>
    <x v="2"/>
    <s v="Normativo"/>
    <m/>
    <m/>
    <m/>
    <m/>
    <m/>
    <m/>
    <s v="Normal"/>
    <d v="2025-08-29T00:00:00"/>
    <x v="2"/>
    <m/>
    <s v="Monica del Pilar Garcia Campana"/>
    <s v="Omar Sarmiento"/>
    <x v="5"/>
    <s v="02. En Proceso"/>
    <m/>
    <m/>
    <m/>
    <d v="2025-08-21T00:00:00"/>
    <m/>
    <m/>
    <m/>
    <m/>
    <s v=""/>
    <m/>
    <m/>
    <s v=""/>
    <s v="26/02/2025 Primero debe pasar  2026-M0046 en el canal saraweb estimado para el 27 de febrero. Luego se retomará su atencion. Nivel de avance 60%_x000a_30/12/2025: Cartera reasignada a Omar Sarmiento_x000a_25/08/25: Según CQ, actualizó el estado a 03. En Desarrollo_x000a_"/>
    <s v="B.Digital"/>
    <s v="CanalesAlternos"/>
    <s v="2023-11"/>
    <s v="2025-08"/>
    <s v="No definido"/>
    <x v="0"/>
    <x v="1"/>
    <m/>
    <m/>
    <m/>
    <m/>
    <m/>
    <s v="2025-III"/>
    <s v="Sin Fecha Fin Producción"/>
    <s v="No Aplica"/>
    <m/>
    <s v="Iniciada"/>
    <s v="Asignado"/>
    <x v="127"/>
    <x v="0"/>
    <m/>
    <m/>
    <s v="Sin Fecha"/>
    <s v="BackOffice"/>
    <s v="Otros Requerimientos"/>
    <x v="1"/>
    <x v="1"/>
    <m/>
    <s v=""/>
    <s v="Sin Fecha"/>
    <s v="No definido"/>
    <m/>
    <s v="Activos"/>
    <x v="6"/>
    <n v="0.25"/>
    <s v="PRE"/>
    <s v="NO"/>
    <s v="03. En Desarrollo"/>
    <s v="SI"/>
    <s v="ATRASADO 🔴"/>
    <n v="0.93220338983050843"/>
    <n v="0.25"/>
    <n v="0.68220338983050843"/>
    <n v="0.26818181818181819"/>
    <d v="2025-11-03T00:00:00"/>
    <d v="2026-03-02T00:00:00"/>
    <d v="2026-03-31T00:00:00"/>
    <d v="2026-04-01T00:00:00"/>
    <d v="2026-05-08T00:00:00"/>
    <d v="2026-05-11T00:00:00"/>
    <d v="2026-05-22T00:00:00"/>
    <n v="22"/>
    <n v="1"/>
    <n v="58.666666666666664"/>
    <s v="BD"/>
    <s v="1. DESARROLLO"/>
    <m/>
    <m/>
    <n v="0"/>
    <n v="22"/>
    <n v="0"/>
    <n v="58.666666666666664"/>
    <n v="0"/>
    <x v="8"/>
  </r>
  <r>
    <s v="M1184"/>
    <n v="2979"/>
    <x v="0"/>
    <s v="2025-T0688"/>
    <s v="2025-M0579"/>
    <s v="Implementación de API 35 y Gestión de Certificados de Seguridad Cuenta DNI _x000a_"/>
    <s v="Implementación de API 35 y Gestión de Certificados de Seguridad Cuenta DNI"/>
    <x v="2"/>
    <s v="Canales Alternos"/>
    <s v="Canales Virtuales"/>
    <d v="2025-08-21T00:00:00"/>
    <s v="MEMORANDO N° 00000058 - 2025-BN/7901"/>
    <s v="PCDI-Proyecto Cuenta DNI"/>
    <m/>
    <s v="Otros"/>
    <s v="No Aplica"/>
    <s v="No aplica"/>
    <x v="1"/>
    <m/>
    <m/>
    <m/>
    <m/>
    <m/>
    <m/>
    <m/>
    <s v="Normal"/>
    <d v="2025-08-29T00:00:00"/>
    <x v="0"/>
    <m/>
    <s v="Angela Rocio Risco Vega"/>
    <s v="Omar Sarmiento"/>
    <x v="1"/>
    <s v="03. Culminado"/>
    <m/>
    <m/>
    <m/>
    <d v="2025-08-22T00:00:00"/>
    <m/>
    <m/>
    <m/>
    <m/>
    <s v=""/>
    <d v="2025-09-22T00:00:00"/>
    <d v="2026-01-13T00:00:00"/>
    <s v=""/>
    <s v="14/01/26: Según CQ, actualizó el estado a 08. Producción Finalizada_x000a_30/12/2025: Cartera reasignada a Omar Sarmiento_x000a_23/09/25: Según CQ, actualizó el estado a 07. En Despliegue_x000a_25/08/25: Según CQ, actualizó el estado a 03. En Desarrollo_x000a_"/>
    <s v="B.Digital"/>
    <s v="CanalesAlternos"/>
    <s v="2025-08"/>
    <s v="2025-08"/>
    <s v="No definido"/>
    <x v="4"/>
    <x v="1"/>
    <m/>
    <m/>
    <m/>
    <m/>
    <m/>
    <s v="2025-III"/>
    <n v="144"/>
    <n v="4.8"/>
    <m/>
    <s v="Finalizada"/>
    <s v="Transitorio_Procesado"/>
    <x v="128"/>
    <x v="0"/>
    <m/>
    <m/>
    <s v="Culminado"/>
    <s v="Cuenta DNI"/>
    <s v="Canales Virtuales"/>
    <x v="1"/>
    <x v="1"/>
    <m/>
    <d v="2026-01-13T00:00:00"/>
    <s v="Culminado"/>
    <s v="Ene 2026"/>
    <m/>
    <s v="Culminado"/>
    <x v="0"/>
    <n v="1"/>
    <s v="PRE"/>
    <s v="NO"/>
    <s v="07. En Despliegue"/>
    <s v="No aplica"/>
    <s v="IMPLEMENTADO 🔵"/>
    <n v="1"/>
    <n v="1"/>
    <n v="0"/>
    <n v="1"/>
    <d v="2025-08-22T00:00:00"/>
    <d v="2025-08-22T00:00:00"/>
    <s v=""/>
    <s v=""/>
    <s v=""/>
    <d v="2025-09-22T00:00:00"/>
    <d v="2026-01-13T00:00:00"/>
    <n v="25"/>
    <n v="0.1"/>
    <n v="200"/>
    <m/>
    <s v="4. PRODUCCIÓN"/>
    <m/>
    <m/>
    <n v="0.9"/>
    <n v="1"/>
    <n v="24"/>
    <n v="8"/>
    <n v="192"/>
    <x v="9"/>
  </r>
  <r>
    <s v="M1192"/>
    <n v="2939"/>
    <x v="0"/>
    <s v="2025-T0711"/>
    <s v="2026-M0002"/>
    <s v="Controles para el proceso de Cobranza Automática de Préstamo Multired"/>
    <s v="Controles para el proceso de Cobranza Automática de Préstamo Multired"/>
    <x v="1"/>
    <s v="Banca Personal"/>
    <s v="Préstamo Multired"/>
    <d v="2025-07-04T00:00:00"/>
    <s v="MEMORANDO N° 00000165 - 2025-BN/3347"/>
    <s v="PRAH - Prestamos Multired"/>
    <m/>
    <s v="Otros"/>
    <s v="Préstamos Multired "/>
    <s v="No aplica"/>
    <x v="0"/>
    <m/>
    <m/>
    <m/>
    <m/>
    <m/>
    <m/>
    <m/>
    <s v="Normal"/>
    <d v="2025-08-29T00:00:00"/>
    <x v="0"/>
    <m/>
    <s v="Pedro Jose Encalada Huertas"/>
    <s v="Milagros Huamani"/>
    <x v="1"/>
    <s v="03. Culminado"/>
    <m/>
    <m/>
    <m/>
    <d v="2026-01-05T00:00:00"/>
    <d v="2026-02-02T00:00:00"/>
    <m/>
    <d v="2026-02-17T00:00:00"/>
    <d v="2026-02-26T00:00:00"/>
    <d v="2026-02-13T04:48:00"/>
    <d v="2026-03-19T00:00:00"/>
    <d v="2026-04-14T00:00:00"/>
    <d v="2026-02-20T04:48:00"/>
    <s v="15/04/26: Según CQ, actualizó el estado a 08. Producción Finalizada_x000a_23/03/26: Según CQ, actualizó el estado a 07. En Despliegue_x000a_27/02/26: Según CQ, actualizó el estado a 06. Calidad Finalizado_x000a_19/02/26: Según CQ, actualizó el estado a 05. En Calidad_x000a_03/02/26: Según CQ, actualizó el estado a 04. Desarrollo Finalizado_x000a_09/01/2026: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07/2025: Se registró en el Backlog"/>
    <s v="Productos"/>
    <s v="BancaPersonal"/>
    <s v="2025-07"/>
    <s v="2025-08"/>
    <s v="2026-02"/>
    <x v="1"/>
    <x v="2"/>
    <m/>
    <m/>
    <m/>
    <m/>
    <m/>
    <s v="2025-III"/>
    <n v="99"/>
    <n v="3.3"/>
    <m/>
    <s v="Finalizada"/>
    <s v="Procesado"/>
    <x v="129"/>
    <x v="0"/>
    <m/>
    <m/>
    <s v="Culminado"/>
    <s v="Préstamos Multired"/>
    <s v="Productos"/>
    <x v="2"/>
    <x v="1"/>
    <m/>
    <d v="2026-04-14T00:00:00"/>
    <s v="Culminado"/>
    <s v="Abr 2026"/>
    <m/>
    <s v="Culminado"/>
    <x v="0"/>
    <n v="1"/>
    <s v="POST"/>
    <s v="REACTIVADO 26"/>
    <s v="Reactivo"/>
    <s v="No aplica"/>
    <s v="IMPLEMENTADO 🔵"/>
    <n v="1"/>
    <n v="1"/>
    <n v="0"/>
    <n v="1"/>
    <d v="2026-01-05T00:00:00"/>
    <d v="2026-01-05T00:00:00"/>
    <d v="2026-02-02T00:00:00"/>
    <d v="2026-02-17T00:00:00"/>
    <d v="2026-04-13T00:00:00"/>
    <d v="2026-04-14T00:00:00"/>
    <d v="2026-04-28T00:00:00"/>
    <n v="21"/>
    <n v="1"/>
    <n v="200"/>
    <m/>
    <s v="4. PRODUCCIÓN"/>
    <m/>
    <m/>
    <n v="0"/>
    <n v="21"/>
    <n v="0"/>
    <n v="168"/>
    <n v="0"/>
    <x v="1"/>
  </r>
  <r>
    <s v="M1197"/>
    <n v="2984"/>
    <x v="0"/>
    <s v="2025-T0699"/>
    <s v="2025-M0589"/>
    <s v="Generación de Base de Datos (Maestro) de Rutas Foráneas e Inclusión de rutas foráneas en secuencias FISA del proceso de Traslado de Fondos a nivel nacional (OPCF)"/>
    <m/>
    <x v="0"/>
    <s v="Caja y Valores"/>
    <s v="Programación y Distribución de Fondos"/>
    <d v="2025-07-25T00:00:00"/>
    <s v="MEMORANDO N° 00000030 - 2025-BN/3135"/>
    <s v="FISA-Finanzas Saldos"/>
    <m/>
    <s v="Otros"/>
    <s v="No Aplica"/>
    <s v="No aplica"/>
    <x v="0"/>
    <m/>
    <m/>
    <m/>
    <m/>
    <m/>
    <m/>
    <m/>
    <s v="Normal"/>
    <d v="2025-08-29T00:00:00"/>
    <x v="1"/>
    <s v="Analista-BN"/>
    <s v="Ricardo Cuba Mora"/>
    <s v="Junior Quicaño"/>
    <x v="1"/>
    <s v="03. Culminado"/>
    <m/>
    <m/>
    <m/>
    <d v="2025-09-23T00:00:00"/>
    <d v="2025-11-03T00:00:00"/>
    <m/>
    <d v="2025-11-06T00:00:00"/>
    <d v="2025-11-26T00:00:00"/>
    <d v="2025-11-19T09:36:00"/>
    <d v="2025-11-26T00:00:00"/>
    <d v="2026-01-12T00:00:00"/>
    <d v="2025-11-26T09:36:00"/>
    <s v="13/01/26: Según CQ, actualizó el estado a 08. Producción Finalizada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4/11/25: Según CQ, actualizó el estado a 05. En Calidad_x000a_25/09/25: Según CQ, actualizó el estado a 03. En Desarrollo_x000a_27/08/25: Se registró en el Backlog y se creó trámite."/>
    <s v="Operac."/>
    <s v="CajaValores"/>
    <s v="2025-07"/>
    <s v="2025-08"/>
    <s v="2025-11"/>
    <x v="4"/>
    <x v="21"/>
    <m/>
    <m/>
    <m/>
    <m/>
    <m/>
    <s v="2025-III"/>
    <n v="111"/>
    <n v="3.7"/>
    <m/>
    <s v="Finalizada"/>
    <s v="Procesado"/>
    <x v="130"/>
    <x v="0"/>
    <m/>
    <m/>
    <s v="Culminado"/>
    <s v="BackOffice"/>
    <s v="Otros Requerimientos"/>
    <x v="1"/>
    <x v="1"/>
    <m/>
    <d v="2026-01-12T00:00:00"/>
    <s v="Culminado"/>
    <s v="Ene 2026"/>
    <m/>
    <s v="Culminado"/>
    <x v="0"/>
    <n v="1"/>
    <s v="POST"/>
    <s v="REACTIVADO"/>
    <s v="Reactivo"/>
    <s v="No aplica"/>
    <s v="IMPLEMENTADO 🔵"/>
    <n v="1"/>
    <n v="1"/>
    <n v="0"/>
    <n v="1"/>
    <d v="2025-09-23T00:00:00"/>
    <d v="2025-09-23T00:00:00"/>
    <d v="2025-11-03T00:00:00"/>
    <d v="2025-11-06T00:00:00"/>
    <d v="2025-11-26T00:00:00"/>
    <d v="2025-11-26T00:00:00"/>
    <d v="2026-01-15T00:00:00"/>
    <n v="29"/>
    <n v="1"/>
    <n v="200"/>
    <m/>
    <s v="4. PRODUCCIÓN"/>
    <m/>
    <m/>
    <n v="0"/>
    <n v="29"/>
    <n v="0"/>
    <n v="232"/>
    <n v="0"/>
    <x v="9"/>
  </r>
  <r>
    <s v="M1198"/>
    <n v="2987"/>
    <x v="0"/>
    <s v="2025-T0658"/>
    <s v="2025-M0540"/>
    <s v="MC: Inclusión de nuevo BIN:Tarjeta de crédito"/>
    <m/>
    <x v="8"/>
    <s v="Construcción de Aplicaciones"/>
    <s v="Sistemas Bancarios"/>
    <m/>
    <s v="Correo s/n"/>
    <s v="SITC – Tarjeta de Crédito"/>
    <m/>
    <s v="Agencias"/>
    <s v="Tarjeta de Crédito "/>
    <s v="No aplica"/>
    <x v="1"/>
    <m/>
    <m/>
    <m/>
    <m/>
    <m/>
    <m/>
    <m/>
    <s v="Regularizado"/>
    <d v="2025-08-29T00:00:00"/>
    <x v="0"/>
    <m/>
    <s v="Pedro Jose Encalada Huertas"/>
    <s v="Tomas Calvera"/>
    <x v="5"/>
    <s v="02. En Proceso"/>
    <m/>
    <m/>
    <m/>
    <d v="2025-08-05T00:00:00"/>
    <m/>
    <m/>
    <m/>
    <m/>
    <s v=""/>
    <m/>
    <m/>
    <s v=""/>
    <s v="04/02/2026: Cartera reasignada a Tomas Calvera_x000a_05/09/2025: Cartera reasignada a Omar Sarmiento_x000a_01/09/25: Según CQ, actualizó el estado a 03. En Desarrollo_x000a_28/08/25: Se regularizó su registró en el Backlog."/>
    <s v="TI"/>
    <s v="ConstrucciónAplicaciones"/>
    <s v="No definido"/>
    <s v="2025-08"/>
    <s v="No definido"/>
    <x v="0"/>
    <x v="1"/>
    <m/>
    <m/>
    <m/>
    <m/>
    <m/>
    <s v="2025-III"/>
    <s v="Sin Fecha Fin Producción"/>
    <s v="No Aplica"/>
    <m/>
    <s v="Iniciada"/>
    <s v="Asignado"/>
    <x v="131"/>
    <x v="0"/>
    <m/>
    <m/>
    <s v="Sin Fecha"/>
    <s v="Tarjeta Tesoro"/>
    <s v="Productos"/>
    <x v="1"/>
    <x v="1"/>
    <m/>
    <s v=""/>
    <s v="Sin Fecha"/>
    <s v="No definido"/>
    <m/>
    <s v="Activos"/>
    <x v="0"/>
    <n v="0.25"/>
    <s v="PRE"/>
    <s v="NO"/>
    <s v="03. En Desarrollo"/>
    <s v="SI"/>
    <s v="ATRASADO 🔴"/>
    <n v="1"/>
    <n v="0.25"/>
    <n v="0.75"/>
    <n v="0.25"/>
    <d v="2025-11-03T00:00:00"/>
    <d v="2026-03-02T00:00:00"/>
    <d v="2026-03-10T00:00:00"/>
    <d v="2026-03-12T00:00:00"/>
    <d v="2026-04-12T00:00:00"/>
    <d v="2026-04-13T00:00:00"/>
    <d v="2026-04-17T00:00:00"/>
    <n v="7"/>
    <n v="1"/>
    <n v="11.200000000000001"/>
    <m/>
    <s v="1. DESARROLLO"/>
    <m/>
    <m/>
    <n v="0"/>
    <n v="7"/>
    <n v="0"/>
    <n v="11.200000000000001"/>
    <n v="0"/>
    <x v="1"/>
  </r>
  <r>
    <s v="M1199"/>
    <n v="2988"/>
    <x v="0"/>
    <s v="2025-T0654"/>
    <s v="2025-M0535"/>
    <s v="Bibloteca -Modulos de Administración y Buscador"/>
    <m/>
    <x v="5"/>
    <s v="Desarrollo del Talento"/>
    <s v="Capacitación"/>
    <m/>
    <s v="Correo s/n"/>
    <s v="BIBL-Gestión y Consulta de Biblioteca-BN"/>
    <m/>
    <s v="Otros"/>
    <s v="No Aplica"/>
    <s v="No aplica"/>
    <x v="0"/>
    <m/>
    <m/>
    <m/>
    <m/>
    <m/>
    <m/>
    <m/>
    <s v="Regularizado"/>
    <d v="2025-08-29T00:00:00"/>
    <x v="1"/>
    <m/>
    <s v="Paul Alminagorta Cabezas"/>
    <s v="Juan Carlos Zavaleta"/>
    <x v="5"/>
    <s v="02. En Proceso"/>
    <m/>
    <m/>
    <m/>
    <d v="2025-08-01T00:00:00"/>
    <m/>
    <m/>
    <m/>
    <m/>
    <s v=""/>
    <m/>
    <m/>
    <s v=""/>
    <s v="01/09/25: Según CQ, actualizó el estado a 03. En Desarrollo_x000a_28/08/25: Se regularizó su registró en el Backlog."/>
    <s v="RRHH"/>
    <s v="DesarrolloTalento"/>
    <s v="No definido"/>
    <s v="2025-08"/>
    <s v="No definido"/>
    <x v="0"/>
    <x v="1"/>
    <m/>
    <m/>
    <m/>
    <m/>
    <m/>
    <s v="2025-III"/>
    <s v="Sin Fecha Fin Producción"/>
    <s v="No Aplica"/>
    <m/>
    <s v="Finalizada"/>
    <s v="Asignado"/>
    <x v="132"/>
    <x v="0"/>
    <m/>
    <m/>
    <s v="Sin Fecha"/>
    <s v="BackOffice"/>
    <s v="Otros Requerimientos"/>
    <x v="1"/>
    <x v="1"/>
    <m/>
    <s v=""/>
    <s v="Sin Fecha"/>
    <s v="No definido"/>
    <m/>
    <s v="Activos"/>
    <x v="0"/>
    <n v="0.15"/>
    <s v="PRE"/>
    <s v="NO"/>
    <s v="03. En Desarrollo"/>
    <s v="SI"/>
    <s v="EN CURSO 🟢"/>
    <n v="0"/>
    <n v="0.15"/>
    <n v="-0.15"/>
    <s v=""/>
    <d v="2026-06-01T00:00:00"/>
    <d v="2026-06-01T00:00:00"/>
    <d v="2026-07-31T00:00:00"/>
    <d v="2026-08-01T00:00:00"/>
    <d v="2026-08-20T00:00:00"/>
    <d v="2026-09-01T00:00:00"/>
    <d v="2026-09-07T00:00:00"/>
    <n v="42"/>
    <n v="0"/>
    <n v="67.2"/>
    <m/>
    <s v="1. DESARROLLO"/>
    <m/>
    <m/>
    <n v="1"/>
    <n v="0"/>
    <n v="42"/>
    <n v="0"/>
    <n v="67.2"/>
    <x v="2"/>
  </r>
  <r>
    <s v="M1200"/>
    <n v="2989"/>
    <x v="0"/>
    <s v="2025-T0655"/>
    <s v="2025-M0536"/>
    <s v="Optimizacion SARE intranet, reducir errores en el registro y nuevas funcionalidades"/>
    <m/>
    <x v="9"/>
    <s v="Experiencia de Cliente y Reclamos"/>
    <s v="Reclamos"/>
    <m/>
    <s v="Correo s/n"/>
    <s v="SARE_Atención de Reclamos"/>
    <m/>
    <s v="Otros"/>
    <s v="No Aplica"/>
    <s v="No aplica"/>
    <x v="0"/>
    <m/>
    <m/>
    <m/>
    <m/>
    <m/>
    <m/>
    <m/>
    <s v="Regularizado"/>
    <d v="2025-08-29T00:00:00"/>
    <x v="1"/>
    <m/>
    <s v="Dayna Evelin Ribbeck Rivera"/>
    <s v="Maria Barboza"/>
    <x v="3"/>
    <s v="04. Paralizado"/>
    <m/>
    <m/>
    <m/>
    <d v="2025-11-13T00:00:00"/>
    <d v="2025-10-28T00:00:00"/>
    <m/>
    <m/>
    <m/>
    <d v="2025-10-21T14:24:00"/>
    <m/>
    <m/>
    <d v="2025-10-28T14:24:00"/>
    <s v="27/04/26: Según CQ, actualizó el estado a 10. Paralizado_x000a_19/01/2025: Cartera reasignada a Maria Barboza_x000a_04/11/25: Según CQ, actualizó el estado a 03. En Desarrollo_x000a_30/10/25: Según CQ, actualizó el estado a 04. Desarrollo Finalizado_x000a_01/09/25: Según CQ, actualizó el estado a 03. En Desarrollo_x000a_28/08/25: Se regularizó su registró en el Backlog."/>
    <s v="GerenciaGral."/>
    <s v="ClienteReclamos"/>
    <s v="No definido"/>
    <s v="2025-08"/>
    <s v="2025-10"/>
    <x v="0"/>
    <x v="13"/>
    <m/>
    <m/>
    <m/>
    <m/>
    <m/>
    <s v="2025-III"/>
    <s v="Sin Fecha Fin Producción"/>
    <s v="No Aplica"/>
    <m/>
    <s v="Finalizada"/>
    <s v="Pospuesto"/>
    <x v="133"/>
    <x v="0"/>
    <m/>
    <m/>
    <s v="Vencida"/>
    <s v="BackOffice"/>
    <s v="Otros Requerimientos"/>
    <x v="1"/>
    <x v="1"/>
    <m/>
    <s v=""/>
    <s v="Sin Fecha"/>
    <s v="No definido"/>
    <m/>
    <s v="Activos"/>
    <x v="0"/>
    <n v="0.12"/>
    <s v="PRE"/>
    <s v="NO"/>
    <s v="03. En Desarrollo"/>
    <s v="No aplica"/>
    <s v="PARALIZADO ⚪"/>
    <n v="0.26960784313725489"/>
    <n v="0.12"/>
    <n v="0.14960784313725489"/>
    <n v="0.44509090909090909"/>
    <d v="2025-11-13T00:00:00"/>
    <d v="2026-03-02T00:00:00"/>
    <d v="2026-11-06T00:00:00"/>
    <d v="2026-11-06T00:00:00"/>
    <d v="2026-11-30T00:00:00"/>
    <d v="2026-11-30T00:00:00"/>
    <d v="2026-12-18T00:00:00"/>
    <n v="175"/>
    <n v="0.30555555555555558"/>
    <n v="200"/>
    <m/>
    <s v="6. PARALIZADO"/>
    <m/>
    <m/>
    <n v="0.69444444444444442"/>
    <n v="54"/>
    <n v="121"/>
    <n v="432"/>
    <n v="968"/>
    <x v="14"/>
  </r>
  <r>
    <s v="M1203"/>
    <n v="2993"/>
    <x v="0"/>
    <s v="2025-T0694"/>
    <s v="2025-M0584"/>
    <s v="MC: Extorno AFT"/>
    <m/>
    <x v="8"/>
    <s v="Construcción de Aplicaciones"/>
    <s v="Sistemas Bancarios"/>
    <m/>
    <s v="Correo s/n"/>
    <s v="TMIN-Tarjeta Multired Interfaces"/>
    <m/>
    <s v="POS"/>
    <s v="No Aplica"/>
    <s v="No aplica"/>
    <x v="1"/>
    <m/>
    <m/>
    <m/>
    <m/>
    <m/>
    <m/>
    <m/>
    <s v="Regularizado"/>
    <d v="2025-08-29T00:00:00"/>
    <x v="0"/>
    <m/>
    <s v="Vladimir Ronald Cajavilca Cajavilca"/>
    <s v="Tomas Calvera"/>
    <x v="5"/>
    <s v="02. En Proceso"/>
    <m/>
    <m/>
    <m/>
    <m/>
    <m/>
    <m/>
    <m/>
    <m/>
    <s v=""/>
    <m/>
    <m/>
    <s v=""/>
    <s v="04/02/2026: Cartera reasignada a Tomas Calvera_x000a_22/10/25: Según CQ, actualizó el estado a 03. En Desarrollo_x000a_05/09/2025: Cartera reasignada a Omar Sarmiento_x000a_01/09/25: Según CQ, actualizó el estado a 04. Desarrollo Finalizado_x000a_28/08/25: Se regularizó su registró en el Backlog."/>
    <s v="TI"/>
    <s v="ConstrucciónAplicaciones"/>
    <s v="No definido"/>
    <s v="2025-08"/>
    <s v="No definido"/>
    <x v="0"/>
    <x v="1"/>
    <m/>
    <m/>
    <m/>
    <m/>
    <m/>
    <s v="2025-III"/>
    <s v="Sin Fechas"/>
    <s v="No Aplica"/>
    <m/>
    <s v="Finalizada"/>
    <s v="Rechazado"/>
    <x v="134"/>
    <x v="0"/>
    <m/>
    <m/>
    <s v="Sin Fecha"/>
    <s v="ATM-Agentes-VISA"/>
    <s v="Canales Presenciales"/>
    <x v="1"/>
    <x v="1"/>
    <m/>
    <s v=""/>
    <s v="Sin Fecha"/>
    <s v="No definido"/>
    <m/>
    <s v="Activos"/>
    <x v="0"/>
    <n v="0.45"/>
    <s v="PRE"/>
    <s v="NO"/>
    <s v="03. En Desarrollo"/>
    <s v="SI"/>
    <s v="ATRASADO 🔴"/>
    <n v="1"/>
    <n v="0.45"/>
    <n v="0.55000000000000004"/>
    <n v="0.45"/>
    <d v="2025-11-03T00:00:00"/>
    <d v="2026-03-02T00:00:00"/>
    <d v="2026-03-28T00:00:00"/>
    <d v="2026-03-27T00:00:00"/>
    <d v="2026-04-02T00:00:00"/>
    <d v="2026-04-06T00:00:00"/>
    <d v="2026-04-10T00:00:00"/>
    <n v="20"/>
    <n v="1"/>
    <n v="14.545454545454547"/>
    <m/>
    <s v="1. DESARROLLO"/>
    <m/>
    <m/>
    <n v="0"/>
    <n v="20"/>
    <n v="0"/>
    <n v="14.545454545454547"/>
    <n v="0"/>
    <x v="1"/>
  </r>
  <r>
    <s v="M1205"/>
    <n v="2996"/>
    <x v="0"/>
    <s v="2025-T0681"/>
    <s v="2025-M0562"/>
    <s v="Proceso de envio de información – interfaces nuevo Sistema de Pagaduría MEF"/>
    <m/>
    <x v="8"/>
    <s v="Construcción de Aplicaciones"/>
    <s v="Sistemas Bancarios"/>
    <m/>
    <s v="Correo s/n"/>
    <s v="SICT-Sistema de Informacón de Cuentas Corrientes"/>
    <m/>
    <s v="Otros"/>
    <s v="No Aplica"/>
    <s v="No aplica"/>
    <x v="0"/>
    <m/>
    <m/>
    <m/>
    <m/>
    <m/>
    <m/>
    <m/>
    <s v="Regularizado"/>
    <d v="2025-08-29T00:00:00"/>
    <x v="0"/>
    <m/>
    <s v="Eduardo Saul Cardenas Manrique"/>
    <s v="Tomas Calvera"/>
    <x v="5"/>
    <s v="02. En Proceso"/>
    <m/>
    <m/>
    <m/>
    <d v="2025-11-24T00:00:00"/>
    <d v="2025-10-30T00:00:00"/>
    <m/>
    <m/>
    <m/>
    <d v="2025-10-20T00:00:00"/>
    <m/>
    <m/>
    <d v="2025-10-27T00:00:00"/>
    <s v="04/02/2026: Cartera reasignada a Tomas Calvera_x000a_13/11/25: Según CQ, actualizó el estado a 03. En Desarrollo_x000a_31/10/25: Según CQ, actualizó el estado a 04. Desarrollo Finalizado_x000a_05/09/2025: Cartera reasignada a Omar Sarmiento_x000a_01/09/25: Según CQ, actualizó el estado a 03. En Desarrollo_x000a_28/08/25: Se regularizó su registró en el Backlog."/>
    <s v="TI"/>
    <s v="ConstrucciónAplicaciones"/>
    <s v="No definido"/>
    <s v="2025-08"/>
    <s v="2025-10"/>
    <x v="0"/>
    <x v="13"/>
    <m/>
    <m/>
    <m/>
    <m/>
    <m/>
    <s v="2025-III"/>
    <s v="Sin Fecha Fin Producción"/>
    <s v="No Aplica"/>
    <m/>
    <s v="Finalizada"/>
    <s v="Asignado"/>
    <x v="135"/>
    <x v="0"/>
    <m/>
    <m/>
    <s v="Vencida"/>
    <s v="BackOffice"/>
    <s v="Otros Requerimientos"/>
    <x v="1"/>
    <x v="1"/>
    <m/>
    <s v=""/>
    <s v="Sin Fecha"/>
    <s v="No definido"/>
    <m/>
    <s v="Activos"/>
    <x v="0"/>
    <n v="0.15"/>
    <s v="PRE"/>
    <s v="NO"/>
    <s v="03. En Desarrollo"/>
    <s v="SI"/>
    <s v="ATRASADO 🔴"/>
    <n v="1"/>
    <n v="0.15"/>
    <n v="0.85"/>
    <n v="0.15"/>
    <d v="2025-11-24T00:00:00"/>
    <d v="2026-03-02T00:00:00"/>
    <d v="2026-03-23T00:00:00"/>
    <d v="2026-03-25T00:00:00"/>
    <d v="2026-04-01T00:00:00"/>
    <d v="2026-04-05T00:00:00"/>
    <d v="2026-04-15T00:00:00"/>
    <n v="16"/>
    <n v="1"/>
    <n v="18.285714285714285"/>
    <m/>
    <s v="1. DESARROLLO"/>
    <m/>
    <m/>
    <n v="0"/>
    <n v="16"/>
    <n v="0"/>
    <n v="18.285714285714285"/>
    <n v="0"/>
    <x v="1"/>
  </r>
  <r>
    <s v="M1206"/>
    <n v="2997"/>
    <x v="0"/>
    <s v="2025-T0674"/>
    <s v="2025-M0563"/>
    <s v="Proceso de conciliación contable en nuevo Sistema de Pagaduría MEF"/>
    <m/>
    <x v="8"/>
    <s v="Construcción de Aplicaciones"/>
    <s v="Sistemas Bancarios"/>
    <m/>
    <s v="Correo s/n"/>
    <s v="SICT-Sistema de Informacón de Cuentas Corrientes"/>
    <m/>
    <s v="Otros"/>
    <s v="No Aplica"/>
    <s v="No aplica"/>
    <x v="0"/>
    <m/>
    <m/>
    <m/>
    <m/>
    <m/>
    <m/>
    <m/>
    <s v="Regularizado"/>
    <d v="2025-08-29T00:00:00"/>
    <x v="0"/>
    <m/>
    <s v="Eduardo Saul Cardenas Manrique"/>
    <s v="Tomas Calvera"/>
    <x v="5"/>
    <s v="02. En Proceso"/>
    <m/>
    <m/>
    <m/>
    <d v="2025-08-27T00:00:00"/>
    <m/>
    <m/>
    <m/>
    <m/>
    <s v=""/>
    <m/>
    <m/>
    <s v=""/>
    <s v="04/02/2026: Cartera reasignada a Tomas Calvera_x000a_05/09/2025: Cartera reasignada a Omar Sarmiento_x000a_01/09/25: Según CQ, actualizó el estado a 03. En Desarrollo_x000a_28/08/25: Se regularizó su registró en el Backlog."/>
    <s v="TI"/>
    <s v="ConstrucciónAplicaciones"/>
    <s v="No definido"/>
    <s v="2025-08"/>
    <s v="No definido"/>
    <x v="0"/>
    <x v="1"/>
    <m/>
    <m/>
    <m/>
    <m/>
    <m/>
    <s v="2025-III"/>
    <s v="Sin Fecha Fin Producción"/>
    <s v="No Aplica"/>
    <m/>
    <s v="Iniciada"/>
    <s v="Asignado"/>
    <x v="136"/>
    <x v="0"/>
    <m/>
    <m/>
    <s v="Sin Fecha"/>
    <s v="BackOffice"/>
    <s v="Otros Requerimientos"/>
    <x v="1"/>
    <x v="1"/>
    <m/>
    <s v=""/>
    <s v="Sin Fecha"/>
    <s v="No definido"/>
    <m/>
    <s v="Activos"/>
    <x v="0"/>
    <n v="0.25"/>
    <s v="PRE"/>
    <s v="NO"/>
    <s v="03. En Desarrollo"/>
    <s v="SI"/>
    <s v="ATRASADO 🔴"/>
    <n v="1"/>
    <n v="0.25"/>
    <n v="0.75"/>
    <n v="0.25"/>
    <d v="2025-11-03T00:00:00"/>
    <d v="2026-03-02T00:00:00"/>
    <d v="2026-03-23T00:00:00"/>
    <d v="2026-03-25T00:00:00"/>
    <d v="2026-04-01T00:00:00"/>
    <d v="2026-04-06T00:00:00"/>
    <d v="2026-04-15T00:00:00"/>
    <n v="16"/>
    <n v="1"/>
    <n v="18.285714285714285"/>
    <m/>
    <s v="1. DESARROLLO"/>
    <m/>
    <m/>
    <n v="0"/>
    <n v="16"/>
    <n v="0"/>
    <n v="18.285714285714285"/>
    <n v="0"/>
    <x v="1"/>
  </r>
  <r>
    <s v="M1208"/>
    <n v="3000"/>
    <x v="0"/>
    <s v="2025-T0704"/>
    <s v="2025-M0596"/>
    <s v="Proyecto Hub de Integración - Entidad FINANCIERA CONFIANZA"/>
    <m/>
    <x v="0"/>
    <s v="Servicios Bancarios y Recaudación"/>
    <s v="Recaudación y Corresponsalía"/>
    <d v="2025-08-29T00:00:00"/>
    <s v="HOJA DE ENVIO N° 00000005 - 2025-BN-2550"/>
    <s v="SHUB_Hub de Integración"/>
    <m/>
    <s v="Agencias"/>
    <s v="No Aplica"/>
    <s v="Pagos "/>
    <x v="0"/>
    <m/>
    <m/>
    <m/>
    <m/>
    <m/>
    <m/>
    <m/>
    <s v="Normal"/>
    <d v="2025-08-29T00:00:00"/>
    <x v="0"/>
    <s v="Analista-BN"/>
    <s v="Jorge Lucio Ruedas Fernandez"/>
    <s v="Junior Quicaño"/>
    <x v="4"/>
    <s v="02. En Proceso"/>
    <m/>
    <m/>
    <m/>
    <d v="2025-09-01T00:00:00"/>
    <d v="2025-09-02T00:00:00"/>
    <m/>
    <d v="2025-09-08T00:00:00"/>
    <d v="2025-09-08T00:00:00"/>
    <d v="2025-09-02T09:36:00"/>
    <d v="2025-11-13T00:00:00"/>
    <m/>
    <d v="2025-09-09T09:36:00"/>
    <s v="14/11/25: Según CQ, actualizó el estado a 07. En Despliegue_x000a_09/09/25: Según CQ, actualizó el estado a 06. Calidad Finalizado_x000a_08/09/25: Según CQ, actualizó el estado a 05. En Calidad_x000a_02/09/25: Según CQ, actualizó el estado a 04. Desarrollo Finalizado_x000a_29/08/25: Se registró en el Backlog y se creó trámite."/>
    <s v="Operac."/>
    <s v="BancariosRecaudación"/>
    <s v="2025-08"/>
    <s v="2025-08"/>
    <s v="2025-09"/>
    <x v="0"/>
    <x v="7"/>
    <m/>
    <m/>
    <m/>
    <m/>
    <m/>
    <s v="2025-III"/>
    <s v="Sin Fecha Fin Producción"/>
    <s v="No Aplica"/>
    <m/>
    <s v="Finalizada"/>
    <s v="Ordenado"/>
    <x v="137"/>
    <x v="0"/>
    <m/>
    <m/>
    <s v="Vencida"/>
    <s v="BackOffice"/>
    <s v="Otros Requerimientos"/>
    <x v="1"/>
    <x v="1"/>
    <m/>
    <s v=""/>
    <s v="Sin Fecha"/>
    <s v="No definido"/>
    <m/>
    <s v="Activos"/>
    <x v="0"/>
    <n v="0.9"/>
    <s v="PRE"/>
    <s v="NO"/>
    <s v="06. Calidad Finalizado"/>
    <s v="SI"/>
    <s v="ATRASADO 🔴"/>
    <n v="1"/>
    <n v="0.9"/>
    <n v="9.9999999999999978E-2"/>
    <n v="0.9"/>
    <d v="2025-09-01T00:00:00"/>
    <d v="2025-09-01T00:00:00"/>
    <d v="2025-09-02T00:00:00"/>
    <d v="2025-09-08T00:00:00"/>
    <d v="2025-09-08T00:00:00"/>
    <d v="2025-11-13T00:00:00"/>
    <d v="2026-03-27T00:00:00"/>
    <n v="2"/>
    <n v="1"/>
    <n v="200"/>
    <m/>
    <s v="3. DESPLIEGUE"/>
    <m/>
    <m/>
    <n v="0"/>
    <n v="2"/>
    <n v="0"/>
    <n v="16"/>
    <n v="0"/>
    <x v="4"/>
  </r>
  <r>
    <s v="M1211"/>
    <n v="3015"/>
    <x v="0"/>
    <s v="2025-T0722"/>
    <s v="2025-M0603"/>
    <s v="Opción de Módulo de Impresiones - Tarjeta de Crédito"/>
    <m/>
    <x v="1"/>
    <s v="Banca Personal"/>
    <s v="Tarjeta de Crédito"/>
    <d v="2025-09-04T00:00:00"/>
    <s v="Correo s/n"/>
    <s v="SITC – Tarjeta de Crédito"/>
    <m/>
    <s v="Agencias"/>
    <s v="Tarjeta de Crédito "/>
    <s v="No aplica"/>
    <x v="2"/>
    <s v="Normativo"/>
    <s v="SBS"/>
    <m/>
    <m/>
    <m/>
    <m/>
    <d v="2025-09-30T00:00:00"/>
    <s v="Normal"/>
    <d v="2025-10-01T00:00:00"/>
    <x v="0"/>
    <m/>
    <s v="Fiorella Emma Galvan Soto"/>
    <s v="Milagros Huamani"/>
    <x v="6"/>
    <s v="02. En Proceso"/>
    <m/>
    <m/>
    <m/>
    <d v="2025-09-04T00:00:00"/>
    <d v="2026-01-06T00:00:00"/>
    <m/>
    <d v="2026-01-15T00:00:00"/>
    <d v="2026-02-26T00:00:00"/>
    <d v="2026-02-24T14:24:00"/>
    <m/>
    <m/>
    <d v="2026-03-03T14:24:00"/>
    <s v="27/02/26: Según CQ, actualizó el estado a 06. Calidad Finalizado_x000a_16/01/26: Según CQ, actualizó el estado a 05. En Calidad_x000a_12/01/26: Según CQ, actualizó el estado a 04. Desarrollo Finalizado_x000a_12/01/26: Según CQ, actualizó el estado a 03. En Desarrollo_x000a_06/01/26: Según CQ, actualizó el estado a 04. Desarrollo Finalizado_x000a_04/09/25: Según CQ, actualizó el estado a 03. En Desarrollo_x000a_04/09/25: Se registró en el Backlog y se creó trámite."/>
    <s v="Productos"/>
    <s v="BancaPersonal"/>
    <s v="2025-09"/>
    <s v="2025-10"/>
    <s v="2026-01"/>
    <x v="0"/>
    <x v="8"/>
    <m/>
    <m/>
    <m/>
    <m/>
    <m/>
    <s v="2025-IV"/>
    <s v="Sin Fecha Fin Producción"/>
    <s v="No Aplica"/>
    <m/>
    <s v="Finalizada"/>
    <s v="Certificado"/>
    <x v="138"/>
    <x v="0"/>
    <m/>
    <m/>
    <s v="Vencida"/>
    <s v="Tarjeta Tesoro"/>
    <s v="Productos"/>
    <x v="2"/>
    <x v="1"/>
    <m/>
    <s v=""/>
    <s v="Sin Fecha"/>
    <s v="No definido"/>
    <m/>
    <s v="Activos"/>
    <x v="0"/>
    <n v="0.85"/>
    <s v="PRE"/>
    <s v="NO"/>
    <s v="03. En Desarrollo"/>
    <s v="SI"/>
    <s v="ATRASADO 🔴"/>
    <n v="1"/>
    <n v="0.85"/>
    <n v="0.15000000000000002"/>
    <n v="0.85"/>
    <d v="2025-09-04T00:00:00"/>
    <d v="2025-09-04T00:00:00"/>
    <d v="2026-01-06T00:00:00"/>
    <d v="2026-01-15T00:00:00"/>
    <d v="2026-03-17T00:00:00"/>
    <d v="2026-03-18T00:00:00"/>
    <d v="2026-03-30T00:00:00"/>
    <n v="83"/>
    <n v="1"/>
    <n v="200"/>
    <m/>
    <s v="2. CALIDAD"/>
    <m/>
    <m/>
    <n v="0"/>
    <n v="83"/>
    <n v="0"/>
    <n v="664"/>
    <n v="0"/>
    <x v="4"/>
  </r>
  <r>
    <s v="M1219"/>
    <n v="3020"/>
    <x v="0"/>
    <s v="2025-T0727"/>
    <s v="2025-M0606"/>
    <s v="Actualización de nombre para Entidad Financiera 0043: Santander Consumer Bank. Transferencias Interbancarias INMEDIATAS y DIFERIDAS en los canales App Banca Móvil y Multired Virtual "/>
    <m/>
    <x v="0"/>
    <s v="Captaciones y Pagaduría"/>
    <s v="Sistema de Pagos"/>
    <d v="2025-08-27T00:00:00"/>
    <s v="MEMORANDO N° 00000146 - 2025-BN/3116"/>
    <s v="SABM - Sistema Atencion Banca Movil"/>
    <m/>
    <s v="Banca Móvil (APP)"/>
    <s v="Cuenta de Ahorros"/>
    <s v="Transferencias de recursos "/>
    <x v="0"/>
    <m/>
    <s v="No Aplica"/>
    <s v="No Aplica"/>
    <s v="No Aplica"/>
    <s v="No Aplica"/>
    <s v="No Aplica"/>
    <s v="No Aplica"/>
    <s v="Normal"/>
    <d v="2025-10-01T00:00:00"/>
    <x v="2"/>
    <s v="Analista-BN"/>
    <s v="Monica del Pilar Garcia Campana/Juan Carlos Cordova Inga"/>
    <s v="Junior Quicaño"/>
    <x v="3"/>
    <s v="04. Paralizado"/>
    <s v="Dependencia técnica"/>
    <m/>
    <d v="2025-11-03T00:00:00"/>
    <d v="2025-09-05T00:00:00"/>
    <m/>
    <m/>
    <m/>
    <m/>
    <s v=""/>
    <m/>
    <m/>
    <s v=""/>
    <s v="24/03/2026 Requerimiento tiene dependencia del mantenimiento 2024-M0146_x000a_02/03/26: Según CQ, actualizó el estado a 10. Paralizado_x000a_15/09/25: Según CQ, actualizó el estado a 03. En Desarrollo_x000a_05/09/25: Se registró en el Backlog y se creó trámite."/>
    <s v="Operac."/>
    <s v="CaptacionesPagaduría"/>
    <s v="2025-08"/>
    <s v="2025-10"/>
    <s v="No definido"/>
    <x v="0"/>
    <x v="1"/>
    <m/>
    <m/>
    <m/>
    <m/>
    <m/>
    <s v="2025-IV"/>
    <s v="Sin Fecha Fin Producción"/>
    <s v="No Aplica"/>
    <m/>
    <s v="Iniciada,Iniciada"/>
    <s v="Pospuesto"/>
    <x v="139"/>
    <x v="0"/>
    <m/>
    <m/>
    <s v="Sin Fecha"/>
    <s v="Banca Movil"/>
    <s v="Canales Virtuales"/>
    <x v="2"/>
    <x v="1"/>
    <m/>
    <s v=""/>
    <s v="Sin Fecha"/>
    <s v="No definido"/>
    <m/>
    <s v="Activos"/>
    <x v="4"/>
    <n v="0.12"/>
    <s v="PRE"/>
    <s v="NO"/>
    <s v="03. En Desarrollo"/>
    <s v="No aplica"/>
    <s v="PARALIZADO ⚪"/>
    <s v=""/>
    <n v="0.12"/>
    <s v=""/>
    <s v=""/>
    <m/>
    <m/>
    <m/>
    <m/>
    <m/>
    <m/>
    <m/>
    <n v="25"/>
    <n v="0.1"/>
    <n v="200"/>
    <m/>
    <s v="6. PARALIZADO"/>
    <m/>
    <m/>
    <n v="0.9"/>
    <n v="1"/>
    <n v="24"/>
    <n v="8"/>
    <n v="192"/>
    <x v="0"/>
  </r>
  <r>
    <s v="M1220"/>
    <n v="3021"/>
    <x v="0"/>
    <s v="2025-T0728"/>
    <s v="2025-M0616"/>
    <s v="Implementación de las nuevas estructuras en los mensajes Swift en el sistema BankTrade (BNKT)"/>
    <m/>
    <x v="0"/>
    <s v="Internacional"/>
    <s v="Comercio Exterior"/>
    <d v="2025-09-04T00:00:00"/>
    <s v="MEMORANDO N° 00000034 - 2025-BN/3223"/>
    <s v="BNKT - Sistema de Comercio Exterior"/>
    <m/>
    <s v="Otros"/>
    <s v="No Aplica"/>
    <s v="Transferencias de recursos "/>
    <x v="1"/>
    <m/>
    <m/>
    <m/>
    <m/>
    <m/>
    <m/>
    <m/>
    <s v="Normal"/>
    <d v="2025-10-01T00:00:00"/>
    <x v="0"/>
    <m/>
    <s v="Maribel Marlene Medina Molina"/>
    <s v="Junior Quicaño"/>
    <x v="1"/>
    <s v="03. Culminado"/>
    <m/>
    <m/>
    <m/>
    <d v="2025-09-12T00:00:00"/>
    <d v="2025-11-03T00:00:00"/>
    <m/>
    <d v="2025-11-04T00:00:00"/>
    <d v="2025-11-28T00:00:00"/>
    <d v="2025-11-23T19:12:00"/>
    <d v="2026-01-07T00:00:00"/>
    <d v="2026-01-12T00:00:00"/>
    <d v="2025-11-30T19:12:00"/>
    <s v="13/01/26: Según CQ, actualizó el estado a 08. Producción Finalizada_x000a_12/01/26: Según CQ, actualizó el estado a 07. En Despliegue_x000a_12/01/26: Según CQ, actualizó el estado a 06. Calidad Finalizado_x000a_08/01/26: Según CQ, actualizó el estado a 07. En Despliegue_x000a_01/12/25: Según CQ, actualizó el estado a 06. Calidad Finalizado_x000a_04/11/25: Según CQ, actualizó el estado a 05. En Calidad_x000a_15/09/25: Según CQ, actualizó el estado a 03. En Desarrollo_x000a_05/09/25: Se registró en el Backlog y se creó trámite."/>
    <s v="Operac."/>
    <s v="Internacional"/>
    <s v="2025-09"/>
    <s v="2025-10"/>
    <s v="2025-11"/>
    <x v="4"/>
    <x v="21"/>
    <m/>
    <m/>
    <m/>
    <m/>
    <m/>
    <s v="2025-IV"/>
    <n v="122"/>
    <n v="4.0666666666666664"/>
    <m/>
    <s v="Finalizada"/>
    <s v="Procesado"/>
    <x v="140"/>
    <x v="0"/>
    <m/>
    <m/>
    <s v="Culminado"/>
    <s v="BackOffice"/>
    <s v="Otros Requerimientos"/>
    <x v="2"/>
    <x v="1"/>
    <m/>
    <d v="2026-01-12T00:00:00"/>
    <s v="Culminado"/>
    <s v="Ene 2026"/>
    <m/>
    <s v="Culminado"/>
    <x v="0"/>
    <n v="1"/>
    <s v="PRE"/>
    <s v="NO"/>
    <s v="03. En Desarrollo"/>
    <s v="No aplica"/>
    <s v="IMPLEMENTADO 🔵"/>
    <n v="1"/>
    <n v="1"/>
    <n v="0"/>
    <n v="1"/>
    <d v="2025-09-12T00:00:00"/>
    <d v="2025-09-12T00:00:00"/>
    <d v="2025-11-03T00:00:00"/>
    <d v="2025-11-04T00:00:00"/>
    <d v="2025-11-28T00:00:00"/>
    <d v="2026-01-07T00:00:00"/>
    <d v="2026-01-16T00:00:00"/>
    <n v="36"/>
    <n v="1"/>
    <n v="200"/>
    <m/>
    <s v="4. PRODUCCIÓN"/>
    <m/>
    <m/>
    <n v="0"/>
    <n v="36"/>
    <n v="0"/>
    <n v="288"/>
    <n v="0"/>
    <x v="9"/>
  </r>
  <r>
    <s v="M1221"/>
    <n v="3022"/>
    <x v="0"/>
    <s v="2025-T0730"/>
    <s v="2025-M0614"/>
    <s v="Gestion y Adecuacion del trratamiento de operaciones rechazadas con codigo 05 – “Do  Not Honor”"/>
    <m/>
    <x v="2"/>
    <s v="Canales Alternos"/>
    <s v="Canales Virtuales"/>
    <d v="2025-09-05T00:00:00"/>
    <s v="MEMORANDO N° 00000420 - 2025-BN/3252"/>
    <s v="INCA - Interfaz Cajeros automaticos"/>
    <m/>
    <s v="Otros"/>
    <s v="No Aplica"/>
    <s v="No aplica"/>
    <x v="2"/>
    <m/>
    <s v="SBS"/>
    <s v="Resolución SBS N° 6523 - 2013"/>
    <m/>
    <m/>
    <m/>
    <d v="2014-04-01T00:00:00"/>
    <s v="Normal"/>
    <d v="2025-10-01T00:00:00"/>
    <x v="0"/>
    <m/>
    <s v="Vladimir Ronald Cajavilca Cajavilca"/>
    <s v="Junior Quicaño"/>
    <x v="1"/>
    <s v="03. Culminado"/>
    <m/>
    <m/>
    <m/>
    <d v="2025-09-10T00:00:00"/>
    <m/>
    <m/>
    <m/>
    <m/>
    <s v=""/>
    <d v="2025-09-23T00:00:00"/>
    <d v="2026-01-13T00:00:00"/>
    <s v=""/>
    <s v="14/01/26: Según CQ, actualizó el estado a 08. Producción Finalizada_x000a_25/09/25: Según CQ, actualizó el estado a 07. En Despliegue_x000a_15/09/25: Según CQ, actualizó el estado a 03. En Desarrollo_x000a_08/09/25: Se registró en el Backlog y se creo tramite"/>
    <s v="B.Digital"/>
    <s v="CanalesAlternos"/>
    <s v="2025-09"/>
    <s v="2025-10"/>
    <s v="No definido"/>
    <x v="4"/>
    <x v="1"/>
    <m/>
    <m/>
    <m/>
    <m/>
    <m/>
    <s v="2025-IV"/>
    <n v="125"/>
    <n v="4.166666666666667"/>
    <m/>
    <s v="Finalizada"/>
    <s v="Transitorio_Procesado"/>
    <x v="141"/>
    <x v="0"/>
    <m/>
    <m/>
    <s v="Culminado"/>
    <s v="ATM-Agentes-VISA"/>
    <s v="Canales Presenciales"/>
    <x v="2"/>
    <x v="1"/>
    <m/>
    <d v="2026-01-13T00:00:00"/>
    <s v="Culminado"/>
    <s v="Ene 2026"/>
    <m/>
    <s v="Culminado"/>
    <x v="0"/>
    <n v="1"/>
    <s v="PRE"/>
    <s v="NO"/>
    <s v="07. En Despliegue"/>
    <s v="No aplica"/>
    <s v="IMPLEMENTADO 🔵"/>
    <n v="1"/>
    <n v="1"/>
    <n v="0"/>
    <n v="1"/>
    <d v="2025-09-10T00:00:00"/>
    <d v="2025-09-10T00:00:00"/>
    <s v=""/>
    <s v=""/>
    <s v=""/>
    <d v="2025-09-23T00:00:00"/>
    <d v="2026-01-13T00:00:00"/>
    <n v="25"/>
    <n v="0.1"/>
    <n v="200"/>
    <m/>
    <s v="4. PRODUCCIÓN"/>
    <m/>
    <m/>
    <n v="0.9"/>
    <n v="1"/>
    <n v="24"/>
    <n v="8"/>
    <n v="192"/>
    <x v="9"/>
  </r>
  <r>
    <s v="M1226"/>
    <n v="3030"/>
    <x v="0"/>
    <s v="2025-T0739"/>
    <s v="2025-M0623"/>
    <s v="Pruebas validación CCI- DNI Pago de Proveedores  "/>
    <m/>
    <x v="0"/>
    <s v="Captaciones y Pagaduría"/>
    <s v="Sistema de Pagos"/>
    <d v="2025-02-27T00:00:00"/>
    <s v="MEMORANDO N° 00000031 -2025-BN/3116"/>
    <s v="DPAH- Deposito de Ahorros MN"/>
    <m/>
    <s v="Otros"/>
    <s v="Cuenta de Ahorros"/>
    <s v="No aplica"/>
    <x v="0"/>
    <m/>
    <s v="No Aplica"/>
    <s v="No Aplica"/>
    <s v="No Aplica"/>
    <s v="No Aplica"/>
    <s v="No Aplica"/>
    <s v="No Aplica"/>
    <s v="Normal"/>
    <d v="2025-10-01T00:00:00"/>
    <x v="0"/>
    <s v="FS-Olssa"/>
    <s v="Norma Fukunaga Fuentes"/>
    <s v="Junior Quicaño"/>
    <x v="6"/>
    <s v="02. En Proceso"/>
    <m/>
    <m/>
    <d v="2025-11-03T00:00:00"/>
    <d v="2025-09-15T00:00:00"/>
    <d v="2025-12-01T00:00:00"/>
    <d v="2025-12-31T00:00:00"/>
    <d v="2025-12-15T00:00:00"/>
    <d v="2026-02-02T00:00:00"/>
    <d v="2026-02-11T19:12:00"/>
    <m/>
    <m/>
    <d v="2026-02-18T19:12:00"/>
    <s v="03/02/26: Según CQ, actualizó el estado a 06. Calidad Finalizado_x000a_16/12/25: Según CQ, actualizó el estado a 05. En Calidad_x000a_02/12/25: Según CQ, actualizó el estado a 04. Desarrollo Finalizado_x000a_16/09/25: Según CQ, actualizó el estado a 03. En Desarrollo_x000a_12/09/25: Se registró en el Backlog"/>
    <s v="Operac."/>
    <s v="CaptacionesPagaduría"/>
    <s v="2025-02"/>
    <s v="2025-10"/>
    <s v="2025-12"/>
    <x v="0"/>
    <x v="2"/>
    <m/>
    <m/>
    <m/>
    <m/>
    <m/>
    <s v="2025-IV"/>
    <s v="Sin Fecha Fin Producción"/>
    <s v="No Aplica"/>
    <m/>
    <s v="Finalizada"/>
    <s v="Certificado"/>
    <x v="142"/>
    <x v="0"/>
    <m/>
    <m/>
    <s v="Vencida"/>
    <s v="BackOffice"/>
    <s v="Otros Requerimientos"/>
    <x v="2"/>
    <x v="1"/>
    <m/>
    <s v=""/>
    <s v="Sin Fecha"/>
    <s v="No definido"/>
    <m/>
    <s v="Activos"/>
    <x v="0"/>
    <n v="0.85"/>
    <s v="PRE"/>
    <s v="NO"/>
    <s v="03. En Desarrollo"/>
    <s v="SI"/>
    <s v="ATRASADO 🔴"/>
    <n v="1"/>
    <n v="0.85"/>
    <n v="0.15000000000000002"/>
    <n v="0.85"/>
    <d v="2025-09-15T00:00:00"/>
    <d v="2025-09-15T00:00:00"/>
    <d v="2025-12-01T00:00:00"/>
    <d v="2025-12-15T00:00:00"/>
    <d v="2026-02-02T00:00:00"/>
    <d v="2026-02-19T00:00:00"/>
    <d v="2026-03-27T00:00:00"/>
    <n v="55"/>
    <n v="1"/>
    <n v="200"/>
    <m/>
    <s v="2. CALIDAD"/>
    <m/>
    <m/>
    <n v="0"/>
    <n v="55"/>
    <n v="0"/>
    <n v="440"/>
    <n v="0"/>
    <x v="4"/>
  </r>
  <r>
    <s v="M1228"/>
    <n v="3032"/>
    <x v="0"/>
    <s v="2025-T0745"/>
    <s v="2025-M0626"/>
    <s v="Alojamiento recaudación y cobros de comisión Notas de Abono Ministerio de Trabajo"/>
    <m/>
    <x v="0"/>
    <s v="Servicios Bancarios y Recaudación"/>
    <s v="Recaudación y Corresponsalía"/>
    <d v="2025-09-15T00:00:00"/>
    <s v="MEMORANDO N° 00000215 -2025-BN/3243"/>
    <s v="REPA- Recaudacion Proceso Batch"/>
    <m/>
    <s v="Otros"/>
    <s v="No Aplica"/>
    <s v="Servicios Bancarios Diversos "/>
    <x v="0"/>
    <m/>
    <s v="No Aplica"/>
    <s v="No Aplica"/>
    <s v="No Aplica"/>
    <s v="No Aplica"/>
    <s v="No Aplica"/>
    <s v="No Aplica"/>
    <s v="Normal"/>
    <d v="2025-10-01T00:00:00"/>
    <x v="0"/>
    <s v="Analista-BN"/>
    <s v="Jorge Lucio Ruedas Fernandez"/>
    <s v="Junior Quicaño"/>
    <x v="0"/>
    <s v="05. Descartado"/>
    <m/>
    <m/>
    <d v="2025-11-03T00:00:00"/>
    <d v="2026-01-09T00:00:00"/>
    <d v="2026-01-09T00:00:00"/>
    <d v="2025-12-31T00:00:00"/>
    <m/>
    <m/>
    <d v="2025-12-27T09:36:00"/>
    <m/>
    <m/>
    <d v="2026-01-03T09:36:00"/>
    <s v="12/01/26: Según CQ, actualizó el estado a 09. Descartado_x000a_18/09/25: Según CQ, actualizó el estado a 03. En Desarrollo_x000a_16/09/25: Se registró en el Backlog_x000a_16/09/25: Se creo Tramite"/>
    <s v="Operac."/>
    <s v="BancariosRecaudación"/>
    <s v="2025-09"/>
    <s v="2025-10"/>
    <s v="2026-01"/>
    <x v="0"/>
    <x v="16"/>
    <m/>
    <m/>
    <m/>
    <m/>
    <m/>
    <s v="2025-IV"/>
    <s v="Sin Fecha Fin Producción"/>
    <s v="No Aplica"/>
    <m/>
    <s v="Finalizada"/>
    <s v="Descartado"/>
    <x v="143"/>
    <x v="0"/>
    <m/>
    <m/>
    <s v="Vencida"/>
    <s v="BackOffice"/>
    <s v="Otros Requerimientos"/>
    <x v="2"/>
    <x v="1"/>
    <m/>
    <s v=""/>
    <s v="Sin Fecha"/>
    <s v="No definido"/>
    <m/>
    <s v="Descartado"/>
    <x v="0"/>
    <n v="-0.01"/>
    <s v="PRE"/>
    <s v="NO"/>
    <s v="03. En Desarrollo"/>
    <s v="No aplica"/>
    <s v="Sin Cronograma 🔵"/>
    <s v=""/>
    <n v="-0.01"/>
    <s v=""/>
    <s v=""/>
    <m/>
    <m/>
    <m/>
    <m/>
    <m/>
    <m/>
    <m/>
    <n v="25"/>
    <n v="0.1"/>
    <n v="200"/>
    <m/>
    <s v="5. DESCARTADO"/>
    <s v="En Producción "/>
    <m/>
    <n v="0.9"/>
    <n v="1"/>
    <n v="24"/>
    <n v="8"/>
    <n v="192"/>
    <x v="0"/>
  </r>
  <r>
    <s v="M1232"/>
    <n v="3036"/>
    <x v="0"/>
    <s v="2025-T0750"/>
    <s v="2025-M0629"/>
    <s v="Migración de Jornal histórico de servidores EJM a servidores"/>
    <m/>
    <x v="2"/>
    <s v="Canales Alternos"/>
    <s v="Canales Presenciales"/>
    <m/>
    <s v="MEMORANDO N° 00000345 - 2025-BN/3251"/>
    <s v="STRA - Proyecto de Stratus"/>
    <m/>
    <s v="ATMs"/>
    <s v="No Aplica"/>
    <s v="No aplica"/>
    <x v="1"/>
    <m/>
    <m/>
    <m/>
    <m/>
    <m/>
    <m/>
    <m/>
    <s v="Normal"/>
    <d v="2025-10-01T00:00:00"/>
    <x v="0"/>
    <m/>
    <s v="Vladimir Ronald Cajavilca Cajavilca"/>
    <s v="Omar Sarmiento"/>
    <x v="5"/>
    <s v="02. En Proceso"/>
    <m/>
    <m/>
    <m/>
    <d v="2025-09-17T00:00:00"/>
    <m/>
    <m/>
    <m/>
    <m/>
    <s v=""/>
    <m/>
    <m/>
    <s v=""/>
    <s v="30/12/2025: Cartera reasignada a Omar Sarmiento_x000a_19/09/25: Según CQ, actualizó el estado a 03. En Desarrollo_x000a_17/09/25: Se registro en Backlog_x000a_17/09/25: Se creo Trámite"/>
    <s v="B.Digital"/>
    <s v="CanalesAlternos"/>
    <s v="No definido"/>
    <s v="2025-10"/>
    <s v="No definido"/>
    <x v="0"/>
    <x v="1"/>
    <m/>
    <m/>
    <m/>
    <m/>
    <m/>
    <s v="2025-IV"/>
    <s v="Sin Fecha Fin Producción"/>
    <s v="No Aplica"/>
    <m/>
    <s v="Iniciada"/>
    <s v="Asignado"/>
    <x v="144"/>
    <x v="0"/>
    <m/>
    <m/>
    <s v="Sin Fecha"/>
    <s v="ATM-Agentes-VISA"/>
    <s v="Canales Presenciales"/>
    <x v="2"/>
    <x v="1"/>
    <m/>
    <s v=""/>
    <s v="Sin Fecha"/>
    <s v="No definido"/>
    <m/>
    <s v="Activos"/>
    <x v="2"/>
    <n v="0.25"/>
    <s v="PRE"/>
    <s v="NO"/>
    <s v="03. En Desarrollo"/>
    <s v="SI"/>
    <s v="ATRASADO 🔴"/>
    <n v="1"/>
    <n v="0.25"/>
    <n v="0.75"/>
    <n v="0.25"/>
    <d v="2025-11-03T00:00:00"/>
    <d v="2026-03-02T00:00:00"/>
    <d v="2026-03-28T00:00:00"/>
    <d v="2026-03-27T00:00:00"/>
    <d v="2026-04-02T00:00:00"/>
    <d v="2026-04-06T00:00:00"/>
    <d v="2026-04-10T00:00:00"/>
    <n v="20"/>
    <n v="1"/>
    <n v="14.545454545454547"/>
    <s v="BD"/>
    <s v="1. DESARROLLO"/>
    <m/>
    <m/>
    <n v="0"/>
    <n v="20"/>
    <n v="0"/>
    <n v="14.545454545454547"/>
    <n v="0"/>
    <x v="1"/>
  </r>
  <r>
    <s v="M1239"/>
    <n v="3042"/>
    <x v="0"/>
    <s v="2025-T0761"/>
    <s v="2025-M0640"/>
    <s v="Generación masiva de Estados de Cuenta Alimentista"/>
    <m/>
    <x v="0"/>
    <s v="Servicios Bancarios y Recaudación"/>
    <s v="Depósitos Judiciales y Administrativos"/>
    <d v="2025-09-15T00:00:00"/>
    <s v="MEMORANDO N° 00000206 -2025-BN/3212"/>
    <s v="ECAI_Estado de Cuentas de Ahorro Intranet"/>
    <m/>
    <s v="Otros"/>
    <s v="Depósitos Judiciales y Administrativos"/>
    <s v="No aplica"/>
    <x v="0"/>
    <m/>
    <s v="No Aplica"/>
    <s v="No Aplica"/>
    <s v="No Aplica"/>
    <s v="No Aplica"/>
    <s v="No Aplica"/>
    <s v="No Aplica"/>
    <s v="Normal"/>
    <d v="2025-10-01T00:00:00"/>
    <x v="0"/>
    <s v="Analista-BN"/>
    <s v="Luis Enrique Almeyda Pachas/Norma Fukunaga Fuentes"/>
    <s v="Junior Quicaño"/>
    <x v="0"/>
    <s v="05. Descartado"/>
    <m/>
    <m/>
    <d v="2025-11-03T00:00:00"/>
    <d v="2025-09-23T00:00:00"/>
    <m/>
    <d v="2026-01-30T00:00:00"/>
    <m/>
    <m/>
    <d v="2026-03-22T14:24:00"/>
    <m/>
    <m/>
    <d v="2026-03-29T14:24:00"/>
    <s v="06/02/26: Según CQ, actualizó el estado a 09. Descartado_x000a_02/10/25: Según CQ, actualizó el estado a 03. En Desarrollo_x000a_22/09/25: Se registró en Backlog_x000a_22/09/25: Se creo tiramite"/>
    <s v="Operac."/>
    <s v="BancariosRecaudación"/>
    <s v="2025-09"/>
    <s v="2025-10"/>
    <s v="No definido"/>
    <x v="0"/>
    <x v="8"/>
    <m/>
    <m/>
    <m/>
    <m/>
    <m/>
    <s v="2025-IV"/>
    <s v="Sin Fecha Fin Producción"/>
    <s v="No Aplica"/>
    <m/>
    <s v="Descartada,Descartada"/>
    <s v="Descartado"/>
    <x v="145"/>
    <x v="0"/>
    <m/>
    <m/>
    <s v="Vencida"/>
    <s v="BackOffice"/>
    <s v="Otros Requerimientos"/>
    <x v="2"/>
    <x v="1"/>
    <m/>
    <s v=""/>
    <s v="Sin Fecha"/>
    <s v="No definido"/>
    <m/>
    <s v="Descartado"/>
    <x v="0"/>
    <n v="-0.01"/>
    <s v="PRE"/>
    <s v="NO"/>
    <s v="03. En Desarrollo"/>
    <s v="No aplica"/>
    <s v="Sin Cronograma 🔵"/>
    <s v=""/>
    <n v="-0.01"/>
    <s v=""/>
    <s v=""/>
    <m/>
    <m/>
    <m/>
    <m/>
    <m/>
    <m/>
    <m/>
    <n v="25"/>
    <n v="0.1"/>
    <n v="200"/>
    <m/>
    <s v="5. DESCARTADO"/>
    <m/>
    <m/>
    <n v="0.9"/>
    <n v="1"/>
    <n v="24"/>
    <n v="8"/>
    <n v="192"/>
    <x v="0"/>
  </r>
  <r>
    <s v="M1241"/>
    <n v="3052"/>
    <x v="0"/>
    <s v="2025-T0766"/>
    <s v="2025-M0646"/>
    <s v="Elaboración de reportes con información de los aportes privados cuenta recaudadora tipo 54"/>
    <m/>
    <x v="0"/>
    <s v="Captaciones y Pagaduría"/>
    <s v="Administración de Cuentas y Pagaduría"/>
    <d v="2025-06-11T00:00:00"/>
    <s v="MEMORANDO N° 00000017 -2025-BN/3190"/>
    <s v="SICT-Sistema de Informacón de Cuentas Corrientes"/>
    <m/>
    <s v="Administrativo"/>
    <s v="Cuenta Corriente "/>
    <s v="No aplica"/>
    <x v="0"/>
    <m/>
    <m/>
    <m/>
    <m/>
    <m/>
    <m/>
    <m/>
    <s v="Normal"/>
    <d v="2025-10-01T00:00:00"/>
    <x v="0"/>
    <s v="Analista-BN"/>
    <s v="Eduardo Saul Cardenas Manrique"/>
    <s v="Junior Quicaño"/>
    <x v="1"/>
    <s v="03. Culminado"/>
    <m/>
    <m/>
    <m/>
    <d v="2025-09-26T00:00:00"/>
    <d v="2025-12-17T00:00:00"/>
    <m/>
    <d v="2025-12-22T00:00:00"/>
    <d v="2026-01-09T00:00:00"/>
    <d v="2026-01-18T19:12:00"/>
    <d v="2026-01-14T00:00:00"/>
    <d v="2026-01-21T00:00:00"/>
    <d v="2026-01-25T19:12:00"/>
    <s v="26/01/26: Según CQ, actualizó el estado a 08. Producción Finalizada_x000a_15/01/26: Según CQ, actualizó el estado a 07. En Despliegue_x000a_12/01/26: Según CQ, actualizó el estado a 06. Calidad Finalizado_x000a_24/12/25: Según CQ, actualizó el estado a 05. En Calidad_x000a_18/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2/10/25: Según CQ, actualizó el estado a 03. En Desarrollo_x000a_25/09/25: Se registró en Backlog_x000a_25/09/25: Se creo tramite_x000a_Se han concordado emitir los reportes, sin hacer ninguna variación de los programas, que originan los datos a ser impresos en los reportes solicitados._x000a_"/>
    <s v="Operac."/>
    <s v="CaptacionesPagaduría"/>
    <s v="2025-06"/>
    <s v="2025-10"/>
    <s v="2025-12"/>
    <x v="4"/>
    <x v="16"/>
    <m/>
    <m/>
    <m/>
    <m/>
    <m/>
    <s v="2025-IV"/>
    <n v="117"/>
    <n v="3.9"/>
    <m/>
    <s v="Finalizada"/>
    <s v="Procesado"/>
    <x v="146"/>
    <x v="0"/>
    <m/>
    <m/>
    <s v="Culminado"/>
    <s v="BackOffice"/>
    <s v="Otros Requerimientos"/>
    <x v="2"/>
    <x v="1"/>
    <m/>
    <d v="2026-01-21T00:00:00"/>
    <s v="Culminado"/>
    <s v="Ene 2026"/>
    <m/>
    <s v="Culminado"/>
    <x v="0"/>
    <n v="1"/>
    <s v="POST"/>
    <s v="REACTIVADO"/>
    <s v="Reactivo"/>
    <s v="No aplica"/>
    <s v="IMPLEMENTADO 🔵"/>
    <n v="1"/>
    <n v="1"/>
    <n v="0"/>
    <n v="1"/>
    <d v="2025-09-26T00:00:00"/>
    <d v="2025-09-26T00:00:00"/>
    <d v="2025-12-17T00:00:00"/>
    <d v="2025-12-22T00:00:00"/>
    <d v="2026-01-09T00:00:00"/>
    <d v="2026-01-14T00:00:00"/>
    <d v="2026-02-06T00:00:00"/>
    <n v="57"/>
    <n v="1"/>
    <n v="200"/>
    <m/>
    <s v="4. PRODUCCIÓN"/>
    <m/>
    <m/>
    <n v="0"/>
    <n v="57"/>
    <n v="0"/>
    <n v="456"/>
    <n v="0"/>
    <x v="11"/>
  </r>
  <r>
    <s v="M1243"/>
    <n v="3059"/>
    <x v="0"/>
    <s v="2025-T0770"/>
    <s v="2025-M0649"/>
    <s v="CODIFICACION DE PROGRAMAS EXTRACTORES POR PEDIDO  ADICIONAL DE OPLAFT"/>
    <m/>
    <x v="8"/>
    <s v="Construcción de Aplicaciones"/>
    <s v="Sistemas Bancarios"/>
    <m/>
    <m/>
    <s v="TPCT-Sistema Transaccional TP"/>
    <m/>
    <s v="Otros"/>
    <s v="No Aplica"/>
    <s v="No aplica"/>
    <x v="0"/>
    <m/>
    <m/>
    <m/>
    <m/>
    <m/>
    <m/>
    <m/>
    <s v="Regularizado"/>
    <d v="2025-10-01T00:00:00"/>
    <x v="0"/>
    <m/>
    <s v="Jorge Enrique Ruiz Torres"/>
    <s v="Tomas Calvera"/>
    <x v="4"/>
    <s v="02. En Proceso"/>
    <m/>
    <m/>
    <m/>
    <d v="2025-09-29T00:00:00"/>
    <d v="2025-11-30T00:00:00"/>
    <m/>
    <d v="2025-12-03T00:00:00"/>
    <d v="2025-12-20T00:00:00"/>
    <d v="2025-12-24T19:12:00"/>
    <d v="2026-01-14T00:00:00"/>
    <m/>
    <d v="2025-12-31T19:12:00"/>
    <s v="04/02/2026: Cartera reasignada a Tomas Calvera_x000a_16/01/26: Según CQ, actualizó el estado a 07. En Despliegue_x000a_16/01/2026: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2/10/25: Según CQ, actualizó el estado a 03. En Desarrollo_x000a_01/10/25: Se regularizó su registró en el Backlog."/>
    <s v="TI"/>
    <s v="ConstrucciónAplicaciones"/>
    <s v="No definido"/>
    <s v="2025-10"/>
    <s v="2025-11"/>
    <x v="0"/>
    <x v="23"/>
    <m/>
    <m/>
    <m/>
    <m/>
    <m/>
    <s v="2025-IV"/>
    <s v="Sin Fecha Fin Producción"/>
    <s v="No Aplica"/>
    <m/>
    <s v="Finalizada"/>
    <s v="Trasitorio_autorizado"/>
    <x v="147"/>
    <x v="0"/>
    <m/>
    <m/>
    <s v="Vencida"/>
    <s v="Sin Aplicativo"/>
    <s v="Sin Aplicativo"/>
    <x v="2"/>
    <x v="1"/>
    <m/>
    <s v=""/>
    <s v="Sin Fecha"/>
    <s v="No definido"/>
    <m/>
    <s v="Activos"/>
    <x v="0"/>
    <n v="0.9"/>
    <s v="POST"/>
    <s v="REACTIVADO 26"/>
    <s v="Reactivo"/>
    <s v="SI"/>
    <s v="ATRASADO 🔴"/>
    <n v="1"/>
    <n v="0.9"/>
    <n v="9.9999999999999978E-2"/>
    <n v="0.9"/>
    <d v="2025-09-29T00:00:00"/>
    <d v="2025-09-29T00:00:00"/>
    <d v="2025-11-30T00:00:00"/>
    <d v="2025-12-03T00:00:00"/>
    <d v="2025-12-20T00:00:00"/>
    <d v="2026-01-14T00:00:00"/>
    <d v="2026-03-27T00:00:00"/>
    <n v="44"/>
    <n v="1"/>
    <n v="200"/>
    <m/>
    <s v="3. DESPLIEGUE"/>
    <m/>
    <m/>
    <n v="0"/>
    <n v="44"/>
    <n v="0"/>
    <n v="352"/>
    <n v="0"/>
    <x v="4"/>
  </r>
  <r>
    <s v="M1246"/>
    <n v="3062"/>
    <x v="0"/>
    <s v="2025-T0774"/>
    <s v="2025-M0652"/>
    <s v="Facturacion Electronica .- Creacion de una interfase ( constituida por 3 archivos textos) desde el aplicativo de GIROS  hacia el respositorio de comprobantes de pagos -complementario"/>
    <m/>
    <x v="0"/>
    <s v="Servicios Bancarios y Recaudación"/>
    <s v="Recaudación y Corresponsalía"/>
    <m/>
    <m/>
    <s v="GTGI-Giros y Transferencias Moneda Nacional"/>
    <s v="Facturación Electrónica - I"/>
    <s v="Agencias"/>
    <s v="No Aplica"/>
    <s v="Giros "/>
    <x v="2"/>
    <m/>
    <s v="SUNAT"/>
    <s v="R.S. N° 193-2020/SUNAT"/>
    <m/>
    <m/>
    <m/>
    <d v="2023-12-31T00:00:00"/>
    <s v="Regularizado"/>
    <d v="2025-10-01T00:00:00"/>
    <x v="0"/>
    <m/>
    <s v="Waldo Antonio Basurto Valverde"/>
    <s v="Juan Carlos Zavaleta"/>
    <x v="1"/>
    <s v="03. Culminado"/>
    <m/>
    <m/>
    <m/>
    <d v="2025-09-29T00:00:00"/>
    <d v="2025-10-03T00:00:00"/>
    <m/>
    <d v="2025-10-09T00:00:00"/>
    <d v="2026-01-19T00:00:00"/>
    <d v="2025-10-04T14:24:00"/>
    <d v="2026-02-17T00:00:00"/>
    <d v="2026-03-25T00:00:00"/>
    <d v="2025-10-11T14:24:00"/>
    <s v="27/03/26: Según CQ, actualizó el estado a 08. Producción Finalizada_x000a_19/02/26: Según CQ, actualizó el estado a 07. En Despliegue_x000a_21/01/26: Según CQ, actualizó el estado a 06. Calidad Finalizado_x000a_15/01/26: Según CQ, actualizó el estado a 04. Desarrollo Finalizado_x000a_05/01/26: Según CQ, actualizó el estado a 03. En Desarrollo_x000a_09/10/25: Según CQ, actualizó el estado a 05. En Calidad_x000a_03/10/25: Según CQ, actualizó el estado a 04. Desarrollo Finalizado_x000a_02/10/25: Según CQ, actualizó el estado a 03. En Desarrollo_x000a_01/10/25: Se regularizó su registró en el Backlog."/>
    <s v="Operac."/>
    <s v="BancariosRecaudación"/>
    <s v="No definido"/>
    <s v="2025-10"/>
    <s v="2025-10"/>
    <x v="2"/>
    <x v="13"/>
    <m/>
    <m/>
    <m/>
    <m/>
    <m/>
    <s v="2025-IV"/>
    <n v="177"/>
    <n v="5.9"/>
    <m/>
    <s v="Finalizada"/>
    <s v="Procesado"/>
    <x v="148"/>
    <x v="0"/>
    <m/>
    <m/>
    <s v="Culminado"/>
    <s v="BackOffice"/>
    <s v="Otros Requerimientos"/>
    <x v="2"/>
    <x v="1"/>
    <m/>
    <d v="2026-03-25T00:00:00"/>
    <s v="Culminado"/>
    <s v="Mar 2026"/>
    <m/>
    <s v="Culminado"/>
    <x v="0"/>
    <n v="1"/>
    <s v="PRE"/>
    <s v="NO"/>
    <s v="05. En Calidad"/>
    <s v="No aplica"/>
    <s v="IMPLEMENTADO 🔵"/>
    <n v="1"/>
    <n v="1"/>
    <n v="0"/>
    <n v="1"/>
    <d v="2026-01-15T00:00:00"/>
    <d v="2026-01-15T00:00:00"/>
    <d v="2026-01-30T00:00:00"/>
    <d v="2026-02-02T00:00:00"/>
    <d v="2026-03-02T00:00:00"/>
    <d v="2026-03-03T00:00:00"/>
    <d v="2026-03-27T00:00:00"/>
    <n v="12"/>
    <n v="1"/>
    <n v="200"/>
    <m/>
    <s v="4. PRODUCCIÓN"/>
    <m/>
    <m/>
    <n v="0"/>
    <n v="12"/>
    <n v="0"/>
    <n v="96"/>
    <n v="0"/>
    <x v="4"/>
  </r>
  <r>
    <s v="M1247"/>
    <n v="3063"/>
    <x v="0"/>
    <s v="2025-T0762"/>
    <s v="2025-M0639"/>
    <s v="MC:Factores de Seguridad Banca Empresarial - cambio de clave de 6 dígitos"/>
    <m/>
    <x v="0"/>
    <s v="Captaciones y Pagaduría"/>
    <s v="Apertura de Cuentas"/>
    <d v="2025-09-15T00:00:00"/>
    <s v="MEMORANDO N° 00000040 - 2025-BN/3190"/>
    <s v="MVPE-Multired Virtual para Empresas"/>
    <m/>
    <s v="Multired Virtual (Web)"/>
    <s v="Cuenta de Ahorros"/>
    <s v="No aplica"/>
    <x v="0"/>
    <m/>
    <s v="No Aplica"/>
    <s v="No Aplica"/>
    <s v="No Aplica"/>
    <s v="No Aplica"/>
    <s v="No Aplica"/>
    <s v="No Aplica"/>
    <s v="Regularizado"/>
    <d v="2025-10-01T00:00:00"/>
    <x v="0"/>
    <s v="FS-Olssa"/>
    <s v="Eduardo Saul Cardenas Manrique"/>
    <s v="Junior Quicaño"/>
    <x v="5"/>
    <s v="02. En Proceso"/>
    <m/>
    <m/>
    <d v="2025-11-03T00:00:00"/>
    <d v="2025-09-22T00:00:00"/>
    <m/>
    <d v="2025-12-31T00:00:00"/>
    <m/>
    <m/>
    <d v="2026-02-09T00:00:00"/>
    <m/>
    <m/>
    <d v="2026-02-16T00:00:00"/>
    <s v="02/10/25: Según CQ, actualizó el estado a 03. En Desarrollo_x000a_01/10/25: Se regularizó su registró en el Backlog."/>
    <s v="Operac."/>
    <s v="CaptacionesPagaduría"/>
    <s v="2025-09"/>
    <s v="2025-10"/>
    <s v="No definido"/>
    <x v="0"/>
    <x v="2"/>
    <m/>
    <m/>
    <m/>
    <m/>
    <m/>
    <s v="2025-IV"/>
    <s v="Sin Fecha Fin Producción"/>
    <s v="No Aplica"/>
    <m/>
    <s v="Iniciada"/>
    <s v="Asignado"/>
    <x v="149"/>
    <x v="0"/>
    <m/>
    <m/>
    <s v="Vencida"/>
    <s v="Banca Empresarial"/>
    <s v="Canales Virtuales"/>
    <x v="2"/>
    <x v="1"/>
    <m/>
    <s v=""/>
    <s v="Sin Fecha"/>
    <s v="No definido"/>
    <m/>
    <s v="Activos"/>
    <x v="0"/>
    <n v="0.39"/>
    <s v="PRE"/>
    <s v="NO"/>
    <s v="03. En Desarrollo"/>
    <s v="SI"/>
    <s v="EN RIESGO 🟡"/>
    <n v="0.43650793650793651"/>
    <n v="0.39"/>
    <n v="4.6507936507936498E-2"/>
    <n v="0.8934545454545455"/>
    <d v="2025-09-22T00:00:00"/>
    <d v="2026-03-02T00:00:00"/>
    <d v="2026-05-25T00:00:00"/>
    <d v="2026-05-26T00:00:00"/>
    <d v="2026-07-31T00:00:00"/>
    <d v="2026-08-03T00:00:00"/>
    <d v="2026-08-28T00:00:00"/>
    <n v="60"/>
    <n v="0.90163934426229508"/>
    <n v="68.571428571428569"/>
    <m/>
    <s v="1. DESARROLLO"/>
    <m/>
    <m/>
    <n v="9.8360655737704916E-2"/>
    <n v="54"/>
    <n v="6"/>
    <n v="61.714285714285708"/>
    <n v="6.8571428571428568"/>
    <x v="5"/>
  </r>
  <r>
    <s v="M1252"/>
    <n v="2966"/>
    <x v="0"/>
    <s v="2025-T0794"/>
    <s v="2025-M0675"/>
    <s v="Script para reporte de transacciones por tipo, hora y canal digital App y Multired."/>
    <m/>
    <x v="2"/>
    <s v="Canales Alternos"/>
    <s v="Canales Virtuales"/>
    <d v="2025-07-23T00:00:00"/>
    <s v="MEMORANDO N° 00000308 - 2025-BN/3252"/>
    <s v="SABM - Sistema Atencion Banca Movil"/>
    <m/>
    <s v="Banca Móvil (APP)"/>
    <s v="No Aplica"/>
    <s v="No aplica"/>
    <x v="0"/>
    <m/>
    <m/>
    <m/>
    <m/>
    <m/>
    <m/>
    <m/>
    <s v="Normal"/>
    <d v="2025-11-11T00:00:00"/>
    <x v="2"/>
    <m/>
    <s v="Juan Carlos Cordova Inga"/>
    <s v="Omar Sarmiento"/>
    <x v="7"/>
    <s v="02. En Proceso"/>
    <s v="Dependencia Usuario"/>
    <m/>
    <m/>
    <d v="2025-10-15T00:00:00"/>
    <d v="2026-04-24T00:00:00"/>
    <m/>
    <d v="2026-05-05T00:00:00"/>
    <m/>
    <d v="2026-07-09T09:36:00"/>
    <m/>
    <m/>
    <d v="2026-07-16T09:36:00"/>
    <s v="05/05/26: Según CQ, actualizó el estado a 05. En Calidad_x000a_24/04/26: Según CQ, actualizó el estado a 04. Desarrollo Finalizado_x000a_27/03/2026 Se solicito a Joan Ponce una fecha concreta para iniciar las pruebas de desarrollo._x000a_25/02/2026 Se solicitó al área usuaria dar conformidad a los scripts para culminar la etapa de desarrollo_x000a_30/12/2025: Cartera reasignada a Omar Sarmiento_x000a_30/10/25: Según CQ, actualizó el estado a 03. En Desarrollo_x000a_05/08/2025: Se registró en el Backlog_x000a_13/10/2025; Se creo Tramite"/>
    <s v="B.Digital"/>
    <s v="CanalesAlternos"/>
    <s v="2025-07"/>
    <s v="2025-11"/>
    <s v="2026-04"/>
    <x v="0"/>
    <x v="29"/>
    <m/>
    <m/>
    <m/>
    <m/>
    <m/>
    <s v="2025-IV"/>
    <s v="Sin Fecha Fin Producción"/>
    <s v="No Aplica"/>
    <m/>
    <s v="Finalizada"/>
    <s v="En_Certificación"/>
    <x v="150"/>
    <x v="0"/>
    <m/>
    <m/>
    <s v="2026-Q3"/>
    <s v="Banca Movil"/>
    <s v="Canales Virtuales"/>
    <x v="2"/>
    <x v="1"/>
    <m/>
    <d v="2026-07-16T09:36:00"/>
    <s v="2026-3"/>
    <s v="Jul 2026"/>
    <m/>
    <s v="Activos"/>
    <x v="0"/>
    <n v="0.7"/>
    <s v="POST"/>
    <s v="NO"/>
    <m/>
    <s v="SI"/>
    <s v="EN RIESGO 🟡"/>
    <n v="0.88709677419354838"/>
    <n v="0.7"/>
    <n v="0.18709677419354842"/>
    <n v="0.78909090909090907"/>
    <d v="2025-11-03T00:00:00"/>
    <d v="2026-03-02T00:00:00"/>
    <d v="2026-03-27T00:00:00"/>
    <d v="2026-03-30T00:00:00"/>
    <d v="2026-04-29T00:00:00"/>
    <d v="2026-04-30T00:00:00"/>
    <d v="2026-05-27T00:00:00"/>
    <n v="20"/>
    <n v="1"/>
    <n v="200"/>
    <m/>
    <s v="2. CALIDAD"/>
    <m/>
    <m/>
    <n v="0"/>
    <n v="20"/>
    <n v="0"/>
    <n v="160"/>
    <n v="0"/>
    <x v="8"/>
  </r>
  <r>
    <s v="M1258"/>
    <n v="3037"/>
    <x v="0"/>
    <s v="2025-T0752"/>
    <s v="2025-M0660"/>
    <s v="Retiro de las transacciones de Telefónica 3270-3280 Saraweb"/>
    <m/>
    <x v="0"/>
    <s v="Servicios Bancarios y Recaudación"/>
    <s v="Recaudación y Corresponsalía"/>
    <d v="2025-09-17T00:00:00"/>
    <s v="MEMORANDO N° 00000210 -2025-BN/3243"/>
    <s v="CRHP-Sistema Creditos Hipotecarios"/>
    <m/>
    <s v="Agencias"/>
    <s v="No Aplica"/>
    <s v="No aplica"/>
    <x v="0"/>
    <m/>
    <s v="No Aplica"/>
    <s v="No Aplica"/>
    <s v="No Aplica"/>
    <s v="No Aplica"/>
    <s v="No Aplica"/>
    <s v="No Aplica"/>
    <s v="Normal"/>
    <d v="2025-11-11T00:00:00"/>
    <x v="0"/>
    <s v="Analista-BN"/>
    <s v="Rossana Rojas Alvaro"/>
    <s v="Junior Quicaño"/>
    <x v="5"/>
    <s v="02. En Proceso"/>
    <m/>
    <m/>
    <d v="2025-11-03T00:00:00"/>
    <d v="2025-10-02T00:00:00"/>
    <m/>
    <d v="2025-12-31T00:00:00"/>
    <m/>
    <m/>
    <d v="2026-02-05T00:00:00"/>
    <m/>
    <m/>
    <d v="2026-02-12T00:00:00"/>
    <s v="30/10/25: Según CQ, actualizó el estado a 03. En Desarrollo_x000a_17/09/25: Se registro en Backlog_x000a_17/09/25: Se creo trámite"/>
    <s v="Operac."/>
    <s v="BancariosRecaudación"/>
    <s v="2025-09"/>
    <s v="2025-11"/>
    <s v="No definido"/>
    <x v="0"/>
    <x v="2"/>
    <m/>
    <m/>
    <m/>
    <m/>
    <m/>
    <s v="2025-IV"/>
    <s v="Sin Fecha Fin Producción"/>
    <s v="No Aplica"/>
    <m/>
    <s v="Iniciada,Iniciada"/>
    <s v="Asignado"/>
    <x v="151"/>
    <x v="0"/>
    <m/>
    <m/>
    <s v="Vencida"/>
    <s v="Créditos Hipotecarios"/>
    <s v="Productos"/>
    <x v="2"/>
    <x v="1"/>
    <m/>
    <s v=""/>
    <s v="Sin Fecha"/>
    <s v="No definido"/>
    <m/>
    <s v="Activos"/>
    <x v="0"/>
    <n v="0.25"/>
    <s v="POST"/>
    <s v="NO"/>
    <m/>
    <s v="SI"/>
    <s v="EN CURSO 🟢"/>
    <n v="0.25"/>
    <n v="0.25"/>
    <n v="0"/>
    <n v="1"/>
    <d v="2025-10-02T00:00:00"/>
    <d v="2026-03-02T00:00:00"/>
    <d v="2026-05-29T00:00:00"/>
    <d v="2026-06-01T00:00:00"/>
    <d v="2026-06-30T00:00:00"/>
    <d v="2026-07-01T00:00:00"/>
    <d v="2026-07-03T00:00:00"/>
    <n v="64"/>
    <n v="0.84615384615384615"/>
    <n v="128"/>
    <m/>
    <s v="1. DESARROLLO"/>
    <m/>
    <m/>
    <n v="0.15384615384615385"/>
    <n v="54"/>
    <n v="10"/>
    <n v="108"/>
    <n v="20"/>
    <x v="10"/>
  </r>
  <r>
    <s v="M1261"/>
    <n v="3060"/>
    <x v="0"/>
    <s v="2025-T0772"/>
    <s v="2025-M0650"/>
    <s v="Pago dólares Servicios Digitales no Domiciliados – Modulo Web Distribución Entidades Beneficiarias"/>
    <m/>
    <x v="8"/>
    <s v="Construcción de Aplicaciones"/>
    <s v="Sistemas Bancarios"/>
    <m/>
    <m/>
    <s v="MODA-Módulo de Banco Abonos Dólares"/>
    <m/>
    <s v="Otros"/>
    <s v="Cuenta Corriente "/>
    <s v="No aplica"/>
    <x v="0"/>
    <m/>
    <m/>
    <m/>
    <m/>
    <m/>
    <m/>
    <m/>
    <s v="Regularizado"/>
    <d v="2025-11-11T00:00:00"/>
    <x v="0"/>
    <m/>
    <s v="Fiorella Emma Galvan Soto"/>
    <s v="Tomas Calvera"/>
    <x v="1"/>
    <s v="03. Culminado"/>
    <m/>
    <m/>
    <m/>
    <d v="2025-10-17T00:00:00"/>
    <d v="2025-10-28T00:00:00"/>
    <m/>
    <d v="2025-11-03T00:00:00"/>
    <d v="2026-03-23T00:00:00"/>
    <d v="2025-11-01T09:36:00"/>
    <d v="2026-04-07T00:00:00"/>
    <d v="2026-04-16T00:00:00"/>
    <d v="2025-11-08T09:36:00"/>
    <s v="20/04/26: Según CQ, actualizó el estado a 08. Producción Finalizada_x000a_10/04/26: Según CQ, actualizó el estado a 07. En Despliegue_x000a_23/03/26: Según CQ, actualizó el estado a 06. Calidad Finalizado_x000a_10/03/26: Según CQ, actualizó el estado a 07. En Despliegue_x000a_04/02/2026: Cartera reasignada a Tomas Calvera_x000a_10/12/25: Según CQ, actualizó el estado a 06. Calidad Finalizado_x000a_04/11/25: Según CQ, actualizó el estado a 05. En Calidad_x000a_30/10/25: Según CQ, actualizó el estado a 04. Desarrollo Finalizado_x000a_01/10/25: Se regularizó su registró en el Backlog."/>
    <s v="TI"/>
    <s v="ConstrucciónAplicaciones"/>
    <s v="No definido"/>
    <s v="2025-11"/>
    <s v="2025-10"/>
    <x v="1"/>
    <x v="21"/>
    <m/>
    <m/>
    <m/>
    <m/>
    <m/>
    <s v="2025-IV"/>
    <n v="181"/>
    <n v="6.0333333333333332"/>
    <m/>
    <s v="Finalizada"/>
    <s v="Procesado"/>
    <x v="152"/>
    <x v="0"/>
    <m/>
    <m/>
    <s v="Culminado"/>
    <s v="Sin Aplicativo"/>
    <s v="Sin Aplicativo"/>
    <x v="2"/>
    <x v="1"/>
    <m/>
    <d v="2026-04-16T00:00:00"/>
    <s v="Culminado"/>
    <s v="Abr 2026"/>
    <m/>
    <s v="Culminado"/>
    <x v="0"/>
    <n v="1"/>
    <s v="POST"/>
    <s v="NO"/>
    <m/>
    <s v="No aplica"/>
    <s v="IMPLEMENTADO 🔵"/>
    <n v="1"/>
    <n v="1"/>
    <n v="0"/>
    <n v="1"/>
    <d v="2025-10-17T00:00:00"/>
    <d v="2025-10-17T00:00:00"/>
    <d v="2025-10-28T00:00:00"/>
    <d v="2025-11-03T00:00:00"/>
    <d v="2025-12-05T00:00:00"/>
    <d v="2026-02-19T00:00:00"/>
    <d v="2026-03-27T00:00:00"/>
    <n v="8"/>
    <n v="1"/>
    <n v="200"/>
    <m/>
    <s v="4. PRODUCCIÓN"/>
    <m/>
    <m/>
    <n v="0"/>
    <n v="8"/>
    <n v="0"/>
    <n v="64"/>
    <n v="0"/>
    <x v="4"/>
  </r>
  <r>
    <s v="M1262"/>
    <n v="3061"/>
    <x v="0"/>
    <s v="2025-T0773"/>
    <s v="2025-M0651"/>
    <s v="Pago dólares Servicios Digitales no Domiciliados – Afectación a Ctas.Ctes. ME Entidades Beneficiarias"/>
    <m/>
    <x v="8"/>
    <s v="Construcción de Aplicaciones"/>
    <s v="Sistemas Bancarios"/>
    <m/>
    <m/>
    <s v="SUTE-Sunat Pago Facil"/>
    <m/>
    <s v="Otros"/>
    <s v="Cuenta Corriente "/>
    <s v="No aplica"/>
    <x v="0"/>
    <m/>
    <m/>
    <m/>
    <m/>
    <m/>
    <m/>
    <m/>
    <s v="Regularizado"/>
    <d v="2025-11-11T00:00:00"/>
    <x v="0"/>
    <m/>
    <s v="Jorge Lucio Ruedas Fernandez"/>
    <s v="Tomas Calvera"/>
    <x v="3"/>
    <s v="04. Paralizado"/>
    <s v="Dependencia Usuario"/>
    <m/>
    <m/>
    <d v="2026-02-26T00:00:00"/>
    <d v="2025-10-30T00:00:00"/>
    <m/>
    <d v="2025-11-04T00:00:00"/>
    <m/>
    <d v="2025-09-12T09:36:00"/>
    <m/>
    <m/>
    <d v="2025-09-19T09:36:00"/>
    <s v="27/02/26: Según CQ, actualizó el estado a 10. Paralizado_x000a_04/02/2026: Cartera reasignada a Tomas Calvera_x000a_26/01/26: Según CQ, actualizó el estado a 03. En Desarrollo_x000a_04/11/25: Según CQ, actualizó el estado a 05. En Calidad_x000a_30/10/25: Según CQ, actualizó el estado a 04. Desarrollo Finalizado_x000a_30/10/25: Según CQ, actualizó el estado a 03. En Desarrollo_x000a_01/10/25: Se regularizó su registró en el Backlog."/>
    <s v="TI"/>
    <s v="ConstrucciónAplicaciones"/>
    <s v="No definido"/>
    <s v="2025-11"/>
    <s v="2025-10"/>
    <x v="0"/>
    <x v="7"/>
    <m/>
    <m/>
    <m/>
    <m/>
    <m/>
    <s v="2025-IV"/>
    <s v="Sin Fecha Fin Producción"/>
    <s v="No Aplica"/>
    <m/>
    <s v="Finalizada"/>
    <s v="Pospuesto"/>
    <x v="153"/>
    <x v="0"/>
    <m/>
    <m/>
    <s v="Vencida"/>
    <s v="Sin Aplicativo"/>
    <s v="Sin Aplicativo"/>
    <x v="2"/>
    <x v="1"/>
    <m/>
    <s v=""/>
    <s v="Sin Fecha"/>
    <s v="No definido"/>
    <m/>
    <s v="Activos"/>
    <x v="0"/>
    <n v="0.12"/>
    <s v="POST"/>
    <s v="NO"/>
    <m/>
    <s v="No aplica"/>
    <s v="PARALIZADO ⚪"/>
    <s v=""/>
    <n v="0.12"/>
    <s v=""/>
    <s v=""/>
    <m/>
    <m/>
    <m/>
    <m/>
    <m/>
    <m/>
    <d v="2026-05-31T00:00:00"/>
    <n v="25"/>
    <n v="0.1"/>
    <n v="200"/>
    <m/>
    <s v="6. PARALIZADO"/>
    <m/>
    <m/>
    <n v="0.9"/>
    <n v="1"/>
    <n v="24"/>
    <n v="8"/>
    <n v="192"/>
    <x v="8"/>
  </r>
  <r>
    <s v="M1264"/>
    <n v="3082"/>
    <x v="0"/>
    <s v="2025-T0803"/>
    <s v="2025-M0680"/>
    <s v="Emision diaria de los reportes CRPP 4601, CRPP 4602 y CRPP 4604"/>
    <m/>
    <x v="1"/>
    <s v="Banca Institucional"/>
    <s v="Banca de Gobierno Subnacional"/>
    <d v="2025-10-13T00:00:00"/>
    <s v="MEMORANDO N° 00000233 - 2025-BN/8422"/>
    <s v="CRPP- Cobranzas Municipales"/>
    <m/>
    <s v="Otros"/>
    <s v="Préstamos Institucionales"/>
    <s v="No aplica"/>
    <x v="0"/>
    <m/>
    <m/>
    <m/>
    <m/>
    <m/>
    <m/>
    <m/>
    <s v="Normal"/>
    <d v="2025-11-11T00:00:00"/>
    <x v="0"/>
    <m/>
    <s v="Pedro Jose Encalada Huertas"/>
    <s v="Milagros Huamani"/>
    <x v="1"/>
    <s v="03. Culminado"/>
    <m/>
    <m/>
    <m/>
    <d v="2025-10-17T00:00:00"/>
    <d v="2025-10-21T00:00:00"/>
    <m/>
    <d v="2025-10-22T00:00:00"/>
    <d v="2025-10-27T00:00:00"/>
    <d v="2025-10-22T14:24:00"/>
    <d v="2025-10-29T00:00:00"/>
    <d v="2026-02-23T00:00:00"/>
    <d v="2025-10-29T14:24:00"/>
    <s v="25/02/26: Según CQ, actualizó el estado a 08. Producción Finalizada_x000a_30/10/25: Según CQ, actualizó el estado a 07. En Despliegue_x000a_16/10/25: Se registró en Backlog. _x000a_16/10/25: Se creo Tramite"/>
    <s v="Productos"/>
    <s v="BancaInstitucional"/>
    <s v="2025-10"/>
    <s v="2025-11"/>
    <s v="2025-10"/>
    <x v="3"/>
    <x v="13"/>
    <m/>
    <m/>
    <m/>
    <m/>
    <m/>
    <s v="2025-IV"/>
    <n v="129"/>
    <n v="4.3"/>
    <m/>
    <s v="Finalizada"/>
    <s v="Transitorio_Procesado"/>
    <x v="154"/>
    <x v="0"/>
    <m/>
    <m/>
    <s v="Culminado"/>
    <s v="BackOffice"/>
    <s v="Otros Requerimientos"/>
    <x v="2"/>
    <x v="1"/>
    <m/>
    <d v="2026-02-23T00:00:00"/>
    <s v="Culminado"/>
    <s v="Feb 2026"/>
    <m/>
    <s v="Culminado"/>
    <x v="0"/>
    <n v="1"/>
    <s v="POST"/>
    <s v="NO"/>
    <m/>
    <s v="No aplica"/>
    <s v="IMPLEMENTADO 🔵"/>
    <n v="1"/>
    <n v="1"/>
    <n v="0"/>
    <n v="1"/>
    <d v="2025-10-17T00:00:00"/>
    <d v="2025-10-17T00:00:00"/>
    <d v="2025-10-21T00:00:00"/>
    <d v="2025-10-22T00:00:00"/>
    <d v="2025-10-27T00:00:00"/>
    <d v="2025-10-29T00:00:00"/>
    <d v="2026-02-23T00:00:00"/>
    <n v="3"/>
    <n v="1"/>
    <n v="200"/>
    <m/>
    <s v="4. PRODUCCIÓN"/>
    <m/>
    <m/>
    <n v="0"/>
    <n v="3"/>
    <n v="0"/>
    <n v="24"/>
    <n v="0"/>
    <x v="11"/>
  </r>
  <r>
    <s v="M1267"/>
    <n v="3092"/>
    <x v="0"/>
    <s v="2025-T0824"/>
    <s v="2025-M0698"/>
    <s v="Migracion de journal historico de servidores EJM DIEBOLD a servidores ATMCentre"/>
    <m/>
    <x v="2"/>
    <s v="Canales Alternos"/>
    <s v="Canales Presenciales"/>
    <d v="2025-10-30T00:00:00"/>
    <s v="MEMORANDO N° 00000411 -2025-BN/3251"/>
    <s v="STRA - Proyecto de Stratus"/>
    <m/>
    <s v="ATMs"/>
    <s v="No Aplica"/>
    <m/>
    <x v="1"/>
    <m/>
    <m/>
    <m/>
    <m/>
    <m/>
    <m/>
    <m/>
    <s v="Normal"/>
    <d v="2025-11-11T00:00:00"/>
    <x v="0"/>
    <m/>
    <s v="Vladimir Ronald Cajavilca Cajavilca"/>
    <s v="Omar Sarmiento"/>
    <x v="5"/>
    <s v="02. En Proceso"/>
    <m/>
    <m/>
    <m/>
    <d v="2025-10-31T00:00:00"/>
    <m/>
    <m/>
    <m/>
    <m/>
    <s v=""/>
    <m/>
    <m/>
    <s v=""/>
    <s v="30/12/2025: Cartera reasignada a Omar Sarmiento_x000a_30/10/25: Se registró en Backlog. _x000a_30/10/25: Se creo tramite"/>
    <s v="B.Digital"/>
    <s v="CanalesAlternos"/>
    <s v="2025-10"/>
    <s v="2025-11"/>
    <s v="No definido"/>
    <x v="0"/>
    <x v="1"/>
    <m/>
    <m/>
    <m/>
    <m/>
    <m/>
    <s v="2025-IV"/>
    <s v="Sin Fecha Fin Producción"/>
    <s v="No Aplica"/>
    <m/>
    <s v="Iniciada"/>
    <s v="Asignado"/>
    <x v="155"/>
    <x v="0"/>
    <m/>
    <m/>
    <s v="Sin Fecha"/>
    <s v="ATM-Agentes-VISA"/>
    <s v="Canales Presenciales"/>
    <x v="2"/>
    <x v="1"/>
    <m/>
    <s v=""/>
    <s v="Sin Fecha"/>
    <s v="No definido"/>
    <m/>
    <s v="Activos"/>
    <x v="0"/>
    <n v="0.25"/>
    <s v="POST"/>
    <s v="NO"/>
    <m/>
    <s v="SI"/>
    <s v="ATRASADO 🔴"/>
    <n v="1"/>
    <n v="0.25"/>
    <n v="0.75"/>
    <n v="0.25"/>
    <d v="2025-11-03T00:00:00"/>
    <d v="2026-03-02T00:00:00"/>
    <d v="2026-03-28T00:00:00"/>
    <d v="2026-03-27T00:00:00"/>
    <d v="2026-04-02T00:00:00"/>
    <d v="2026-04-06T00:00:00"/>
    <d v="2026-04-10T00:00:00"/>
    <n v="20"/>
    <n v="1"/>
    <n v="14.545454545454547"/>
    <m/>
    <s v="1. DESARROLLO"/>
    <m/>
    <m/>
    <n v="0"/>
    <n v="20"/>
    <n v="0"/>
    <n v="14.545454545454547"/>
    <n v="0"/>
    <x v="1"/>
  </r>
  <r>
    <s v="M1269"/>
    <n v="3096"/>
    <x v="0"/>
    <s v="2025-T0834"/>
    <s v="2025-M0709"/>
    <s v="Implementacion de mejoras en la comercializacion del Seguro Sepelio"/>
    <m/>
    <x v="1"/>
    <s v="Banca Personal"/>
    <s v="Banca Seguros"/>
    <d v="2025-11-03T00:00:00"/>
    <s v="MEMORANDO N° 00000101 - 2025-BN/3345"/>
    <s v="PGSG-Pagos Seguros(Oncológico-Sepelio)"/>
    <m/>
    <s v="Agencias"/>
    <s v="No Aplica"/>
    <s v="No aplica"/>
    <x v="1"/>
    <m/>
    <m/>
    <m/>
    <m/>
    <m/>
    <m/>
    <m/>
    <s v="Normal"/>
    <d v="2025-11-11T00:00:00"/>
    <x v="0"/>
    <m/>
    <s v="Pedro Jose Encalada Huertas"/>
    <s v="Milagros Huamani"/>
    <x v="6"/>
    <s v="02. En Proceso"/>
    <m/>
    <m/>
    <m/>
    <d v="2025-11-06T00:00:00"/>
    <d v="2025-12-26T00:00:00"/>
    <m/>
    <d v="2026-01-08T00:00:00"/>
    <d v="2026-01-23T00:00:00"/>
    <d v="2026-01-15T00:00:00"/>
    <m/>
    <m/>
    <d v="2026-01-22T00:00:00"/>
    <s v="26/01/26: Según CQ, actualizó el estado a 06. Calidad Finalizado_x000a_12/01/26: Según CQ, actualizó el estado a 05. En Calidad_x000a_29/12/25: Según CQ, actualizó el estado a 04. Desarrollo Finalizado_x000a_6/11/25: Se registró en Backlog. _x000a_6/11/25: Se creo Tramite_x000a__x000a_Analista asignado : Pedro Encalada"/>
    <s v="Productos"/>
    <s v="BancaPersonal"/>
    <s v="2025-11"/>
    <s v="2025-11"/>
    <s v="2025-12"/>
    <x v="0"/>
    <x v="16"/>
    <m/>
    <m/>
    <m/>
    <m/>
    <m/>
    <s v="2025-IV"/>
    <s v="Sin Fecha Fin Producción"/>
    <s v="No Aplica"/>
    <m/>
    <s v="Finalizada"/>
    <s v="Certificado"/>
    <x v="156"/>
    <x v="0"/>
    <m/>
    <m/>
    <s v="Vencida"/>
    <s v="BackOffice"/>
    <s v="Otros Requerimientos"/>
    <x v="2"/>
    <x v="1"/>
    <m/>
    <s v=""/>
    <s v="Sin Fecha"/>
    <s v="No definido"/>
    <m/>
    <s v="Activos"/>
    <x v="0"/>
    <n v="0.85"/>
    <s v="POST"/>
    <s v="NO"/>
    <m/>
    <s v="SI"/>
    <s v="ATRASADO 🔴"/>
    <n v="1"/>
    <n v="0.85"/>
    <n v="0.15000000000000002"/>
    <n v="0.85"/>
    <d v="2025-11-06T00:00:00"/>
    <d v="2025-11-06T00:00:00"/>
    <d v="2025-12-26T00:00:00"/>
    <d v="2026-01-08T00:00:00"/>
    <d v="2026-01-23T00:00:00"/>
    <d v="2026-02-19T00:00:00"/>
    <d v="2026-03-27T00:00:00"/>
    <n v="34"/>
    <n v="1"/>
    <n v="200"/>
    <m/>
    <s v="2. CALIDAD"/>
    <m/>
    <m/>
    <n v="0"/>
    <n v="34"/>
    <n v="0"/>
    <n v="272"/>
    <n v="0"/>
    <x v="4"/>
  </r>
  <r>
    <s v="M1270"/>
    <n v="3066"/>
    <x v="0"/>
    <s v="2025-T0841"/>
    <s v="2025-M0714"/>
    <s v="AMPLIACIÓN AL ANEXO 2 TARJETA DE CREDITO CLÁSICA SIN SEGURO DE DESGRAVAMEN"/>
    <m/>
    <x v="1"/>
    <s v="Banca Personal"/>
    <s v="Tarjeta de Crédito"/>
    <d v="2025-09-29T00:00:00"/>
    <s v="HOJA DE ENVIO N° 00000002 - 2025-BN/3344"/>
    <s v="SITC – Tarjeta de Crédito"/>
    <m/>
    <s v="Agencias"/>
    <s v="Tarjeta de Crédito "/>
    <s v="No aplica"/>
    <x v="2"/>
    <m/>
    <s v="SBS"/>
    <m/>
    <m/>
    <m/>
    <m/>
    <d v="2025-09-01T00:00:00"/>
    <s v="Normal"/>
    <d v="2025-11-11T00:00:00"/>
    <x v="0"/>
    <m/>
    <s v="Pedro Jose Encalada Huertas"/>
    <s v="Milagros Huamani"/>
    <x v="3"/>
    <s v="04. Paralizado"/>
    <s v="Dependencia técnica"/>
    <m/>
    <m/>
    <d v="2026-02-26T00:00:00"/>
    <d v="2025-12-26T00:00:00"/>
    <m/>
    <m/>
    <m/>
    <d v="2025-12-01T04:48:00"/>
    <m/>
    <m/>
    <d v="2025-12-08T04:48:00"/>
    <s v="23/03/26: Pospuesto por Construcción por dependencia, se atenderá cuando el mantenimiento 2025-M0494 pase a Producción._x000a_15/12/25: Según CQ, actualizó el estado a 10. Paralizado_x000a_15/09/25: Según CQ, actualizó el estado a 03. En Desarrollo_x000a_04/04/25: Se creó trámite en CQ y se priorizó._x000a_27/02/26: Según CQ, actualizó el estado a 10. Paralizado_x000a_12/01/26: Según CQ, actualizó el estado a 03. En Desarrollo_x000a_12/01/26: Según CQ, actualizó el estado a 04. Desarrollo Finalizado_x000a_08/01/26: Según CQ, actualizó el estado a 03. En Desarrollo_x000a_29/12/25: Según CQ, actualizó el estado a 04. Desarrollo Finalizado_x000a_13/11/25: Según CQ, actualizó el estado a 03. En Desarrollo_x000a_02/10/25: Se registró en Backlog. _x000a_10/11/25 Se creo Tramite_x000a__x000a_RQ hijo de ID 2913_x000a_"/>
    <s v="Productos"/>
    <s v="BancaPersonal"/>
    <s v="2025-09"/>
    <s v="2025-11"/>
    <s v="2025-12"/>
    <x v="0"/>
    <x v="23"/>
    <m/>
    <m/>
    <m/>
    <m/>
    <m/>
    <s v="2025-IV"/>
    <s v="Sin Fecha Fin Producción"/>
    <s v="No Aplica"/>
    <m/>
    <s v="Finalizada"/>
    <s v="Pospuesto"/>
    <x v="157"/>
    <x v="0"/>
    <m/>
    <m/>
    <s v="Vencida"/>
    <s v="Tarjeta Tesoro"/>
    <s v="Productos"/>
    <x v="2"/>
    <x v="1"/>
    <m/>
    <s v=""/>
    <s v="Sin Fecha"/>
    <s v="No definido"/>
    <m/>
    <s v="Activos"/>
    <x v="0"/>
    <n v="0.12"/>
    <s v="POST"/>
    <s v="NO"/>
    <m/>
    <s v="No aplica"/>
    <s v="PARALIZADO ⚪"/>
    <s v=""/>
    <n v="0.12"/>
    <s v=""/>
    <s v=""/>
    <m/>
    <m/>
    <m/>
    <m/>
    <m/>
    <m/>
    <d v="2026-11-30T00:00:00"/>
    <n v="25"/>
    <n v="0.1"/>
    <n v="200"/>
    <m/>
    <s v="6. PARALIZADO"/>
    <m/>
    <m/>
    <n v="0.9"/>
    <n v="1"/>
    <n v="24"/>
    <n v="8"/>
    <n v="192"/>
    <x v="13"/>
  </r>
  <r>
    <s v="M1273"/>
    <n v="3103"/>
    <x v="0"/>
    <s v="2025-T0817"/>
    <s v="2025-M0691"/>
    <s v="Solución Vulnerabilidades Factibilidad WEB"/>
    <m/>
    <x v="1"/>
    <s v="Banca Personal"/>
    <s v="Préstamo Multired"/>
    <m/>
    <s v="Correo s/n"/>
    <s v="PRAH - Prestamos Multired"/>
    <m/>
    <s v="Agencias"/>
    <s v="No Aplica"/>
    <s v="No aplica"/>
    <x v="0"/>
    <m/>
    <m/>
    <m/>
    <m/>
    <m/>
    <m/>
    <m/>
    <s v="Regularizado"/>
    <d v="2025-11-11T00:00:00"/>
    <x v="0"/>
    <m/>
    <s v="Fiorella Emma Galvan Soto"/>
    <s v="Milagros Huamani"/>
    <x v="6"/>
    <s v="02. En Proceso"/>
    <m/>
    <m/>
    <m/>
    <d v="2025-10-27T00:00:00"/>
    <d v="2026-01-12T00:00:00"/>
    <m/>
    <d v="2026-01-15T00:00:00"/>
    <d v="2026-02-06T00:00:00"/>
    <d v="2026-02-11T19:12:00"/>
    <m/>
    <m/>
    <d v="2026-02-18T19:12:00"/>
    <s v="09/02/26: Según CQ, actualizó el estado a 06. Calidad Finalizado_x000a_16/01/26: Según CQ, actualizó el estado a 05. En Calidad_x000a_13/01/26: Según CQ, actualizó el estado a 04. Desarrollo Finalizado_x000a_13/11/25: Según CQ, actualizó el estado a 03. En Desarrollo_x000a_11/11/25: Se regularizó su registró en el Backlog."/>
    <s v="Productos"/>
    <s v="BancaPersonal"/>
    <s v="No definido"/>
    <s v="2025-11"/>
    <s v="2026-01"/>
    <x v="0"/>
    <x v="2"/>
    <m/>
    <m/>
    <m/>
    <m/>
    <m/>
    <s v="2025-IV"/>
    <s v="Sin Fecha Fin Producción"/>
    <s v="No Aplica"/>
    <m/>
    <s v="Finalizada"/>
    <s v="Certificado"/>
    <x v="158"/>
    <x v="0"/>
    <m/>
    <m/>
    <s v="Vencida"/>
    <s v="Préstamos Multired"/>
    <s v="Productos"/>
    <x v="2"/>
    <x v="1"/>
    <m/>
    <s v=""/>
    <s v="Sin Fecha"/>
    <s v="No definido"/>
    <m/>
    <s v="Activos"/>
    <x v="0"/>
    <n v="0.85"/>
    <s v="POST"/>
    <s v="NO"/>
    <m/>
    <s v="SI"/>
    <s v="ATRASADO 🔴"/>
    <n v="1"/>
    <n v="0.85"/>
    <n v="0.15000000000000002"/>
    <n v="0.85"/>
    <d v="2025-10-27T00:00:00"/>
    <d v="2025-10-27T00:00:00"/>
    <d v="2026-01-12T00:00:00"/>
    <d v="2026-01-15T00:00:00"/>
    <d v="2026-02-06T00:00:00"/>
    <d v="2026-02-19T00:00:00"/>
    <d v="2026-03-27T00:00:00"/>
    <n v="51"/>
    <n v="1"/>
    <n v="200"/>
    <m/>
    <s v="2. CALIDAD"/>
    <m/>
    <m/>
    <n v="0"/>
    <n v="51"/>
    <n v="0"/>
    <n v="408"/>
    <n v="0"/>
    <x v="4"/>
  </r>
  <r>
    <s v="M1274"/>
    <n v="3105"/>
    <x v="0"/>
    <s v="2025-T0789"/>
    <s v="2025-M0665"/>
    <s v="CODIFICACION DE PROGRAMAS EXTRACTORES POR NUEVO PEDIDO ADICIONAL DE   OPLAFT"/>
    <m/>
    <x v="8"/>
    <s v="Construcción de Aplicaciones"/>
    <s v="Sistemas Bancarios"/>
    <m/>
    <s v="Correo s/n"/>
    <s v="SENT-Proyecto Sentinel"/>
    <m/>
    <s v="ATMs"/>
    <s v="No Aplica"/>
    <s v="No aplica"/>
    <x v="0"/>
    <m/>
    <m/>
    <m/>
    <m/>
    <m/>
    <m/>
    <m/>
    <s v="Regularizado"/>
    <d v="2025-11-11T00:00:00"/>
    <x v="0"/>
    <m/>
    <s v="Jorge Enrique Ruiz Torres"/>
    <s v="Tomas Calvera"/>
    <x v="5"/>
    <s v="02. En Proceso"/>
    <m/>
    <m/>
    <m/>
    <d v="2025-10-07T00:00:00"/>
    <m/>
    <m/>
    <m/>
    <m/>
    <s v=""/>
    <m/>
    <m/>
    <s v=""/>
    <s v="04/02/2026: Cartera reasignada a Tomas Calvera_x000a_13/11/25: Según CQ, actualizó el estado a 03. En Desarrollo_x000a_11/11/25: Se regularizó su registró en el Backlog."/>
    <s v="TI"/>
    <s v="ConstrucciónAplicaciones"/>
    <s v="No definido"/>
    <s v="2025-11"/>
    <s v="No definido"/>
    <x v="0"/>
    <x v="1"/>
    <m/>
    <m/>
    <m/>
    <m/>
    <m/>
    <s v="2025-IV"/>
    <s v="Sin Fecha Fin Producción"/>
    <s v="No Aplica"/>
    <m/>
    <s v="Asignada"/>
    <s v="Asignado"/>
    <x v="159"/>
    <x v="0"/>
    <m/>
    <m/>
    <s v="Sin Fecha"/>
    <s v="Extractores de Sentinel"/>
    <s v="Otros Requerimientos"/>
    <x v="2"/>
    <x v="1"/>
    <m/>
    <s v=""/>
    <s v="Sin Fecha"/>
    <s v="No definido"/>
    <m/>
    <s v="Activos"/>
    <x v="0"/>
    <n v="0.15"/>
    <s v="POST"/>
    <s v="NO"/>
    <m/>
    <s v="SI"/>
    <s v="ATRASADO 🔴"/>
    <n v="1"/>
    <n v="0.15"/>
    <n v="0.85"/>
    <n v="0.15"/>
    <d v="2025-11-03T00:00:00"/>
    <d v="2026-03-02T00:00:00"/>
    <d v="2026-03-13T00:00:00"/>
    <d v="2026-03-16T00:00:00"/>
    <d v="2026-04-15T00:00:00"/>
    <d v="2026-04-20T00:00:00"/>
    <d v="2026-04-24T00:00:00"/>
    <n v="10"/>
    <n v="1"/>
    <n v="80"/>
    <m/>
    <s v="1. DESARROLLO"/>
    <m/>
    <m/>
    <n v="0"/>
    <n v="10"/>
    <n v="0"/>
    <n v="80"/>
    <n v="0"/>
    <x v="1"/>
  </r>
  <r>
    <s v="M1275"/>
    <n v="3106"/>
    <x v="0"/>
    <s v="2025-T0797"/>
    <s v="2025-M0672"/>
    <s v="CULMINAR CON LAS CONTABILIZACION DE LA COMISION Y EL SEGURO DE DESGRAVAMEN EN LAS CUENTAS CONTABLES."/>
    <m/>
    <x v="1"/>
    <s v="Banca Personal"/>
    <s v="Tarjeta de Crédito"/>
    <m/>
    <s v="Correo s/n"/>
    <s v="SITC – Tarjeta de Crédito"/>
    <m/>
    <s v="Otros"/>
    <s v="Tarjeta de Crédito "/>
    <s v="No aplica"/>
    <x v="0"/>
    <m/>
    <m/>
    <m/>
    <m/>
    <m/>
    <m/>
    <m/>
    <s v="Regularizado"/>
    <d v="2025-11-11T00:00:00"/>
    <x v="0"/>
    <m/>
    <s v="Pedro Jose Encalada Huertas"/>
    <s v="Milagros Huamani"/>
    <x v="5"/>
    <s v="02. En Proceso"/>
    <m/>
    <m/>
    <m/>
    <d v="2025-10-14T00:00:00"/>
    <m/>
    <m/>
    <m/>
    <m/>
    <s v=""/>
    <m/>
    <m/>
    <s v=""/>
    <s v="13/11/25: Según CQ, actualizó el estado a 03. En Desarrollo_x000a_11/11/25: Se regularizó su registró en el Backlog."/>
    <s v="Productos"/>
    <s v="BancaPersonal"/>
    <s v="No definido"/>
    <s v="2025-11"/>
    <s v="No definido"/>
    <x v="0"/>
    <x v="1"/>
    <m/>
    <m/>
    <m/>
    <m/>
    <m/>
    <s v="2025-IV"/>
    <s v="Sin Fecha Fin Producción"/>
    <s v="No Aplica"/>
    <m/>
    <s v="Asignada"/>
    <s v="Asignado"/>
    <x v="160"/>
    <x v="0"/>
    <m/>
    <m/>
    <s v="Sin Fecha"/>
    <s v="Tarjeta Tesoro"/>
    <s v="Productos"/>
    <x v="2"/>
    <x v="1"/>
    <m/>
    <s v=""/>
    <s v="Sin Fecha"/>
    <s v="No definido"/>
    <m/>
    <s v="Activos"/>
    <x v="0"/>
    <n v="0.15"/>
    <s v="POST"/>
    <s v="NO"/>
    <m/>
    <s v="SI"/>
    <s v="ATRASADO 🔴"/>
    <n v="1"/>
    <n v="0.15"/>
    <n v="0.85"/>
    <n v="0.15"/>
    <d v="2025-10-14T00:00:00"/>
    <d v="2026-03-02T00:00:00"/>
    <d v="2026-03-10T00:00:00"/>
    <d v="2026-03-12T00:00:00"/>
    <d v="2026-04-12T00:00:00"/>
    <d v="2026-04-13T00:00:00"/>
    <d v="2026-04-17T00:00:00"/>
    <n v="7"/>
    <n v="1"/>
    <n v="11.200000000000001"/>
    <m/>
    <s v="1. DESARROLLO"/>
    <m/>
    <m/>
    <n v="0"/>
    <n v="7"/>
    <n v="0"/>
    <n v="11.200000000000001"/>
    <n v="0"/>
    <x v="1"/>
  </r>
  <r>
    <s v="M1276"/>
    <n v="3107"/>
    <x v="0"/>
    <s v="2025-T0798"/>
    <s v="2025-M0673"/>
    <s v="Truncamiento Datos PAN Tarjeta – CICS y Archivos"/>
    <m/>
    <x v="8"/>
    <s v="Construcción de Aplicaciones"/>
    <s v="Sistemas Bancarios"/>
    <m/>
    <s v="Correo s/n"/>
    <s v="ATCA-Adm.Tarjetas Cajero Automático"/>
    <m/>
    <s v="Otros"/>
    <s v="No Aplica"/>
    <s v="No aplica"/>
    <x v="0"/>
    <m/>
    <m/>
    <m/>
    <m/>
    <m/>
    <m/>
    <m/>
    <s v="Regularizado"/>
    <d v="2025-11-11T00:00:00"/>
    <x v="0"/>
    <m/>
    <s v="Norma Fukunaga Fuentes"/>
    <s v="Omar Sarmiento"/>
    <x v="1"/>
    <s v="03. Culminado"/>
    <m/>
    <m/>
    <m/>
    <d v="2025-10-14T00:00:00"/>
    <m/>
    <m/>
    <m/>
    <m/>
    <s v=""/>
    <d v="2026-01-23T00:00:00"/>
    <d v="2026-01-29T00:00:00"/>
    <s v=""/>
    <s v="30/01/26: Según CQ, actualizó el estado a 08. Producción Finalizada_x000a_26/01/26: Según CQ, actualizó el estado a 07. En Despliegue_x000a_13/11/25: Según CQ, actualizó el estado a 03. En Desarrollo_x000a_11/11/25: Se regularizó su registró en el Backlog."/>
    <s v="TI"/>
    <s v="ConstrucciónAplicaciones"/>
    <s v="No definido"/>
    <s v="2025-11"/>
    <s v="No definido"/>
    <x v="4"/>
    <x v="1"/>
    <m/>
    <m/>
    <m/>
    <m/>
    <m/>
    <s v="2025-IV"/>
    <n v="107"/>
    <n v="3.5666666666666669"/>
    <m/>
    <s v="Finalizada"/>
    <s v="Transitorio_Ordenado"/>
    <x v="161"/>
    <x v="0"/>
    <m/>
    <m/>
    <s v="Culminado"/>
    <s v="ATM-Agentes-VISA"/>
    <s v="Canales Presenciales"/>
    <x v="2"/>
    <x v="1"/>
    <m/>
    <d v="2026-01-29T00:00:00"/>
    <s v="Culminado"/>
    <s v="Ene 2026"/>
    <m/>
    <s v="Culminado"/>
    <x v="0"/>
    <n v="1"/>
    <s v="POST"/>
    <s v="NO"/>
    <m/>
    <s v="No aplica"/>
    <s v="IMPLEMENTADO 🔵"/>
    <n v="1"/>
    <n v="1"/>
    <n v="0"/>
    <n v="1"/>
    <d v="2025-10-14T00:00:00"/>
    <d v="2025-10-14T00:00:00"/>
    <s v=""/>
    <s v=""/>
    <s v=""/>
    <d v="2026-01-23T00:00:00"/>
    <d v="2026-01-29T00:00:00"/>
    <n v="25"/>
    <n v="0.1"/>
    <n v="200"/>
    <m/>
    <s v="4. PRODUCCIÓN"/>
    <m/>
    <m/>
    <n v="0.9"/>
    <n v="1"/>
    <n v="24"/>
    <n v="8"/>
    <n v="192"/>
    <x v="9"/>
  </r>
  <r>
    <s v="M1277"/>
    <n v="3109"/>
    <x v="0"/>
    <s v="2025-T0818"/>
    <s v="2025-M0692"/>
    <s v="Solucion de Vulnerabilidades Constancia no Adeudo"/>
    <m/>
    <x v="1"/>
    <s v="Banca Personal"/>
    <s v="Préstamo Multired"/>
    <m/>
    <s v="Correo s/n"/>
    <s v="PRAH - Prestamos Multired"/>
    <m/>
    <s v="Agencias"/>
    <s v="Préstamos Multired "/>
    <s v="No aplica"/>
    <x v="0"/>
    <m/>
    <m/>
    <m/>
    <m/>
    <m/>
    <m/>
    <m/>
    <s v="Regularizado"/>
    <d v="2025-11-11T00:00:00"/>
    <x v="0"/>
    <m/>
    <s v="Fiorella Emma Galvan Soto"/>
    <s v="Milagros Huamani"/>
    <x v="1"/>
    <s v="03. Culminado"/>
    <m/>
    <m/>
    <m/>
    <d v="2025-10-27T00:00:00"/>
    <d v="2026-01-06T00:00:00"/>
    <m/>
    <d v="2026-01-07T00:00:00"/>
    <d v="2026-02-26T00:00:00"/>
    <d v="2026-02-03T09:36:00"/>
    <d v="2026-03-09T00:00:00"/>
    <d v="2026-03-27T00:00:00"/>
    <d v="2026-02-10T09:36:00"/>
    <s v="27/03/26: Según CQ, actualizó el estado a 08. Producción Finalizada_x000a_09/03/26: Según CQ, actualizó el estado a 07. En Despliegue_x000a_27/02/26: Según CQ, actualizó el estado a 06. Calidad Finalizado_x000a_12/01/26: Según CQ, actualizó el estado a 05. En Calidad_x000a_12/01/26: Según CQ, actualizó el estado a 03. En Desarrollo_x000a_08/01/26: Según CQ, actualizó el estado a 05. En Calidad_x000a_13/11/25: Según CQ, actualizó el estado a 03. En Desarrollo_x000a_11/11/25: Se regularizó su registró en el Backlog."/>
    <s v="Productos"/>
    <s v="BancaPersonal"/>
    <s v="No definido"/>
    <s v="2025-11"/>
    <s v="2026-01"/>
    <x v="2"/>
    <x v="2"/>
    <m/>
    <m/>
    <m/>
    <m/>
    <m/>
    <s v="2025-IV"/>
    <n v="151"/>
    <n v="5.0333333333333332"/>
    <m/>
    <s v="Finalizada"/>
    <s v="Procesado"/>
    <x v="162"/>
    <x v="0"/>
    <m/>
    <m/>
    <s v="Culminado"/>
    <s v="Préstamos Multired"/>
    <s v="Productos"/>
    <x v="2"/>
    <x v="1"/>
    <m/>
    <d v="2026-03-27T00:00:00"/>
    <s v="Culminado"/>
    <s v="Mar 2026"/>
    <m/>
    <s v="Culminado"/>
    <x v="0"/>
    <n v="1"/>
    <s v="POST"/>
    <s v="NO"/>
    <m/>
    <s v="No aplica"/>
    <s v="IMPLEMENTADO 🔵"/>
    <n v="1"/>
    <n v="1"/>
    <n v="0"/>
    <n v="1"/>
    <d v="2025-10-27T00:00:00"/>
    <d v="2025-10-27T00:00:00"/>
    <d v="2026-01-06T00:00:00"/>
    <d v="2026-01-07T00:00:00"/>
    <d v="2026-03-16T00:00:00"/>
    <d v="2026-03-17T00:00:00"/>
    <d v="2026-03-27T00:00:00"/>
    <n v="47"/>
    <n v="1"/>
    <n v="200"/>
    <m/>
    <s v="4. PRODUCCIÓN"/>
    <m/>
    <m/>
    <n v="0"/>
    <n v="47"/>
    <n v="0"/>
    <n v="376"/>
    <n v="0"/>
    <x v="4"/>
  </r>
  <r>
    <s v="M1280"/>
    <n v="3115"/>
    <x v="0"/>
    <s v="2025-T0862"/>
    <s v="2025-M0742"/>
    <s v="Integración del servicio Mobile Attestation para IOS, además de la personalización de las pantallas de bloqueon y captcha (servicio Antibot) para la aplicación banca móvil del BN"/>
    <m/>
    <x v="8"/>
    <s v="Seguridad Informática"/>
    <s v="Control de Operaciones de Seguridad"/>
    <d v="2025-11-07T00:00:00"/>
    <s v="INFORME N° 00000038 - 2025-BN/2532"/>
    <s v="SABM - Sistema Atencion Banca Movil"/>
    <m/>
    <s v="Banca Móvil (APP)"/>
    <s v="No Aplica"/>
    <s v="No aplica"/>
    <x v="1"/>
    <m/>
    <m/>
    <m/>
    <m/>
    <m/>
    <m/>
    <m/>
    <s v="Normal"/>
    <d v="2025-12-12T00:00:00"/>
    <x v="2"/>
    <m/>
    <s v="Juan Carlos Cordova Inga"/>
    <s v="Tomas Calvera"/>
    <x v="5"/>
    <s v="02. En Proceso"/>
    <m/>
    <m/>
    <m/>
    <d v="2025-11-27T00:00:00"/>
    <m/>
    <m/>
    <m/>
    <m/>
    <s v=""/>
    <m/>
    <m/>
    <s v=""/>
    <s v="16/04/26: Se estan realizando pruebas para con el ATTESTATION . Entre equipo de construccion, seguridad y el proveedor RADWARE_x000a_04/02/2026: Cartera reasignada a Tomas Calvera"/>
    <s v="TI"/>
    <s v=""/>
    <s v="2025-11"/>
    <s v="2025-12"/>
    <s v="No definido"/>
    <x v="0"/>
    <x v="1"/>
    <m/>
    <m/>
    <m/>
    <m/>
    <m/>
    <s v="2025-IV"/>
    <s v="Sin Fecha Fin Producción"/>
    <s v="No Aplica"/>
    <m/>
    <s v="Iniciada"/>
    <s v="Asignado"/>
    <x v="163"/>
    <x v="0"/>
    <m/>
    <m/>
    <s v="Sin Fecha"/>
    <s v="Banca Movil"/>
    <s v="Canales Virtuales"/>
    <x v="2"/>
    <x v="1"/>
    <m/>
    <s v=""/>
    <s v="Sin Fecha"/>
    <s v="No definido"/>
    <m/>
    <s v="Activos"/>
    <x v="0"/>
    <n v="0.25"/>
    <s v="POST"/>
    <s v="NO"/>
    <m/>
    <s v="SI"/>
    <s v="ATRASADO 🔴"/>
    <n v="1"/>
    <n v="0.25"/>
    <n v="0.75"/>
    <n v="0.25"/>
    <d v="2025-11-27T00:00:00"/>
    <d v="2026-03-02T00:00:00"/>
    <d v="2026-03-24T00:00:00"/>
    <d v="2026-03-26T00:00:00"/>
    <d v="2026-03-30T00:00:00"/>
    <d v="2026-04-01T00:00:00"/>
    <d v="2026-04-06T00:00:00"/>
    <n v="17"/>
    <n v="1"/>
    <n v="68"/>
    <m/>
    <s v="1. DESARROLLO"/>
    <m/>
    <m/>
    <n v="0"/>
    <n v="17"/>
    <n v="0"/>
    <n v="68"/>
    <n v="0"/>
    <x v="1"/>
  </r>
  <r>
    <s v="M1281"/>
    <n v="3116"/>
    <x v="0"/>
    <s v="2025-T0867"/>
    <s v="2025-M0738"/>
    <s v="Generación de Base de datos de Rutas Foráneas en secuencia FISA"/>
    <m/>
    <x v="0"/>
    <s v="Caja y Valores"/>
    <s v="Programación y Distribución de Fondos"/>
    <d v="2025-11-24T00:00:00"/>
    <s v="MEMORANDO N° 00000042 -2025-BN/3135"/>
    <s v="FISA-Finanzas Saldos"/>
    <m/>
    <s v="Agencias"/>
    <s v="No Aplica"/>
    <s v="No aplica"/>
    <x v="0"/>
    <m/>
    <m/>
    <m/>
    <m/>
    <m/>
    <m/>
    <s v="No Aplica"/>
    <s v="Normal"/>
    <d v="2025-12-12T00:00:00"/>
    <x v="1"/>
    <s v="FS-Olssa"/>
    <s v="Ricardo Cuba Mora"/>
    <s v="Junior Quicaño"/>
    <x v="1"/>
    <s v="03. Culminado"/>
    <m/>
    <m/>
    <m/>
    <d v="2025-12-11T00:00:00"/>
    <d v="2026-01-12T00:00:00"/>
    <m/>
    <d v="2026-01-14T00:00:00"/>
    <d v="2026-01-28T00:00:00"/>
    <d v="2026-01-24T19:12:00"/>
    <d v="2026-02-12T00:00:00"/>
    <d v="2026-02-12T00:00:00"/>
    <d v="2026-01-31T19:12:00"/>
    <s v="13/02/26: Según CQ, actualizó el estado a 08. Producción Finalizada_x000a_30/01/26: Según CQ, actualizó el estado a 06. Calidad Finalizado_x000a_15/01/26: Según CQ, actualizó el estado a 05. En Calidad_x000a_13/01/26: Según CQ, actualizó el estado a 04. Desarrollo Finalizado_x000a_"/>
    <s v="Operac."/>
    <s v="CajaValores"/>
    <s v="2025-11"/>
    <s v="2025-12"/>
    <s v="2026-01"/>
    <x v="3"/>
    <x v="16"/>
    <m/>
    <m/>
    <m/>
    <m/>
    <m/>
    <s v="2025-IV"/>
    <n v="63"/>
    <n v="2.1"/>
    <m/>
    <s v="Finalizada"/>
    <s v="Procesado"/>
    <x v="164"/>
    <x v="0"/>
    <m/>
    <m/>
    <s v="Culminado"/>
    <s v="BackOffice"/>
    <s v="Otros Requerimientos"/>
    <x v="2"/>
    <x v="1"/>
    <m/>
    <d v="2026-02-12T00:00:00"/>
    <s v="Culminado"/>
    <s v="Feb 2026"/>
    <m/>
    <s v="Culminado"/>
    <x v="0"/>
    <n v="1"/>
    <s v="POST"/>
    <s v="NO"/>
    <m/>
    <s v="No aplica"/>
    <s v="IMPLEMENTADO 🔵"/>
    <n v="1"/>
    <n v="1"/>
    <n v="0"/>
    <n v="1"/>
    <d v="2025-12-11T00:00:00"/>
    <d v="2025-12-11T00:00:00"/>
    <d v="2026-01-12T00:00:00"/>
    <d v="2026-01-14T00:00:00"/>
    <d v="2026-01-28T00:00:00"/>
    <d v="2026-02-12T00:00:00"/>
    <d v="2026-03-06T00:00:00"/>
    <n v="19"/>
    <n v="1"/>
    <n v="200"/>
    <m/>
    <s v="4. PRODUCCIÓN"/>
    <m/>
    <m/>
    <n v="0"/>
    <n v="19"/>
    <n v="0"/>
    <n v="152"/>
    <n v="0"/>
    <x v="4"/>
  </r>
  <r>
    <s v="M1282"/>
    <n v="3118"/>
    <x v="0"/>
    <s v="2025-T0870"/>
    <s v="2025-M0743"/>
    <s v="Integración del servicio Mobile Attestation para ANDROID, además de la personalización de las pantallas de bloqueon y captcha (servicio Antibot) para la aplicación banca móvil del BN"/>
    <m/>
    <x v="8"/>
    <s v="Seguridad Informática"/>
    <s v="Control de Operaciones de Seguridad"/>
    <d v="2025-11-07T00:00:00"/>
    <s v="INFORME N° 00000038 - 2025-BN/2532"/>
    <s v="SABM - Sistema Atencion Banca Movil"/>
    <m/>
    <s v="Banca Móvil (APP)"/>
    <s v="No Aplica"/>
    <s v="No aplica"/>
    <x v="1"/>
    <m/>
    <m/>
    <m/>
    <m/>
    <m/>
    <m/>
    <m/>
    <s v="Normal"/>
    <d v="2025-12-12T00:00:00"/>
    <x v="2"/>
    <m/>
    <s v="Juan Carlos Cordova Inga"/>
    <s v="Tomas Calvera"/>
    <x v="5"/>
    <s v="02. En Proceso"/>
    <m/>
    <m/>
    <m/>
    <d v="2025-11-27T00:00:00"/>
    <m/>
    <m/>
    <m/>
    <m/>
    <s v=""/>
    <m/>
    <m/>
    <s v=""/>
    <s v="16/04/26: Se estan realizando pruebas para con el ATTESTATION . Entre equipo de construccion, seguridad y el proveedor RADWARE_x000a_04/02/2026: Cartera reasignada a Tomas Calvera"/>
    <s v="TI"/>
    <s v=""/>
    <s v="2025-11"/>
    <s v="2025-12"/>
    <s v="No definido"/>
    <x v="0"/>
    <x v="1"/>
    <m/>
    <m/>
    <m/>
    <m/>
    <m/>
    <s v="2025-IV"/>
    <s v="Sin Fecha Fin Producción"/>
    <s v="No Aplica"/>
    <m/>
    <s v="Iniciada"/>
    <s v="Asignado"/>
    <x v="165"/>
    <x v="0"/>
    <m/>
    <m/>
    <s v="Sin Fecha"/>
    <s v="Banca Movil"/>
    <s v="Canales Virtuales"/>
    <x v="2"/>
    <x v="1"/>
    <m/>
    <s v=""/>
    <s v="Sin Fecha"/>
    <s v="No definido"/>
    <m/>
    <s v="Activos"/>
    <x v="0"/>
    <n v="0.25"/>
    <s v="POST"/>
    <s v="NO"/>
    <m/>
    <s v="SI"/>
    <s v="ATRASADO 🔴"/>
    <n v="1"/>
    <n v="0.25"/>
    <n v="0.75"/>
    <n v="0.25"/>
    <d v="2025-11-27T00:00:00"/>
    <d v="2026-03-02T00:00:00"/>
    <d v="2026-03-24T00:00:00"/>
    <d v="2026-03-26T00:00:00"/>
    <d v="2026-03-30T00:00:00"/>
    <d v="2026-04-01T00:00:00"/>
    <d v="2026-04-06T00:00:00"/>
    <n v="17"/>
    <n v="1"/>
    <n v="68"/>
    <m/>
    <s v="1. DESARROLLO"/>
    <m/>
    <m/>
    <n v="0"/>
    <n v="17"/>
    <n v="0"/>
    <n v="68"/>
    <n v="0"/>
    <x v="1"/>
  </r>
  <r>
    <s v="M1283"/>
    <n v="3119"/>
    <x v="0"/>
    <s v="2025-T0872"/>
    <s v="2025-M0736"/>
    <s v="SIRE REGISTRO DE COMPRAS"/>
    <m/>
    <x v="4"/>
    <s v="Contabilidad"/>
    <s v="Tributación"/>
    <d v="2025-11-25T00:00:00"/>
    <s v="MEMORANDO N° 00000040 - 2025-BN/2501"/>
    <s v="OSAI -: Oracle Sistema Administrativo Integrado"/>
    <m/>
    <s v="Otros"/>
    <s v="No Aplica"/>
    <s v="No aplica"/>
    <x v="2"/>
    <m/>
    <s v="SUNAT"/>
    <s v="R.S. N° 112-2021/SUNAT"/>
    <m/>
    <m/>
    <m/>
    <m/>
    <s v="Normal"/>
    <d v="2025-12-12T00:00:00"/>
    <x v="1"/>
    <m/>
    <s v="Emerson Quecara Choquetico"/>
    <s v="Juan Carlos Zavaleta"/>
    <x v="7"/>
    <s v="02. En Proceso"/>
    <m/>
    <m/>
    <m/>
    <d v="2026-04-13T00:00:00"/>
    <d v="2026-04-13T00:00:00"/>
    <m/>
    <d v="2026-04-15T00:00:00"/>
    <m/>
    <d v="2026-04-13T00:00:00"/>
    <m/>
    <m/>
    <d v="2026-04-20T00:00:00"/>
    <s v="20/04/26: Según CQ, actualizó el estado a 05. En Calidad_x000a_15/04/26: Según CQ, actualizó el estado a 04. Desarrollo Finalizado_x000a_13/04/26 Acta firmada y falta autorización de JdS en CQ para su pase a Calidad_x000a_15/12/25: Según CQ, actualizó el estado a 02. En Planificación_x000a_"/>
    <s v="Finanzas"/>
    <s v="Contabilidad"/>
    <s v="2025-11"/>
    <s v="2025-12"/>
    <s v="2026-04"/>
    <x v="0"/>
    <x v="17"/>
    <m/>
    <m/>
    <m/>
    <m/>
    <m/>
    <s v="2025-IV"/>
    <s v="Sin Fecha Fin Producción"/>
    <s v="No Aplica"/>
    <m/>
    <s v="Finalizada"/>
    <s v="En_Certificación"/>
    <x v="166"/>
    <x v="0"/>
    <m/>
    <m/>
    <s v="Vencida"/>
    <s v="Oracle"/>
    <s v="Otros Requerimientos"/>
    <x v="2"/>
    <x v="1"/>
    <m/>
    <s v=""/>
    <s v="Sin Fecha"/>
    <s v="No definido"/>
    <m/>
    <s v="Activos"/>
    <x v="0"/>
    <n v="0.7"/>
    <s v="POST"/>
    <s v="NO"/>
    <m/>
    <s v="SI"/>
    <s v="EN RIESGO 🟡"/>
    <n v="0.88785046728971961"/>
    <n v="0.7"/>
    <n v="0.18785046728971966"/>
    <n v="0.78842105263157891"/>
    <d v="2026-01-15T00:00:00"/>
    <d v="2026-01-05T00:00:00"/>
    <d v="2026-04-10T00:00:00"/>
    <d v="2026-04-11T00:00:00"/>
    <d v="2026-05-28T00:00:00"/>
    <d v="2026-05-29T00:00:00"/>
    <d v="2026-06-03T00:00:00"/>
    <n v="70"/>
    <n v="1"/>
    <n v="200"/>
    <m/>
    <s v="2. CALIDAD"/>
    <m/>
    <m/>
    <n v="0"/>
    <n v="70"/>
    <n v="0"/>
    <n v="560"/>
    <n v="0"/>
    <x v="6"/>
  </r>
  <r>
    <s v="M1284"/>
    <n v="3121"/>
    <x v="0"/>
    <s v="2025-T0884"/>
    <s v="2025-M0751"/>
    <s v="Adecuaciones adicionales en el Sistema de Facturación Electrónica para las operaciones de Transferencias Interbancarias Diferidas"/>
    <s v="Complemento del Mant 2023-M0052 para resolver observaciones considerando las transacciones internas de los canales Saraweb y Banca Empresarial"/>
    <x v="0"/>
    <s v="Captaciones y Pagaduría"/>
    <s v="Sistema de Pagos"/>
    <d v="2025-11-07T00:00:00"/>
    <s v="MEMORANDO N° 00000157 - 2025-BN/3116"/>
    <s v="SICA-Sistema de Canje Electronico"/>
    <s v="Facturación Electrónica - I"/>
    <s v="Agencias"/>
    <s v="Cuenta de Ahorros"/>
    <s v="Cuenta Corriente "/>
    <x v="2"/>
    <m/>
    <s v="SUNAT"/>
    <s v="R.S. N° 193-2020/SUNAT"/>
    <m/>
    <m/>
    <m/>
    <s v="No Aplica"/>
    <s v="Regularizado"/>
    <d v="2025-12-12T00:00:00"/>
    <x v="0"/>
    <s v="FS-Olssa"/>
    <s v="Maribel Marlene Medina Molina"/>
    <s v="Juan Carlos Zavaleta"/>
    <x v="3"/>
    <s v="04. Paralizado"/>
    <m/>
    <m/>
    <m/>
    <d v="2026-05-04T00:00:00"/>
    <d v="2026-02-24T00:00:00"/>
    <m/>
    <d v="2026-03-02T00:00:00"/>
    <m/>
    <d v="2026-01-27T09:36:00"/>
    <m/>
    <m/>
    <d v="2026-02-03T09:36:00"/>
    <s v="04/05/26: Según CQ, actualizó el estado a 10. Paralizado_x000a_06/04/26: Según CQ, actualizó el estado a 03. En Desarrollo_x000a_02/03/26: Según CQ, actualizó el estado a 05. En Calidad_x000a_25/02/26: Según CQ, actualizó el estado a 04. Desarrollo Finalizado_x000a_"/>
    <s v="Operac."/>
    <s v="CaptacionesPagaduría"/>
    <s v="2025-11"/>
    <s v="2025-12"/>
    <s v="2026-02"/>
    <x v="0"/>
    <x v="2"/>
    <m/>
    <m/>
    <m/>
    <m/>
    <m/>
    <s v="2025-IV"/>
    <s v="Sin Fecha Fin Producción"/>
    <s v="No Aplica"/>
    <m/>
    <s v="Finalizada"/>
    <s v="Pospuesto"/>
    <x v="167"/>
    <x v="0"/>
    <m/>
    <m/>
    <s v="Vencida"/>
    <s v="BackOffice"/>
    <s v="Otros Requerimientos"/>
    <x v="2"/>
    <x v="1"/>
    <m/>
    <s v=""/>
    <s v="Sin Fecha"/>
    <s v="No definido"/>
    <m/>
    <s v="Activos"/>
    <x v="0"/>
    <n v="0.12"/>
    <s v="POST"/>
    <s v="NO"/>
    <m/>
    <s v="No aplica"/>
    <s v="PARALIZADO ⚪"/>
    <n v="1"/>
    <n v="0.12"/>
    <n v="0.88"/>
    <n v="0.12"/>
    <d v="2025-12-01T00:00:00"/>
    <d v="2025-12-01T00:00:00"/>
    <d v="2026-02-23T00:00:00"/>
    <d v="2026-02-25T00:00:00"/>
    <d v="2026-03-26T00:00:00"/>
    <d v="2026-03-30T00:00:00"/>
    <d v="2026-04-17T00:00:00"/>
    <n v="56"/>
    <n v="1"/>
    <n v="200"/>
    <m/>
    <s v="6. PARALIZADO"/>
    <m/>
    <m/>
    <n v="0"/>
    <n v="56"/>
    <n v="0"/>
    <n v="448"/>
    <n v="0"/>
    <x v="1"/>
  </r>
  <r>
    <s v="M1285"/>
    <n v="3122"/>
    <x v="0"/>
    <s v="2025-T0850"/>
    <s v="2025-M0722"/>
    <s v="ME: DESARROLLO DE UNA APLICACION (MVP) PARA EL PRODUCTO FACTORING BN - FASE II"/>
    <m/>
    <x v="1"/>
    <s v="Desarrollo Comercial y Proyectos"/>
    <s v="Desarrollo Comercial y Proyectos"/>
    <m/>
    <m/>
    <s v="SFAC-Sistema de Factoring"/>
    <m/>
    <s v="Otros"/>
    <s v="No Aplica"/>
    <s v="No aplica"/>
    <x v="1"/>
    <m/>
    <m/>
    <m/>
    <m/>
    <m/>
    <m/>
    <m/>
    <s v="Regularizado"/>
    <d v="2025-12-12T00:00:00"/>
    <x v="1"/>
    <m/>
    <s v="Jorge Mora Ruelas"/>
    <s v="Milagros Huamani"/>
    <x v="7"/>
    <s v="02. En Proceso"/>
    <m/>
    <m/>
    <m/>
    <d v="2026-01-27T00:00:00"/>
    <d v="2026-03-05T00:00:00"/>
    <m/>
    <d v="2026-03-06T00:00:00"/>
    <m/>
    <d v="2026-03-19T19:12:00"/>
    <m/>
    <m/>
    <d v="2026-03-26T19:12:00"/>
    <s v="09/03/26: Según CQ, actualizó el estado a 05. En Calidad_x000a_28/01/26: Según CQ, actualizó el estado a 03. En Desarrollo_x000a_15/12/25: Según CQ, actualizó el estado a 02. En Planificación_x000a_"/>
    <s v="Productos"/>
    <s v="ComercialProyectos"/>
    <s v="No definido"/>
    <s v="2025-12"/>
    <s v="2026-03"/>
    <x v="0"/>
    <x v="8"/>
    <m/>
    <m/>
    <m/>
    <m/>
    <m/>
    <s v="2025-IV"/>
    <s v="Sin Fecha Fin Producción"/>
    <s v="No Aplica"/>
    <m/>
    <s v="Finalizada"/>
    <s v="En_Certificación"/>
    <x v="168"/>
    <x v="0"/>
    <m/>
    <m/>
    <s v="Vencida"/>
    <s v="Sin Aplicativo"/>
    <s v="Sin Aplicativo"/>
    <x v="2"/>
    <x v="1"/>
    <m/>
    <s v=""/>
    <s v="Sin Fecha"/>
    <s v="No definido"/>
    <m/>
    <s v="Activos"/>
    <x v="0"/>
    <n v="0.7"/>
    <s v="POST"/>
    <s v="NO"/>
    <m/>
    <s v="SI"/>
    <s v="EN RIESGO 🟡"/>
    <n v="0.87777777777777777"/>
    <n v="0.7"/>
    <n v="0.17777777777777781"/>
    <n v="0.79746835443037967"/>
    <d v="2026-01-27T00:00:00"/>
    <d v="2026-01-27T00:00:00"/>
    <d v="2026-04-09T00:00:00"/>
    <d v="2026-04-13T00:00:00"/>
    <d v="2026-05-18T00:00:00"/>
    <d v="2026-05-19T00:00:00"/>
    <d v="2026-06-02T00:00:00"/>
    <n v="53"/>
    <n v="1"/>
    <n v="200"/>
    <m/>
    <s v="2. CALIDAD"/>
    <m/>
    <m/>
    <n v="0"/>
    <n v="53"/>
    <n v="0"/>
    <n v="424"/>
    <n v="0"/>
    <x v="6"/>
  </r>
  <r>
    <s v="M1286"/>
    <n v="3123"/>
    <x v="0"/>
    <s v="2025-T0842"/>
    <s v="2025-M0715"/>
    <s v="ME: BDUC: Complementarios al requerimiento de OPLAFT (PEP)."/>
    <m/>
    <x v="3"/>
    <s v="Prevención"/>
    <s v="Prevención"/>
    <m/>
    <m/>
    <s v="SIUC-Sistema de Información Unica de Clientes"/>
    <m/>
    <s v="Agencias"/>
    <s v="Cuenta de Ahorros"/>
    <s v="No aplica"/>
    <x v="0"/>
    <m/>
    <m/>
    <m/>
    <m/>
    <m/>
    <m/>
    <m/>
    <s v="Regularizado"/>
    <d v="2025-12-12T00:00:00"/>
    <x v="0"/>
    <m/>
    <s v="Johnny Luis Rocca Surco"/>
    <s v="Juan Carlos Zavaleta"/>
    <x v="6"/>
    <s v="02. En Proceso"/>
    <s v="Dependencia técnica"/>
    <m/>
    <m/>
    <d v="2026-02-26T00:00:00"/>
    <d v="2026-03-02T00:00:00"/>
    <m/>
    <d v="2026-03-04T00:00:00"/>
    <d v="2026-04-08T00:00:00"/>
    <d v="2026-03-03T14:24:00"/>
    <m/>
    <m/>
    <d v="2026-03-10T14:24:00"/>
    <s v="10/04/26: Según CQ, actualizó el estado a 06. Calidad Finalizado_x000a_05/03/26: Según CQ, actualizó el estado a 05. En Calidad_x000a_03/03/26: Según CQ, actualizó el estado a 04. Desarrollo Finalizado_x000a_19/02/26: Según CQ, actualizó el estado a 03. En Desarrollo_x000a_12/01/26: Según CQ, actualizó el estado a 05. En Calidad_x000a_12/01/26: Según CQ, actualizó el estado a 04. Desarrollo Finalizado_x000a_08/01/26: Según CQ, actualizó el estado a 05. En Calidad_x000a_05/01/26: Según CQ, actualizó el estado a 04. Desarrollo Finalizado_x000a_"/>
    <s v="PLAFT"/>
    <s v="Prevención"/>
    <s v="No definido"/>
    <s v="2025-12"/>
    <s v="2026-03"/>
    <x v="0"/>
    <x v="8"/>
    <m/>
    <m/>
    <m/>
    <m/>
    <m/>
    <s v="2025-IV"/>
    <s v="Sin Fecha Fin Producción"/>
    <s v="No Aplica"/>
    <m/>
    <s v="Finalizada"/>
    <s v="Certificado"/>
    <x v="169"/>
    <x v="0"/>
    <m/>
    <m/>
    <s v="Vencida"/>
    <s v="Clientes (BDUC)"/>
    <s v="Canales Presenciales"/>
    <x v="2"/>
    <x v="1"/>
    <m/>
    <s v=""/>
    <s v="Sin Fecha"/>
    <s v="No definido"/>
    <m/>
    <s v="Activos"/>
    <x v="0"/>
    <n v="0.85"/>
    <s v="POST"/>
    <s v="NO"/>
    <m/>
    <s v="SI"/>
    <s v="EN CURSO 🟢"/>
    <n v="1"/>
    <n v="0.9"/>
    <n v="9.9999999999999978E-2"/>
    <n v="0.9"/>
    <d v="2025-11-11T00:00:00"/>
    <d v="2025-11-11T00:00:00"/>
    <d v="2026-03-31T00:00:00"/>
    <d v="2026-04-01T00:00:00"/>
    <d v="2026-04-30T00:00:00"/>
    <d v="2026-05-15T00:00:00"/>
    <d v="2026-05-18T00:00:00"/>
    <n v="96"/>
    <n v="1"/>
    <n v="200"/>
    <m/>
    <s v="2. CALIDAD"/>
    <m/>
    <m/>
    <n v="0"/>
    <n v="96"/>
    <n v="0"/>
    <n v="768"/>
    <n v="0"/>
    <x v="8"/>
  </r>
  <r>
    <s v="M1287"/>
    <n v="3125"/>
    <x v="0"/>
    <s v="2025-T0874"/>
    <s v="2025-M0739"/>
    <s v="CGMN - GENERAR ORDEN PARA EXTRAER INFORMACION DE CHEQUES DE GERENCIA MN PARA UN RANGO DE TIEMPO DETERMINADO"/>
    <m/>
    <x v="0"/>
    <s v="Servicios Bancarios y Recaudación"/>
    <s v="Soporte Servicios Financieros"/>
    <m/>
    <m/>
    <s v="CGMN-Cheques de Gerencia MN."/>
    <m/>
    <s v="Otros"/>
    <s v="No Aplica"/>
    <s v="No aplica"/>
    <x v="2"/>
    <m/>
    <s v="SBS"/>
    <m/>
    <m/>
    <m/>
    <m/>
    <s v="No Aplica"/>
    <s v="Regularizado"/>
    <d v="2025-12-12T00:00:00"/>
    <x v="0"/>
    <s v="FS-Olssa"/>
    <s v="Pedro Jose Encalada Huertas"/>
    <s v="Junior Quicaño"/>
    <x v="1"/>
    <s v="03. Culminado"/>
    <m/>
    <m/>
    <m/>
    <d v="2025-11-27T00:00:00"/>
    <d v="2026-01-07T00:00:00"/>
    <m/>
    <d v="2026-01-14T00:00:00"/>
    <d v="2026-01-27T00:00:00"/>
    <d v="2026-01-23T09:36:00"/>
    <d v="2026-01-29T00:00:00"/>
    <d v="2026-02-04T00:00:00"/>
    <d v="2026-01-30T09:36:00"/>
    <s v="04/02/26: Según CQ, actualizó el estado a 08. Producción Finalizada_x000a_30/01/26: Según CQ, actualizó el estado a 07. En Despliegue_x000a_28/01/26: Según CQ, actualizó el estado a 06. Calidad Finalizado_x000a_15/01/26: Según CQ, actualizó el estado a 05. En Calidad_x000a_12/01/26: Según CQ, actualizó el estado a 04. Desarrollo Finalizado_x000a_12/01/26: Según CQ, actualizó el estado a 03. En Desarrollo_x000a_08/01/26: Según CQ, actualizó el estado a 04. Desarrollo Finalizado_x000a_"/>
    <s v="Operac."/>
    <s v="BancariosRecaudación"/>
    <s v="No definido"/>
    <s v="2025-12"/>
    <s v="2026-01"/>
    <x v="3"/>
    <x v="16"/>
    <m/>
    <m/>
    <m/>
    <m/>
    <m/>
    <s v="2025-IV"/>
    <n v="69"/>
    <n v="2.2999999999999998"/>
    <m/>
    <s v="Finalizada"/>
    <s v="Procesado"/>
    <x v="170"/>
    <x v="0"/>
    <m/>
    <m/>
    <s v="Culminado"/>
    <s v="Sin Aplicativo"/>
    <s v="Sin Aplicativo"/>
    <x v="2"/>
    <x v="1"/>
    <m/>
    <d v="2026-02-04T00:00:00"/>
    <s v="Culminado"/>
    <s v="Feb 2026"/>
    <m/>
    <s v="Culminado"/>
    <x v="0"/>
    <n v="1"/>
    <s v="POST"/>
    <s v="NO"/>
    <m/>
    <s v="No aplica"/>
    <s v="IMPLEMENTADO 🔵"/>
    <n v="1"/>
    <n v="1"/>
    <n v="0"/>
    <n v="1"/>
    <d v="2025-11-27T00:00:00"/>
    <d v="2025-11-27T00:00:00"/>
    <d v="2026-01-07T00:00:00"/>
    <d v="2026-01-14T00:00:00"/>
    <d v="2026-01-27T00:00:00"/>
    <d v="2026-01-29T00:00:00"/>
    <d v="2026-03-06T00:00:00"/>
    <n v="25"/>
    <n v="1"/>
    <n v="200"/>
    <m/>
    <s v="4. PRODUCCIÓN"/>
    <m/>
    <m/>
    <n v="0"/>
    <n v="25"/>
    <n v="0"/>
    <n v="200"/>
    <n v="0"/>
    <x v="4"/>
  </r>
  <r>
    <s v="M1288"/>
    <n v="3126"/>
    <x v="0"/>
    <s v="2025-T0875"/>
    <s v="2025-M0740"/>
    <s v="CGME - GENERAR ORDEN PARA EXTRAER INFORMACION DE CHEQUES DE GERENCIA M.E. PARA UN RANGO DE TIEMPO DETERMINADO"/>
    <m/>
    <x v="0"/>
    <s v="Servicios Bancarios y Recaudación"/>
    <s v="Soporte Servicios Financieros"/>
    <m/>
    <m/>
    <s v="CGME-Cheques de Gerencia ME."/>
    <m/>
    <s v="Otros"/>
    <s v="No Aplica"/>
    <s v="No aplica"/>
    <x v="2"/>
    <m/>
    <s v="SBS"/>
    <m/>
    <m/>
    <m/>
    <m/>
    <s v="No Aplica"/>
    <s v="Regularizado"/>
    <d v="2025-12-12T00:00:00"/>
    <x v="0"/>
    <s v="FS-Olssa"/>
    <s v="Pedro Jose Encalada Huertas"/>
    <s v="Junior Quicaño"/>
    <x v="1"/>
    <s v="03. Culminado"/>
    <m/>
    <m/>
    <m/>
    <d v="2025-11-27T00:00:00"/>
    <d v="2026-01-07T00:00:00"/>
    <m/>
    <d v="2026-01-14T00:00:00"/>
    <d v="2026-01-27T00:00:00"/>
    <d v="2026-01-23T09:36:00"/>
    <d v="2026-01-29T00:00:00"/>
    <d v="2026-02-04T00:00:00"/>
    <d v="2026-01-30T09:36:00"/>
    <s v="05/02/26: Según CQ, actualizó el estado a 08. Producción Finalizada_x000a_30/01/26: Según CQ, actualizó el estado a 07. En Despliegue_x000a_28/01/26: Según CQ, actualizó el estado a 06. Calidad Finalizado_x000a_15/01/26: Según CQ, actualizó el estado a 05. En Calidad_x000a_12/01/26: Según CQ, actualizó el estado a 04. Desarrollo Finalizado_x000a_12/01/26: Según CQ, actualizó el estado a 03. En Desarrollo_x000a_08/01/26: Según CQ, actualizó el estado a 04. Desarrollo Finalizado_x000a_"/>
    <s v="Operac."/>
    <s v="BancariosRecaudación"/>
    <s v="No definido"/>
    <s v="2025-12"/>
    <s v="2026-01"/>
    <x v="3"/>
    <x v="16"/>
    <m/>
    <m/>
    <m/>
    <m/>
    <m/>
    <s v="2025-IV"/>
    <n v="69"/>
    <n v="2.2999999999999998"/>
    <m/>
    <s v="Finalizada"/>
    <s v="Procesado"/>
    <x v="171"/>
    <x v="0"/>
    <m/>
    <m/>
    <s v="Culminado"/>
    <s v="BackOffice"/>
    <s v="Otros Requerimientos"/>
    <x v="2"/>
    <x v="1"/>
    <m/>
    <d v="2026-02-04T00:00:00"/>
    <s v="Culminado"/>
    <s v="Feb 2026"/>
    <m/>
    <s v="Culminado"/>
    <x v="0"/>
    <n v="1"/>
    <s v="POST"/>
    <s v="NO"/>
    <m/>
    <s v="No aplica"/>
    <s v="IMPLEMENTADO 🔵"/>
    <n v="1"/>
    <n v="1"/>
    <n v="0"/>
    <n v="1"/>
    <d v="2025-11-27T00:00:00"/>
    <d v="2025-11-27T00:00:00"/>
    <d v="2026-01-07T00:00:00"/>
    <d v="2026-01-14T00:00:00"/>
    <d v="2026-01-27T00:00:00"/>
    <d v="2026-01-29T00:00:00"/>
    <d v="2026-03-06T00:00:00"/>
    <n v="25"/>
    <n v="1"/>
    <n v="200"/>
    <m/>
    <s v="4. PRODUCCIÓN"/>
    <m/>
    <m/>
    <n v="0"/>
    <n v="25"/>
    <n v="0"/>
    <n v="200"/>
    <n v="0"/>
    <x v="4"/>
  </r>
  <r>
    <s v="M1289"/>
    <n v="3127"/>
    <x v="0"/>
    <s v="2025-T0891"/>
    <s v="2025-M0759"/>
    <s v="Alta Disponibilidad Sistema SCIT"/>
    <m/>
    <x v="0"/>
    <s v="Caja y Valores"/>
    <s v="Soporte Mesa de Dinero"/>
    <d v="2025-12-03T00:00:00"/>
    <s v="MEMORANDO N° 00000048 -2025-BN/3216"/>
    <s v="SCIT_Sistema Cambios Inversiones Tesoreria"/>
    <m/>
    <s v="Administrativo"/>
    <s v="Renta Fija"/>
    <s v="Compra y venta de moneda"/>
    <x v="1"/>
    <m/>
    <m/>
    <m/>
    <m/>
    <m/>
    <m/>
    <m/>
    <s v="Normal"/>
    <d v="2025-12-12T00:00:00"/>
    <x v="1"/>
    <m/>
    <s v="Jorge Mora Ruelas"/>
    <s v="Junior Quicaño"/>
    <x v="1"/>
    <s v="03. Culminado"/>
    <m/>
    <m/>
    <m/>
    <d v="2025-12-04T00:00:00"/>
    <d v="2025-12-15T00:00:00"/>
    <m/>
    <d v="2025-12-22T00:00:00"/>
    <d v="2025-12-23T00:00:00"/>
    <d v="2025-12-19T09:36:00"/>
    <d v="2026-01-07T00:00:00"/>
    <d v="2026-01-14T00:00:00"/>
    <d v="2025-12-26T09:36:00"/>
    <s v="15/01/26: Según CQ, actualizó el estado a 08. Producción Finalizada_x000a_12/01/26: Según CQ, actualizó el estado a 07. En Despliegue_x000a_12/01/26: Según CQ, actualizó el estado a 06. Calidad Finalizado_x000a_08/01/26: Según CQ, actualizó el estado a 07. En Despliegue_x000a_24/12/25: Según CQ, actualizó el estado a 06. Calidad Finalizado_x000a_16/12/25: Según CQ, actualizó el estado a 04. Desarrollo Finalizado_x000a_"/>
    <s v="Operac."/>
    <s v="CajaValores"/>
    <s v="2025-12"/>
    <s v="2025-12"/>
    <s v="2025-12"/>
    <x v="4"/>
    <x v="23"/>
    <m/>
    <m/>
    <m/>
    <m/>
    <m/>
    <s v="2025-IV"/>
    <n v="41"/>
    <n v="1.3666666666666667"/>
    <m/>
    <s v="Finalizada"/>
    <s v="Procesado"/>
    <x v="172"/>
    <x v="0"/>
    <m/>
    <m/>
    <s v="Culminado"/>
    <s v="Sin Aplicativo"/>
    <s v="Sin Aplicativo"/>
    <x v="2"/>
    <x v="1"/>
    <m/>
    <d v="2026-01-14T00:00:00"/>
    <s v="Culminado"/>
    <s v="Ene 2026"/>
    <m/>
    <s v="Culminado"/>
    <x v="0"/>
    <n v="1"/>
    <s v="POST"/>
    <s v="NO"/>
    <m/>
    <s v="No aplica"/>
    <s v="IMPLEMENTADO 🔵"/>
    <n v="1"/>
    <n v="1"/>
    <n v="0"/>
    <n v="1"/>
    <d v="2025-12-04T00:00:00"/>
    <d v="2025-12-04T00:00:00"/>
    <d v="2025-12-15T00:00:00"/>
    <d v="2025-12-22T00:00:00"/>
    <d v="2025-12-23T00:00:00"/>
    <d v="2026-01-07T00:00:00"/>
    <d v="2026-01-15T00:00:00"/>
    <n v="7"/>
    <n v="1"/>
    <n v="200"/>
    <m/>
    <s v="4. PRODUCCIÓN"/>
    <m/>
    <m/>
    <n v="0"/>
    <n v="7"/>
    <n v="0"/>
    <n v="56"/>
    <n v="0"/>
    <x v="9"/>
  </r>
  <r>
    <s v="M1290"/>
    <n v="3128"/>
    <x v="0"/>
    <s v="2025-T0895"/>
    <s v="2025-M0764"/>
    <s v="Implementacion de la Casilla Unica Peru (Ex Casilla unica electronica CUE) en elSTD"/>
    <m/>
    <x v="6"/>
    <s v="Servicios"/>
    <s v="Tramité Documentario"/>
    <d v="2025-12-10T00:00:00"/>
    <s v="MEMORANDO N° 00000107 -2025-BN/2202"/>
    <s v="STD4 - Actualización del STD a la versión 4.0"/>
    <m/>
    <s v="Administrativo"/>
    <s v="No Aplica"/>
    <n v="0"/>
    <x v="2"/>
    <m/>
    <s v="OTROS"/>
    <m/>
    <m/>
    <m/>
    <m/>
    <d v="2022-04-22T00:00:00"/>
    <s v="Normal"/>
    <d v="2025-12-12T00:00:00"/>
    <x v="1"/>
    <m/>
    <s v="Jorge Mora Ruelas"/>
    <s v="Maria Barboza"/>
    <x v="5"/>
    <s v="02. En Proceso"/>
    <m/>
    <m/>
    <m/>
    <d v="2025-12-10T00:00:00"/>
    <m/>
    <m/>
    <m/>
    <m/>
    <s v=""/>
    <m/>
    <m/>
    <s v=""/>
    <s v="19/01/2025: Cartera reasignada a Maria Barboza"/>
    <s v="Logística"/>
    <s v="Servicios"/>
    <s v="2025-12"/>
    <s v="2025-12"/>
    <s v="No definido"/>
    <x v="0"/>
    <x v="1"/>
    <m/>
    <m/>
    <m/>
    <m/>
    <m/>
    <s v="2025-IV"/>
    <s v="Sin Fecha Fin Producción"/>
    <s v="No Aplica"/>
    <m/>
    <s v="Asignada"/>
    <s v="Asignado"/>
    <x v="173"/>
    <x v="0"/>
    <m/>
    <m/>
    <s v="Sin Fecha"/>
    <s v="BackOffice"/>
    <s v="Otros Requerimientos"/>
    <x v="2"/>
    <x v="1"/>
    <m/>
    <s v=""/>
    <s v="Sin Fecha"/>
    <s v="No definido"/>
    <m/>
    <s v="Activos"/>
    <x v="0"/>
    <n v="0.15"/>
    <s v="POST"/>
    <s v="NO"/>
    <m/>
    <s v="SI"/>
    <s v="ATRASADO 🔴"/>
    <n v="0.47413793103448276"/>
    <n v="0.15"/>
    <n v="0.32413793103448274"/>
    <n v="0.31636363636363635"/>
    <d v="2025-12-10T00:00:00"/>
    <d v="2026-03-02T00:00:00"/>
    <d v="2026-06-30T00:00:00"/>
    <d v="2026-07-01T00:00:00"/>
    <d v="2026-08-04T00:00:00"/>
    <d v="2026-08-05T00:00:00"/>
    <d v="2026-08-14T00:00:00"/>
    <n v="85"/>
    <n v="0.63218390804597702"/>
    <n v="340"/>
    <m/>
    <s v="1. DESARROLLO"/>
    <m/>
    <m/>
    <n v="0.36781609195402298"/>
    <n v="54"/>
    <n v="31"/>
    <n v="216"/>
    <n v="124"/>
    <x v="5"/>
  </r>
  <r>
    <s v="M1291"/>
    <n v="3114"/>
    <x v="0"/>
    <s v="2025-T0861"/>
    <s v="2025-M0731"/>
    <s v="Actualización por aplicación de nuevo certificado de seguridad para el dominio bancamovil.bn.com.pe (Plataforma Android)"/>
    <m/>
    <x v="8"/>
    <s v="Seguridad Informática"/>
    <s v="Control de Operaciones de Seguridad"/>
    <d v="2025-11-07T00:00:00"/>
    <s v="INFORME N° 00000038 - 2025-BN/2532"/>
    <s v="SABM - Sistema Atencion Banca Movil"/>
    <m/>
    <s v="Banca Móvil (APP)"/>
    <s v="No Aplica"/>
    <s v="No aplica"/>
    <x v="1"/>
    <m/>
    <m/>
    <m/>
    <m/>
    <m/>
    <m/>
    <m/>
    <s v="Normal"/>
    <d v="2025-12-12T00:00:00"/>
    <x v="2"/>
    <m/>
    <s v="Juan Carlos Cordova Inga"/>
    <s v="Omar Sarmiento"/>
    <x v="1"/>
    <s v="03. Culminado"/>
    <m/>
    <m/>
    <m/>
    <d v="2025-11-24T00:00:00"/>
    <m/>
    <m/>
    <m/>
    <m/>
    <s v=""/>
    <d v="2025-11-28T00:00:00"/>
    <d v="2026-01-08T00:00:00"/>
    <s v=""/>
    <s v="12/01/26: Según CQ, actualizó el estado a 08. Producción Finalizada_x000a_16/12/25: Según CQ, actualizó el estado a 07. En Despliegue_x000a_"/>
    <s v="TI"/>
    <s v=""/>
    <s v="2025-11"/>
    <s v="2025-12"/>
    <s v="No definido"/>
    <x v="4"/>
    <x v="1"/>
    <m/>
    <m/>
    <m/>
    <m/>
    <m/>
    <s v="2025-IV"/>
    <n v="45"/>
    <n v="1.5"/>
    <m/>
    <s v="Finalizada"/>
    <s v="Transitorio_Regularizado"/>
    <x v="174"/>
    <x v="0"/>
    <m/>
    <m/>
    <s v="Culminado"/>
    <s v="Banca Movil"/>
    <s v="Canales Virtuales"/>
    <x v="2"/>
    <x v="1"/>
    <m/>
    <d v="2026-01-08T00:00:00"/>
    <s v="Culminado"/>
    <s v="Ene 2026"/>
    <m/>
    <s v="Culminado"/>
    <x v="0"/>
    <n v="1"/>
    <s v="POST"/>
    <s v="NO"/>
    <m/>
    <s v="No aplica"/>
    <s v="IMPLEMENTADO 🔵"/>
    <n v="1"/>
    <n v="1"/>
    <n v="0"/>
    <n v="1"/>
    <d v="2025-11-24T00:00:00"/>
    <d v="2025-11-24T00:00:00"/>
    <s v=""/>
    <s v=""/>
    <s v=""/>
    <d v="2025-11-28T00:00:00"/>
    <d v="2026-01-08T00:00:00"/>
    <n v="25"/>
    <n v="0.1"/>
    <n v="200"/>
    <m/>
    <s v="4. PRODUCCIÓN"/>
    <m/>
    <m/>
    <n v="0.9"/>
    <n v="1"/>
    <n v="24"/>
    <n v="8"/>
    <n v="192"/>
    <x v="9"/>
  </r>
  <r>
    <s v="M1292"/>
    <n v="3120"/>
    <x v="0"/>
    <s v="2025-T0880"/>
    <s v="2025-M0747"/>
    <s v="OCTAVO MANTENIMIENTO PREVENTIVO EN SISTEMA DE TRÁMITE DOCUMENTARIO STD"/>
    <m/>
    <x v="6"/>
    <s v="Servicios"/>
    <s v="Tramité Documentario"/>
    <d v="2025-11-28T00:00:00"/>
    <s v="MEMORANDO N° 00000108 - 2025-BN/2202"/>
    <s v="STD4 - Actualización del STD a la versión 4.0"/>
    <m/>
    <s v="Agencias"/>
    <s v="No Aplica"/>
    <s v="No aplica"/>
    <x v="0"/>
    <m/>
    <m/>
    <m/>
    <m/>
    <m/>
    <m/>
    <m/>
    <s v="Normal"/>
    <d v="2025-12-12T00:00:00"/>
    <x v="1"/>
    <m/>
    <s v="Pedro David Coca Rosales"/>
    <s v="Omar Sarmiento"/>
    <x v="1"/>
    <s v="03. Culminado"/>
    <m/>
    <m/>
    <m/>
    <d v="2025-11-28T00:00:00"/>
    <d v="2025-11-28T00:00:00"/>
    <m/>
    <d v="2025-11-28T00:00:00"/>
    <d v="2025-11-28T00:00:00"/>
    <d v="2025-11-28T00:00:00"/>
    <d v="2026-01-07T00:00:00"/>
    <d v="2026-01-08T00:00:00"/>
    <d v="2025-12-05T00:00:00"/>
    <s v="12/01/26: Según CQ, actualizó el estado a 08. Producción Finalizada_x000a_12/01/26: Según CQ, actualizó el estado a 06. Calidad Finalizado_x000a_08/01/26: Según CQ, actualizó el estado a 07. En Despliegue_x000a_16/12/25: Según CQ, actualizó el estado a 06. Calidad Finalizado_x000a_"/>
    <s v="Logística"/>
    <s v="Servicios"/>
    <s v="2025-11"/>
    <s v="2025-12"/>
    <s v="2025-11"/>
    <x v="4"/>
    <x v="23"/>
    <m/>
    <m/>
    <m/>
    <m/>
    <m/>
    <s v="2025-IV"/>
    <n v="41"/>
    <n v="1.3666666666666667"/>
    <m/>
    <s v="Finalizada"/>
    <s v="Procesado"/>
    <x v="175"/>
    <x v="0"/>
    <m/>
    <m/>
    <s v="Culminado"/>
    <s v="BackOffice"/>
    <s v="Otros Requerimientos"/>
    <x v="2"/>
    <x v="1"/>
    <m/>
    <d v="2026-01-08T00:00:00"/>
    <s v="Culminado"/>
    <s v="Ene 2026"/>
    <m/>
    <s v="Culminado"/>
    <x v="0"/>
    <n v="1"/>
    <s v="POST"/>
    <s v="NO"/>
    <m/>
    <s v="No aplica"/>
    <s v="IMPLEMENTADO 🔵"/>
    <n v="1"/>
    <n v="1"/>
    <n v="0"/>
    <n v="1"/>
    <d v="2025-11-28T00:00:00"/>
    <d v="2025-11-28T00:00:00"/>
    <d v="2025-11-28T00:00:00"/>
    <d v="2025-11-28T00:00:00"/>
    <d v="2025-11-28T00:00:00"/>
    <d v="2026-01-07T00:00:00"/>
    <d v="2026-01-08T00:00:00"/>
    <n v="1"/>
    <n v="1"/>
    <n v="200"/>
    <m/>
    <s v="4. PRODUCCIÓN"/>
    <m/>
    <m/>
    <n v="0"/>
    <n v="1"/>
    <n v="0"/>
    <n v="8"/>
    <n v="0"/>
    <x v="9"/>
  </r>
  <r>
    <s v="M1293"/>
    <n v="1720"/>
    <x v="0"/>
    <s v="2023-T0606"/>
    <s v="2023-M0546"/>
    <s v="Journal Diebold"/>
    <m/>
    <x v="2"/>
    <s v="Canales Alternos"/>
    <s v="Canales Presenciales"/>
    <d v="2023-08-31T00:00:00"/>
    <s v="MEMORANDO N° 00000432 - 2023-BN/3251"/>
    <s v="STRA - Proyecto de Stratus"/>
    <m/>
    <s v="ATMs"/>
    <s v="Cuenta de Ahorros"/>
    <s v="Tarjeta de Crédito Foránea"/>
    <x v="2"/>
    <m/>
    <m/>
    <m/>
    <m/>
    <m/>
    <m/>
    <m/>
    <s v="Normal"/>
    <m/>
    <x v="0"/>
    <m/>
    <s v="Vladimir Ronald Cajavilca Cajavilca"/>
    <s v="Omar Sarmiento"/>
    <x v="5"/>
    <s v="02. En Proceso"/>
    <m/>
    <m/>
    <m/>
    <m/>
    <m/>
    <m/>
    <m/>
    <m/>
    <s v=""/>
    <m/>
    <m/>
    <s v=""/>
    <s v="22/04/26: Según CQ, actualizó el estado a 03. En Desarrollo_x000a_04/03/26: Según CQ, actualizó el estado a 05. En Calidad_x000a_25/02/26: Según CQ, actualizó el estado a 04. Desarrollo Finalizado_x000a_"/>
    <s v="B.Digital"/>
    <s v="CanalesAlternos"/>
    <s v="2023-08"/>
    <s v="No definido"/>
    <s v="No definido"/>
    <x v="0"/>
    <x v="1"/>
    <m/>
    <m/>
    <m/>
    <m/>
    <m/>
    <m/>
    <s v="Sin Fechas"/>
    <s v="No Aplica"/>
    <m/>
    <s v="Finalizada"/>
    <s v="Rechazado"/>
    <x v="176"/>
    <x v="0"/>
    <m/>
    <m/>
    <s v="Sin Fecha"/>
    <s v="ATM-Agentes-VISA"/>
    <s v="Canales Presenciales"/>
    <x v="2"/>
    <x v="1"/>
    <m/>
    <s v=""/>
    <s v="Sin Fecha"/>
    <s v="No definido"/>
    <m/>
    <s v="Activos"/>
    <x v="0"/>
    <n v="0.45"/>
    <s v="POST"/>
    <s v="REACTIVADO 26"/>
    <s v="Reactivo"/>
    <s v="SI"/>
    <s v="ATRASADO 🔴"/>
    <n v="1"/>
    <n v="0.45"/>
    <n v="0.55000000000000004"/>
    <n v="0.45"/>
    <d v="2026-02-19T00:00:00"/>
    <d v="2026-02-19T00:00:00"/>
    <d v="2026-02-23T00:00:00"/>
    <d v="2026-03-03T00:00:00"/>
    <d v="2026-04-07T00:00:00"/>
    <d v="2026-04-10T00:00:00"/>
    <d v="2026-04-15T00:00:00"/>
    <n v="3"/>
    <n v="1"/>
    <n v="2.1818181818181817"/>
    <m/>
    <s v="1. DESARROLLO"/>
    <m/>
    <m/>
    <n v="0"/>
    <n v="3"/>
    <n v="0"/>
    <n v="2.1818181818181817"/>
    <n v="0"/>
    <x v="1"/>
  </r>
  <r>
    <s v="M1294"/>
    <n v="3087"/>
    <x v="0"/>
    <s v="2025-T0812"/>
    <s v="2025-M0688"/>
    <s v="Servicio de Pagaduría SBS FSD Cooperativas (renombrar código 0087)"/>
    <m/>
    <x v="0"/>
    <s v="Servicios Bancarios y Recaudación"/>
    <s v="Recaudación y Corresponsalía"/>
    <d v="2025-10-24T00:00:00"/>
    <s v="MEMORANDO N° 00000242 - 2025-BN/3243"/>
    <s v="PRCA- Prestamos Corresponsalia Agro"/>
    <m/>
    <s v="Agencias"/>
    <s v="No Aplica"/>
    <m/>
    <x v="0"/>
    <m/>
    <m/>
    <m/>
    <m/>
    <m/>
    <m/>
    <m/>
    <s v="Normal"/>
    <d v="2026-04-07T00:00:00"/>
    <x v="0"/>
    <m/>
    <s v="Waldo Antonio Basurto Valverde"/>
    <s v="Junior Quicaño"/>
    <x v="1"/>
    <s v="03. Culminado"/>
    <m/>
    <m/>
    <m/>
    <d v="2025-10-24T00:00:00"/>
    <d v="2026-02-26T00:00:00"/>
    <m/>
    <d v="2026-03-03T00:00:00"/>
    <d v="2026-03-12T00:00:00"/>
    <d v="2026-04-17T00:00:00"/>
    <d v="2026-03-17T00:00:00"/>
    <d v="2026-03-19T00:00:00"/>
    <d v="2026-04-24T00:00:00"/>
    <s v="13/04/26: Según CQ, actualizó el estado a 08. Producción Finalizada_x000a_24/02/2026: Se reactiva por actividad en el CQ del mantenimiento_x000a_15/01/2026: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10/25: Se registró en Backlog. _x000a_24/10/25: Se creo Tramite"/>
    <s v="Operac."/>
    <s v="BancariosRecaudación"/>
    <s v="2025-10"/>
    <s v="2026-04"/>
    <s v="2026-02"/>
    <x v="2"/>
    <x v="17"/>
    <m/>
    <m/>
    <m/>
    <m/>
    <m/>
    <m/>
    <n v="146"/>
    <n v="4.8666666666666663"/>
    <m/>
    <s v="Finalizada"/>
    <s v="Procesado"/>
    <x v="177"/>
    <x v="0"/>
    <m/>
    <m/>
    <s v="Culminado"/>
    <s v="BackOffice"/>
    <s v="Otros Requerimientos"/>
    <x v="2"/>
    <x v="1"/>
    <m/>
    <d v="2026-03-19T00:00:00"/>
    <s v="Culminado"/>
    <s v="Mar 2026"/>
    <m/>
    <s v="Culminado"/>
    <x v="0"/>
    <n v="1"/>
    <s v="POST"/>
    <m/>
    <m/>
    <s v="No aplica"/>
    <s v="IMPLEMENTADO 🔵"/>
    <n v="1"/>
    <n v="1"/>
    <s v=""/>
    <s v=""/>
    <m/>
    <m/>
    <m/>
    <m/>
    <m/>
    <m/>
    <m/>
    <n v="25"/>
    <n v="0.1"/>
    <n v="200"/>
    <m/>
    <s v="4. PRODUCCIÓN"/>
    <m/>
    <m/>
    <n v="0.9"/>
    <n v="1"/>
    <n v="24"/>
    <n v="8"/>
    <n v="192"/>
    <x v="0"/>
  </r>
  <r>
    <s v="M1295"/>
    <n v="3094"/>
    <x v="0"/>
    <s v="2026-T0130"/>
    <s v="2026-M0150"/>
    <s v="Implementación API REST - Migración de Pago de Servicios"/>
    <m/>
    <x v="8"/>
    <s v="Producción"/>
    <s v="Operaciones de la Infraestructura Tecnológica"/>
    <d v="2025-06-23T00:00:00"/>
    <s v="MEMORANDO N° 00000097 - 2025-BN/2573"/>
    <s v="PGTE-Pagos de Telefónica"/>
    <m/>
    <s v="Banca Móvil (APP)"/>
    <s v="No Aplica"/>
    <m/>
    <x v="0"/>
    <m/>
    <m/>
    <m/>
    <m/>
    <m/>
    <m/>
    <m/>
    <s v="Normal"/>
    <d v="2026-04-07T00:00:00"/>
    <x v="0"/>
    <m/>
    <s v="Norma Fukunaga Fuentes"/>
    <s v="Tomas Calvera"/>
    <x v="5"/>
    <s v="02. En Proceso"/>
    <m/>
    <m/>
    <m/>
    <d v="2026-04-13T00:00:00"/>
    <m/>
    <m/>
    <m/>
    <m/>
    <s v=""/>
    <m/>
    <m/>
    <s v=""/>
    <s v="16/04/26: El pase aun no se da ya que dicho mantenimietno implican DCOM SERVER_x000a_3/11/25: Se registró en Backlog_x000a_23/03/26: Se registro tramite"/>
    <s v="TI"/>
    <s v="Producción"/>
    <s v="2025-06"/>
    <s v="2026-04"/>
    <s v="No definido"/>
    <x v="0"/>
    <x v="1"/>
    <m/>
    <m/>
    <m/>
    <m/>
    <m/>
    <m/>
    <s v="Sin Fecha Fin Producción"/>
    <s v="No Aplica"/>
    <m/>
    <s v="Iniciada"/>
    <s v="Asignado"/>
    <x v="178"/>
    <x v="0"/>
    <m/>
    <m/>
    <s v="Sin Fecha"/>
    <s v="Sin Aplicativo"/>
    <s v="Sin Aplicativo"/>
    <x v="2"/>
    <x v="1"/>
    <m/>
    <s v=""/>
    <s v="Sin Fecha"/>
    <s v="No definido"/>
    <m/>
    <s v="Activos"/>
    <x v="0"/>
    <n v="0.25"/>
    <s v="POST"/>
    <m/>
    <m/>
    <s v="SI"/>
    <s v="EN RIESGO 🟡"/>
    <n v="0.44117647058823528"/>
    <n v="0.25"/>
    <n v="0.19117647058823528"/>
    <n v="0.56666666666666665"/>
    <m/>
    <d v="2026-04-06T00:00:00"/>
    <d v="2026-05-29T00:00:00"/>
    <d v="2026-06-08T00:00:00"/>
    <d v="2026-06-26T00:00:00"/>
    <d v="2026-06-29T00:00:00"/>
    <d v="2026-07-10T00:00:00"/>
    <n v="39"/>
    <n v="0.75"/>
    <n v="104"/>
    <m/>
    <s v="1. DESARROLLO"/>
    <m/>
    <m/>
    <n v="0.25"/>
    <n v="29"/>
    <n v="10"/>
    <n v="77.333333333333329"/>
    <n v="26.666666666666664"/>
    <x v="10"/>
  </r>
  <r>
    <s v="M1296"/>
    <n v="3129"/>
    <x v="0"/>
    <s v="2025-T0898"/>
    <s v="2025-M0767"/>
    <s v="Cambios de mandatorios de mensajes Swift"/>
    <m/>
    <x v="0"/>
    <s v="Caja y Valores"/>
    <s v="Soporte Mesa de Dinero"/>
    <d v="2025-12-03T00:00:00"/>
    <s v="MEMORANDO N° 00000048 - 2025-BN/3216"/>
    <s v="SCIT_Sistema Cambios Inversiones Tesoreria"/>
    <m/>
    <s v="Administrativo"/>
    <s v="Otros"/>
    <s v="Compra y venta de moneda"/>
    <x v="0"/>
    <m/>
    <m/>
    <m/>
    <m/>
    <m/>
    <m/>
    <m/>
    <s v="Normal"/>
    <d v="2026-04-07T00:00:00"/>
    <x v="1"/>
    <m/>
    <s v="Jorge Mora Ruelas"/>
    <s v="Junior Quicaño"/>
    <x v="1"/>
    <s v="03. Culminado"/>
    <m/>
    <m/>
    <m/>
    <d v="2025-12-12T00:00:00"/>
    <d v="2025-12-19T00:00:00"/>
    <m/>
    <d v="2025-12-22T00:00:00"/>
    <d v="2025-12-23T00:00:00"/>
    <d v="2025-12-21T19:12:00"/>
    <d v="2025-12-29T00:00:00"/>
    <d v="2025-12-29T00:00:00"/>
    <d v="2025-12-28T19:12:00"/>
    <s v="13/04/26: Según CQ, actualizó el estado a 08. Producción Finalizada_x000a_12/12/25: Se registró en el Backlog._x000a_12/12/25: Se creo trámite_x000a__x000a_Requerimiento Complementario a Recomendación de Auditoría Interna  "/>
    <s v="Operac."/>
    <s v="CajaValores"/>
    <s v="2025-12"/>
    <s v="2026-04"/>
    <s v="2025-12"/>
    <x v="7"/>
    <x v="23"/>
    <m/>
    <m/>
    <m/>
    <m/>
    <m/>
    <m/>
    <n v="17"/>
    <n v="0.56666666666666665"/>
    <m/>
    <s v="Finalizada"/>
    <s v="Procesado"/>
    <x v="179"/>
    <x v="0"/>
    <m/>
    <m/>
    <s v="Culminado"/>
    <s v="Sin Aplicativo"/>
    <s v="Sin Aplicativo"/>
    <x v="2"/>
    <x v="1"/>
    <m/>
    <d v="2025-12-29T00:00:00"/>
    <s v="Culminado"/>
    <s v="Dic 2025"/>
    <m/>
    <s v="Culminado"/>
    <x v="0"/>
    <n v="1"/>
    <s v="POST"/>
    <m/>
    <m/>
    <s v="No aplica"/>
    <s v="IMPLEMENTADO 🔵"/>
    <n v="1"/>
    <n v="1"/>
    <s v=""/>
    <s v=""/>
    <m/>
    <m/>
    <m/>
    <m/>
    <m/>
    <m/>
    <m/>
    <n v="25"/>
    <n v="0.1"/>
    <n v="200"/>
    <m/>
    <s v="4. PRODUCCIÓN"/>
    <m/>
    <m/>
    <n v="0.9"/>
    <n v="1"/>
    <n v="24"/>
    <n v="8"/>
    <n v="192"/>
    <x v="0"/>
  </r>
  <r>
    <s v="M1297"/>
    <n v="3130"/>
    <x v="0"/>
    <s v="2025-T0899"/>
    <s v="2025-M0768"/>
    <s v="Extraccion periodica de la informacion del sistema SYGNUS que se encuentra en el entorno de Open Distribuido"/>
    <m/>
    <x v="5"/>
    <s v="Administración de Personal"/>
    <s v="Registro de Personal"/>
    <d v="2025-02-17T00:00:00"/>
    <s v="MEMORANDO N° 00000004 - 2025-BN/2320"/>
    <s v="OSAI -: Oracle Sistema Administrativo Integrado"/>
    <m/>
    <s v="Otros"/>
    <s v="No Aplica"/>
    <s v="No aplica"/>
    <x v="0"/>
    <m/>
    <m/>
    <m/>
    <m/>
    <m/>
    <m/>
    <m/>
    <s v="Normal"/>
    <d v="2026-04-07T00:00:00"/>
    <x v="1"/>
    <m/>
    <s v="Luis Enrique Almeyda Pachas"/>
    <s v="Juan Carlos Zavaleta"/>
    <x v="1"/>
    <s v="03. Culminado"/>
    <m/>
    <m/>
    <m/>
    <d v="2026-01-26T00:00:00"/>
    <d v="2026-01-26T00:00:00"/>
    <m/>
    <d v="2026-01-27T00:00:00"/>
    <d v="2026-02-11T00:00:00"/>
    <d v="2026-01-26T00:00:00"/>
    <d v="2026-03-18T00:00:00"/>
    <d v="2026-03-23T00:00:00"/>
    <d v="2026-02-02T00:00:00"/>
    <s v="13/04/26: Según CQ, actualizó el estado a 08. Producción Finalizada_x000a_12/12/25: Se registró en el Backlog._x000a_12/12/25: Se creo trámite_x000a_"/>
    <s v="RRHH"/>
    <s v="AdministraciónPersonal"/>
    <s v="2025-02"/>
    <s v="2026-04"/>
    <s v="2026-01"/>
    <x v="2"/>
    <x v="2"/>
    <m/>
    <m/>
    <m/>
    <m/>
    <m/>
    <m/>
    <n v="56"/>
    <n v="1.8666666666666667"/>
    <m/>
    <s v="Finalizada"/>
    <s v="Procesado"/>
    <x v="180"/>
    <x v="0"/>
    <m/>
    <m/>
    <s v="Culminado"/>
    <s v="Oracle"/>
    <s v="Otros Requerimientos"/>
    <x v="2"/>
    <x v="1"/>
    <m/>
    <d v="2026-03-23T00:00:00"/>
    <s v="Culminado"/>
    <s v="Mar 2026"/>
    <m/>
    <s v="Culminado"/>
    <x v="0"/>
    <n v="1"/>
    <s v="POST"/>
    <m/>
    <m/>
    <s v="No aplica"/>
    <s v="IMPLEMENTADO 🔵"/>
    <n v="1"/>
    <n v="1"/>
    <s v=""/>
    <s v=""/>
    <m/>
    <m/>
    <m/>
    <m/>
    <m/>
    <m/>
    <m/>
    <n v="25"/>
    <n v="0.1"/>
    <n v="200"/>
    <m/>
    <s v="4. PRODUCCIÓN"/>
    <m/>
    <m/>
    <n v="0.9"/>
    <n v="1"/>
    <n v="24"/>
    <n v="8"/>
    <n v="192"/>
    <x v="0"/>
  </r>
  <r>
    <s v="M1298"/>
    <n v="3131"/>
    <x v="0"/>
    <s v="2025-T0901"/>
    <m/>
    <s v="Inscripción de Códigos UNP"/>
    <m/>
    <x v="0"/>
    <s v="Servicios Bancarios y Recaudación"/>
    <s v="Recaudación y Corresponsalía"/>
    <d v="2025-10-16T00:00:00"/>
    <s v="MEMORANDO N° 00000235 - 2025-BN/3243"/>
    <m/>
    <m/>
    <s v="Agencias"/>
    <m/>
    <s v="Servicios Bancarios Diversos "/>
    <x v="0"/>
    <m/>
    <m/>
    <m/>
    <m/>
    <m/>
    <m/>
    <m/>
    <s v="Normal"/>
    <d v="2026-04-07T00:00:00"/>
    <x v="0"/>
    <m/>
    <m/>
    <s v="Junior Quicaño"/>
    <x v="2"/>
    <s v="01. No iniciado"/>
    <m/>
    <m/>
    <m/>
    <m/>
    <m/>
    <m/>
    <m/>
    <m/>
    <s v=""/>
    <m/>
    <m/>
    <s v=""/>
    <s v="16/12/25: Se registró en el Backlog._x000a_16/12/25: Se creo trámite_x000a__x000a_Rutinario"/>
    <s v="Operac."/>
    <s v="BancariosRecaudación"/>
    <s v="2025-10"/>
    <s v="2026-04"/>
    <s v="No definido"/>
    <x v="0"/>
    <x v="1"/>
    <m/>
    <m/>
    <m/>
    <m/>
    <m/>
    <m/>
    <s v="Sin Fechas"/>
    <s v="No Aplica"/>
    <m/>
    <m/>
    <m/>
    <x v="3"/>
    <x v="0"/>
    <m/>
    <m/>
    <s v="Sin Mantenimiento"/>
    <s v="Sin Aplicativo"/>
    <s v="Sin Aplicativo"/>
    <x v="2"/>
    <x v="1"/>
    <m/>
    <s v=""/>
    <s v="Sin Mantenimiento"/>
    <s v="No definido"/>
    <m/>
    <s v="Activos"/>
    <x v="0"/>
    <n v="0.1"/>
    <s v="POST"/>
    <m/>
    <m/>
    <s v="NO"/>
    <s v="Sin Cronograma 🔵"/>
    <s v=""/>
    <n v="0.1"/>
    <s v=""/>
    <s v=""/>
    <m/>
    <m/>
    <m/>
    <m/>
    <m/>
    <m/>
    <m/>
    <n v="25"/>
    <n v="0.1"/>
    <n v="200"/>
    <m/>
    <s v="1. DESARROLLO"/>
    <m/>
    <m/>
    <n v="0.9"/>
    <n v="1"/>
    <n v="24"/>
    <n v="8"/>
    <n v="192"/>
    <x v="0"/>
  </r>
  <r>
    <s v="M1299"/>
    <n v="3132"/>
    <x v="0"/>
    <s v="2025-T0902"/>
    <m/>
    <s v="Incorporación de Códigos UNE_UNPRG_UNAJ"/>
    <m/>
    <x v="0"/>
    <s v="Servicios Bancarios y Recaudación"/>
    <s v="Recaudación y Corresponsalía"/>
    <d v="2025-10-16T00:00:00"/>
    <s v="MEMORANDO N° 00000227 - 2025-BN/3243"/>
    <m/>
    <m/>
    <s v="Agencias"/>
    <m/>
    <s v="Servicios Bancarios Diversos "/>
    <x v="0"/>
    <m/>
    <m/>
    <m/>
    <m/>
    <m/>
    <m/>
    <m/>
    <s v="Normal"/>
    <d v="2026-04-07T00:00:00"/>
    <x v="0"/>
    <m/>
    <m/>
    <s v="Junior Quicaño"/>
    <x v="2"/>
    <s v="01. No iniciado"/>
    <m/>
    <m/>
    <m/>
    <m/>
    <m/>
    <m/>
    <m/>
    <m/>
    <s v=""/>
    <m/>
    <m/>
    <s v=""/>
    <s v="16/12/25: Se registró en el Backlog._x000a_16/12/25: Se creo trámite_x000a__x000a_Rutinario"/>
    <s v="Operac."/>
    <s v="BancariosRecaudación"/>
    <s v="2025-10"/>
    <s v="2026-04"/>
    <s v="No definido"/>
    <x v="0"/>
    <x v="1"/>
    <m/>
    <m/>
    <m/>
    <m/>
    <m/>
    <m/>
    <s v="Sin Fechas"/>
    <s v="No Aplica"/>
    <m/>
    <m/>
    <m/>
    <x v="3"/>
    <x v="0"/>
    <m/>
    <m/>
    <s v="Sin Mantenimiento"/>
    <s v="Sin Aplicativo"/>
    <s v="Sin Aplicativo"/>
    <x v="2"/>
    <x v="1"/>
    <m/>
    <s v=""/>
    <s v="Sin Mantenimiento"/>
    <s v="No definido"/>
    <m/>
    <s v="Activos"/>
    <x v="0"/>
    <n v="0.1"/>
    <s v="POST"/>
    <m/>
    <m/>
    <s v="NO"/>
    <s v="Sin Cronograma 🔵"/>
    <s v=""/>
    <n v="0.1"/>
    <s v=""/>
    <s v=""/>
    <m/>
    <m/>
    <m/>
    <m/>
    <m/>
    <m/>
    <m/>
    <n v="25"/>
    <n v="0.1"/>
    <n v="200"/>
    <m/>
    <s v="1. DESARROLLO"/>
    <m/>
    <m/>
    <n v="0.9"/>
    <n v="1"/>
    <n v="24"/>
    <n v="8"/>
    <n v="192"/>
    <x v="0"/>
  </r>
  <r>
    <s v="M1300"/>
    <n v="3133"/>
    <x v="0"/>
    <s v="2025-T0651"/>
    <s v="2025-M0770"/>
    <s v="Identificación de riesgos cambiario crediticio para los clientes minoristas"/>
    <m/>
    <x v="7"/>
    <s v="Riesgos Crediticios y Financieros"/>
    <s v="Evaluación de Cartera de Créditos"/>
    <d v="2025-12-15T00:00:00"/>
    <s v="MEMORANDO N° 00000045 - 2025-BN/2191"/>
    <s v="COBD-Contabilidad-RCD"/>
    <m/>
    <s v="Otros"/>
    <s v="No Aplica"/>
    <s v="No aplica"/>
    <x v="2"/>
    <m/>
    <s v="SBS"/>
    <s v="Resolución SBS N° 00774-2025"/>
    <m/>
    <m/>
    <m/>
    <m/>
    <s v="Normal"/>
    <d v="2026-04-07T00:00:00"/>
    <x v="0"/>
    <m/>
    <s v="Pedro Jose Encalada Huertas"/>
    <s v="Maria Barboza"/>
    <x v="7"/>
    <s v="02. En Proceso"/>
    <m/>
    <m/>
    <m/>
    <d v="2025-12-16T00:00:00"/>
    <d v="2026-03-19T00:00:00"/>
    <m/>
    <d v="2026-03-30T00:00:00"/>
    <m/>
    <d v="2026-04-25T04:48:00"/>
    <m/>
    <m/>
    <d v="2026-05-02T04:48:00"/>
    <s v="13/04/26: Según CQ, actualizó el estado a 05. En Calidad_x000a_16/12/25: Se registró en el Backlog._x000a_16/12/25: Tramite del ID 2936_x000a__x000a_Olssa"/>
    <s v="Riesgos"/>
    <s v="CrediticiosFinancieros"/>
    <s v="2025-12"/>
    <s v="2026-04"/>
    <s v="2026-03"/>
    <x v="0"/>
    <x v="0"/>
    <m/>
    <m/>
    <m/>
    <m/>
    <m/>
    <m/>
    <s v="Sin Fecha Fin Producción"/>
    <s v="No Aplica"/>
    <m/>
    <s v="Finalizada"/>
    <s v="En_Certificación"/>
    <x v="124"/>
    <x v="0"/>
    <m/>
    <m/>
    <s v="Vencida"/>
    <s v="BackOffice"/>
    <s v="Otros Requerimientos"/>
    <x v="2"/>
    <x v="1"/>
    <m/>
    <s v=""/>
    <s v="Sin Fecha"/>
    <s v="No definido"/>
    <m/>
    <s v="Activos"/>
    <x v="0"/>
    <n v="0.7"/>
    <s v="POST"/>
    <m/>
    <m/>
    <s v="NO"/>
    <s v="Sin Cronograma 🔵"/>
    <s v=""/>
    <n v="0.7"/>
    <s v=""/>
    <s v=""/>
    <m/>
    <m/>
    <m/>
    <m/>
    <m/>
    <m/>
    <m/>
    <n v="25"/>
    <n v="0.1"/>
    <n v="200"/>
    <m/>
    <s v="2. CALIDAD"/>
    <m/>
    <m/>
    <n v="0.9"/>
    <n v="1"/>
    <n v="24"/>
    <n v="8"/>
    <n v="192"/>
    <x v="0"/>
  </r>
  <r>
    <s v="M1301"/>
    <n v="3134"/>
    <x v="0"/>
    <s v="2025-T0904"/>
    <s v="2025-M0773"/>
    <s v="Creación de Base de Datos de Clientes No Minoristas Expuestos a Riesgo Cambiario Crediticio_x000a_"/>
    <m/>
    <x v="7"/>
    <s v="Riesgos Crediticios y Financieros"/>
    <s v="Evaluación de Cartera de Créditos"/>
    <d v="2025-12-15T00:00:00"/>
    <s v="MEMORANDO N° 00000045 - 2025-BN/2191"/>
    <s v="COBD-Contabilidad-RCD"/>
    <m/>
    <s v="Otros"/>
    <s v="No Aplica"/>
    <s v="No aplica"/>
    <x v="2"/>
    <m/>
    <s v="SBS"/>
    <s v="Resolución SBS N° 00774-2025"/>
    <m/>
    <m/>
    <m/>
    <m/>
    <s v="Normal"/>
    <d v="2026-04-07T00:00:00"/>
    <x v="0"/>
    <m/>
    <s v="Pedro Jose Encalada Huertas"/>
    <s v="Maria Barboza"/>
    <x v="7"/>
    <s v="02. En Proceso"/>
    <m/>
    <m/>
    <m/>
    <d v="2025-12-17T00:00:00"/>
    <d v="2026-03-19T00:00:00"/>
    <m/>
    <d v="2026-03-30T00:00:00"/>
    <m/>
    <d v="2026-04-24T19:12:00"/>
    <m/>
    <m/>
    <d v="2026-05-01T19:12:00"/>
    <s v="13/04/26: Según CQ, actualizó el estado a 05. En Calidad_x000a_16/12/25: Se registró en el Backlog._x000a_16/12/25: Se creo trámite_x000a__x000a_Olssa"/>
    <s v="Riesgos"/>
    <s v="CrediticiosFinancieros"/>
    <s v="2025-12"/>
    <s v="2026-04"/>
    <s v="2026-03"/>
    <x v="0"/>
    <x v="0"/>
    <m/>
    <m/>
    <m/>
    <m/>
    <m/>
    <m/>
    <s v="Sin Fecha Fin Producción"/>
    <s v="No Aplica"/>
    <m/>
    <s v="Finalizada"/>
    <s v="En_Certificación"/>
    <x v="181"/>
    <x v="0"/>
    <m/>
    <m/>
    <s v="Vencida"/>
    <s v="BackOffice"/>
    <s v="Otros Requerimientos"/>
    <x v="2"/>
    <x v="1"/>
    <m/>
    <s v=""/>
    <s v="Sin Fecha"/>
    <s v="No definido"/>
    <m/>
    <s v="Activos"/>
    <x v="0"/>
    <n v="0.7"/>
    <s v="POST"/>
    <m/>
    <m/>
    <s v="NO"/>
    <s v="Sin Cronograma 🔵"/>
    <s v=""/>
    <n v="0.7"/>
    <s v=""/>
    <s v=""/>
    <m/>
    <m/>
    <m/>
    <m/>
    <m/>
    <m/>
    <m/>
    <n v="25"/>
    <n v="0.1"/>
    <n v="200"/>
    <m/>
    <s v="2. CALIDAD"/>
    <m/>
    <m/>
    <n v="0.9"/>
    <n v="1"/>
    <n v="24"/>
    <n v="8"/>
    <n v="192"/>
    <x v="0"/>
  </r>
  <r>
    <s v="M1302"/>
    <n v="3135"/>
    <x v="0"/>
    <s v="2025-T0905"/>
    <m/>
    <s v="Pago Electrónico Embargos Sunat"/>
    <m/>
    <x v="0"/>
    <s v="Servicios Bancarios y Recaudación"/>
    <s v="Recaudación y Corresponsalía"/>
    <d v="2025-11-19T00:00:00"/>
    <s v="MEMORANDO N° 00000255 - 2025-BN/3243"/>
    <m/>
    <m/>
    <s v="Administrativo"/>
    <s v="Otros"/>
    <m/>
    <x v="0"/>
    <m/>
    <m/>
    <m/>
    <m/>
    <m/>
    <m/>
    <m/>
    <s v="Normal"/>
    <d v="2026-04-07T00:00:00"/>
    <x v="0"/>
    <m/>
    <m/>
    <s v="Junior Quicaño"/>
    <x v="2"/>
    <s v="01. No iniciado"/>
    <m/>
    <m/>
    <m/>
    <m/>
    <m/>
    <m/>
    <m/>
    <m/>
    <s v=""/>
    <m/>
    <m/>
    <s v=""/>
    <s v="16/12/25: Se registró en el Backlog._x000a_16/12/25: Se creo trámite_x000a__x000a_Requerimiento MEF"/>
    <s v="Operac."/>
    <s v="BancariosRecaudación"/>
    <s v="2025-11"/>
    <s v="2026-04"/>
    <s v="No definido"/>
    <x v="0"/>
    <x v="1"/>
    <m/>
    <m/>
    <m/>
    <m/>
    <m/>
    <m/>
    <s v="Sin Fechas"/>
    <s v="No Aplica"/>
    <m/>
    <m/>
    <m/>
    <x v="3"/>
    <x v="0"/>
    <m/>
    <m/>
    <s v="Sin Mantenimiento"/>
    <s v="Sin Aplicativo"/>
    <s v="Sin Aplicativo"/>
    <x v="2"/>
    <x v="1"/>
    <m/>
    <s v=""/>
    <s v="Sin Mantenimiento"/>
    <s v="No definido"/>
    <m/>
    <s v="Activos"/>
    <x v="0"/>
    <n v="0.1"/>
    <s v="POST"/>
    <m/>
    <m/>
    <s v="NO"/>
    <s v="Sin Cronograma 🔵"/>
    <s v=""/>
    <n v="0.1"/>
    <s v=""/>
    <s v=""/>
    <m/>
    <m/>
    <m/>
    <m/>
    <m/>
    <m/>
    <m/>
    <n v="25"/>
    <n v="0.1"/>
    <n v="200"/>
    <m/>
    <s v="1. DESARROLLO"/>
    <m/>
    <m/>
    <n v="0.9"/>
    <n v="1"/>
    <n v="24"/>
    <n v="8"/>
    <n v="192"/>
    <x v="0"/>
  </r>
  <r>
    <s v="M1303"/>
    <n v="3136"/>
    <x v="0"/>
    <s v="2025-T0907"/>
    <s v="2026-M0004"/>
    <s v="Actualización de tabla de Aranceles Indecopi"/>
    <m/>
    <x v="0"/>
    <s v="Servicios Bancarios y Recaudación"/>
    <s v="Recaudación y Corresponsalía"/>
    <d v="2025-12-12T00:00:00"/>
    <s v="MEMORANDO N° 00000268 - 2025-BN/3243"/>
    <s v="RECC-Recaudación Cobranza Coactiva"/>
    <m/>
    <s v="Agencias"/>
    <s v="Págalo.pe (APP-Web)"/>
    <s v="Pagos "/>
    <x v="0"/>
    <m/>
    <m/>
    <m/>
    <m/>
    <m/>
    <m/>
    <m/>
    <s v="Normal"/>
    <d v="2026-04-07T00:00:00"/>
    <x v="0"/>
    <m/>
    <s v="Jorge Lucio Ruedas Fernandez"/>
    <s v="Junior Quicaño"/>
    <x v="1"/>
    <s v="03. Culminado"/>
    <m/>
    <m/>
    <m/>
    <d v="2026-01-05T00:00:00"/>
    <d v="2026-01-30T00:00:00"/>
    <m/>
    <d v="2026-02-02T00:00:00"/>
    <d v="2026-02-18T00:00:00"/>
    <d v="2026-02-09T00:00:00"/>
    <d v="2026-03-09T00:00:00"/>
    <d v="2026-03-09T00:00:00"/>
    <d v="2026-02-16T00:00:00"/>
    <s v="13/04/26: Según CQ, actualizó el estado a 08. Producción Finalizada_x000a_17/12/25: Se registró en el Backlog._x000a_17/12/25: Se creo trámite_x000a_"/>
    <s v="Operac."/>
    <s v="BancariosRecaudación"/>
    <s v="2025-12"/>
    <s v="2026-04"/>
    <s v="2026-01"/>
    <x v="2"/>
    <x v="2"/>
    <m/>
    <m/>
    <m/>
    <m/>
    <m/>
    <m/>
    <n v="63"/>
    <n v="2.1"/>
    <m/>
    <s v="Finalizada"/>
    <s v="Procesado"/>
    <x v="182"/>
    <x v="0"/>
    <m/>
    <m/>
    <s v="Culminado"/>
    <s v="BackOffice"/>
    <s v="Otros Requerimientos"/>
    <x v="2"/>
    <x v="1"/>
    <m/>
    <d v="2026-03-09T00:00:00"/>
    <s v="Culminado"/>
    <s v="Mar 2026"/>
    <m/>
    <s v="Culminado"/>
    <x v="0"/>
    <n v="1"/>
    <s v="POST"/>
    <m/>
    <m/>
    <s v="No aplica"/>
    <s v="IMPLEMENTADO 🔵"/>
    <n v="1"/>
    <n v="1"/>
    <s v=""/>
    <s v=""/>
    <m/>
    <m/>
    <m/>
    <m/>
    <m/>
    <m/>
    <m/>
    <n v="25"/>
    <n v="0.1"/>
    <n v="200"/>
    <m/>
    <s v="4. PRODUCCIÓN"/>
    <m/>
    <m/>
    <n v="0.9"/>
    <n v="1"/>
    <n v="24"/>
    <n v="8"/>
    <n v="192"/>
    <x v="0"/>
  </r>
  <r>
    <s v="M1304"/>
    <n v="3137"/>
    <x v="0"/>
    <s v="2025-T0908"/>
    <m/>
    <s v="Incorporar 2 tipos de documento en la transacción 9120 Indecopi  "/>
    <m/>
    <x v="0"/>
    <s v="Servicios Bancarios y Recaudación"/>
    <s v="Recaudación y Corresponsalía"/>
    <d v="2025-12-12T00:00:00"/>
    <s v="MEMORANDO N° 00000269 - 2025-BN/3243"/>
    <m/>
    <m/>
    <s v="Agencias"/>
    <s v="Págalo.pe (APP-Web)"/>
    <s v="Pagos "/>
    <x v="0"/>
    <m/>
    <m/>
    <m/>
    <m/>
    <m/>
    <m/>
    <m/>
    <s v="Normal"/>
    <d v="2026-04-07T00:00:00"/>
    <x v="0"/>
    <m/>
    <m/>
    <s v="Junior Quicaño"/>
    <x v="2"/>
    <s v="01. No iniciado"/>
    <m/>
    <m/>
    <m/>
    <m/>
    <m/>
    <m/>
    <m/>
    <m/>
    <s v=""/>
    <m/>
    <m/>
    <s v=""/>
    <s v="17/12/25: Se registró en el Backlog._x000a_17/12/25: Se creo trámite_x000a_"/>
    <s v="Operac."/>
    <s v="BancariosRecaudación"/>
    <s v="2025-12"/>
    <s v="2026-04"/>
    <s v="No definido"/>
    <x v="0"/>
    <x v="1"/>
    <m/>
    <m/>
    <m/>
    <m/>
    <m/>
    <m/>
    <s v="Sin Fechas"/>
    <s v="No Aplica"/>
    <m/>
    <m/>
    <m/>
    <x v="3"/>
    <x v="0"/>
    <m/>
    <m/>
    <s v="Sin Mantenimiento"/>
    <s v="Sin Aplicativo"/>
    <s v="Sin Aplicativo"/>
    <x v="2"/>
    <x v="1"/>
    <m/>
    <s v=""/>
    <s v="Sin Mantenimiento"/>
    <s v="No definido"/>
    <m/>
    <s v="Activos"/>
    <x v="0"/>
    <n v="0.1"/>
    <s v="POST"/>
    <m/>
    <m/>
    <s v="NO"/>
    <s v="Sin Cronograma 🔵"/>
    <s v=""/>
    <n v="0.1"/>
    <s v=""/>
    <s v=""/>
    <m/>
    <m/>
    <m/>
    <m/>
    <m/>
    <m/>
    <m/>
    <n v="25"/>
    <n v="0.1"/>
    <n v="200"/>
    <m/>
    <s v="1. DESARROLLO"/>
    <m/>
    <m/>
    <n v="0.9"/>
    <n v="1"/>
    <n v="24"/>
    <n v="8"/>
    <n v="192"/>
    <x v="0"/>
  </r>
  <r>
    <s v="M1305"/>
    <n v="3138"/>
    <x v="0"/>
    <s v="2025-T0909"/>
    <s v="2026-M0005"/>
    <s v="Reportes de Ahorros"/>
    <m/>
    <x v="0"/>
    <s v="Captaciones y Pagaduría"/>
    <s v="Administración de Cuentas y Pagaduría"/>
    <d v="2025-12-11T00:00:00"/>
    <s v="MEMORANDO N° 00001465 - 2025-BN/3191"/>
    <s v="DPAH- Deposito de Ahorros MN"/>
    <m/>
    <s v="Administrativo"/>
    <s v="No Aplica"/>
    <s v="No aplica"/>
    <x v="1"/>
    <m/>
    <m/>
    <m/>
    <m/>
    <m/>
    <m/>
    <m/>
    <s v="Normal"/>
    <d v="2026-04-07T00:00:00"/>
    <x v="0"/>
    <m/>
    <s v="Norma Fukunaga Fuentes"/>
    <s v="Junior Quicaño"/>
    <x v="1"/>
    <s v="03. Culminado"/>
    <m/>
    <m/>
    <m/>
    <d v="2026-01-05T00:00:00"/>
    <d v="2026-01-08T00:00:00"/>
    <m/>
    <d v="2026-01-14T00:00:00"/>
    <d v="2026-01-22T00:00:00"/>
    <d v="2026-01-09T04:48:00"/>
    <d v="2026-01-23T00:00:00"/>
    <d v="2026-01-25T00:00:00"/>
    <d v="2026-01-16T04:48:00"/>
    <s v="13/04/26: Según CQ, actualizó el estado a 08. Producción Finalizada_x000a_17/12/25: Se registró en el Backlog._x000a_17/12/25: Se creo trámite_x000a_"/>
    <s v="Operac."/>
    <s v="CaptacionesPagaduría"/>
    <s v="2025-12"/>
    <s v="2026-04"/>
    <s v="2026-01"/>
    <x v="4"/>
    <x v="16"/>
    <m/>
    <m/>
    <m/>
    <m/>
    <m/>
    <m/>
    <n v="20"/>
    <n v="0.66666666666666663"/>
    <m/>
    <s v="Finalizada"/>
    <s v="Procesado"/>
    <x v="183"/>
    <x v="0"/>
    <m/>
    <m/>
    <s v="Culminado"/>
    <s v="BackOffice"/>
    <s v="Otros Requerimientos"/>
    <x v="2"/>
    <x v="1"/>
    <m/>
    <d v="2026-01-25T00:00:00"/>
    <s v="Culminado"/>
    <s v="Ene 2026"/>
    <m/>
    <s v="Culminado"/>
    <x v="0"/>
    <n v="1"/>
    <s v="POST"/>
    <m/>
    <m/>
    <s v="No aplica"/>
    <s v="IMPLEMENTADO 🔵"/>
    <n v="1"/>
    <n v="1"/>
    <s v=""/>
    <s v=""/>
    <m/>
    <m/>
    <m/>
    <m/>
    <m/>
    <m/>
    <m/>
    <n v="25"/>
    <n v="0.1"/>
    <n v="200"/>
    <m/>
    <s v="4. PRODUCCIÓN"/>
    <m/>
    <m/>
    <n v="0.9"/>
    <n v="1"/>
    <n v="24"/>
    <n v="8"/>
    <n v="192"/>
    <x v="0"/>
  </r>
  <r>
    <s v="M1306"/>
    <n v="3139"/>
    <x v="0"/>
    <s v="2025-T0910"/>
    <s v="2026-M0009"/>
    <s v="Funcionabilidad de la Transacción Sara web 1470"/>
    <m/>
    <x v="0"/>
    <s v="Captaciones y Pagaduría"/>
    <s v="Apertura de Cuentas"/>
    <d v="2025-12-05T00:00:00"/>
    <s v="MEMORANDO N° 00000687 - 2025-BN/3111"/>
    <s v="SIUC-Sistema de Información Unica de Clientes"/>
    <m/>
    <s v="Administrativo"/>
    <s v="No Aplica"/>
    <s v="Pagos "/>
    <x v="0"/>
    <m/>
    <m/>
    <m/>
    <m/>
    <m/>
    <m/>
    <m/>
    <s v="Normal"/>
    <d v="2026-04-07T00:00:00"/>
    <x v="0"/>
    <m/>
    <s v="Johnny Luis Rocca Surco"/>
    <s v="Junior Quicaño"/>
    <x v="5"/>
    <s v="02. En Proceso"/>
    <m/>
    <m/>
    <m/>
    <d v="2026-01-05T00:00:00"/>
    <m/>
    <m/>
    <m/>
    <m/>
    <s v=""/>
    <m/>
    <m/>
    <s v=""/>
    <s v="13/04/26: Según CQ, actualizó el estado a 03. En Desarrollo_x000a_18/12/25: Se registró en el Backlog._x000a_18/12/25: Se creo trámite_x000a_"/>
    <s v="Operac."/>
    <s v="CaptacionesPagaduría"/>
    <s v="2025-12"/>
    <s v="2026-04"/>
    <s v="No definido"/>
    <x v="0"/>
    <x v="1"/>
    <m/>
    <m/>
    <m/>
    <m/>
    <m/>
    <m/>
    <s v="Sin Fecha Fin Producción"/>
    <s v="No Aplica"/>
    <m/>
    <s v="Asignada"/>
    <s v="Asignado"/>
    <x v="184"/>
    <x v="0"/>
    <m/>
    <m/>
    <s v="Sin Fecha"/>
    <s v="Clientes (BDUC)"/>
    <s v="Canales Presenciales"/>
    <x v="2"/>
    <x v="1"/>
    <m/>
    <s v=""/>
    <s v="Sin Fecha"/>
    <s v="No definido"/>
    <m/>
    <s v="Activos"/>
    <x v="0"/>
    <n v="0.15"/>
    <s v="POST"/>
    <m/>
    <m/>
    <s v="NO"/>
    <s v="Sin Cronograma 🔵"/>
    <s v=""/>
    <n v="0.15"/>
    <s v=""/>
    <s v=""/>
    <m/>
    <m/>
    <m/>
    <m/>
    <m/>
    <m/>
    <m/>
    <n v="25"/>
    <n v="0.1"/>
    <n v="200"/>
    <m/>
    <s v="1. DESARROLLO"/>
    <m/>
    <m/>
    <n v="0.9"/>
    <n v="1"/>
    <n v="24"/>
    <n v="1.1428571428571428"/>
    <n v="27.428571428571427"/>
    <x v="0"/>
  </r>
  <r>
    <s v="M1307"/>
    <n v="3140"/>
    <x v="0"/>
    <s v="2025-T0911"/>
    <s v="2026-M0012"/>
    <s v="Generación diaria de Archivo Plano de Tasas  "/>
    <m/>
    <x v="0"/>
    <s v="Servicios Bancarios y Recaudación"/>
    <s v="Recaudación y Corresponsalía"/>
    <d v="2025-11-07T00:00:00"/>
    <s v="MEMORANDO N° 00000240 - 2025-BN/3243"/>
    <s v="REPA- Recaudacion Proceso Batch"/>
    <m/>
    <s v="Todos los canales"/>
    <s v="No Aplica"/>
    <s v="No aplica"/>
    <x v="0"/>
    <m/>
    <m/>
    <m/>
    <m/>
    <m/>
    <m/>
    <m/>
    <s v="Normal"/>
    <d v="2026-04-07T00:00:00"/>
    <x v="0"/>
    <m/>
    <s v="Jorge Lucio Ruedas Fernandez"/>
    <s v="Junior Quicaño"/>
    <x v="1"/>
    <s v="03. Culminado"/>
    <m/>
    <m/>
    <m/>
    <d v="2026-01-06T00:00:00"/>
    <d v="2026-01-30T00:00:00"/>
    <m/>
    <d v="2026-02-05T00:00:00"/>
    <d v="2026-02-06T00:00:00"/>
    <d v="2026-02-08T14:24:00"/>
    <d v="2026-02-17T00:00:00"/>
    <d v="2026-02-17T00:00:00"/>
    <d v="2026-02-15T14:24:00"/>
    <s v="13/04/26: Según CQ, actualizó el estado a 08. Producción Finalizada_x000a_18/12/25: Se registró en el Backlog._x000a_18/12/25: Se creo trámite_x000a_"/>
    <s v="Operac."/>
    <s v="BancariosRecaudación"/>
    <s v="2025-11"/>
    <s v="2026-04"/>
    <s v="2026-01"/>
    <x v="3"/>
    <x v="2"/>
    <m/>
    <m/>
    <m/>
    <m/>
    <m/>
    <m/>
    <n v="42"/>
    <n v="1.4"/>
    <m/>
    <s v="Finalizada"/>
    <s v="Procesado"/>
    <x v="185"/>
    <x v="0"/>
    <m/>
    <m/>
    <s v="Culminado"/>
    <s v="BackOffice"/>
    <s v="Otros Requerimientos"/>
    <x v="2"/>
    <x v="1"/>
    <m/>
    <d v="2026-02-17T00:00:00"/>
    <s v="Culminado"/>
    <s v="Feb 2026"/>
    <m/>
    <s v="Culminado"/>
    <x v="0"/>
    <n v="1"/>
    <s v="POST"/>
    <m/>
    <m/>
    <s v="No aplica"/>
    <s v="IMPLEMENTADO 🔵"/>
    <n v="1"/>
    <n v="1"/>
    <s v=""/>
    <s v=""/>
    <m/>
    <m/>
    <m/>
    <m/>
    <m/>
    <m/>
    <m/>
    <n v="25"/>
    <n v="0.1"/>
    <n v="200"/>
    <m/>
    <s v="4. PRODUCCIÓN"/>
    <m/>
    <m/>
    <n v="0.9"/>
    <n v="1"/>
    <n v="24"/>
    <n v="8"/>
    <n v="192"/>
    <x v="0"/>
  </r>
  <r>
    <s v="M1308"/>
    <n v="3146"/>
    <x v="0"/>
    <s v="2025-T0912"/>
    <s v="2026-M0025"/>
    <s v="Nueva Escala - SAI-Oracle "/>
    <m/>
    <x v="5"/>
    <s v="Administración de Personal"/>
    <s v="Selección de Personal"/>
    <d v="2025-12-23T00:00:00"/>
    <s v="MEMORANDO N° 00001791 - 2025-BN/2335"/>
    <s v="OSAI -: Oracle Sistema Administrativo Integrado"/>
    <m/>
    <s v="Administrativo"/>
    <s v="No Aplica"/>
    <s v="No aplica"/>
    <x v="0"/>
    <m/>
    <m/>
    <m/>
    <m/>
    <m/>
    <m/>
    <m/>
    <s v="Normal"/>
    <d v="2026-04-07T00:00:00"/>
    <x v="1"/>
    <m/>
    <s v="Emerson Quecara Choquetico"/>
    <s v="Juan Carlos Zavaleta"/>
    <x v="1"/>
    <s v="03. Culminado"/>
    <m/>
    <m/>
    <m/>
    <d v="2026-01-27T00:00:00"/>
    <d v="2026-01-28T00:00:00"/>
    <m/>
    <d v="2026-01-29T00:00:00"/>
    <d v="2026-03-13T00:00:00"/>
    <d v="2026-01-28T09:36:00"/>
    <d v="2026-03-16T00:00:00"/>
    <d v="2026-03-16T00:00:00"/>
    <d v="2026-02-04T09:36:00"/>
    <s v="13/04/26: Según CQ, actualizó el estado a 08. Producción Finalizada_x000a_23/12/25: Se registró en el Backlog._x000a_23/12/25: Se creo trámite_x000a_"/>
    <s v="RRHH"/>
    <s v="AdministraciónPersonal"/>
    <s v="2025-12"/>
    <s v="2026-04"/>
    <s v="2026-01"/>
    <x v="2"/>
    <x v="2"/>
    <m/>
    <m/>
    <m/>
    <m/>
    <m/>
    <m/>
    <n v="48"/>
    <n v="1.6"/>
    <m/>
    <s v="Finalizada"/>
    <s v="Procesado"/>
    <x v="186"/>
    <x v="0"/>
    <m/>
    <m/>
    <s v="Culminado"/>
    <s v="Oracle"/>
    <s v="Otros Requerimientos"/>
    <x v="2"/>
    <x v="1"/>
    <m/>
    <d v="2026-03-16T00:00:00"/>
    <s v="Culminado"/>
    <s v="Mar 2026"/>
    <m/>
    <s v="Culminado"/>
    <x v="0"/>
    <n v="1"/>
    <s v="POST"/>
    <m/>
    <m/>
    <s v="No aplica"/>
    <s v="IMPLEMENTADO 🔵"/>
    <n v="1"/>
    <n v="1"/>
    <s v=""/>
    <s v=""/>
    <m/>
    <m/>
    <m/>
    <m/>
    <m/>
    <m/>
    <m/>
    <n v="25"/>
    <n v="0.1"/>
    <n v="200"/>
    <m/>
    <s v="4. PRODUCCIÓN"/>
    <m/>
    <m/>
    <n v="0.9"/>
    <n v="1"/>
    <n v="24"/>
    <n v="8"/>
    <n v="192"/>
    <x v="0"/>
  </r>
  <r>
    <s v="M1309"/>
    <n v="3147"/>
    <x v="0"/>
    <s v="2025-T0914"/>
    <s v="2025-M0774"/>
    <s v="Independización de opciones en el sistema de claves del aplicativo RSIP_RHSC Registro de Personal_Compensaciones"/>
    <m/>
    <x v="5"/>
    <s v="Administración de Personal"/>
    <s v="Registro de Personal"/>
    <d v="2025-12-24T00:00:00"/>
    <s v="MEMORANDO N° 00000621 - 2024-BN/2332"/>
    <s v="RHDL- Recursos humanos datos laborale"/>
    <m/>
    <s v="Administrativo"/>
    <s v="No Aplica"/>
    <s v="No aplica"/>
    <x v="1"/>
    <m/>
    <m/>
    <m/>
    <m/>
    <m/>
    <m/>
    <m/>
    <s v="Normal"/>
    <d v="2026-04-07T00:00:00"/>
    <x v="1"/>
    <m/>
    <s v="Walter Tito Valencia"/>
    <s v="Juan Carlos Zavaleta"/>
    <x v="1"/>
    <s v="03. Culminado"/>
    <m/>
    <m/>
    <m/>
    <d v="2025-12-24T00:00:00"/>
    <d v="2025-12-24T00:00:00"/>
    <m/>
    <d v="2025-12-31T00:00:00"/>
    <d v="2026-01-07T00:00:00"/>
    <d v="2025-12-24T00:00:00"/>
    <d v="2026-01-07T00:00:00"/>
    <d v="2026-01-13T00:00:00"/>
    <d v="2025-12-31T00:00:00"/>
    <s v="13/04/26: Según CQ, actualizó el estado a 08. Producción Finalizada_x000a_23/12/25: Se registró en el Backlog._x000a_23/12/25: Se creo trámite_x000a_"/>
    <s v="RRHH"/>
    <s v="AdministraciónPersonal"/>
    <s v="2025-12"/>
    <s v="2026-04"/>
    <s v="2025-12"/>
    <x v="4"/>
    <x v="23"/>
    <m/>
    <m/>
    <m/>
    <m/>
    <m/>
    <m/>
    <n v="20"/>
    <n v="0.66666666666666663"/>
    <m/>
    <s v="Finalizada"/>
    <s v="Procesado"/>
    <x v="187"/>
    <x v="0"/>
    <m/>
    <m/>
    <s v="Culminado"/>
    <s v="BackOffice"/>
    <s v="Otros Requerimientos"/>
    <x v="2"/>
    <x v="1"/>
    <m/>
    <d v="2026-01-13T00:00:00"/>
    <s v="Culminado"/>
    <s v="Ene 2026"/>
    <m/>
    <s v="Culminado"/>
    <x v="0"/>
    <n v="1"/>
    <s v="POST"/>
    <m/>
    <m/>
    <s v="No aplica"/>
    <s v="IMPLEMENTADO 🔵"/>
    <n v="1"/>
    <n v="1"/>
    <s v=""/>
    <s v=""/>
    <m/>
    <m/>
    <m/>
    <m/>
    <m/>
    <m/>
    <m/>
    <n v="25"/>
    <n v="0.1"/>
    <n v="200"/>
    <m/>
    <s v="4. PRODUCCIÓN"/>
    <m/>
    <m/>
    <n v="0.9"/>
    <n v="1"/>
    <n v="24"/>
    <n v="8"/>
    <n v="192"/>
    <x v="0"/>
  </r>
  <r>
    <s v="M1310"/>
    <n v="3148"/>
    <x v="0"/>
    <s v="2026-T0003"/>
    <s v="2026-M0061"/>
    <s v="CONSULTA DE AHORROS MN, AHORROS ME, CTAS CTES MN Y CTAS CTES ME EN PLATAFORMA DE BIGDATA"/>
    <m/>
    <x v="0"/>
    <s v="Captaciones y Pagaduría"/>
    <s v="Administración de Cuentas y Pagaduría"/>
    <d v="2025-12-11T00:00:00"/>
    <s v="MEMORANDO N° 00001459 - 2025-BN/3191"/>
    <s v="BNDA-Data Analítica BN"/>
    <m/>
    <s v="Administrativo"/>
    <s v="Cuenta de Ahorros"/>
    <s v="Cuenta Corriente "/>
    <x v="1"/>
    <m/>
    <m/>
    <m/>
    <m/>
    <m/>
    <m/>
    <m/>
    <s v="Normal"/>
    <d v="2026-04-07T00:00:00"/>
    <x v="1"/>
    <m/>
    <s v="Luis Enrique Almeyda Pachas"/>
    <s v="Juan Carlos Zavaleta"/>
    <x v="5"/>
    <s v="02. En Proceso"/>
    <m/>
    <m/>
    <m/>
    <d v="2026-02-04T00:00:00"/>
    <m/>
    <m/>
    <m/>
    <m/>
    <s v=""/>
    <m/>
    <m/>
    <s v=""/>
    <s v="13/04/26: Según CQ, actualizó el estado a 03. En Desarrollo_x000a_05/01/26: Se registró en el Backlog._x000a_05/01/26: Se creo trámite _x000a__x000a_BIGDATA_x000a_"/>
    <s v="Operac."/>
    <s v="CaptacionesPagaduría"/>
    <s v="2025-12"/>
    <s v="2026-04"/>
    <s v="No definido"/>
    <x v="0"/>
    <x v="1"/>
    <m/>
    <m/>
    <m/>
    <m/>
    <m/>
    <m/>
    <s v="Sin Fecha Fin Producción"/>
    <s v="No Aplica"/>
    <m/>
    <s v="Asignada"/>
    <s v="Asignado"/>
    <x v="188"/>
    <x v="0"/>
    <m/>
    <m/>
    <s v="Sin Fecha"/>
    <s v="BackOffice"/>
    <s v="Otros Requerimientos"/>
    <x v="2"/>
    <x v="1"/>
    <m/>
    <s v=""/>
    <s v="Sin Fecha"/>
    <s v="No definido"/>
    <m/>
    <s v="Activos"/>
    <x v="0"/>
    <n v="0.15"/>
    <s v="POST"/>
    <m/>
    <m/>
    <s v="NO"/>
    <s v="Sin Cronograma 🔵"/>
    <s v=""/>
    <n v="0.15"/>
    <s v=""/>
    <s v=""/>
    <m/>
    <m/>
    <m/>
    <m/>
    <m/>
    <m/>
    <m/>
    <n v="25"/>
    <n v="0.1"/>
    <n v="200"/>
    <m/>
    <s v="1. DESARROLLO"/>
    <m/>
    <m/>
    <n v="0.9"/>
    <n v="1"/>
    <n v="24"/>
    <n v="2.6666666666666665"/>
    <n v="64"/>
    <x v="0"/>
  </r>
  <r>
    <s v="M1311"/>
    <n v="3149"/>
    <x v="0"/>
    <s v="2026-T0006"/>
    <s v="2026-M0008"/>
    <s v="Actualización de tabla de Aranceles Indecopi Servicio Osinergmin"/>
    <m/>
    <x v="0"/>
    <s v="Servicios Bancarios y Recaudación"/>
    <s v="Recaudación y Corresponsalía"/>
    <d v="2025-12-12T00:00:00"/>
    <s v="MEMORANDO N° 00000268 - 2025-BN/3243"/>
    <s v="SOMP – SISTEMA DE OPERACIONES MULTIPAGOS"/>
    <m/>
    <s v="Agencias"/>
    <s v="No Aplica"/>
    <s v="No aplica"/>
    <x v="0"/>
    <m/>
    <m/>
    <m/>
    <m/>
    <m/>
    <m/>
    <m/>
    <s v="Normal"/>
    <d v="2026-04-07T00:00:00"/>
    <x v="0"/>
    <m/>
    <s v="Angela Rocio Risco Vega/Jorge Lucio Ruedas Fernandez"/>
    <s v="Junior Quicaño"/>
    <x v="5"/>
    <s v="02. En Proceso"/>
    <m/>
    <m/>
    <m/>
    <d v="2026-01-05T00:00:00"/>
    <m/>
    <m/>
    <m/>
    <m/>
    <s v=""/>
    <m/>
    <m/>
    <s v=""/>
    <s v="13/04/26: Según CQ, actualizó el estado a 03. En Desarrollo_x000a_05/01/26: Se registró en el Backlog._x000a__x000a_05/01/26: Se creo trámite _x000a_"/>
    <s v="Operac."/>
    <s v="BancariosRecaudación"/>
    <s v="2025-12"/>
    <s v="2026-04"/>
    <s v="No definido"/>
    <x v="0"/>
    <x v="1"/>
    <m/>
    <m/>
    <m/>
    <m/>
    <m/>
    <m/>
    <s v="Sin Fecha Fin Producción"/>
    <s v="No Aplica"/>
    <m/>
    <s v="Iniciada,Iniciada"/>
    <s v="Asignado"/>
    <x v="189"/>
    <x v="0"/>
    <m/>
    <m/>
    <s v="Sin Fecha"/>
    <s v="Pagalo.pe"/>
    <s v="Canales Virtuales"/>
    <x v="2"/>
    <x v="1"/>
    <m/>
    <s v=""/>
    <s v="Sin Fecha"/>
    <s v="No definido"/>
    <m/>
    <s v="Activos"/>
    <x v="0"/>
    <n v="0.25"/>
    <s v="POST"/>
    <m/>
    <m/>
    <s v="NO"/>
    <s v="Sin Cronograma 🔵"/>
    <s v=""/>
    <n v="0.25"/>
    <s v=""/>
    <s v=""/>
    <m/>
    <m/>
    <m/>
    <m/>
    <m/>
    <m/>
    <m/>
    <n v="25"/>
    <n v="0.1"/>
    <n v="200"/>
    <m/>
    <s v="1. DESARROLLO"/>
    <m/>
    <m/>
    <n v="0.9"/>
    <n v="1"/>
    <n v="24"/>
    <n v="4"/>
    <n v="96"/>
    <x v="0"/>
  </r>
  <r>
    <s v="M1312"/>
    <n v="3150"/>
    <x v="0"/>
    <s v="2026-T0009"/>
    <s v="2026-M0013"/>
    <s v="Eliminar Papeletas de Convalidación Cuerpo Banco - 2026"/>
    <m/>
    <x v="0"/>
    <s v="Captaciones y Pagaduría"/>
    <s v="Administración de Cuentas y Pagaduría"/>
    <d v="2025-09-26T00:00:00"/>
    <s v="MEMORANDO N° 00000125 - 2025-BN/3100"/>
    <s v="SAVE-Sistema de Atención en Ventanillas"/>
    <m/>
    <s v="Agencias"/>
    <s v="No Aplica"/>
    <s v="No aplica"/>
    <x v="0"/>
    <m/>
    <m/>
    <m/>
    <m/>
    <m/>
    <m/>
    <m/>
    <s v="Normal"/>
    <d v="2026-04-07T00:00:00"/>
    <x v="0"/>
    <m/>
    <s v="Rossana Rojas Alvaro"/>
    <s v="Junior Quicaño"/>
    <x v="6"/>
    <s v="02. En Proceso"/>
    <s v="Dependencia técnica"/>
    <m/>
    <m/>
    <d v="2026-01-07T00:00:00"/>
    <d v="2026-02-11T00:00:00"/>
    <m/>
    <d v="2026-02-12T00:00:00"/>
    <d v="2026-03-05T00:00:00"/>
    <d v="2026-02-25T00:00:00"/>
    <m/>
    <m/>
    <d v="2026-03-04T00:00:00"/>
    <s v="13/04/26: Según CQ, actualizó el estado a 06. Calidad Finalizado_x000a_06/01/26: Se registró en el Backlog._x000a__x000a_06/01/26: Se creo trámite _x000a_"/>
    <s v="Operac."/>
    <s v="CaptacionesPagaduría"/>
    <s v="2025-09"/>
    <s v="2026-04"/>
    <s v="2026-02"/>
    <x v="0"/>
    <x v="8"/>
    <m/>
    <m/>
    <m/>
    <m/>
    <m/>
    <m/>
    <s v="Sin Fecha Fin Producción"/>
    <s v="No Aplica"/>
    <m/>
    <s v="Finalizada"/>
    <s v="Certificado"/>
    <x v="190"/>
    <x v="0"/>
    <m/>
    <m/>
    <s v="Vencida"/>
    <s v="Ventanilla"/>
    <s v="Canales Presenciales"/>
    <x v="2"/>
    <x v="1"/>
    <m/>
    <s v=""/>
    <s v="Sin Fecha"/>
    <s v="No definido"/>
    <m/>
    <s v="Activos"/>
    <x v="0"/>
    <n v="0.85"/>
    <s v="POST"/>
    <m/>
    <m/>
    <s v="NO"/>
    <s v="Sin Cronograma 🔵"/>
    <s v=""/>
    <n v="0.85"/>
    <s v=""/>
    <s v=""/>
    <m/>
    <m/>
    <m/>
    <m/>
    <m/>
    <m/>
    <m/>
    <n v="25"/>
    <n v="0.1"/>
    <n v="200"/>
    <m/>
    <s v="2. CALIDAD"/>
    <m/>
    <m/>
    <n v="0.9"/>
    <n v="1"/>
    <n v="24"/>
    <n v="8"/>
    <n v="192"/>
    <x v="0"/>
  </r>
  <r>
    <s v="M1313"/>
    <n v="3152"/>
    <x v="0"/>
    <s v="2026-T0014"/>
    <s v="2026-M0015"/>
    <s v="MN: Extracción de Datos Adquirencia VISA Prevención de Fraude (Servidor Data Lake)"/>
    <m/>
    <x v="7"/>
    <s v="Prevención del Fraude"/>
    <s v="Monitoreo y Respuesta del Fraude"/>
    <d v="2026-01-07T00:00:00"/>
    <s v="MEMORANDO N° 00000003 - 2026-BN/2211"/>
    <s v="STRA - Proyecto de Stratus"/>
    <m/>
    <s v="Otros"/>
    <s v="No Aplica"/>
    <s v="No aplica"/>
    <x v="2"/>
    <m/>
    <s v="SBS"/>
    <s v="Resolución 2286 - 2024"/>
    <m/>
    <m/>
    <m/>
    <d v="2025-07-01T00:00:00"/>
    <s v="Normal"/>
    <d v="2026-04-07T00:00:00"/>
    <x v="0"/>
    <m/>
    <s v="Vladimir Ronald Cajavilca Cajavilca"/>
    <s v="Maria Barboza"/>
    <x v="5"/>
    <s v="02. En Proceso"/>
    <m/>
    <m/>
    <m/>
    <d v="2026-01-08T00:00:00"/>
    <m/>
    <m/>
    <m/>
    <m/>
    <s v=""/>
    <m/>
    <m/>
    <s v=""/>
    <s v="13/04/26: Según CQ, actualizó el estado a 03. En Desarrollo_x000a_08/01/26: Se registró en el Backlog._x000a__x000a_08/01/26: Se creo trámite _x000a_"/>
    <s v="Riesgos"/>
    <s v="PrevenciónFraude"/>
    <s v="2026-01"/>
    <s v="2026-04"/>
    <s v="No definido"/>
    <x v="0"/>
    <x v="1"/>
    <m/>
    <m/>
    <m/>
    <m/>
    <m/>
    <m/>
    <s v="Sin Fecha Fin Producción"/>
    <s v="No Aplica"/>
    <m/>
    <s v="Asignada"/>
    <s v="Asignado"/>
    <x v="191"/>
    <x v="0"/>
    <m/>
    <m/>
    <s v="Sin Fecha"/>
    <s v="ATM-Agentes-VISA"/>
    <s v="Canales Presenciales"/>
    <x v="2"/>
    <x v="1"/>
    <m/>
    <s v=""/>
    <s v="Sin Fecha"/>
    <s v="No definido"/>
    <m/>
    <s v="Activos"/>
    <x v="0"/>
    <n v="0.15"/>
    <s v="POST"/>
    <m/>
    <m/>
    <s v="SI"/>
    <s v="EN CURSO 🟢"/>
    <n v="0"/>
    <n v="0.15"/>
    <n v="-0.15"/>
    <s v=""/>
    <m/>
    <d v="2026-06-15T00:00:00"/>
    <d v="2026-08-31T00:00:00"/>
    <d v="2026-08-31T00:00:00"/>
    <d v="2026-09-30T00:00:00"/>
    <d v="2026-09-30T00:00:00"/>
    <d v="2026-10-16T00:00:00"/>
    <n v="53"/>
    <n v="0"/>
    <n v="38.545454545454547"/>
    <m/>
    <s v="1. DESARROLLO"/>
    <m/>
    <m/>
    <n v="1"/>
    <n v="0"/>
    <n v="53"/>
    <n v="0"/>
    <n v="38.545454545454547"/>
    <x v="7"/>
  </r>
  <r>
    <s v="M1314"/>
    <n v="3153"/>
    <x v="0"/>
    <s v="2026-T0019"/>
    <s v="2026-M0018"/>
    <s v="Gestión y adecuación proceso de contabilización para las operaciones en los cajeros automaticos depositarios"/>
    <m/>
    <x v="2"/>
    <s v="Innovación Digital"/>
    <m/>
    <d v="2026-01-06T00:00:00"/>
    <s v="MEMORANDO N° 00000218 - 2025-BN/7920"/>
    <s v="FISA-Finanzas Saldos"/>
    <m/>
    <s v="Otros"/>
    <s v="No Aplica"/>
    <s v="No aplica"/>
    <x v="2"/>
    <m/>
    <s v="OTROS"/>
    <m/>
    <m/>
    <m/>
    <m/>
    <m/>
    <s v="Normal"/>
    <d v="2026-04-07T00:00:00"/>
    <x v="1"/>
    <m/>
    <s v="Ricardo Cuba Mora/Irina Zakharova"/>
    <s v="Omar Sarmiento"/>
    <x v="5"/>
    <s v="02. En Proceso"/>
    <m/>
    <m/>
    <m/>
    <d v="2026-01-12T00:00:00"/>
    <m/>
    <m/>
    <m/>
    <m/>
    <s v=""/>
    <m/>
    <m/>
    <s v=""/>
    <s v="13/04/26: Según CQ, actualizó el estado a 03. En Desarrollo_x000a_09/01/26: Se registró en el Backlog._x000a__x000a_12/01/26: Se creo trámite _x000a_"/>
    <s v="B.Digital"/>
    <s v="InnovaciónDigital"/>
    <s v="2026-01"/>
    <s v="2026-04"/>
    <s v="No definido"/>
    <x v="0"/>
    <x v="1"/>
    <m/>
    <m/>
    <m/>
    <m/>
    <m/>
    <m/>
    <s v="Sin Fecha Fin Producción"/>
    <s v="No Aplica"/>
    <m/>
    <s v="Iniciada,Iniciada"/>
    <s v="Asignado"/>
    <x v="192"/>
    <x v="0"/>
    <m/>
    <m/>
    <s v="Sin Fecha"/>
    <s v="BackOffice"/>
    <s v="Otros Requerimientos"/>
    <x v="2"/>
    <x v="1"/>
    <m/>
    <s v=""/>
    <s v="Sin Fecha"/>
    <s v="No definido"/>
    <m/>
    <s v="Activos"/>
    <x v="0"/>
    <n v="0.25"/>
    <s v="POST"/>
    <m/>
    <m/>
    <s v="NO"/>
    <s v="Sin Cronograma 🔵"/>
    <s v=""/>
    <n v="0.25"/>
    <s v=""/>
    <s v=""/>
    <m/>
    <m/>
    <m/>
    <m/>
    <m/>
    <m/>
    <m/>
    <n v="25"/>
    <n v="0.1"/>
    <n v="200"/>
    <m/>
    <s v="1. DESARROLLO"/>
    <m/>
    <m/>
    <n v="0.9"/>
    <n v="1"/>
    <n v="24"/>
    <n v="16"/>
    <n v="384"/>
    <x v="0"/>
  </r>
  <r>
    <s v="M1315"/>
    <n v="3154"/>
    <x v="0"/>
    <s v="2026-T0023"/>
    <s v="2026-M0024"/>
    <s v="Automatización del proceso de otorgamiento de uniforme 2026"/>
    <m/>
    <x v="5"/>
    <m/>
    <m/>
    <d v="2026-01-13T00:00:00"/>
    <s v="MEMORANDO N° 00000025 - 2026-BN/4113"/>
    <s v="POEM_Portal del Empleado"/>
    <m/>
    <s v="Otros"/>
    <s v="No Aplica"/>
    <s v="No aplica"/>
    <x v="0"/>
    <m/>
    <m/>
    <m/>
    <m/>
    <m/>
    <m/>
    <m/>
    <s v="Normal"/>
    <d v="2026-04-07T00:00:00"/>
    <x v="1"/>
    <m/>
    <s v="Paul Alminagorta Cabezas"/>
    <s v="Juan Carlos Zavaleta"/>
    <x v="1"/>
    <s v="03. Culminado"/>
    <m/>
    <m/>
    <m/>
    <d v="2026-01-14T00:00:00"/>
    <m/>
    <m/>
    <m/>
    <m/>
    <s v=""/>
    <d v="2026-01-15T00:00:00"/>
    <d v="2026-01-15T00:00:00"/>
    <s v=""/>
    <s v="13/04/26: Según CQ, actualizó el estado a 08. Producción Finalizada_x000a_13/01/26: Se registró en el Backlog._x000a__x000a_13/01/26: Se creo trámite _x000a_"/>
    <s v="RRHH"/>
    <s v=""/>
    <s v="2026-01"/>
    <s v="2026-04"/>
    <s v="No definido"/>
    <x v="4"/>
    <x v="1"/>
    <m/>
    <m/>
    <m/>
    <m/>
    <m/>
    <m/>
    <n v="1"/>
    <n v="3.3333333333333333E-2"/>
    <m/>
    <s v="Finalizada"/>
    <s v="Transitorio_Procesado"/>
    <x v="193"/>
    <x v="0"/>
    <m/>
    <m/>
    <s v="Culminado"/>
    <s v="BackOffice"/>
    <s v="Otros Requerimientos"/>
    <x v="2"/>
    <x v="1"/>
    <m/>
    <d v="2026-01-15T00:00:00"/>
    <s v="Culminado"/>
    <s v="Ene 2026"/>
    <m/>
    <s v="Culminado"/>
    <x v="0"/>
    <n v="1"/>
    <s v="POST"/>
    <m/>
    <m/>
    <s v="No aplica"/>
    <s v="IMPLEMENTADO 🔵"/>
    <n v="1"/>
    <n v="1"/>
    <n v="0"/>
    <n v="1"/>
    <m/>
    <d v="2026-01-02T00:00:00"/>
    <d v="2026-01-25T00:00:00"/>
    <d v="2026-01-26T00:00:00"/>
    <d v="2026-02-06T00:00:00"/>
    <d v="2026-02-07T00:00:00"/>
    <d v="2026-02-12T00:00:00"/>
    <n v="15"/>
    <n v="1"/>
    <n v="200"/>
    <m/>
    <s v="4. PRODUCCIÓN"/>
    <m/>
    <m/>
    <n v="0"/>
    <n v="15"/>
    <n v="0"/>
    <n v="120"/>
    <n v="0"/>
    <x v="11"/>
  </r>
  <r>
    <s v="M1316"/>
    <n v="3155"/>
    <x v="0"/>
    <s v="2026-T0025"/>
    <s v="2026-M0026"/>
    <s v="IMPLEMENTACIÓN DE ESCALA SALARIAL EN LOS SISTEMAS DE RECURSOS HUMANOS EN ENTORNO HOST Y ORACLE"/>
    <m/>
    <x v="5"/>
    <s v="Administración de Personal"/>
    <s v="Registro de Personal"/>
    <d v="2025-12-29T00:00:00"/>
    <s v="MEMORANDO N° 00002118 - 2025-BN/2332"/>
    <s v="OSAI -: Oracle Sistema Administrativo Integrado"/>
    <m/>
    <s v="Otros"/>
    <s v="No Aplica"/>
    <s v="No aplica"/>
    <x v="0"/>
    <m/>
    <m/>
    <m/>
    <m/>
    <m/>
    <m/>
    <m/>
    <s v="Normal"/>
    <d v="2026-04-07T00:00:00"/>
    <x v="1"/>
    <m/>
    <s v="Walter Tito Valencia"/>
    <s v="Juan Carlos Zavaleta"/>
    <x v="7"/>
    <s v="02. En Proceso"/>
    <m/>
    <m/>
    <m/>
    <d v="2026-02-10T00:00:00"/>
    <d v="2026-04-29T00:00:00"/>
    <m/>
    <d v="2026-05-07T00:00:00"/>
    <m/>
    <d v="2026-05-30T04:48:00"/>
    <m/>
    <m/>
    <d v="2026-06-06T04:48:00"/>
    <s v="08/05/26: Según CQ, actualizó el estado a 05. En Calidad_x000a_04/05/26: Según CQ, actualizó el estado a 04. Desarrollo Finalizado_x000a_13/04/26: Según CQ, actualizó el estado a 03. En Desarrollo_x000a_14/01/26: Se registró en el Backlog._x000a__x000a_14/01/26: Se creo trámite _x000a_"/>
    <s v="RRHH"/>
    <s v="AdministraciónPersonal"/>
    <s v="2025-12"/>
    <s v="2026-04"/>
    <s v="2026-04"/>
    <x v="0"/>
    <x v="27"/>
    <m/>
    <m/>
    <m/>
    <m/>
    <m/>
    <m/>
    <s v="Sin Fecha Fin Producción"/>
    <s v="No Aplica"/>
    <m/>
    <s v="Finalizada"/>
    <s v="Observado_Certificacion"/>
    <x v="194"/>
    <x v="0"/>
    <m/>
    <m/>
    <s v="2026-Q2"/>
    <s v="Oracle"/>
    <s v="Otros Requerimientos"/>
    <x v="2"/>
    <x v="1"/>
    <m/>
    <d v="2026-06-06T04:48:00"/>
    <s v="2026-2"/>
    <s v="Jun 2026"/>
    <m/>
    <s v="Activos"/>
    <x v="0"/>
    <n v="0.7"/>
    <s v="POST"/>
    <m/>
    <m/>
    <s v="SI"/>
    <s v="EN CURSO 🟢"/>
    <n v="0.7752808988764045"/>
    <n v="0.7"/>
    <n v="7.5280898876404545E-2"/>
    <n v="0.90289855072463765"/>
    <m/>
    <d v="2026-02-10T00:00:00"/>
    <d v="2026-04-30T00:00:00"/>
    <d v="2026-05-01T00:00:00"/>
    <d v="2026-06-09T00:00:00"/>
    <d v="2026-06-10T00:00:00"/>
    <d v="2026-06-15T00:00:00"/>
    <n v="58"/>
    <n v="1"/>
    <n v="200"/>
    <m/>
    <s v="2. CALIDAD"/>
    <m/>
    <m/>
    <n v="0"/>
    <n v="58"/>
    <n v="0"/>
    <n v="464"/>
    <n v="0"/>
    <x v="6"/>
  </r>
  <r>
    <s v="M1317"/>
    <n v="3156"/>
    <x v="0"/>
    <s v="2026-T0026"/>
    <m/>
    <s v="Reportes Host para Cajeros Depositarios"/>
    <m/>
    <x v="2"/>
    <s v="Innovación Digital"/>
    <m/>
    <d v="2026-01-06T00:00:00"/>
    <s v="MEMORANDO N° 00000219 - 2025-BN/7920"/>
    <m/>
    <m/>
    <s v="ATMs"/>
    <s v="No Aplica"/>
    <s v="No aplica"/>
    <x v="0"/>
    <m/>
    <m/>
    <m/>
    <m/>
    <m/>
    <m/>
    <m/>
    <s v="Normal"/>
    <d v="2026-04-07T00:00:00"/>
    <x v="0"/>
    <m/>
    <m/>
    <s v="Omar Sarmiento"/>
    <x v="2"/>
    <s v="01. No iniciado"/>
    <m/>
    <m/>
    <m/>
    <m/>
    <m/>
    <m/>
    <m/>
    <m/>
    <s v=""/>
    <m/>
    <m/>
    <s v=""/>
    <s v="14/01/26: Se registró en el Backlog._x000a__x000a_14/01/26: Se creo trámite _x000a_"/>
    <s v="B.Digital"/>
    <s v="InnovaciónDigital"/>
    <s v="2026-01"/>
    <s v="2026-04"/>
    <s v="No definido"/>
    <x v="0"/>
    <x v="1"/>
    <m/>
    <m/>
    <m/>
    <m/>
    <m/>
    <m/>
    <s v="Sin Fechas"/>
    <s v="No Aplica"/>
    <m/>
    <m/>
    <m/>
    <x v="3"/>
    <x v="0"/>
    <m/>
    <m/>
    <s v="Sin Mantenimiento"/>
    <s v="Sin Aplicativo"/>
    <s v="Sin Aplicativo"/>
    <x v="2"/>
    <x v="1"/>
    <m/>
    <s v=""/>
    <s v="Sin Mantenimiento"/>
    <s v="No definido"/>
    <m/>
    <s v="Activos"/>
    <x v="0"/>
    <n v="0.1"/>
    <s v="POST"/>
    <m/>
    <m/>
    <s v="NO"/>
    <s v="Sin Cronograma 🔵"/>
    <s v=""/>
    <n v="0.1"/>
    <s v=""/>
    <s v=""/>
    <m/>
    <m/>
    <m/>
    <m/>
    <m/>
    <m/>
    <m/>
    <n v="25"/>
    <n v="0.1"/>
    <n v="200"/>
    <m/>
    <s v="1. DESARROLLO"/>
    <m/>
    <m/>
    <n v="0.9"/>
    <n v="1"/>
    <n v="24"/>
    <n v="8"/>
    <n v="192"/>
    <x v="0"/>
  </r>
  <r>
    <s v="M1318"/>
    <n v="3157"/>
    <x v="0"/>
    <s v="2026-T0033"/>
    <s v="2026-M0033"/>
    <s v="CAMBIO DE NOMBRES DE REPORTES DE CONTROL DE MANTENIMIENTO 2024-M0380 REPOSICION TOKEN"/>
    <m/>
    <x v="4"/>
    <s v="Contabilidad"/>
    <s v="Centralización y Procesamiento Contable"/>
    <d v="2026-01-09T00:00:00"/>
    <s v="MEMORANDO N° 00000004 - 2025-BN/6210"/>
    <s v="ATCA-Adm.Tarjetas Cajero Automático"/>
    <m/>
    <s v="Agencias"/>
    <s v="No Aplica"/>
    <s v="No aplica"/>
    <x v="1"/>
    <m/>
    <m/>
    <m/>
    <m/>
    <m/>
    <m/>
    <m/>
    <s v="Normal"/>
    <d v="2026-04-07T00:00:00"/>
    <x v="0"/>
    <m/>
    <s v="Waldo Antonio Basurto Valverde"/>
    <s v="Juan Carlos Zavaleta"/>
    <x v="4"/>
    <s v="02. En Proceso"/>
    <m/>
    <m/>
    <m/>
    <d v="2026-01-16T00:00:00"/>
    <m/>
    <m/>
    <m/>
    <m/>
    <s v=""/>
    <d v="2026-02-16T00:00:00"/>
    <m/>
    <s v=""/>
    <s v="13/04/26: Según CQ, actualizó el estado a 07. En Despliegue_x000a_16/01/26: Se registró en el Backlog._x000a_16/01/26: Se creo trámite _x000a__x000a_Facturacion electronica_x000a_"/>
    <s v="Finanzas"/>
    <s v="Contabilidad"/>
    <s v="2026-01"/>
    <s v="2026-04"/>
    <s v="No definido"/>
    <x v="0"/>
    <x v="1"/>
    <m/>
    <m/>
    <m/>
    <m/>
    <m/>
    <m/>
    <s v="Sin Fecha Fin Producción"/>
    <s v="No Aplica"/>
    <m/>
    <s v="Finalizada"/>
    <s v="Trasitorio_autorizado"/>
    <x v="195"/>
    <x v="0"/>
    <m/>
    <m/>
    <s v="Sin Fecha"/>
    <s v="ATM-Agentes-VISA"/>
    <s v="Canales Presenciales"/>
    <x v="2"/>
    <x v="1"/>
    <m/>
    <s v=""/>
    <s v="Sin Fecha"/>
    <s v="No definido"/>
    <m/>
    <s v="Activos"/>
    <x v="0"/>
    <n v="0.9"/>
    <s v="POST"/>
    <m/>
    <m/>
    <s v="NO"/>
    <s v="Sin Cronograma 🔵"/>
    <s v=""/>
    <n v="0.9"/>
    <s v=""/>
    <s v=""/>
    <m/>
    <m/>
    <m/>
    <m/>
    <m/>
    <m/>
    <m/>
    <n v="25"/>
    <n v="0.1"/>
    <n v="200"/>
    <m/>
    <s v="3. DESPLIEGUE"/>
    <m/>
    <m/>
    <n v="0.9"/>
    <n v="1"/>
    <n v="24"/>
    <n v="8"/>
    <n v="192"/>
    <x v="0"/>
  </r>
  <r>
    <s v="M1319"/>
    <n v="3158"/>
    <x v="0"/>
    <s v="2026-T0037"/>
    <s v="2026-M0037"/>
    <s v="Adecuación de Boleta de Pago a Nueva Escala Salarial Vigente desde Mayo de 2026"/>
    <m/>
    <x v="5"/>
    <s v="Compensaciones"/>
    <s v="Remuneraciones Pensiones y Subsidios"/>
    <d v="2026-01-19T00:00:00"/>
    <s v="MEMORANDO N° 00000090 - 2026-BN/2321"/>
    <s v="CPCE-Cero Papel Casilla Electrónica"/>
    <m/>
    <s v="Otros"/>
    <s v="No Aplica"/>
    <s v="No aplica"/>
    <x v="1"/>
    <m/>
    <m/>
    <m/>
    <m/>
    <m/>
    <m/>
    <m/>
    <s v="Normal"/>
    <d v="2026-04-07T00:00:00"/>
    <x v="1"/>
    <m/>
    <s v="Jorge Mora Ruelas"/>
    <s v="Juan Carlos Zavaleta"/>
    <x v="5"/>
    <s v="02. En Proceso"/>
    <m/>
    <m/>
    <m/>
    <d v="2026-01-20T00:00:00"/>
    <m/>
    <m/>
    <m/>
    <m/>
    <s v=""/>
    <m/>
    <m/>
    <s v=""/>
    <s v="13/04/26: Según CQ, actualizó el estado a 03. En Desarrollo_x000a_19/01/26: Se registró en el Backlog._x000a__x000a_19/01/26: Se creo trámite _x000a_"/>
    <s v="RRHH"/>
    <s v="Compensaciones"/>
    <s v="2026-01"/>
    <s v="2026-04"/>
    <s v="No definido"/>
    <x v="0"/>
    <x v="1"/>
    <m/>
    <m/>
    <m/>
    <m/>
    <m/>
    <m/>
    <s v="Sin Fecha Fin Producción"/>
    <s v="No Aplica"/>
    <m/>
    <s v="Asignada"/>
    <s v="Asignado"/>
    <x v="196"/>
    <x v="0"/>
    <m/>
    <m/>
    <s v="Sin Fecha"/>
    <s v="Sin Aplicativo"/>
    <s v="Sin Aplicativo"/>
    <x v="2"/>
    <x v="1"/>
    <m/>
    <s v=""/>
    <s v="Sin Fecha"/>
    <s v="No definido"/>
    <m/>
    <s v="Activos"/>
    <x v="0"/>
    <n v="0.15"/>
    <s v="POST"/>
    <m/>
    <m/>
    <s v="SI"/>
    <s v="EN CURSO 🟢"/>
    <n v="0"/>
    <n v="0.15"/>
    <n v="-0.15"/>
    <s v=""/>
    <m/>
    <d v="2026-07-01T00:00:00"/>
    <d v="2026-12-31T00:00:00"/>
    <d v="2027-01-01T00:00:00"/>
    <d v="2027-04-02T00:00:00"/>
    <d v="2027-04-03T00:00:00"/>
    <d v="2027-04-08T00:00:00"/>
    <n v="127"/>
    <n v="0"/>
    <n v="508"/>
    <m/>
    <s v="1. DESARROLLO"/>
    <m/>
    <m/>
    <n v="1"/>
    <n v="0"/>
    <n v="127"/>
    <n v="0"/>
    <n v="508"/>
    <x v="15"/>
  </r>
  <r>
    <s v="M1320"/>
    <n v="3159"/>
    <x v="0"/>
    <s v="2026-T0045"/>
    <s v="2026-M0046"/>
    <s v="2024-T0023 Enrolamiento en línea comercio electrónico - SARA"/>
    <m/>
    <x v="2"/>
    <s v="Canales Alternos"/>
    <s v="Canales Virtuales"/>
    <d v="2023-11-06T00:00:00"/>
    <s v="MEMORANDO N° 00000134 - 2023-BN/3252"/>
    <s v="SAVE-Sistema de Atención en Ventanillas"/>
    <m/>
    <s v="Agencias"/>
    <s v="No Aplica"/>
    <s v="No aplica"/>
    <x v="2"/>
    <m/>
    <m/>
    <m/>
    <m/>
    <m/>
    <m/>
    <m/>
    <s v="Normal"/>
    <d v="2026-04-07T00:00:00"/>
    <x v="2"/>
    <m/>
    <s v="Monica del Pilar Garcia Campana/Rossana Rojas Alvaro"/>
    <s v="Omar Sarmiento"/>
    <x v="5"/>
    <s v="02. En Proceso"/>
    <m/>
    <m/>
    <m/>
    <d v="2026-01-28T00:00:00"/>
    <m/>
    <m/>
    <m/>
    <m/>
    <s v=""/>
    <m/>
    <m/>
    <s v=""/>
    <s v="13/04/26: Según CQ, actualizó el estado a 03. En Desarrollo_x000a_27/01/26: Se registró en el Backlog._x000a__x000a_27/01/26: Se creo trámite _x000a_"/>
    <s v="B.Digital"/>
    <s v="CanalesAlternos"/>
    <s v="2023-11"/>
    <s v="2026-04"/>
    <s v="No definido"/>
    <x v="0"/>
    <x v="1"/>
    <m/>
    <m/>
    <m/>
    <m/>
    <m/>
    <m/>
    <s v="Sin Fecha Fin Producción"/>
    <s v="No Aplica"/>
    <m/>
    <s v="Iniciada,Iniciada"/>
    <s v="Asignado"/>
    <x v="197"/>
    <x v="0"/>
    <m/>
    <m/>
    <s v="Sin Fecha"/>
    <s v="Ventanilla"/>
    <s v="Canales Presenciales"/>
    <x v="2"/>
    <x v="1"/>
    <m/>
    <s v=""/>
    <s v="Sin Fecha"/>
    <s v="No definido"/>
    <m/>
    <s v="Activos"/>
    <x v="0"/>
    <n v="0.25"/>
    <s v="POST"/>
    <m/>
    <m/>
    <s v="NO"/>
    <s v="Sin Cronograma 🔵"/>
    <s v=""/>
    <n v="0.25"/>
    <s v=""/>
    <s v=""/>
    <m/>
    <m/>
    <m/>
    <m/>
    <m/>
    <m/>
    <m/>
    <n v="25"/>
    <n v="0.1"/>
    <n v="200"/>
    <m/>
    <s v="1. DESARROLLO"/>
    <m/>
    <m/>
    <n v="0.9"/>
    <n v="1"/>
    <n v="24"/>
    <n v="4.6666666666666661"/>
    <n v="111.99999999999999"/>
    <x v="0"/>
  </r>
  <r>
    <s v="M1321"/>
    <n v="3160"/>
    <x v="0"/>
    <s v="2026-T0046"/>
    <s v="2026-M0045"/>
    <s v="Adecuación Mensajes Swift  "/>
    <m/>
    <x v="0"/>
    <s v="Caja y Valores"/>
    <s v="Soporte Mesa de Dinero"/>
    <d v="2026-01-22T00:00:00"/>
    <s v="MEMORANDO N° 00000005 - 2026-BN/3216"/>
    <s v="SCIT_Sistema Cambios Inversiones Tesoreria"/>
    <m/>
    <s v="Otros"/>
    <s v="Depósitos a Plazo Fijo "/>
    <s v="Compra y venta de moneda"/>
    <x v="0"/>
    <m/>
    <m/>
    <m/>
    <m/>
    <m/>
    <m/>
    <m/>
    <s v="Normal"/>
    <d v="2026-04-07T00:00:00"/>
    <x v="1"/>
    <m/>
    <s v="Jorge Mora Ruelas"/>
    <s v="Junior Quicaño"/>
    <x v="1"/>
    <s v="03. Culminado"/>
    <m/>
    <m/>
    <m/>
    <d v="2026-01-28T00:00:00"/>
    <d v="2026-02-10T00:00:00"/>
    <m/>
    <d v="2026-02-16T00:00:00"/>
    <d v="2026-02-18T00:00:00"/>
    <d v="2026-02-15T04:48:00"/>
    <d v="2026-03-11T00:00:00"/>
    <d v="2026-03-11T00:00:00"/>
    <d v="2026-02-22T04:48:00"/>
    <s v="13/04/26: Según CQ, actualizó el estado a 08. Producción Finalizada_x000a_27/01/26: Se registró en el Backlog._x000a__x000a_27/01/26: Se creo trámite _x000a_"/>
    <s v="Operac."/>
    <s v="CajaValores"/>
    <s v="2026-01"/>
    <s v="2026-04"/>
    <s v="2026-02"/>
    <x v="2"/>
    <x v="2"/>
    <m/>
    <m/>
    <m/>
    <m/>
    <m/>
    <m/>
    <n v="42"/>
    <n v="1.4"/>
    <m/>
    <s v="Finalizada"/>
    <s v="Procesado"/>
    <x v="198"/>
    <x v="0"/>
    <m/>
    <m/>
    <s v="Culminado"/>
    <s v="Sin Aplicativo"/>
    <s v="Sin Aplicativo"/>
    <x v="2"/>
    <x v="1"/>
    <m/>
    <d v="2026-03-11T00:00:00"/>
    <s v="Culminado"/>
    <s v="Mar 2026"/>
    <m/>
    <s v="Culminado"/>
    <x v="0"/>
    <n v="1"/>
    <s v="POST"/>
    <m/>
    <m/>
    <s v="No aplica"/>
    <s v="IMPLEMENTADO 🔵"/>
    <n v="1"/>
    <n v="1"/>
    <s v=""/>
    <s v=""/>
    <m/>
    <m/>
    <m/>
    <m/>
    <m/>
    <m/>
    <m/>
    <n v="25"/>
    <n v="0.1"/>
    <n v="200"/>
    <m/>
    <s v="4. PRODUCCIÓN"/>
    <m/>
    <m/>
    <n v="0.9"/>
    <n v="1"/>
    <n v="24"/>
    <n v="8"/>
    <n v="192"/>
    <x v="0"/>
  </r>
  <r>
    <s v="M1322"/>
    <n v="3161"/>
    <x v="0"/>
    <s v="2026-T0051"/>
    <s v="2026-M0059"/>
    <s v="Transferencia de información de crédito hipotecario al repositorio BigData"/>
    <m/>
    <x v="7"/>
    <s v="Riesgos Crediticios y Financieros"/>
    <s v="Riesgos Crediticios"/>
    <d v="2025-11-07T00:00:00"/>
    <s v="MEMORANDO N° 00000059 - 2025-BN/2192"/>
    <s v="BNDA-Data Analítica BN"/>
    <s v="Big Data"/>
    <s v="Otros"/>
    <s v="No Aplica"/>
    <s v="No aplica"/>
    <x v="3"/>
    <m/>
    <s v="SBS"/>
    <m/>
    <m/>
    <m/>
    <m/>
    <m/>
    <s v="Normal"/>
    <d v="2026-04-07T00:00:00"/>
    <x v="1"/>
    <m/>
    <s v="Luis Enrique Almeyda Pachas"/>
    <s v="Juan Carlos Zavaleta"/>
    <x v="1"/>
    <s v="03. Culminado"/>
    <m/>
    <m/>
    <m/>
    <d v="2026-02-04T00:00:00"/>
    <d v="2026-02-23T00:00:00"/>
    <m/>
    <d v="2026-02-24T00:00:00"/>
    <d v="2026-03-03T00:00:00"/>
    <d v="2026-03-02T14:24:00"/>
    <d v="2026-03-09T00:00:00"/>
    <d v="2026-03-13T00:00:00"/>
    <d v="2026-03-09T14:24:00"/>
    <s v="13/04/26: Según CQ, actualizó el estado a 08. Producción Finalizada_x000a_29/01/26: Se registró en el Backlog._x000a_29/01/26: Se creo trámite _x000a__x000a_BIG DATA Recomendacion SBS"/>
    <s v="Riesgos"/>
    <s v="CrediticiosFinancieros"/>
    <s v="2025-11"/>
    <s v="2026-04"/>
    <s v="2026-02"/>
    <x v="2"/>
    <x v="8"/>
    <m/>
    <m/>
    <m/>
    <m/>
    <m/>
    <m/>
    <n v="37"/>
    <n v="1.2333333333333334"/>
    <m/>
    <s v="Finalizada"/>
    <s v="Procesado"/>
    <x v="199"/>
    <x v="0"/>
    <m/>
    <m/>
    <s v="Culminado"/>
    <s v="BackOffice"/>
    <s v="Otros Requerimientos"/>
    <x v="2"/>
    <x v="1"/>
    <m/>
    <d v="2026-03-13T00:00:00"/>
    <s v="Culminado"/>
    <s v="Mar 2026"/>
    <m/>
    <s v="Culminado"/>
    <x v="0"/>
    <n v="1"/>
    <s v="POST"/>
    <m/>
    <m/>
    <s v="No aplica"/>
    <s v="IMPLEMENTADO 🔵"/>
    <n v="1"/>
    <n v="1"/>
    <s v=""/>
    <s v=""/>
    <m/>
    <m/>
    <m/>
    <m/>
    <m/>
    <m/>
    <m/>
    <n v="25"/>
    <n v="0.1"/>
    <n v="200"/>
    <m/>
    <s v="4. PRODUCCIÓN"/>
    <m/>
    <m/>
    <n v="0.9"/>
    <n v="1"/>
    <n v="24"/>
    <n v="8"/>
    <n v="192"/>
    <x v="0"/>
  </r>
  <r>
    <s v="M1323"/>
    <n v="3162"/>
    <x v="0"/>
    <s v="2026-T0052"/>
    <s v="2026-M0060"/>
    <s v="Transferencia de información del COBD al repositorio BigData"/>
    <m/>
    <x v="7"/>
    <s v="Riesgos Crediticios y Financieros"/>
    <s v="Riesgos Crediticios"/>
    <d v="2025-11-07T00:00:00"/>
    <s v="MEMORANDO N° 00000059 - 2025-BN/2192"/>
    <s v="BNDA-Data Analítica BN"/>
    <s v="Big Data"/>
    <s v="Otros"/>
    <s v="No Aplica"/>
    <s v="No aplica"/>
    <x v="0"/>
    <m/>
    <m/>
    <m/>
    <m/>
    <m/>
    <m/>
    <m/>
    <s v="Normal"/>
    <d v="2026-04-07T00:00:00"/>
    <x v="1"/>
    <m/>
    <s v="Luis Enrique Almeyda Pachas"/>
    <s v="Juan Carlos Zavaleta"/>
    <x v="1"/>
    <s v="03. Culminado"/>
    <m/>
    <m/>
    <m/>
    <d v="2026-02-04T00:00:00"/>
    <d v="2026-02-23T00:00:00"/>
    <m/>
    <d v="2026-02-24T00:00:00"/>
    <d v="2026-03-02T00:00:00"/>
    <d v="2026-03-02T14:24:00"/>
    <d v="2026-03-09T00:00:00"/>
    <d v="2026-03-13T00:00:00"/>
    <d v="2026-03-09T14:24:00"/>
    <s v="13/04/26: Según CQ, actualizó el estado a 08. Producción Finalizada_x000a_29/01/26: Se registró en el Backlog._x000a_29/01/26: Se creo trámite _x000a__x000a_BIG DATA_x000a_"/>
    <s v="Riesgos"/>
    <s v="CrediticiosFinancieros"/>
    <s v="2025-11"/>
    <s v="2026-04"/>
    <s v="2026-02"/>
    <x v="2"/>
    <x v="8"/>
    <m/>
    <m/>
    <m/>
    <m/>
    <m/>
    <m/>
    <n v="37"/>
    <n v="1.2333333333333334"/>
    <m/>
    <s v="Finalizada"/>
    <s v="Procesado"/>
    <x v="200"/>
    <x v="0"/>
    <m/>
    <m/>
    <s v="Culminado"/>
    <s v="BackOffice"/>
    <s v="Otros Requerimientos"/>
    <x v="2"/>
    <x v="1"/>
    <m/>
    <d v="2026-03-13T00:00:00"/>
    <s v="Culminado"/>
    <s v="Mar 2026"/>
    <m/>
    <s v="Culminado"/>
    <x v="0"/>
    <n v="1"/>
    <s v="POST"/>
    <m/>
    <m/>
    <s v="No aplica"/>
    <s v="IMPLEMENTADO 🔵"/>
    <n v="1"/>
    <n v="1"/>
    <s v=""/>
    <s v=""/>
    <m/>
    <m/>
    <m/>
    <m/>
    <m/>
    <m/>
    <m/>
    <n v="25"/>
    <n v="0.1"/>
    <n v="200"/>
    <m/>
    <s v="4. PRODUCCIÓN"/>
    <m/>
    <m/>
    <n v="0.9"/>
    <n v="1"/>
    <n v="24"/>
    <n v="8"/>
    <n v="192"/>
    <x v="0"/>
  </r>
  <r>
    <s v="M1324"/>
    <n v="3163"/>
    <x v="0"/>
    <s v="2026-T0057"/>
    <s v="2026-M0055"/>
    <s v="Modificación Tasa de Interés Compra de Deuda"/>
    <m/>
    <x v="1"/>
    <s v="Banca Personal"/>
    <s v="Préstamo Multired"/>
    <d v="2026-01-30T00:00:00"/>
    <s v="MEMORANDO N° 00000082 - 2026-BN3347"/>
    <s v="PRAH - Prestamos Multired"/>
    <m/>
    <s v="Agencias"/>
    <s v="Préstamos Multired "/>
    <s v="No aplica"/>
    <x v="0"/>
    <m/>
    <m/>
    <m/>
    <m/>
    <m/>
    <m/>
    <m/>
    <s v="Normal"/>
    <d v="2026-04-07T00:00:00"/>
    <x v="0"/>
    <m/>
    <s v="Pedro Jose Encalada Huertas"/>
    <s v="Milagros Huamani"/>
    <x v="1"/>
    <s v="03. Culminado"/>
    <m/>
    <m/>
    <m/>
    <d v="2026-02-02T00:00:00"/>
    <d v="2026-02-26T00:00:00"/>
    <m/>
    <d v="2026-02-27T00:00:00"/>
    <d v="2026-03-04T00:00:00"/>
    <d v="2026-03-07T14:24:00"/>
    <d v="2026-03-09T00:00:00"/>
    <d v="2026-03-09T00:00:00"/>
    <d v="2026-03-14T14:24:00"/>
    <s v="13/04/26: Según CQ, actualizó el estado a 08. Producción Finalizada_x000a_31/03/2026: fue retirada el día de hoy de la Ficha de Iniciativas, debido a que ya se encuentra registrada en el Backlog y viene siendo atendida. _x000a_Cabe indicar que esta iniciativa formaba parte de la lista de prioridad 1._x000a__x000a_02/02/2026: Se registró en el Backlog._x000a_02/02/2026: Se creó trámite._x000a__x000a_Analista asignado : Pedro Encalada"/>
    <s v="Productos"/>
    <s v="BancaPersonal"/>
    <s v="2026-01"/>
    <s v="2026-04"/>
    <s v="2026-02"/>
    <x v="2"/>
    <x v="8"/>
    <m/>
    <m/>
    <m/>
    <m/>
    <m/>
    <m/>
    <n v="35"/>
    <n v="1.1666666666666667"/>
    <m/>
    <s v="Finalizada"/>
    <s v="Procesado"/>
    <x v="201"/>
    <x v="0"/>
    <m/>
    <m/>
    <s v="Culminado"/>
    <s v="Préstamos Multired"/>
    <s v="Productos"/>
    <x v="2"/>
    <x v="1"/>
    <m/>
    <d v="2026-03-09T00:00:00"/>
    <s v="Culminado"/>
    <s v="Mar 2026"/>
    <m/>
    <s v="Culminado"/>
    <x v="0"/>
    <n v="1"/>
    <s v="POST"/>
    <m/>
    <m/>
    <s v="No aplica"/>
    <s v="IMPLEMENTADO 🔵"/>
    <n v="1"/>
    <n v="1"/>
    <s v=""/>
    <s v=""/>
    <m/>
    <m/>
    <m/>
    <m/>
    <m/>
    <m/>
    <m/>
    <n v="25"/>
    <n v="0.1"/>
    <n v="200"/>
    <m/>
    <s v="4. PRODUCCIÓN"/>
    <m/>
    <m/>
    <n v="0.9"/>
    <n v="1"/>
    <n v="24"/>
    <n v="8"/>
    <n v="192"/>
    <x v="0"/>
  </r>
  <r>
    <s v="M1325"/>
    <n v="3164"/>
    <x v="0"/>
    <s v="2026-T0058"/>
    <s v="2026-M0056"/>
    <s v="Validación nombre del Tarjeta Habiente en transacción ANI"/>
    <m/>
    <x v="2"/>
    <s v="Canales Alternos"/>
    <s v="Canales Virtuales"/>
    <d v="2026-01-23T00:00:00"/>
    <s v="MEMORANDO N° 00000008 - 2026-BN/3252"/>
    <s v="INCA - Interfaz Cajeros automaticos"/>
    <m/>
    <s v="Banca Móvil (APP)"/>
    <s v="No Aplica"/>
    <s v="No aplica"/>
    <x v="2"/>
    <m/>
    <s v="VISA"/>
    <s v="Mandato Visa - Account Name Inquiry (ANI) - Validación del nombre de titular de la tarjeta en transacciones electrónicas"/>
    <m/>
    <m/>
    <m/>
    <m/>
    <s v="Normal"/>
    <d v="2026-04-07T00:00:00"/>
    <x v="0"/>
    <m/>
    <s v="Vladimir Ronald Cajavilca Cajavilca"/>
    <s v="Omar Sarmiento"/>
    <x v="5"/>
    <s v="02. En Proceso"/>
    <m/>
    <m/>
    <m/>
    <d v="2026-02-02T00:00:00"/>
    <m/>
    <m/>
    <m/>
    <m/>
    <s v=""/>
    <m/>
    <m/>
    <s v=""/>
    <s v="13/04/26: Según CQ, actualizó el estado a 03. En Desarrollo_x000a_02/02/2026: Se registró en el Backlog._x000a_02/02/2026: Se creó trámite."/>
    <s v="B.Digital"/>
    <s v="CanalesAlternos"/>
    <s v="2026-01"/>
    <s v="2026-04"/>
    <s v="No definido"/>
    <x v="0"/>
    <x v="1"/>
    <m/>
    <m/>
    <m/>
    <m/>
    <m/>
    <m/>
    <s v="Sin Fecha Fin Producción"/>
    <s v="No Aplica"/>
    <m/>
    <s v="Iniciada"/>
    <s v="Asignado"/>
    <x v="202"/>
    <x v="0"/>
    <m/>
    <m/>
    <s v="Sin Fecha"/>
    <s v="ATM-Agentes-VISA"/>
    <s v="Canales Presenciales"/>
    <x v="2"/>
    <x v="1"/>
    <m/>
    <s v=""/>
    <s v="Sin Fecha"/>
    <s v="No definido"/>
    <m/>
    <s v="Activos"/>
    <x v="0"/>
    <n v="0.25"/>
    <s v="POST"/>
    <m/>
    <m/>
    <s v="NO"/>
    <s v="Sin Cronograma 🔵"/>
    <s v=""/>
    <n v="0.25"/>
    <s v=""/>
    <s v=""/>
    <m/>
    <m/>
    <m/>
    <m/>
    <m/>
    <m/>
    <m/>
    <n v="25"/>
    <n v="0.1"/>
    <n v="200"/>
    <m/>
    <s v="1. DESARROLLO"/>
    <m/>
    <m/>
    <n v="0.9"/>
    <n v="1"/>
    <n v="24"/>
    <n v="0.72727272727272729"/>
    <n v="17.454545454545453"/>
    <x v="0"/>
  </r>
  <r>
    <s v="M1326"/>
    <n v="3165"/>
    <x v="0"/>
    <s v="2026-T0059"/>
    <s v="2026-M0078"/>
    <s v="Requerimiento Proyecto y Optimización de la aplicación SACH"/>
    <m/>
    <x v="8"/>
    <s v="Construcción de Aplicaciones"/>
    <s v="Sistemas Bancarios"/>
    <d v="2026-01-29T00:00:00"/>
    <s v="MEMORANDO N° 00000012 - 2026-BN/2560"/>
    <s v="CRHP-Sistema Creditos Hipotecarios"/>
    <m/>
    <s v="Agencias"/>
    <s v="Crédito Hipotecario"/>
    <s v="Servicios Bancarios Diversos "/>
    <x v="0"/>
    <m/>
    <m/>
    <m/>
    <m/>
    <m/>
    <m/>
    <m/>
    <s v="Normal"/>
    <d v="2026-04-07T00:00:00"/>
    <x v="0"/>
    <m/>
    <s v="Johnny Luis Rocca Surco"/>
    <s v="Tomas Calvera"/>
    <x v="5"/>
    <s v="02. En Proceso"/>
    <m/>
    <m/>
    <m/>
    <m/>
    <m/>
    <m/>
    <m/>
    <m/>
    <s v=""/>
    <m/>
    <m/>
    <s v=""/>
    <s v="16/04/26: El pase aun no se da ya que dicho mantenimietno implican DCOM SERVER_x000a_13/04/26: Según CQ, actualizó el estado a 03. En Desarrollo_x000a_03/02/2026: Se registró en el Backlog._x000a_03/02/2026: Se creó trámite."/>
    <s v="TI"/>
    <s v="ConstrucciónAplicaciones"/>
    <s v="2026-01"/>
    <s v="2026-04"/>
    <s v="No definido"/>
    <x v="0"/>
    <x v="1"/>
    <m/>
    <m/>
    <m/>
    <m/>
    <m/>
    <m/>
    <s v="Sin Fechas"/>
    <s v="No Aplica"/>
    <m/>
    <s v="Finalizada"/>
    <s v="Rechazado"/>
    <x v="203"/>
    <x v="0"/>
    <m/>
    <m/>
    <s v="Sin Fecha"/>
    <s v="Créditos Hipotecarios"/>
    <s v="Productos"/>
    <x v="2"/>
    <x v="1"/>
    <m/>
    <s v=""/>
    <s v="Sin Fecha"/>
    <s v="No definido"/>
    <m/>
    <s v="Activos"/>
    <x v="0"/>
    <n v="0.45"/>
    <s v="POST"/>
    <m/>
    <m/>
    <s v="SI"/>
    <s v="EN CURSO 🟢"/>
    <n v="0"/>
    <n v="0.45"/>
    <n v="-0.45"/>
    <s v=""/>
    <m/>
    <d v="2026-07-06T00:00:00"/>
    <d v="2026-09-30T00:00:00"/>
    <d v="2026-10-07T00:00:00"/>
    <d v="2026-12-03T00:00:00"/>
    <d v="2026-12-11T00:00:00"/>
    <d v="2026-12-18T00:00:00"/>
    <n v="61"/>
    <n v="0"/>
    <n v="69.714285714285708"/>
    <m/>
    <s v="1. DESARROLLO"/>
    <m/>
    <m/>
    <n v="1"/>
    <n v="0"/>
    <n v="61"/>
    <n v="0"/>
    <n v="69.714285714285708"/>
    <x v="14"/>
  </r>
  <r>
    <s v="M1327"/>
    <n v="3166"/>
    <x v="0"/>
    <s v="2026-T0060"/>
    <s v="2026-M0079"/>
    <s v="Proyecto Migración y Optimización de la Aplicación BDUC"/>
    <m/>
    <x v="8"/>
    <s v="Construcción de Aplicaciones"/>
    <s v="Sistemas Bancarios"/>
    <d v="2026-01-29T00:00:00"/>
    <s v="MEMORANDO N° 00000013 - 2026-BN/2560"/>
    <s v="SIUC-Sistema de Información Unica de Clientes"/>
    <m/>
    <s v="Agencias"/>
    <s v="Cuenta de Ahorros"/>
    <s v="No aplica"/>
    <x v="0"/>
    <m/>
    <m/>
    <m/>
    <m/>
    <m/>
    <m/>
    <m/>
    <s v="Normal"/>
    <d v="2026-04-07T00:00:00"/>
    <x v="0"/>
    <m/>
    <s v="Johnny Luis Rocca Surco"/>
    <s v="Tomas Calvera"/>
    <x v="5"/>
    <s v="02. En Proceso"/>
    <m/>
    <m/>
    <m/>
    <m/>
    <m/>
    <m/>
    <m/>
    <m/>
    <s v=""/>
    <m/>
    <m/>
    <s v=""/>
    <s v="13/04/26: Según CQ, actualizó el estado a 03. En Desarrollo_x000a_03/02/2026: Se registró en el Backlog._x000a_03/02/2026: Se creó trámite."/>
    <s v="TI"/>
    <s v="ConstrucciónAplicaciones"/>
    <s v="2026-01"/>
    <s v="2026-04"/>
    <s v="No definido"/>
    <x v="0"/>
    <x v="1"/>
    <m/>
    <m/>
    <m/>
    <m/>
    <m/>
    <m/>
    <s v="Sin Fechas"/>
    <s v="No Aplica"/>
    <m/>
    <s v="Finalizada"/>
    <s v="Rechazado"/>
    <x v="204"/>
    <x v="0"/>
    <m/>
    <m/>
    <s v="Sin Fecha"/>
    <s v="Clientes (BDUC)"/>
    <s v="Canales Presenciales"/>
    <x v="2"/>
    <x v="1"/>
    <m/>
    <s v=""/>
    <s v="Sin Fecha"/>
    <s v="No definido"/>
    <m/>
    <s v="Activos"/>
    <x v="0"/>
    <n v="0.45"/>
    <s v="POST"/>
    <m/>
    <m/>
    <s v="SI"/>
    <s v="EN CURSO 🟢"/>
    <n v="0"/>
    <n v="0.45"/>
    <n v="-0.45"/>
    <s v=""/>
    <m/>
    <d v="2026-07-06T00:00:00"/>
    <d v="2026-09-30T00:00:00"/>
    <d v="2026-10-07T00:00:00"/>
    <d v="2026-12-03T00:00:00"/>
    <d v="2026-12-11T00:00:00"/>
    <d v="2026-12-18T00:00:00"/>
    <n v="61"/>
    <n v="0"/>
    <n v="69.714285714285708"/>
    <m/>
    <s v="1. DESARROLLO"/>
    <m/>
    <m/>
    <n v="1"/>
    <n v="0"/>
    <n v="61"/>
    <n v="0"/>
    <n v="69.714285714285708"/>
    <x v="14"/>
  </r>
  <r>
    <s v="M1328"/>
    <n v="3167"/>
    <x v="0"/>
    <s v="2026-T0063"/>
    <s v="2026-M0058"/>
    <s v="Transferencia de Información del GRF10 y tipo de cambio al repositorio BIGDATA"/>
    <m/>
    <x v="7"/>
    <s v="Riesgos Crediticios y Financieros"/>
    <s v="Riesgos Crediticios"/>
    <d v="2026-01-29T00:00:00"/>
    <s v="MEMORANDO N° 00000008 - 2026-BN/2192"/>
    <s v="BNDA-Data Analítica BN"/>
    <s v="Big Data"/>
    <s v="Otros"/>
    <s v="No Aplica"/>
    <s v="No aplica"/>
    <x v="0"/>
    <m/>
    <m/>
    <m/>
    <m/>
    <m/>
    <m/>
    <m/>
    <s v="Normal"/>
    <d v="2026-04-07T00:00:00"/>
    <x v="1"/>
    <m/>
    <s v="Luis Enrique Almeyda Pachas"/>
    <s v="Juan Carlos Zavaleta"/>
    <x v="5"/>
    <s v="02. En Proceso"/>
    <m/>
    <m/>
    <m/>
    <d v="2026-02-04T00:00:00"/>
    <m/>
    <m/>
    <m/>
    <m/>
    <s v=""/>
    <m/>
    <m/>
    <s v=""/>
    <s v="13/04/26: Según CQ, actualizó el estado a 03. En Desarrollo_x000a_03/02/2026: Se registró en el Backlog._x000a_03/02/2026: Se creó trámite."/>
    <s v="Riesgos"/>
    <s v="CrediticiosFinancieros"/>
    <s v="2026-01"/>
    <s v="2026-04"/>
    <s v="No definido"/>
    <x v="0"/>
    <x v="1"/>
    <m/>
    <m/>
    <m/>
    <m/>
    <m/>
    <m/>
    <s v="Sin Fecha Fin Producción"/>
    <s v="No Aplica"/>
    <m/>
    <s v="Asignada"/>
    <s v="Asignado"/>
    <x v="205"/>
    <x v="0"/>
    <m/>
    <m/>
    <s v="Sin Fecha"/>
    <s v="BackOffice"/>
    <s v="Otros Requerimientos"/>
    <x v="2"/>
    <x v="1"/>
    <m/>
    <s v=""/>
    <s v="Sin Fecha"/>
    <s v="No definido"/>
    <m/>
    <s v="Activos"/>
    <x v="0"/>
    <n v="0.7"/>
    <s v="POST"/>
    <m/>
    <m/>
    <s v="SI"/>
    <s v="EN CURSO 🟢"/>
    <n v="0.7"/>
    <n v="0.7"/>
    <n v="0"/>
    <n v="1"/>
    <m/>
    <d v="2026-02-04T00:00:00"/>
    <d v="2026-05-29T00:00:00"/>
    <d v="2026-05-29T00:00:00"/>
    <d v="2026-06-18T00:00:00"/>
    <d v="2026-06-19T00:00:00"/>
    <d v="2026-06-30T00:00:00"/>
    <n v="82"/>
    <n v="0.87951807228915657"/>
    <n v="218.66666666666666"/>
    <m/>
    <s v="1. DESARROLLO"/>
    <m/>
    <m/>
    <n v="0.12048192771084343"/>
    <n v="72"/>
    <n v="10"/>
    <n v="192"/>
    <n v="26.666666666666664"/>
    <x v="6"/>
  </r>
  <r>
    <s v="M1329"/>
    <n v="3168"/>
    <x v="0"/>
    <s v="2026-T0064"/>
    <s v="2026-M0067"/>
    <s v="Reporte Depósitos Judiciales Administrativos Pendientes de Cancelación"/>
    <m/>
    <x v="0"/>
    <s v="Servicios Bancarios y Recaudación"/>
    <s v="Depósitos Judiciales y Administrativos"/>
    <d v="2026-01-28T00:00:00"/>
    <s v="MEMORANDO N° 00000031 - 2026-BN/3212"/>
    <s v="DEJA-Depositos judiciales y administrativos"/>
    <m/>
    <s v="Otros"/>
    <s v="Depósitos Judiciales y Administrativos"/>
    <s v="No aplica"/>
    <x v="0"/>
    <m/>
    <m/>
    <m/>
    <m/>
    <m/>
    <m/>
    <m/>
    <s v="Normal"/>
    <d v="2026-04-07T00:00:00"/>
    <x v="1"/>
    <m/>
    <s v="Valery Aldo Versategui Malpica"/>
    <s v="Junior Quicaño"/>
    <x v="1"/>
    <s v="03. Culminado"/>
    <m/>
    <m/>
    <m/>
    <d v="2026-02-06T00:00:00"/>
    <d v="2026-02-11T00:00:00"/>
    <m/>
    <d v="2026-02-16T00:00:00"/>
    <d v="2026-02-20T00:00:00"/>
    <d v="2026-02-13T00:00:00"/>
    <d v="2026-03-09T00:00:00"/>
    <d v="2026-03-09T00:00:00"/>
    <d v="2026-02-20T00:00:00"/>
    <s v="13/04/26: Según CQ, actualizó el estado a 08. Producción Finalizada_x000a_05/02/2026: Se registró en el Backlog._x000a_05/02/2026: Se creó trámite."/>
    <s v="Operac."/>
    <s v="BancariosRecaudación"/>
    <s v="2026-01"/>
    <s v="2026-04"/>
    <s v="2026-02"/>
    <x v="2"/>
    <x v="2"/>
    <m/>
    <m/>
    <m/>
    <m/>
    <m/>
    <m/>
    <n v="31"/>
    <n v="1.0333333333333334"/>
    <m/>
    <s v="Finalizada"/>
    <s v="Procesado"/>
    <x v="206"/>
    <x v="0"/>
    <m/>
    <m/>
    <s v="Culminado"/>
    <s v="BackOffice"/>
    <s v="Otros Requerimientos"/>
    <x v="2"/>
    <x v="1"/>
    <m/>
    <d v="2026-03-09T00:00:00"/>
    <s v="Culminado"/>
    <s v="Mar 2026"/>
    <m/>
    <s v="Culminado"/>
    <x v="0"/>
    <n v="1"/>
    <s v="POST"/>
    <m/>
    <m/>
    <s v="No aplica"/>
    <s v="IMPLEMENTADO 🔵"/>
    <n v="1"/>
    <n v="1"/>
    <s v=""/>
    <s v=""/>
    <m/>
    <m/>
    <m/>
    <m/>
    <m/>
    <m/>
    <m/>
    <n v="25"/>
    <n v="0.1"/>
    <n v="200"/>
    <m/>
    <s v="4. PRODUCCIÓN"/>
    <m/>
    <m/>
    <n v="0.9"/>
    <n v="1"/>
    <n v="24"/>
    <n v="8"/>
    <n v="192"/>
    <x v="0"/>
  </r>
  <r>
    <s v="M1330"/>
    <n v="3169"/>
    <x v="0"/>
    <s v="2026-T0065"/>
    <s v="2026-M0064"/>
    <s v="INCA: Mandatorio VISA Habilitación del servicio Account FundsTransfer (AFT) para el procesamiento de transferencias en tiempo real."/>
    <m/>
    <x v="2"/>
    <s v="Canales Alternos"/>
    <s v="Canales Virtuales"/>
    <d v="2026-02-02T00:00:00"/>
    <s v="MEMORANDO N° 00000026 - 2026-BN/3252"/>
    <s v="INCA - Interfaz Cajeros automaticos"/>
    <m/>
    <s v="Banca Móvil (APP)"/>
    <s v="No Aplica"/>
    <s v="No aplica"/>
    <x v="2"/>
    <m/>
    <s v="VISA"/>
    <s v="Mandato VISA - Account Funds Tranfer (AFT) - Procesamiento en tiempo real como Emisor"/>
    <m/>
    <m/>
    <m/>
    <m/>
    <s v="Normal"/>
    <d v="2026-04-07T00:00:00"/>
    <x v="0"/>
    <m/>
    <s v="Vladimir Ronald Cajavilca Cajavilca"/>
    <s v="Omar Sarmiento"/>
    <x v="5"/>
    <s v="02. En Proceso"/>
    <m/>
    <m/>
    <m/>
    <d v="2026-02-05T00:00:00"/>
    <m/>
    <m/>
    <m/>
    <m/>
    <s v=""/>
    <m/>
    <m/>
    <s v=""/>
    <s v="13/04/26: Según CQ, actualizó el estado a 03. En Desarrollo_x000a_05/02/2026: Se registró en el Backlog._x000a_05/02/2026: Se creó trámite."/>
    <s v="B.Digital"/>
    <s v="CanalesAlternos"/>
    <s v="2026-02"/>
    <s v="2026-04"/>
    <s v="No definido"/>
    <x v="0"/>
    <x v="1"/>
    <m/>
    <m/>
    <m/>
    <m/>
    <m/>
    <m/>
    <s v="Sin Fecha Fin Producción"/>
    <s v="No Aplica"/>
    <m/>
    <s v="Iniciada"/>
    <s v="Asignado"/>
    <x v="207"/>
    <x v="0"/>
    <m/>
    <m/>
    <s v="Sin Fecha"/>
    <s v="ATM-Agentes-VISA"/>
    <s v="Canales Presenciales"/>
    <x v="2"/>
    <x v="1"/>
    <m/>
    <s v=""/>
    <s v="Sin Fecha"/>
    <s v="No definido"/>
    <m/>
    <s v="Activos"/>
    <x v="0"/>
    <n v="0.25"/>
    <s v="POST"/>
    <m/>
    <m/>
    <s v="NO"/>
    <s v="Sin Cronograma 🔵"/>
    <s v=""/>
    <n v="0.25"/>
    <s v=""/>
    <s v=""/>
    <m/>
    <m/>
    <m/>
    <m/>
    <m/>
    <m/>
    <m/>
    <n v="25"/>
    <n v="0.1"/>
    <n v="200"/>
    <m/>
    <s v="1. DESARROLLO"/>
    <m/>
    <m/>
    <n v="0.9"/>
    <n v="1"/>
    <n v="24"/>
    <n v="0.72727272727272729"/>
    <n v="17.454545454545453"/>
    <x v="0"/>
  </r>
  <r>
    <s v="M1331"/>
    <n v="3170"/>
    <x v="0"/>
    <s v="2026-T0070"/>
    <s v="2026-M0069"/>
    <s v="MN: Decimo Mantenimiento Preventivo/Correctivo del Sistema Tramite Documentario"/>
    <m/>
    <x v="6"/>
    <s v="Servicios"/>
    <s v="Tramité Documentario"/>
    <d v="2026-02-04T00:00:00"/>
    <s v="MEMORANDO N° 00000008 - 2026-BN/2202"/>
    <s v="STD4 - Actualización del STD a la versión 4.0"/>
    <m/>
    <s v="Agencias"/>
    <s v="No Aplica"/>
    <s v="No aplica"/>
    <x v="0"/>
    <m/>
    <m/>
    <m/>
    <m/>
    <m/>
    <m/>
    <m/>
    <s v="Normal"/>
    <d v="2026-04-07T00:00:00"/>
    <x v="3"/>
    <m/>
    <s v="Jorge Mora Ruelas"/>
    <s v="Maria Barboza"/>
    <x v="1"/>
    <s v="03. Culminado"/>
    <m/>
    <m/>
    <m/>
    <d v="2026-02-06T00:00:00"/>
    <m/>
    <m/>
    <m/>
    <m/>
    <s v=""/>
    <d v="2026-02-06T00:00:00"/>
    <d v="2026-02-06T00:00:00"/>
    <s v=""/>
    <s v="13/04/26: Según CQ, actualizó el estado a 08. Producción Finalizada_x000a_06/02/2026: Se registró en el Backlog._x000a_06/02/2026: Se creó trámite."/>
    <s v="Logística"/>
    <s v="Servicios"/>
    <s v="2026-02"/>
    <s v="2026-04"/>
    <s v="No definido"/>
    <x v="3"/>
    <x v="1"/>
    <m/>
    <m/>
    <m/>
    <m/>
    <m/>
    <m/>
    <n v="0"/>
    <n v="0"/>
    <m/>
    <s v="Finalizada"/>
    <s v="Transitorio_Procesado"/>
    <x v="208"/>
    <x v="0"/>
    <m/>
    <m/>
    <s v="Culminado"/>
    <s v="BackOffice"/>
    <s v="Otros Requerimientos"/>
    <x v="2"/>
    <x v="1"/>
    <m/>
    <d v="2026-02-06T00:00:00"/>
    <s v="Culminado"/>
    <s v="Feb 2026"/>
    <m/>
    <s v="Culminado"/>
    <x v="0"/>
    <n v="1"/>
    <s v="POST"/>
    <m/>
    <m/>
    <s v="No aplica"/>
    <s v="IMPLEMENTADO 🔵"/>
    <n v="1"/>
    <n v="1"/>
    <s v=""/>
    <s v=""/>
    <m/>
    <m/>
    <m/>
    <m/>
    <m/>
    <m/>
    <m/>
    <n v="25"/>
    <n v="0.1"/>
    <n v="200"/>
    <m/>
    <s v="4. PRODUCCIÓN"/>
    <m/>
    <m/>
    <n v="0.9"/>
    <n v="1"/>
    <n v="24"/>
    <n v="8"/>
    <n v="192"/>
    <x v="0"/>
  </r>
  <r>
    <s v="M1332"/>
    <n v="3171"/>
    <x v="0"/>
    <s v="2026-T0073"/>
    <s v="2026-M0071"/>
    <s v="Tarjeta de Crédito sin Seguro de Desgravamen (Ampliación)"/>
    <m/>
    <x v="1"/>
    <s v="Banca Personal"/>
    <s v="Tarjeta de Crédito"/>
    <s v="_x0009_06/02/2026"/>
    <s v="HOJA DE ENVIO N° 00000001 - 2026-BN/3344"/>
    <s v="SITC – Tarjeta de Crédito"/>
    <m/>
    <s v="Otros"/>
    <s v="Tarjeta de Crédito "/>
    <s v="No aplica"/>
    <x v="2"/>
    <m/>
    <s v="SBS"/>
    <m/>
    <m/>
    <m/>
    <m/>
    <d v="2025-09-01T00:00:00"/>
    <s v="Normal"/>
    <d v="2026-04-07T00:00:00"/>
    <x v="0"/>
    <m/>
    <s v="Fiorella Emma Galvan Soto"/>
    <s v="Milagros Huamani"/>
    <x v="5"/>
    <s v="02. En Proceso"/>
    <m/>
    <m/>
    <m/>
    <m/>
    <m/>
    <m/>
    <m/>
    <m/>
    <s v=""/>
    <m/>
    <m/>
    <s v=""/>
    <s v="05/05/26: Según CQ, actualizó el estado a 03. En Desarrollo_x000a_29/04/26: Según CQ, actualizó el estado a 04. Desarrollo Finalizado_x000a_13/04/26: Según CQ, actualizó el estado a 03. En Desarrollo_x000a_10/02/2026: Se registró en el Backlog._x000a_10/02/2026: Se creó trámite."/>
    <s v="Productos"/>
    <s v="BancaPersonal"/>
    <e v="#VALUE!"/>
    <s v="2026-04"/>
    <s v="No definido"/>
    <x v="0"/>
    <x v="1"/>
    <m/>
    <m/>
    <m/>
    <m/>
    <m/>
    <m/>
    <s v="Sin Fechas"/>
    <s v="No Aplica"/>
    <m/>
    <s v="Finalizada"/>
    <s v="Rechazado"/>
    <x v="209"/>
    <x v="0"/>
    <m/>
    <m/>
    <s v="Sin Fecha"/>
    <s v="Tarjeta Tesoro"/>
    <s v="Productos"/>
    <x v="2"/>
    <x v="1"/>
    <m/>
    <s v=""/>
    <s v="Sin Fecha"/>
    <s v="No definido"/>
    <m/>
    <s v="Activos"/>
    <x v="0"/>
    <n v="0.45"/>
    <s v="POST"/>
    <m/>
    <m/>
    <s v="NO"/>
    <s v="Sin Cronograma 🔵"/>
    <s v=""/>
    <n v="0.45"/>
    <s v=""/>
    <s v=""/>
    <m/>
    <m/>
    <m/>
    <m/>
    <m/>
    <m/>
    <m/>
    <n v="25"/>
    <n v="0.1"/>
    <n v="200"/>
    <m/>
    <s v="1. DESARROLLO"/>
    <m/>
    <m/>
    <n v="0.9"/>
    <n v="1"/>
    <n v="24"/>
    <n v="8"/>
    <n v="192"/>
    <x v="0"/>
  </r>
  <r>
    <s v="M1333"/>
    <n v="3172"/>
    <x v="0"/>
    <s v="2026-T0077"/>
    <s v="2026-M0077"/>
    <s v="Renombrar, Reporte y Comisiones Códigos Transacción de Desembolso"/>
    <m/>
    <x v="0"/>
    <s v="Servicios Bancarios y Recaudación"/>
    <s v="Recaudación y Corresponsalía"/>
    <d v="2025-10-23T00:00:00"/>
    <s v="MEMORANDO N° 00000242 - 2025-BN/3243"/>
    <s v="PRCA- Prestamos Corresponsalia Agro"/>
    <m/>
    <s v="Agencias"/>
    <s v="No Aplica"/>
    <s v="No aplica"/>
    <x v="0"/>
    <m/>
    <m/>
    <m/>
    <m/>
    <m/>
    <m/>
    <m/>
    <s v="Normal"/>
    <d v="2026-04-07T00:00:00"/>
    <x v="0"/>
    <m/>
    <s v="Waldo Antonio Basurto Valverde"/>
    <s v="Junior Quicaño"/>
    <x v="0"/>
    <s v="05. Descartado"/>
    <m/>
    <m/>
    <m/>
    <d v="2026-02-11T00:00:00"/>
    <m/>
    <m/>
    <m/>
    <m/>
    <s v=""/>
    <m/>
    <m/>
    <s v=""/>
    <s v="27/04/26: Según CQ, actualizó el estado a 09. Descartado_x000a_13/04/26: Según CQ, actualizó el estado a 03. En Desarrollo_x000a_11/02/2026: Se registró en el Backlog._x000a_11/02/2026: Se creó trámite."/>
    <s v="Operac."/>
    <s v="BancariosRecaudación"/>
    <s v="2025-10"/>
    <s v="2026-04"/>
    <s v="No definido"/>
    <x v="0"/>
    <x v="1"/>
    <m/>
    <m/>
    <m/>
    <m/>
    <m/>
    <m/>
    <s v="Sin Fecha Fin Producción"/>
    <s v="No Aplica"/>
    <m/>
    <s v="Descartada"/>
    <s v="Descartado"/>
    <x v="210"/>
    <x v="0"/>
    <m/>
    <m/>
    <s v="Sin Fecha"/>
    <s v="BackOffice"/>
    <s v="Otros Requerimientos"/>
    <x v="2"/>
    <x v="1"/>
    <m/>
    <s v=""/>
    <s v="Sin Fecha"/>
    <s v="No definido"/>
    <m/>
    <s v="Descartado"/>
    <x v="0"/>
    <n v="-0.01"/>
    <s v="POST"/>
    <m/>
    <m/>
    <s v="No aplica"/>
    <s v="Sin Cronograma 🔵"/>
    <s v=""/>
    <n v="-0.01"/>
    <s v=""/>
    <s v=""/>
    <m/>
    <m/>
    <m/>
    <m/>
    <m/>
    <m/>
    <m/>
    <n v="25"/>
    <n v="0.1"/>
    <n v="200"/>
    <m/>
    <s v="5. DESCARTADO"/>
    <m/>
    <m/>
    <n v="0.9"/>
    <n v="1"/>
    <n v="24"/>
    <n v="8"/>
    <n v="192"/>
    <x v="0"/>
  </r>
  <r>
    <s v="M1334"/>
    <n v="3173"/>
    <x v="0"/>
    <s v="2026-T0078"/>
    <s v="2026-M0076"/>
    <s v="Catalogados Scotiabank"/>
    <m/>
    <x v="0"/>
    <s v="Servicios Bancarios y Recaudación"/>
    <s v="Recaudación y Corresponsalía"/>
    <d v="2025-11-07T00:00:00"/>
    <s v="MEMORANDO N° 00000243 - 2025-BN/3243"/>
    <s v="PRCA- Prestamos Corresponsalia Agro"/>
    <m/>
    <s v="Agencias"/>
    <s v="No Aplica"/>
    <s v="No aplica"/>
    <x v="0"/>
    <m/>
    <m/>
    <m/>
    <m/>
    <m/>
    <m/>
    <m/>
    <s v="Normal"/>
    <d v="2026-04-07T00:00:00"/>
    <x v="0"/>
    <m/>
    <s v="Eduardo Saul Cardenas Manrique"/>
    <s v="Junior Quicaño"/>
    <x v="1"/>
    <s v="03. Culminado"/>
    <m/>
    <m/>
    <m/>
    <d v="2026-02-11T00:00:00"/>
    <m/>
    <m/>
    <m/>
    <m/>
    <s v=""/>
    <d v="2026-03-06T00:00:00"/>
    <d v="2026-03-10T00:00:00"/>
    <s v=""/>
    <s v="13/04/26: Según CQ, actualizó el estado a 08. Producción Finalizada_x000a_11/02/2026: Se registró en el Backlog._x000a_11/02/2026: Se creó trámite."/>
    <s v="Operac."/>
    <s v="BancariosRecaudación"/>
    <s v="2025-11"/>
    <s v="2026-04"/>
    <s v="No definido"/>
    <x v="2"/>
    <x v="1"/>
    <m/>
    <m/>
    <m/>
    <m/>
    <m/>
    <m/>
    <n v="27"/>
    <n v="0.9"/>
    <m/>
    <s v="Finalizada"/>
    <s v="Transitorio_Procesado"/>
    <x v="211"/>
    <x v="0"/>
    <m/>
    <m/>
    <s v="Culminado"/>
    <s v="BackOffice"/>
    <s v="Otros Requerimientos"/>
    <x v="2"/>
    <x v="1"/>
    <m/>
    <d v="2026-03-10T00:00:00"/>
    <s v="Culminado"/>
    <s v="Mar 2026"/>
    <m/>
    <s v="Culminado"/>
    <x v="0"/>
    <n v="1"/>
    <s v="POST"/>
    <m/>
    <m/>
    <s v="No aplica"/>
    <s v="IMPLEMENTADO 🔵"/>
    <n v="1"/>
    <n v="1"/>
    <s v=""/>
    <s v=""/>
    <m/>
    <m/>
    <m/>
    <m/>
    <m/>
    <m/>
    <m/>
    <n v="25"/>
    <n v="0.1"/>
    <n v="200"/>
    <m/>
    <s v="4. PRODUCCIÓN"/>
    <m/>
    <m/>
    <n v="0.9"/>
    <n v="1"/>
    <n v="24"/>
    <n v="8"/>
    <n v="192"/>
    <x v="0"/>
  </r>
  <r>
    <s v="M1335"/>
    <n v="3174"/>
    <x v="0"/>
    <s v="2026-T0089"/>
    <s v="2026-M0089"/>
    <s v="Información CDJS por número de expediente"/>
    <m/>
    <x v="0"/>
    <s v="Servicios Bancarios y Recaudación"/>
    <s v="Depósitos Judiciales y Administrativos"/>
    <d v="2026-01-22T00:00:00"/>
    <s v="MEMORANDO N° 00000011 - 2026-BN/3212"/>
    <s v="DEJA-Depositos judiciales y administrativos"/>
    <m/>
    <s v="Otros"/>
    <s v="Depósitos Judiciales y Administrativos"/>
    <s v="No aplica"/>
    <x v="0"/>
    <m/>
    <m/>
    <m/>
    <m/>
    <m/>
    <m/>
    <m/>
    <s v="Normal"/>
    <d v="2026-04-07T00:00:00"/>
    <x v="1"/>
    <m/>
    <s v="Valery Aldo Versategui Malpica"/>
    <s v="Junior Quicaño"/>
    <x v="1"/>
    <s v="03. Culminado"/>
    <m/>
    <m/>
    <m/>
    <d v="2026-02-20T00:00:00"/>
    <d v="2026-03-03T00:00:00"/>
    <m/>
    <d v="2026-03-03T00:00:00"/>
    <d v="2026-03-13T00:00:00"/>
    <d v="2026-03-07T09:36:00"/>
    <d v="2026-03-18T00:00:00"/>
    <d v="2026-03-18T00:00:00"/>
    <d v="2026-03-14T09:36:00"/>
    <s v="13/04/26: Según CQ, actualizó el estado a 08. Producción Finalizada_x000a_19/02/2026: Se registró en el Backlog._x000a_19/02/2026: Se creó trámite."/>
    <s v="Operac."/>
    <s v="BancariosRecaudación"/>
    <s v="2026-01"/>
    <s v="2026-04"/>
    <s v="2026-03"/>
    <x v="2"/>
    <x v="8"/>
    <m/>
    <m/>
    <m/>
    <m/>
    <m/>
    <m/>
    <n v="26"/>
    <n v="0.8666666666666667"/>
    <m/>
    <s v="Finalizada"/>
    <s v="Procesado"/>
    <x v="212"/>
    <x v="0"/>
    <m/>
    <m/>
    <s v="Culminado"/>
    <s v="BackOffice"/>
    <s v="Otros Requerimientos"/>
    <x v="2"/>
    <x v="1"/>
    <m/>
    <d v="2026-03-18T00:00:00"/>
    <s v="Culminado"/>
    <s v="Mar 2026"/>
    <m/>
    <s v="Culminado"/>
    <x v="0"/>
    <n v="1"/>
    <s v="POST"/>
    <m/>
    <m/>
    <s v="No aplica"/>
    <s v="IMPLEMENTADO 🔵"/>
    <n v="1"/>
    <n v="1"/>
    <s v=""/>
    <s v=""/>
    <m/>
    <m/>
    <m/>
    <m/>
    <m/>
    <m/>
    <m/>
    <n v="25"/>
    <n v="0.1"/>
    <n v="200"/>
    <m/>
    <s v="4. PRODUCCIÓN"/>
    <m/>
    <m/>
    <n v="0.9"/>
    <n v="1"/>
    <n v="24"/>
    <n v="8"/>
    <n v="192"/>
    <x v="0"/>
  </r>
  <r>
    <s v="M1336"/>
    <n v="3175"/>
    <x v="0"/>
    <s v="2026-T0090"/>
    <m/>
    <s v="Trasferencias Interbancarias Inmediatas CCE - Proyecto Masivas y Antifraude CCE"/>
    <m/>
    <x v="0"/>
    <s v="Captaciones y Pagaduría"/>
    <s v="Sistema de Pagos"/>
    <d v="2026-02-04T00:00:00"/>
    <s v="MEMORANDO N° 00000020 - 2026-BN/3116"/>
    <m/>
    <m/>
    <s v="Banca Móvil (APP)"/>
    <s v="No Aplica"/>
    <s v="Transferencias de recursos "/>
    <x v="0"/>
    <m/>
    <m/>
    <m/>
    <m/>
    <m/>
    <m/>
    <m/>
    <s v="Normal"/>
    <d v="2026-04-07T00:00:00"/>
    <x v="0"/>
    <m/>
    <m/>
    <s v="Junior Quicaño"/>
    <x v="2"/>
    <s v="01. No iniciado"/>
    <m/>
    <m/>
    <m/>
    <m/>
    <m/>
    <m/>
    <m/>
    <m/>
    <s v=""/>
    <m/>
    <m/>
    <s v=""/>
    <s v="19/02/2026: Se registró en el Backlog._x000a_19/02/2026: Se creó trámite."/>
    <s v="Operac."/>
    <s v="CaptacionesPagaduría"/>
    <s v="2026-02"/>
    <s v="2026-04"/>
    <s v="No definido"/>
    <x v="0"/>
    <x v="1"/>
    <m/>
    <m/>
    <m/>
    <m/>
    <m/>
    <m/>
    <s v="Sin Fechas"/>
    <s v="No Aplica"/>
    <m/>
    <m/>
    <m/>
    <x v="3"/>
    <x v="0"/>
    <m/>
    <m/>
    <s v="Sin Mantenimiento"/>
    <s v="Sin Aplicativo"/>
    <s v="Sin Aplicativo"/>
    <x v="2"/>
    <x v="1"/>
    <m/>
    <s v=""/>
    <s v="Sin Mantenimiento"/>
    <s v="No definido"/>
    <m/>
    <s v="Activos"/>
    <x v="0"/>
    <n v="0.1"/>
    <s v="POST"/>
    <m/>
    <m/>
    <s v="NO"/>
    <s v="Sin Cronograma 🔵"/>
    <s v=""/>
    <n v="0.1"/>
    <s v=""/>
    <s v=""/>
    <m/>
    <m/>
    <m/>
    <m/>
    <m/>
    <m/>
    <m/>
    <n v="25"/>
    <n v="0.1"/>
    <n v="200"/>
    <m/>
    <s v="1. DESARROLLO"/>
    <m/>
    <m/>
    <n v="0.9"/>
    <n v="1"/>
    <n v="24"/>
    <n v="8"/>
    <n v="192"/>
    <x v="0"/>
  </r>
  <r>
    <s v="M1337"/>
    <n v="3176"/>
    <x v="0"/>
    <s v="2026-T0091"/>
    <s v="2026-M0090"/>
    <s v="Creación de RPA - Embargos Judiciales"/>
    <m/>
    <x v="0"/>
    <s v="Servicios Bancarios y Recaudación"/>
    <s v="Depósitos Judiciales y Administrativos"/>
    <d v="2026-01-23T00:00:00"/>
    <s v="MEMORANDO N° 00000030 - 2026-BN/3212"/>
    <s v="RPAI-Robotic Process Automation Integration"/>
    <m/>
    <s v="Otros"/>
    <s v="Cuenta Corriente "/>
    <s v="Servicios Bancarios Diversos "/>
    <x v="0"/>
    <m/>
    <m/>
    <m/>
    <m/>
    <m/>
    <m/>
    <m/>
    <s v="Normal"/>
    <d v="2026-04-07T00:00:00"/>
    <x v="1"/>
    <m/>
    <s v="Luis Enrique Almeyda Pachas"/>
    <s v="Junior Quicaño"/>
    <x v="7"/>
    <s v="02. En Proceso"/>
    <m/>
    <m/>
    <m/>
    <d v="2026-02-20T00:00:00"/>
    <d v="2026-04-09T00:00:00"/>
    <m/>
    <d v="2026-04-09T00:00:00"/>
    <m/>
    <d v="2026-04-28T04:48:00"/>
    <m/>
    <m/>
    <d v="2026-05-05T04:48:00"/>
    <s v="13/04/26: Según CQ, actualizó el estado a 05. En Calidad_x000a_19/02/2026: Se registró en el Backlog._x000a_19/02/2026: Se creó trámite."/>
    <s v="Operac."/>
    <s v="BancariosRecaudación"/>
    <s v="2026-01"/>
    <s v="2026-04"/>
    <s v="2026-04"/>
    <x v="0"/>
    <x v="0"/>
    <m/>
    <m/>
    <m/>
    <m/>
    <m/>
    <m/>
    <s v="Sin Fecha Fin Producción"/>
    <s v="No Aplica"/>
    <m/>
    <s v="Finalizada"/>
    <s v="En_Certificación"/>
    <x v="213"/>
    <x v="0"/>
    <m/>
    <m/>
    <s v="Vencida"/>
    <s v="Sin Aplicativo"/>
    <s v="Sin Aplicativo"/>
    <x v="2"/>
    <x v="1"/>
    <m/>
    <s v=""/>
    <s v="Sin Fecha"/>
    <s v="No definido"/>
    <m/>
    <s v="Activos"/>
    <x v="0"/>
    <n v="0.7"/>
    <s v="POST"/>
    <m/>
    <m/>
    <s v="NO"/>
    <s v="Sin Cronograma 🔵"/>
    <s v=""/>
    <n v="0.7"/>
    <s v=""/>
    <s v=""/>
    <m/>
    <m/>
    <m/>
    <m/>
    <m/>
    <m/>
    <m/>
    <n v="25"/>
    <n v="0.1"/>
    <n v="200"/>
    <m/>
    <s v="2. CALIDAD"/>
    <m/>
    <m/>
    <n v="0.9"/>
    <n v="1"/>
    <n v="24"/>
    <n v="8"/>
    <n v="192"/>
    <x v="0"/>
  </r>
  <r>
    <s v="M1338"/>
    <n v="3179"/>
    <x v="0"/>
    <m/>
    <m/>
    <s v="REPORTE DE PLANTA DE PENSIONISTAS"/>
    <m/>
    <x v="5"/>
    <s v="Administración de Personal"/>
    <s v="Administración de Relaciones Laborales y Previsionales"/>
    <d v="2026-01-28T00:00:00"/>
    <s v="MEMORANDO N° 00000122 - 2026-BN/2336"/>
    <m/>
    <m/>
    <s v="Otros"/>
    <s v="No Aplica"/>
    <m/>
    <x v="0"/>
    <m/>
    <m/>
    <m/>
    <m/>
    <m/>
    <m/>
    <m/>
    <s v="Normal"/>
    <d v="2026-04-07T00:00:00"/>
    <x v="1"/>
    <m/>
    <m/>
    <s v="Juan Carlos Zavaleta"/>
    <x v="0"/>
    <s v="05. Descartado"/>
    <s v="Falta recursos TI"/>
    <m/>
    <m/>
    <m/>
    <m/>
    <m/>
    <m/>
    <m/>
    <s v=""/>
    <m/>
    <m/>
    <s v=""/>
    <s v="23/02/2026: Se registró en el Backlog._x000a_23/02/2026: Se creó trámite."/>
    <s v="RRHH"/>
    <s v="AdministraciónPersonal"/>
    <s v="2026-01"/>
    <s v="2026-04"/>
    <s v="No definido"/>
    <x v="0"/>
    <x v="1"/>
    <m/>
    <m/>
    <m/>
    <m/>
    <m/>
    <m/>
    <s v="Sin Fechas"/>
    <s v="No Aplica"/>
    <m/>
    <m/>
    <m/>
    <x v="3"/>
    <x v="0"/>
    <m/>
    <m/>
    <s v="Sin Mantenimiento"/>
    <s v="Sin Aplicativo"/>
    <s v="Sin Aplicativo"/>
    <x v="2"/>
    <x v="1"/>
    <m/>
    <s v=""/>
    <s v="Sin Mantenimiento"/>
    <s v="No definido"/>
    <m/>
    <s v="Descartado"/>
    <x v="0"/>
    <n v="-0.01"/>
    <s v="POST"/>
    <m/>
    <m/>
    <s v="No aplica"/>
    <s v="Sin Cronograma 🔵"/>
    <s v=""/>
    <n v="-0.01"/>
    <s v=""/>
    <s v=""/>
    <m/>
    <m/>
    <m/>
    <m/>
    <m/>
    <m/>
    <m/>
    <n v="25"/>
    <n v="0.1"/>
    <n v="200"/>
    <m/>
    <s v="5. DESCARTADO"/>
    <m/>
    <m/>
    <n v="0.9"/>
    <n v="1"/>
    <n v="24"/>
    <n v="8"/>
    <n v="192"/>
    <x v="0"/>
  </r>
  <r>
    <s v="M1339"/>
    <n v="3180"/>
    <x v="0"/>
    <s v="2026-T0100"/>
    <s v="2026-M0097"/>
    <s v="Onceavo Mantenimiento Preventivo/Correctivo del Sistema Tramite Documentario"/>
    <m/>
    <x v="6"/>
    <s v="Servicios"/>
    <s v="Tramité Documentario"/>
    <d v="2026-02-26T00:00:00"/>
    <s v="Solicitud de Cambio STD-SC-01"/>
    <s v="STD4 - Actualización del STD a la versión 4.0"/>
    <m/>
    <s v="Agencias"/>
    <s v="No Aplica"/>
    <m/>
    <x v="0"/>
    <m/>
    <m/>
    <m/>
    <m/>
    <m/>
    <m/>
    <m/>
    <s v="Normal"/>
    <d v="2026-04-07T00:00:00"/>
    <x v="1"/>
    <m/>
    <s v="Jorge Mora Ruelas"/>
    <s v="Maria Barboza"/>
    <x v="1"/>
    <s v="03. Culminado"/>
    <m/>
    <m/>
    <m/>
    <d v="2026-02-26T00:00:00"/>
    <d v="2026-02-27T00:00:00"/>
    <m/>
    <d v="2026-02-27T00:00:00"/>
    <d v="2026-02-27T00:00:00"/>
    <d v="2026-02-27T09:36:00"/>
    <d v="2026-03-25T00:00:00"/>
    <d v="2026-03-25T00:00:00"/>
    <d v="2026-03-06T09:36:00"/>
    <s v="13/04/26: Según CQ, actualizó el estado a 08. Producción Finalizada_x000a_26/02/2026: Se registró en el Backlog._x000a_26/02/2026: Se creó trámite."/>
    <s v="Logística"/>
    <s v="Servicios"/>
    <s v="2026-02"/>
    <s v="2026-04"/>
    <s v="2026-02"/>
    <x v="2"/>
    <x v="8"/>
    <m/>
    <m/>
    <m/>
    <m/>
    <m/>
    <m/>
    <n v="27"/>
    <n v="0.9"/>
    <m/>
    <s v="Finalizada"/>
    <s v="Procesado"/>
    <x v="214"/>
    <x v="0"/>
    <m/>
    <m/>
    <s v="Culminado"/>
    <s v="BackOffice"/>
    <s v="Otros Requerimientos"/>
    <x v="2"/>
    <x v="1"/>
    <m/>
    <d v="2026-03-25T00:00:00"/>
    <s v="Culminado"/>
    <s v="Mar 2026"/>
    <m/>
    <s v="Culminado"/>
    <x v="0"/>
    <n v="1"/>
    <s v="POST"/>
    <m/>
    <m/>
    <s v="No aplica"/>
    <s v="IMPLEMENTADO 🔵"/>
    <n v="1"/>
    <n v="1"/>
    <s v=""/>
    <s v=""/>
    <m/>
    <m/>
    <m/>
    <m/>
    <m/>
    <m/>
    <m/>
    <n v="25"/>
    <n v="0.1"/>
    <n v="200"/>
    <m/>
    <s v="4. PRODUCCIÓN"/>
    <m/>
    <m/>
    <n v="0.9"/>
    <n v="1"/>
    <n v="24"/>
    <n v="8"/>
    <n v="192"/>
    <x v="0"/>
  </r>
  <r>
    <s v="M1340"/>
    <n v="3181"/>
    <x v="0"/>
    <s v="2026-T0102"/>
    <s v="2026-M0100"/>
    <s v="Actualizar el monto minimo de costo a S/1.00 en el canal Págalo.pe (App y Web)"/>
    <m/>
    <x v="2"/>
    <s v="Canales Alternos"/>
    <s v="Canales Presenciales"/>
    <d v="2026-02-19T00:00:00"/>
    <s v="MEMORANDO N° 00000047 - 2026-BN-3252"/>
    <s v="SOMP – SISTEMA DE OPERACIONES MULTIPAGOS"/>
    <m/>
    <s v="Págalo.pe (APP-Web)"/>
    <m/>
    <m/>
    <x v="1"/>
    <m/>
    <m/>
    <m/>
    <m/>
    <m/>
    <m/>
    <m/>
    <s v="Normal"/>
    <d v="2026-04-07T00:00:00"/>
    <x v="2"/>
    <m/>
    <m/>
    <s v="Omar Sarmiento"/>
    <x v="2"/>
    <s v="01. No iniciado"/>
    <m/>
    <m/>
    <m/>
    <m/>
    <m/>
    <m/>
    <m/>
    <m/>
    <s v=""/>
    <m/>
    <m/>
    <s v=""/>
    <s v="26/02/2026: Se registró en el Backlog._x000a_26/02/2026: Se creó trámite."/>
    <s v="B.Digital"/>
    <s v="CanalesAlternos"/>
    <s v="2026-02"/>
    <s v="2026-04"/>
    <s v="No definido"/>
    <x v="0"/>
    <x v="1"/>
    <m/>
    <m/>
    <m/>
    <m/>
    <m/>
    <m/>
    <s v="Sin Fechas"/>
    <s v="No Aplica"/>
    <m/>
    <m/>
    <s v="Registrado"/>
    <x v="215"/>
    <x v="0"/>
    <m/>
    <m/>
    <s v="Sin Fecha"/>
    <s v="Pagalo.pe"/>
    <s v="Canales Virtuales"/>
    <x v="2"/>
    <x v="1"/>
    <m/>
    <s v=""/>
    <s v="Sin Fecha"/>
    <s v="No definido"/>
    <m/>
    <s v="Activos"/>
    <x v="0"/>
    <n v="0.1"/>
    <s v="POST"/>
    <m/>
    <m/>
    <s v="NO"/>
    <s v="Sin Cronograma 🔵"/>
    <s v=""/>
    <n v="0.1"/>
    <s v=""/>
    <s v=""/>
    <m/>
    <m/>
    <m/>
    <m/>
    <m/>
    <m/>
    <m/>
    <n v="25"/>
    <n v="0.1"/>
    <n v="200"/>
    <m/>
    <s v="1. DESARROLLO"/>
    <m/>
    <m/>
    <n v="0.9"/>
    <n v="1"/>
    <n v="24"/>
    <n v="8"/>
    <n v="192"/>
    <x v="0"/>
  </r>
  <r>
    <s v="M1341"/>
    <n v="3182"/>
    <x v="0"/>
    <s v="2026-T0105"/>
    <s v="2026-M0102"/>
    <s v="Cámara de Compensación_x000a_Electrónica (CCE) - Proyecto LUMEN_x000a_"/>
    <m/>
    <x v="0"/>
    <s v="Captaciones y Pagaduría"/>
    <s v="Sistema de Pagos"/>
    <d v="2026-02-25T00:00:00"/>
    <s v="MEMORANDO N° 00000031 - 2026-BN/3116"/>
    <s v="SSTI-SIX STI TRANSFERENCIAS INTERBANCARIAS"/>
    <m/>
    <s v="Banca Móvil (APP)"/>
    <s v="No Aplica"/>
    <m/>
    <x v="0"/>
    <m/>
    <m/>
    <m/>
    <m/>
    <m/>
    <m/>
    <m/>
    <s v="Normal"/>
    <d v="2026-04-07T00:00:00"/>
    <x v="2"/>
    <m/>
    <s v="Monica del Pilar Garcia Campana"/>
    <s v="Junior Quicaño"/>
    <x v="6"/>
    <s v="02. En Proceso"/>
    <s v="Dependencia técnica"/>
    <m/>
    <m/>
    <d v="2026-03-03T00:00:00"/>
    <d v="2026-03-04T00:00:00"/>
    <m/>
    <d v="2026-03-09T00:00:00"/>
    <d v="2026-04-22T00:00:00"/>
    <d v="2026-03-04T09:36:00"/>
    <m/>
    <m/>
    <d v="2026-03-11T09:36:00"/>
    <s v="24/04/26: Según CQ, actualizó el estado a 06. Calidad Finalizado_x000a_13/04/26: Según CQ, actualizó el estado a 05. En Calidad_x000a_03/03/2026: Se registró en el Backlog._x000a_02/03/2026: Se creó trámite."/>
    <s v="Operac."/>
    <s v="CaptacionesPagaduría"/>
    <s v="2026-02"/>
    <s v="2026-04"/>
    <s v="2026-03"/>
    <x v="0"/>
    <x v="8"/>
    <m/>
    <m/>
    <m/>
    <m/>
    <m/>
    <m/>
    <s v="Sin Fecha Fin Producción"/>
    <s v="No Aplica"/>
    <m/>
    <s v="Finalizada"/>
    <s v="Certificado"/>
    <x v="216"/>
    <x v="0"/>
    <m/>
    <m/>
    <s v="Vencida"/>
    <s v="Interoperabilidad"/>
    <s v="Canales Virtuales"/>
    <x v="2"/>
    <x v="1"/>
    <m/>
    <s v=""/>
    <s v="Sin Fecha"/>
    <s v="No definido"/>
    <m/>
    <s v="Activos"/>
    <x v="0"/>
    <n v="0.85"/>
    <s v="POST"/>
    <m/>
    <m/>
    <s v="NO"/>
    <s v="Sin Cronograma 🔵"/>
    <s v=""/>
    <n v="0.85"/>
    <s v=""/>
    <s v=""/>
    <m/>
    <m/>
    <m/>
    <m/>
    <m/>
    <m/>
    <m/>
    <n v="25"/>
    <n v="0.1"/>
    <n v="200"/>
    <m/>
    <s v="2. CALIDAD"/>
    <m/>
    <m/>
    <n v="0.9"/>
    <n v="1"/>
    <n v="24"/>
    <n v="8"/>
    <n v="192"/>
    <x v="0"/>
  </r>
  <r>
    <s v="M1342"/>
    <n v="3183"/>
    <x v="0"/>
    <s v="2026-T0106"/>
    <s v="2026-M0103"/>
    <s v="PARÁMETROS PARA EL OTORGAMIENTO DE PRÉSTAMOS MULTIRED A 72 MESES"/>
    <m/>
    <x v="1"/>
    <s v="Banca Personal"/>
    <s v="Préstamo Multired"/>
    <d v="2026-02-20T00:00:00"/>
    <s v="MEMORANDO N° 00000043 - 2026-BN/3347"/>
    <s v="PRAH - Prestamos Multired"/>
    <m/>
    <s v="Agencias"/>
    <s v="Préstamos Multired "/>
    <m/>
    <x v="0"/>
    <m/>
    <m/>
    <m/>
    <m/>
    <m/>
    <m/>
    <m/>
    <s v="Normal"/>
    <d v="2026-04-07T00:00:00"/>
    <x v="0"/>
    <m/>
    <s v="Pedro Jose Encalada Huertas"/>
    <s v="Milagros Huamani"/>
    <x v="1"/>
    <s v="03. Culminado"/>
    <m/>
    <m/>
    <m/>
    <d v="2026-03-04T00:00:00"/>
    <d v="2026-03-16T00:00:00"/>
    <m/>
    <d v="2026-03-17T00:00:00"/>
    <d v="2026-03-19T00:00:00"/>
    <d v="2026-03-20T19:12:00"/>
    <d v="2026-03-23T00:00:00"/>
    <d v="2026-03-23T00:00:00"/>
    <d v="2026-03-27T19:12:00"/>
    <s v="13/04/26: Según CQ, actualizó el estado a 08. Producción Finalizada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BancaPersonal"/>
    <s v="2026-02"/>
    <s v="2026-04"/>
    <s v="2026-03"/>
    <x v="2"/>
    <x v="8"/>
    <m/>
    <m/>
    <m/>
    <m/>
    <m/>
    <m/>
    <n v="19"/>
    <n v="0.6333333333333333"/>
    <m/>
    <s v="Finalizada"/>
    <s v="Procesado"/>
    <x v="217"/>
    <x v="0"/>
    <m/>
    <m/>
    <s v="Culminado"/>
    <s v="Préstamos Multired"/>
    <s v="Productos"/>
    <x v="2"/>
    <x v="1"/>
    <m/>
    <d v="2026-03-23T00:00:00"/>
    <s v="Culminado"/>
    <s v="Mar 2026"/>
    <m/>
    <s v="Culminado"/>
    <x v="0"/>
    <n v="1"/>
    <s v="POST"/>
    <m/>
    <m/>
    <s v="No aplica"/>
    <s v="IMPLEMENTADO 🔵"/>
    <n v="1"/>
    <n v="1"/>
    <s v=""/>
    <s v=""/>
    <m/>
    <m/>
    <m/>
    <m/>
    <m/>
    <m/>
    <m/>
    <n v="25"/>
    <n v="0.1"/>
    <n v="200"/>
    <m/>
    <s v="4. PRODUCCIÓN"/>
    <m/>
    <m/>
    <n v="0.9"/>
    <n v="1"/>
    <n v="24"/>
    <n v="8"/>
    <n v="192"/>
    <x v="0"/>
  </r>
  <r>
    <s v="M1343"/>
    <n v="3185"/>
    <x v="0"/>
    <s v="2026-T0107"/>
    <s v="2026-M0114"/>
    <s v="MENSAJE PROMOCIONAL POR LA SEMANA MUNDIAL DEL AHORRO, DÉCIMA EDICIÓN"/>
    <m/>
    <x v="1"/>
    <s v="Inclusión Financiera"/>
    <s v="Desarrollo y Seguimiento"/>
    <d v="2026-02-27T00:00:00"/>
    <s v="MEMORANDO N° 00000016 - 2026-BN/8411"/>
    <s v="SAVE-Sistema de Atención en Ventanillas"/>
    <m/>
    <s v="Agencias"/>
    <s v="No Aplica"/>
    <s v="No aplica"/>
    <x v="0"/>
    <m/>
    <m/>
    <m/>
    <m/>
    <m/>
    <m/>
    <m/>
    <s v="Normal"/>
    <d v="2026-04-07T00:00:00"/>
    <x v="0"/>
    <m/>
    <s v="Rossana Rojas Alvaro"/>
    <s v="Milagros Huamani"/>
    <x v="5"/>
    <s v="02. En Proceso"/>
    <m/>
    <m/>
    <m/>
    <d v="2026-03-16T00:00:00"/>
    <m/>
    <m/>
    <m/>
    <m/>
    <s v=""/>
    <m/>
    <m/>
    <s v=""/>
    <s v="13/04/26: Según CQ, actualizó el estado a 03. En Desarrollo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InclusiónFinanciera"/>
    <s v="2026-02"/>
    <s v="2026-04"/>
    <s v="No definido"/>
    <x v="0"/>
    <x v="1"/>
    <m/>
    <m/>
    <m/>
    <m/>
    <m/>
    <m/>
    <s v="Sin Fecha Fin Producción"/>
    <s v="No Aplica"/>
    <m/>
    <s v="Iniciada"/>
    <s v="Asignado"/>
    <x v="218"/>
    <x v="0"/>
    <m/>
    <m/>
    <s v="Sin Fecha"/>
    <s v="Ventanilla"/>
    <s v="Canales Presenciales"/>
    <x v="2"/>
    <x v="1"/>
    <m/>
    <s v=""/>
    <s v="Sin Fecha"/>
    <s v="No definido"/>
    <m/>
    <s v="Activos"/>
    <x v="0"/>
    <n v="0.25"/>
    <s v="POST"/>
    <m/>
    <m/>
    <s v="NO"/>
    <s v="Sin Cronograma 🔵"/>
    <s v=""/>
    <n v="0.25"/>
    <s v=""/>
    <s v=""/>
    <m/>
    <m/>
    <m/>
    <m/>
    <m/>
    <m/>
    <m/>
    <n v="25"/>
    <n v="0.1"/>
    <n v="200"/>
    <m/>
    <s v="1. DESARROLLO"/>
    <m/>
    <m/>
    <n v="0.9"/>
    <n v="1"/>
    <n v="24"/>
    <n v="2"/>
    <n v="48"/>
    <x v="0"/>
  </r>
  <r>
    <s v="M1344"/>
    <n v="3186"/>
    <x v="0"/>
    <s v="2026-T0108"/>
    <s v="2026-M0121"/>
    <s v="MENSAJE PROMOCIONAL POR LA SEMANA MUNDIAL DEL AHORRO, X EDICIÓN"/>
    <m/>
    <x v="1"/>
    <s v="Inclusión Financiera"/>
    <s v="Desarrollo y Seguimiento"/>
    <d v="2026-02-27T00:00:00"/>
    <s v="MEMORANDO N° 00000016 - 2026-BN/8411"/>
    <s v="TMIN-Tarjeta Multired Interfaces"/>
    <m/>
    <s v="Agencias"/>
    <s v="No Aplica"/>
    <s v="No aplica"/>
    <x v="0"/>
    <m/>
    <m/>
    <m/>
    <m/>
    <m/>
    <m/>
    <m/>
    <s v="Normal"/>
    <d v="2026-04-07T00:00:00"/>
    <x v="0"/>
    <m/>
    <s v="Vladimir Ronald Cajavilca Cajavilca"/>
    <s v="Milagros Huamani"/>
    <x v="6"/>
    <s v="02. En Proceso"/>
    <s v="Dependencia técnica"/>
    <m/>
    <m/>
    <d v="2026-03-23T00:00:00"/>
    <d v="2026-03-27T00:00:00"/>
    <m/>
    <d v="2026-04-15T00:00:00"/>
    <d v="2026-04-22T00:00:00"/>
    <d v="2026-03-28T14:24:00"/>
    <m/>
    <m/>
    <d v="2026-04-04T14:24:00"/>
    <s v="24/04/26: Según CQ, actualizó el estado a 06. Calidad Finalizado_x000a_20/04/26: Según CQ, actualizó el estado a 05. En Calidad_x000a_13/04/26: Según CQ, actualizó el estado a 04. Desarrollo Finalizado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InclusiónFinanciera"/>
    <s v="2026-02"/>
    <s v="2026-04"/>
    <s v="2026-03"/>
    <x v="0"/>
    <x v="17"/>
    <m/>
    <m/>
    <m/>
    <m/>
    <m/>
    <m/>
    <s v="Sin Fecha Fin Producción"/>
    <s v="No Aplica"/>
    <m/>
    <s v="Finalizada"/>
    <s v="Certificado"/>
    <x v="219"/>
    <x v="0"/>
    <m/>
    <m/>
    <s v="Vencida"/>
    <s v="ATM-Agentes-VISA"/>
    <s v="Canales Presenciales"/>
    <x v="2"/>
    <x v="1"/>
    <m/>
    <s v=""/>
    <s v="Sin Fecha"/>
    <s v="No definido"/>
    <m/>
    <s v="Activos"/>
    <x v="0"/>
    <n v="0.85"/>
    <s v="POST"/>
    <m/>
    <m/>
    <s v="NO"/>
    <s v="Sin Cronograma 🔵"/>
    <s v=""/>
    <n v="0.85"/>
    <s v=""/>
    <s v=""/>
    <m/>
    <m/>
    <m/>
    <m/>
    <m/>
    <m/>
    <m/>
    <n v="25"/>
    <n v="0.1"/>
    <n v="200"/>
    <m/>
    <s v="2. CALIDAD"/>
    <m/>
    <m/>
    <n v="0.9"/>
    <n v="1"/>
    <n v="24"/>
    <n v="8"/>
    <n v="192"/>
    <x v="0"/>
  </r>
  <r>
    <s v="M1345"/>
    <n v="3188"/>
    <x v="0"/>
    <s v="2026-T0111"/>
    <s v="2026-M0106"/>
    <s v="Cargos Recurrente_Tarjetas Vencidas"/>
    <m/>
    <x v="2"/>
    <s v="Canales Alternos"/>
    <s v="Canales Virtuales"/>
    <d v="2026-02-09T00:00:00"/>
    <s v="MEMORANDO N° 00000024 - 2026-BN-3252"/>
    <s v="TMIN-Tarjeta Multired Interfaces"/>
    <m/>
    <s v="Banca Móvil (APP)"/>
    <s v="No Aplica"/>
    <m/>
    <x v="2"/>
    <m/>
    <s v="SBS"/>
    <s v="Resolución SBS N° 6523 - 2013"/>
    <m/>
    <m/>
    <m/>
    <d v="2014-04-01T00:00:00"/>
    <s v="Normal"/>
    <d v="2026-04-07T00:00:00"/>
    <x v="0"/>
    <m/>
    <s v="Vladimir Ronald Cajavilca Cajavilca"/>
    <s v="Omar Sarmiento"/>
    <x v="5"/>
    <s v="02. En Proceso"/>
    <m/>
    <m/>
    <m/>
    <d v="2026-03-06T00:00:00"/>
    <m/>
    <m/>
    <m/>
    <m/>
    <s v=""/>
    <m/>
    <m/>
    <s v=""/>
    <s v="13/04/26: Según CQ, actualizó el estado a 03. En Desarrollo_x000a_05/03/2026: Se registró en el Backlog._x000a_05/03/2026: Se creó trámite."/>
    <s v="B.Digital"/>
    <s v="CanalesAlternos"/>
    <s v="2026-02"/>
    <s v="2026-04"/>
    <s v="No definido"/>
    <x v="0"/>
    <x v="1"/>
    <m/>
    <m/>
    <m/>
    <m/>
    <m/>
    <m/>
    <s v="Sin Fecha Fin Producción"/>
    <s v="No Aplica"/>
    <m/>
    <s v="Asignada"/>
    <s v="Asignado"/>
    <x v="220"/>
    <x v="0"/>
    <m/>
    <m/>
    <s v="Sin Fecha"/>
    <s v="ATM-Agentes-VISA"/>
    <s v="Canales Presenciales"/>
    <x v="2"/>
    <x v="1"/>
    <m/>
    <s v=""/>
    <s v="Sin Fecha"/>
    <s v="No definido"/>
    <m/>
    <s v="Activos"/>
    <x v="0"/>
    <n v="0.15"/>
    <s v="POST"/>
    <m/>
    <m/>
    <s v="NO"/>
    <s v="Sin Cronograma 🔵"/>
    <s v=""/>
    <n v="0.15"/>
    <s v=""/>
    <s v=""/>
    <m/>
    <m/>
    <m/>
    <m/>
    <m/>
    <m/>
    <m/>
    <n v="25"/>
    <n v="0.1"/>
    <n v="200"/>
    <m/>
    <s v="1. DESARROLLO"/>
    <m/>
    <m/>
    <n v="0.9"/>
    <n v="1"/>
    <n v="24"/>
    <n v="0.72727272727272729"/>
    <n v="17.454545454545453"/>
    <x v="0"/>
  </r>
  <r>
    <s v="M1346"/>
    <n v="3192"/>
    <x v="0"/>
    <s v="2026-T0117"/>
    <s v="2026-M0110"/>
    <s v="MN: Doceavo Mantenimiento Preventivo/Correctivo del Sistema Tramite Documentario"/>
    <m/>
    <x v="6"/>
    <s v="Servicios"/>
    <s v="Tramité Documentario"/>
    <d v="2026-03-11T00:00:00"/>
    <s v="MEMORANDO N° 00000019 - 2026-BN/2202"/>
    <s v="STD4 - Actualización del STD a la versión 4.0"/>
    <m/>
    <s v="Agencias"/>
    <s v="No Aplica"/>
    <s v="No aplica"/>
    <x v="0"/>
    <m/>
    <m/>
    <m/>
    <m/>
    <m/>
    <m/>
    <m/>
    <s v="Normal"/>
    <d v="2026-04-07T00:00:00"/>
    <x v="1"/>
    <m/>
    <s v="Jorge Mora Ruelas"/>
    <s v="Maria Barboza"/>
    <x v="1"/>
    <s v="03. Culminado"/>
    <m/>
    <m/>
    <m/>
    <d v="2026-03-13T00:00:00"/>
    <d v="2026-03-13T00:00:00"/>
    <m/>
    <d v="2026-03-13T00:00:00"/>
    <d v="2026-03-13T00:00:00"/>
    <d v="2026-03-13T00:00:00"/>
    <d v="2026-03-25T00:00:00"/>
    <d v="2026-03-25T00:00:00"/>
    <d v="2026-03-20T00:00:00"/>
    <s v="13/04/26: Según CQ, actualizó el estado a 08. Producción Finalizada_x000a_13/03/2026: Se registró en el Backlog._x000a_13/03/2026: Se creó trámite."/>
    <s v="Logística"/>
    <s v="Servicios"/>
    <s v="2026-03"/>
    <s v="2026-04"/>
    <s v="2026-03"/>
    <x v="2"/>
    <x v="8"/>
    <m/>
    <m/>
    <m/>
    <m/>
    <m/>
    <m/>
    <n v="12"/>
    <n v="0.4"/>
    <m/>
    <s v="Finalizada"/>
    <s v="Procesado"/>
    <x v="221"/>
    <x v="0"/>
    <m/>
    <m/>
    <s v="Culminado"/>
    <s v="BackOffice"/>
    <s v="Otros Requerimientos"/>
    <x v="2"/>
    <x v="1"/>
    <m/>
    <d v="2026-03-25T00:00:00"/>
    <s v="Culminado"/>
    <s v="Mar 2026"/>
    <m/>
    <s v="Culminado"/>
    <x v="0"/>
    <n v="1"/>
    <s v="POST"/>
    <m/>
    <m/>
    <s v="No aplica"/>
    <s v="IMPLEMENTADO 🔵"/>
    <n v="1"/>
    <n v="1"/>
    <s v=""/>
    <s v=""/>
    <m/>
    <m/>
    <m/>
    <m/>
    <m/>
    <m/>
    <m/>
    <n v="25"/>
    <n v="0.1"/>
    <n v="200"/>
    <m/>
    <s v="4. PRODUCCIÓN"/>
    <m/>
    <m/>
    <n v="0.9"/>
    <n v="1"/>
    <n v="24"/>
    <n v="8"/>
    <n v="192"/>
    <x v="0"/>
  </r>
  <r>
    <s v="M1347"/>
    <n v="3202"/>
    <x v="0"/>
    <s v="2026-T0122"/>
    <s v="2026-M0122"/>
    <s v="Actualización de campos en el caso de 9611 en el módulo BICOC: Modificación de Resultado de Investigación, Fechas y Hora ROS (OC) y Correlativos ROS y ROI"/>
    <m/>
    <x v="3"/>
    <m/>
    <m/>
    <s v=" 18/02/2026"/>
    <s v="MEMORANDO N° 00000007 -2026-BN/1200"/>
    <s v="LADI-Lavado de Dinero"/>
    <m/>
    <s v="Otros"/>
    <s v="No Aplica"/>
    <s v="No aplica"/>
    <x v="1"/>
    <m/>
    <m/>
    <m/>
    <m/>
    <m/>
    <m/>
    <m/>
    <s v="Normal"/>
    <d v="2026-04-07T00:00:00"/>
    <x v="0"/>
    <m/>
    <s v="Herbert Christian Rojas Matos"/>
    <s v="Juan Carlos Zavaleta"/>
    <x v="1"/>
    <s v="03. Culminado"/>
    <m/>
    <m/>
    <m/>
    <d v="2026-03-24T00:00:00"/>
    <d v="2026-03-24T00:00:00"/>
    <m/>
    <d v="2026-03-27T00:00:00"/>
    <d v="2026-03-31T00:00:00"/>
    <d v="2026-03-24T00:00:00"/>
    <d v="2026-04-01T00:00:00"/>
    <d v="2026-04-02T00:00:00"/>
    <d v="2026-03-31T00:00:00"/>
    <s v="13/04/26: Según CQ, actualizó el estado a 08. Producción Finalizada_x000a_17/03/2026: Se registró en el Backlog._x000a_17/03/2026: Se creó trámite."/>
    <s v="PLAFT"/>
    <s v=""/>
    <e v="#VALUE!"/>
    <s v="2026-04"/>
    <s v="2026-03"/>
    <x v="1"/>
    <x v="8"/>
    <m/>
    <m/>
    <m/>
    <m/>
    <m/>
    <m/>
    <n v="9"/>
    <n v="0.3"/>
    <m/>
    <s v="Finalizada"/>
    <s v="Procesado"/>
    <x v="222"/>
    <x v="0"/>
    <m/>
    <m/>
    <s v="Culminado"/>
    <s v="BackOffice"/>
    <s v="Otros Requerimientos"/>
    <x v="2"/>
    <x v="1"/>
    <m/>
    <d v="2026-04-02T00:00:00"/>
    <s v="Culminado"/>
    <s v="Abr 2026"/>
    <m/>
    <s v="Culminado"/>
    <x v="0"/>
    <n v="1"/>
    <s v="POST"/>
    <m/>
    <m/>
    <s v="No aplica"/>
    <s v="IMPLEMENTADO 🔵"/>
    <n v="1"/>
    <n v="1"/>
    <s v=""/>
    <s v=""/>
    <m/>
    <m/>
    <m/>
    <m/>
    <m/>
    <m/>
    <m/>
    <n v="25"/>
    <n v="0.1"/>
    <n v="200"/>
    <m/>
    <s v="4. PRODUCCIÓN"/>
    <m/>
    <m/>
    <n v="0.9"/>
    <n v="1"/>
    <n v="24"/>
    <n v="8"/>
    <n v="192"/>
    <x v="0"/>
  </r>
  <r>
    <s v="M1348"/>
    <n v="3203"/>
    <x v="0"/>
    <s v="2026-T0129"/>
    <s v="2026-M0120"/>
    <s v="Enlace o botón de libro de reclamaciones digital en Págalo.pe"/>
    <m/>
    <x v="2"/>
    <s v="Canales Alternos"/>
    <s v="Canales Virtuales"/>
    <d v="2026-03-18T00:00:00"/>
    <s v="MEMORANDO N° 00000074 -2026-BN/3252"/>
    <s v="SOMP – SISTEMA DE OPERACIONES MULTIPAGOS"/>
    <m/>
    <s v="Otros"/>
    <s v="No Aplica"/>
    <s v="No aplica"/>
    <x v="0"/>
    <m/>
    <m/>
    <m/>
    <m/>
    <m/>
    <m/>
    <m/>
    <s v="Normal"/>
    <d v="2026-04-07T00:00:00"/>
    <x v="0"/>
    <m/>
    <s v="Angela Rocio Risco Vega"/>
    <s v="Omar Sarmiento"/>
    <x v="1"/>
    <s v="03. Culminado"/>
    <m/>
    <m/>
    <m/>
    <d v="2026-03-23T00:00:00"/>
    <m/>
    <m/>
    <m/>
    <m/>
    <s v=""/>
    <d v="2026-03-23T00:00:00"/>
    <d v="2026-05-07T00:00:00"/>
    <s v=""/>
    <s v="08/05/26: Según CQ, actualizó el estado a 08. Producción Finalizada_x000a_13/04/26: Según CQ, actualizó el estado a 07. En Despliegue_x000a_20/03/2026: Se registró en el Backlog._x000a_20/03/2026: Se creó trámite."/>
    <s v="B.Digital"/>
    <s v="CanalesAlternos"/>
    <s v="2026-03"/>
    <s v="2026-04"/>
    <s v="No definido"/>
    <x v="6"/>
    <x v="1"/>
    <m/>
    <m/>
    <m/>
    <m/>
    <m/>
    <m/>
    <n v="45"/>
    <n v="1.5"/>
    <m/>
    <s v="Finalizada"/>
    <s v="Transitorio_Procesado"/>
    <x v="223"/>
    <x v="0"/>
    <m/>
    <m/>
    <s v="Culminado"/>
    <s v="Pagalo.pe"/>
    <s v="Canales Virtuales"/>
    <x v="2"/>
    <x v="1"/>
    <m/>
    <d v="2026-05-07T00:00:00"/>
    <s v="Culminado"/>
    <s v="May 2026"/>
    <m/>
    <s v="Culminado"/>
    <x v="0"/>
    <n v="1"/>
    <s v="POST"/>
    <m/>
    <m/>
    <s v="No aplica"/>
    <s v="IMPLEMENTADO 🔵"/>
    <n v="1"/>
    <n v="1"/>
    <s v=""/>
    <s v=""/>
    <m/>
    <m/>
    <m/>
    <m/>
    <m/>
    <m/>
    <m/>
    <n v="25"/>
    <n v="0.1"/>
    <n v="200"/>
    <m/>
    <s v="4. PRODUCCIÓN"/>
    <m/>
    <m/>
    <n v="0.9"/>
    <n v="1"/>
    <n v="24"/>
    <n v="8"/>
    <n v="192"/>
    <x v="0"/>
  </r>
  <r>
    <s v="M1349"/>
    <n v="3204"/>
    <x v="0"/>
    <s v="2026-T0132"/>
    <m/>
    <s v="Plan de creación de Cuenta DNI en Core BN"/>
    <m/>
    <x v="0"/>
    <s v="Captaciones y Pagaduría"/>
    <s v="Apertura de Cuentas"/>
    <d v="2026-02-04T00:00:00"/>
    <s v="MEMORANDO N° 00000138 - 2026-BN/3111"/>
    <m/>
    <m/>
    <m/>
    <m/>
    <m/>
    <x v="0"/>
    <m/>
    <m/>
    <m/>
    <m/>
    <m/>
    <m/>
    <m/>
    <s v="Normal"/>
    <d v="2026-04-07T00:00:00"/>
    <x v="0"/>
    <m/>
    <m/>
    <s v="Milagros Huamani"/>
    <x v="2"/>
    <s v="01. No iniciado"/>
    <m/>
    <m/>
    <m/>
    <m/>
    <m/>
    <m/>
    <m/>
    <m/>
    <s v=""/>
    <m/>
    <m/>
    <s v=""/>
    <s v="24/03/2026: Se registró en el Backlog._x000a_24/03/2026: Se creó trámite."/>
    <s v="Operac."/>
    <s v="CaptacionesPagaduría"/>
    <s v="2026-02"/>
    <s v="2026-04"/>
    <s v="No definido"/>
    <x v="0"/>
    <x v="1"/>
    <m/>
    <m/>
    <m/>
    <m/>
    <m/>
    <m/>
    <s v="Sin Fechas"/>
    <s v="No Aplica"/>
    <m/>
    <m/>
    <m/>
    <x v="3"/>
    <x v="0"/>
    <m/>
    <m/>
    <s v="Sin Mantenimiento"/>
    <s v="Sin Aplicativo"/>
    <s v="Sin Aplicativo"/>
    <x v="2"/>
    <x v="1"/>
    <m/>
    <s v=""/>
    <s v="Sin Mantenimiento"/>
    <s v="No definido"/>
    <m/>
    <s v="Activos"/>
    <x v="0"/>
    <n v="0.1"/>
    <s v="POST"/>
    <m/>
    <m/>
    <s v="NO"/>
    <s v="Sin Cronograma 🔵"/>
    <s v=""/>
    <n v="0.1"/>
    <s v=""/>
    <s v=""/>
    <m/>
    <m/>
    <m/>
    <m/>
    <m/>
    <m/>
    <m/>
    <n v="25"/>
    <n v="0.1"/>
    <n v="200"/>
    <m/>
    <s v="1. DESARROLLO"/>
    <m/>
    <m/>
    <n v="0.9"/>
    <n v="1"/>
    <n v="24"/>
    <n v="8"/>
    <n v="192"/>
    <x v="0"/>
  </r>
  <r>
    <s v="M1350"/>
    <n v="3215"/>
    <x v="0"/>
    <s v="2026-T0144"/>
    <s v="2026-M0136"/>
    <s v="AUTOMATIZACIÓN DEL PROCESO DE OTORGAMIENTO DE TARJETAS DE PRESTACIÓN ALIMENTARIA"/>
    <m/>
    <x v="5"/>
    <s v="Desarrollo del Talento"/>
    <s v="Asistencia y Bienestar"/>
    <d v="2026-03-11T00:00:00"/>
    <s v="MEMORANDO N° 00000138 - 2026-BN4113"/>
    <s v="POEM_Portal del Empleado"/>
    <m/>
    <s v="Administrativo"/>
    <s v="No Aplica"/>
    <m/>
    <x v="2"/>
    <m/>
    <s v="OTROS"/>
    <s v="Ley de Prestaciones Alimentarias"/>
    <m/>
    <m/>
    <m/>
    <m/>
    <s v="Normal"/>
    <d v="2026-04-07T00:00:00"/>
    <x v="1"/>
    <m/>
    <s v="Paul Alminagorta Cabezas"/>
    <s v="Juan Carlos Zavaleta"/>
    <x v="4"/>
    <s v="02. En Proceso"/>
    <m/>
    <m/>
    <m/>
    <d v="2026-03-31T00:00:00"/>
    <m/>
    <m/>
    <m/>
    <m/>
    <s v=""/>
    <d v="2026-04-20T00:00:00"/>
    <m/>
    <s v=""/>
    <s v="22/04/26: Según CQ, actualizó el estado a 07. En Despliegue_x000a_13/04/26: Según CQ, actualizó el estado a 03. En Desarrollo_x000a_30/03/2026: Se registró en el Backlog._x000a_31/03/2026: Se creo tramite_x000a__x000a__x000a_"/>
    <s v="RRHH"/>
    <s v="DesarrolloTalento"/>
    <s v="2026-03"/>
    <s v="2026-04"/>
    <s v="No definido"/>
    <x v="0"/>
    <x v="1"/>
    <m/>
    <m/>
    <m/>
    <m/>
    <m/>
    <m/>
    <s v="Sin Fecha Fin Producción"/>
    <s v="No Aplica"/>
    <m/>
    <s v="Finalizada"/>
    <s v="Trasitorio_autorizado"/>
    <x v="224"/>
    <x v="0"/>
    <m/>
    <m/>
    <s v="Sin Fecha"/>
    <s v="BackOffice"/>
    <s v="Otros Requerimientos"/>
    <x v="2"/>
    <x v="1"/>
    <m/>
    <s v=""/>
    <s v="Sin Fecha"/>
    <s v="No definido"/>
    <m/>
    <s v="Activos"/>
    <x v="0"/>
    <n v="0.9"/>
    <s v="POST"/>
    <m/>
    <m/>
    <s v="SI"/>
    <s v="ATRASADO 🔴"/>
    <n v="1"/>
    <n v="0.9"/>
    <n v="9.9999999999999978E-2"/>
    <n v="0.9"/>
    <m/>
    <d v="2026-03-15T00:00:00"/>
    <d v="2026-04-22T00:00:00"/>
    <d v="2026-04-23T00:00:00"/>
    <d v="2026-05-08T00:00:00"/>
    <d v="2026-05-11T00:00:00"/>
    <d v="2026-05-15T00:00:00"/>
    <n v="28"/>
    <n v="1"/>
    <n v="200"/>
    <m/>
    <s v="3. DESPLIEGUE"/>
    <m/>
    <m/>
    <n v="0"/>
    <n v="28"/>
    <n v="0"/>
    <n v="224"/>
    <n v="0"/>
    <x v="8"/>
  </r>
  <r>
    <s v="M1351"/>
    <n v="3216"/>
    <x v="0"/>
    <s v="2026-T0141"/>
    <s v="2026-M0134"/>
    <s v="Operatividad en Cuentas de Organizaciones Políticas"/>
    <m/>
    <x v="0"/>
    <s v="Captaciones y Pagaduría"/>
    <s v="Administración de Cuentas y Pagaduría"/>
    <d v="2026-03-13T00:00:00"/>
    <s v="MEMORANDO N° 00000660 - 2026-BN3191"/>
    <s v="SATI-Sistema ATI"/>
    <m/>
    <s v="Administrativo"/>
    <s v="Cuenta Corriente "/>
    <m/>
    <x v="1"/>
    <m/>
    <m/>
    <m/>
    <m/>
    <m/>
    <m/>
    <m/>
    <s v="Normal"/>
    <d v="2026-04-07T00:00:00"/>
    <x v="0"/>
    <m/>
    <s v="Marilu Cordova Quispe"/>
    <s v="Junior Quicaño"/>
    <x v="7"/>
    <s v="02. En Proceso"/>
    <m/>
    <m/>
    <m/>
    <d v="2026-03-31T00:00:00"/>
    <d v="2026-05-07T00:00:00"/>
    <m/>
    <d v="2026-05-13T00:00:00"/>
    <m/>
    <d v="2026-05-21T19:12:00"/>
    <m/>
    <m/>
    <d v="2026-05-28T19:12:00"/>
    <s v="18/05/26: Según CQ, actualizó el estado a 05. En Calidad_x000a_08/05/26: Según CQ, actualizó el estado a 04. Desarrollo Finalizado_x000a_13/04/26: Según CQ, actualizó el estado a 03. En Desarrollo_x000a_30/03/2026: Se registró en el Backlog._x000a_30/03/2026: Se creo tramite_x000a__x000a__x000a_"/>
    <s v="Operac."/>
    <s v="CaptacionesPagaduría"/>
    <s v="2026-03"/>
    <s v="2026-04"/>
    <s v="2026-05"/>
    <x v="0"/>
    <x v="0"/>
    <m/>
    <m/>
    <m/>
    <m/>
    <m/>
    <m/>
    <s v="Sin Fecha Fin Producción"/>
    <s v="No Aplica"/>
    <m/>
    <s v="Finalizada"/>
    <s v="En_Certificación"/>
    <x v="225"/>
    <x v="0"/>
    <m/>
    <m/>
    <s v="2026-Q2"/>
    <s v="Multired Virtual"/>
    <s v="Canales Virtuales"/>
    <x v="2"/>
    <x v="1"/>
    <m/>
    <d v="2026-05-28T19:12:00"/>
    <s v="2026-2"/>
    <s v="May 2026"/>
    <m/>
    <s v="Activos"/>
    <x v="0"/>
    <n v="0.7"/>
    <s v="POST"/>
    <m/>
    <m/>
    <s v="NO"/>
    <s v="Sin Cronograma 🔵"/>
    <s v=""/>
    <n v="0.7"/>
    <s v=""/>
    <s v=""/>
    <m/>
    <m/>
    <m/>
    <m/>
    <m/>
    <m/>
    <m/>
    <n v="25"/>
    <n v="0.1"/>
    <n v="200"/>
    <m/>
    <s v="2. CALIDAD"/>
    <m/>
    <m/>
    <n v="0.9"/>
    <n v="1"/>
    <n v="24"/>
    <n v="8"/>
    <n v="192"/>
    <x v="0"/>
  </r>
  <r>
    <s v="M1352"/>
    <n v="3217"/>
    <x v="0"/>
    <s v="2026-T0146"/>
    <m/>
    <s v="Requerimiento de Almacenamiento y consulta del Log de Auditoria de BDUC"/>
    <m/>
    <x v="0"/>
    <s v="Captaciones y Pagaduría"/>
    <s v="Apertura de Cuentas"/>
    <d v="2026-03-27T00:00:00"/>
    <s v="MEMORANDO N° 00000348 -2026-BN/3111"/>
    <m/>
    <m/>
    <s v="Administrativo"/>
    <s v="No Aplica"/>
    <m/>
    <x v="0"/>
    <m/>
    <m/>
    <m/>
    <m/>
    <m/>
    <m/>
    <m/>
    <s v="Normal"/>
    <d v="2026-04-07T00:00:00"/>
    <x v="0"/>
    <m/>
    <m/>
    <s v="Junior Quicaño"/>
    <x v="2"/>
    <s v="01. No iniciado"/>
    <m/>
    <m/>
    <m/>
    <m/>
    <m/>
    <m/>
    <m/>
    <m/>
    <s v=""/>
    <m/>
    <m/>
    <s v=""/>
    <s v="31/03/2026: Se registró en el Backlog._x000a_31/03/2026: Se creo tramite_x000a__x000a__x000a_"/>
    <s v="Operac."/>
    <s v="CaptacionesPagaduría"/>
    <s v="2026-03"/>
    <s v="2026-04"/>
    <s v="No definido"/>
    <x v="0"/>
    <x v="1"/>
    <m/>
    <m/>
    <m/>
    <m/>
    <m/>
    <m/>
    <s v="Sin Fechas"/>
    <s v="No Aplica"/>
    <m/>
    <m/>
    <m/>
    <x v="3"/>
    <x v="0"/>
    <m/>
    <m/>
    <s v="Sin Mantenimiento"/>
    <s v="Sin Aplicativo"/>
    <s v="Sin Aplicativo"/>
    <x v="2"/>
    <x v="1"/>
    <m/>
    <s v=""/>
    <s v="Sin Mantenimiento"/>
    <s v="No definido"/>
    <m/>
    <s v="Activos"/>
    <x v="0"/>
    <n v="0.1"/>
    <s v="POST"/>
    <m/>
    <m/>
    <s v="NO"/>
    <s v="Sin Cronograma 🔵"/>
    <s v=""/>
    <n v="0.1"/>
    <s v=""/>
    <s v=""/>
    <m/>
    <m/>
    <m/>
    <m/>
    <m/>
    <m/>
    <m/>
    <n v="25"/>
    <n v="0.1"/>
    <n v="200"/>
    <m/>
    <s v="1. DESARROLLO"/>
    <m/>
    <m/>
    <n v="0.9"/>
    <n v="1"/>
    <n v="24"/>
    <n v="8"/>
    <n v="192"/>
    <x v="0"/>
  </r>
  <r>
    <s v="M1353"/>
    <n v="3218"/>
    <x v="0"/>
    <s v="2026-T0147"/>
    <m/>
    <s v="Implementación del RADI en su FASE II para la integración de los sistemas del banco para la comercialización de seguros optativos."/>
    <m/>
    <x v="1"/>
    <m/>
    <m/>
    <d v="2026-03-26T00:00:00"/>
    <s v="MEMORANDO N° 00000024 - 2026-BN3345"/>
    <m/>
    <m/>
    <s v="Agencias"/>
    <s v="No Aplica"/>
    <s v="No aplica"/>
    <x v="0"/>
    <m/>
    <m/>
    <m/>
    <m/>
    <m/>
    <m/>
    <m/>
    <s v="Normal"/>
    <d v="2026-04-07T00:00:00"/>
    <x v="0"/>
    <m/>
    <m/>
    <s v="Milagros Huamani"/>
    <x v="2"/>
    <s v="01. No iniciado"/>
    <m/>
    <m/>
    <m/>
    <m/>
    <m/>
    <m/>
    <m/>
    <m/>
    <s v=""/>
    <m/>
    <m/>
    <s v=""/>
    <s v="31/03/2026: Se registró en el Backlog._x000a_Lista de prioridad 1_x000a__x000a__x000a__x000a_"/>
    <s v="Productos"/>
    <s v=""/>
    <s v="2026-03"/>
    <s v="2026-04"/>
    <s v="No definido"/>
    <x v="0"/>
    <x v="1"/>
    <m/>
    <m/>
    <m/>
    <m/>
    <m/>
    <m/>
    <s v="Sin Fechas"/>
    <s v="No Aplica"/>
    <m/>
    <m/>
    <m/>
    <x v="3"/>
    <x v="0"/>
    <m/>
    <m/>
    <s v="Sin Mantenimiento"/>
    <s v="Sin Aplicativo"/>
    <s v="Sin Aplicativo"/>
    <x v="2"/>
    <x v="1"/>
    <m/>
    <s v=""/>
    <s v="Sin Mantenimiento"/>
    <s v="No definido"/>
    <m/>
    <s v="Activos"/>
    <x v="0"/>
    <n v="0.1"/>
    <s v="POST"/>
    <m/>
    <m/>
    <s v="NO"/>
    <s v="Sin Cronograma 🔵"/>
    <s v=""/>
    <n v="0.1"/>
    <s v=""/>
    <s v=""/>
    <m/>
    <m/>
    <m/>
    <m/>
    <m/>
    <m/>
    <m/>
    <n v="25"/>
    <n v="0.1"/>
    <n v="200"/>
    <m/>
    <s v="1. DESARROLLO"/>
    <m/>
    <m/>
    <n v="0.9"/>
    <n v="1"/>
    <n v="24"/>
    <n v="8"/>
    <n v="192"/>
    <x v="0"/>
  </r>
  <r>
    <s v="M1354"/>
    <n v="3219"/>
    <x v="0"/>
    <s v="2026-T0149"/>
    <s v="2026-M0142"/>
    <s v="Limites Operativos en las Cuentas de Partidos Políticos"/>
    <m/>
    <x v="0"/>
    <s v="Captaciones y Pagaduría"/>
    <s v="Administración de Cuentas y Pagaduría"/>
    <d v="2026-03-13T00:00:00"/>
    <s v="MEMORANDO N° 00000660 - 2026-BN3191"/>
    <s v="SATI-Sistema ATI"/>
    <m/>
    <s v="Administrativo"/>
    <s v="Cuenta Corriente "/>
    <m/>
    <x v="1"/>
    <m/>
    <m/>
    <m/>
    <m/>
    <m/>
    <m/>
    <m/>
    <s v="Normal"/>
    <d v="2026-04-07T00:00:00"/>
    <x v="0"/>
    <m/>
    <m/>
    <s v="Juan Carlos Zavaleta"/>
    <x v="2"/>
    <s v="01. No iniciado"/>
    <m/>
    <m/>
    <m/>
    <m/>
    <m/>
    <m/>
    <m/>
    <m/>
    <s v=""/>
    <m/>
    <m/>
    <s v=""/>
    <s v="31/03/2026: Se registró en el Backlog._x000a_01/04/2026: Se creó trámite_x000a__x000a__x000a__x000a__x000a_"/>
    <s v="Operac."/>
    <s v="CaptacionesPagaduría"/>
    <s v="2026-03"/>
    <s v="2026-04"/>
    <s v="No definido"/>
    <x v="0"/>
    <x v="1"/>
    <m/>
    <m/>
    <m/>
    <m/>
    <m/>
    <m/>
    <s v="Sin Fechas"/>
    <s v="No Aplica"/>
    <m/>
    <m/>
    <s v="Registrado"/>
    <x v="226"/>
    <x v="0"/>
    <m/>
    <m/>
    <s v="Sin Fecha"/>
    <s v="Multired Virtual"/>
    <s v="Canales Virtuales"/>
    <x v="2"/>
    <x v="1"/>
    <m/>
    <s v=""/>
    <s v="Sin Fecha"/>
    <s v="No definido"/>
    <m/>
    <s v="Activos"/>
    <x v="0"/>
    <n v="0.1"/>
    <s v="POST"/>
    <m/>
    <m/>
    <s v="SI"/>
    <s v="EN CURSO 🟢"/>
    <n v="9.8214285714285712E-2"/>
    <n v="0.1"/>
    <n v="-1.7857142857142932E-3"/>
    <n v="1.0181818181818183"/>
    <m/>
    <d v="2026-05-04T00:00:00"/>
    <d v="2026-08-17T00:00:00"/>
    <d v="2026-08-18T00:00:00"/>
    <d v="2026-10-05T00:00:00"/>
    <d v="2026-10-06T00:00:00"/>
    <d v="2026-10-12T00:00:00"/>
    <n v="73"/>
    <n v="0.13157894736842105"/>
    <n v="584"/>
    <m/>
    <s v="1. DESARROLLO"/>
    <m/>
    <m/>
    <n v="0.86842105263157898"/>
    <n v="10"/>
    <n v="63"/>
    <n v="80"/>
    <n v="504"/>
    <x v="7"/>
  </r>
  <r>
    <s v="M1355"/>
    <n v="3255"/>
    <x v="0"/>
    <s v="2026-T0150"/>
    <s v="2026-M0156"/>
    <s v="ACTUALIZACIÓN DE FORMATO ACCIÓN DESPLAZAMIENTO DE PERSONA"/>
    <m/>
    <x v="5"/>
    <s v="Administración de Personal"/>
    <s v="Selección de Personal"/>
    <d v="2026-04-01T00:00:00"/>
    <s v="MEMORANDO N° 00000337 - 2026-BN2335"/>
    <s v="OSAI -: Oracle Sistema Administrativo Integrado"/>
    <m/>
    <s v="Agencias"/>
    <s v="No Aplica"/>
    <m/>
    <x v="1"/>
    <m/>
    <m/>
    <m/>
    <m/>
    <m/>
    <m/>
    <m/>
    <s v="Normal"/>
    <d v="2026-04-07T00:00:00"/>
    <x v="1"/>
    <m/>
    <s v="Emerson Quecara Choquetico"/>
    <s v="Juan Carlos Zavaleta"/>
    <x v="5"/>
    <s v="02. En Proceso"/>
    <m/>
    <m/>
    <m/>
    <d v="2026-04-17T00:00:00"/>
    <m/>
    <m/>
    <m/>
    <m/>
    <s v=""/>
    <m/>
    <m/>
    <s v=""/>
    <s v="20/04/26: Según CQ, actualizó el estado a 03. En Desarrollo_x000a_01/04/2026: Se registró en el Backlog._x000a_01/04/2026: Se creó tramite_x000a__x000a__x000a__x000a__x000a__x000a_"/>
    <s v="RRHH"/>
    <s v="AdministraciónPersonal"/>
    <s v="2026-04"/>
    <s v="2026-04"/>
    <s v="No definido"/>
    <x v="0"/>
    <x v="1"/>
    <m/>
    <m/>
    <m/>
    <m/>
    <m/>
    <m/>
    <s v="Sin Fecha Fin Producción"/>
    <s v="No Aplica"/>
    <m/>
    <s v="Asignada"/>
    <s v="Asignado"/>
    <x v="227"/>
    <x v="0"/>
    <m/>
    <m/>
    <s v="Sin Fecha"/>
    <s v="Oracle"/>
    <s v="Otros Requerimientos"/>
    <x v="2"/>
    <x v="1"/>
    <m/>
    <s v=""/>
    <s v="Sin Fecha"/>
    <s v="No definido"/>
    <m/>
    <s v="Activos"/>
    <x v="0"/>
    <n v="0.15"/>
    <s v="POST"/>
    <m/>
    <m/>
    <s v="SI"/>
    <s v="EN CURSO 🟢"/>
    <n v="0.10416666666666667"/>
    <n v="0.15"/>
    <n v="-4.5833333333333323E-2"/>
    <n v="1.2"/>
    <m/>
    <d v="2026-05-12T00:00:00"/>
    <d v="2026-05-26T00:00:00"/>
    <d v="2026-05-27T00:00:00"/>
    <d v="2026-07-10T00:00:00"/>
    <d v="2026-07-11T00:00:00"/>
    <d v="2026-07-18T00:00:00"/>
    <n v="11"/>
    <n v="0.36363636363636365"/>
    <n v="44"/>
    <m/>
    <s v="1. DESARROLLO"/>
    <m/>
    <m/>
    <n v="0.63636363636363635"/>
    <n v="4"/>
    <n v="7"/>
    <n v="16"/>
    <n v="28"/>
    <x v="10"/>
  </r>
  <r>
    <s v="M1356"/>
    <n v="3256"/>
    <x v="0"/>
    <s v="2026-T0151"/>
    <s v="2026-M0157"/>
    <s v="Actualizar Datos primarios de Trabajadores que ingresaron con nueva escala"/>
    <m/>
    <x v="5"/>
    <s v="Administración de Personal"/>
    <s v="Selección de Personal"/>
    <d v="2026-04-01T00:00:00"/>
    <s v="MEMORANDO N° 00000337 - 2026-BN2335"/>
    <s v="OSAI -: Oracle Sistema Administrativo Integrado"/>
    <m/>
    <s v="Agencias"/>
    <s v="No Aplica"/>
    <m/>
    <x v="1"/>
    <m/>
    <m/>
    <m/>
    <m/>
    <m/>
    <m/>
    <m/>
    <s v="Normal"/>
    <d v="2026-04-07T00:00:00"/>
    <x v="1"/>
    <m/>
    <s v="Emerson Quecara Choquetico"/>
    <s v="Juan Carlos Zavaleta"/>
    <x v="5"/>
    <s v="02. En Proceso"/>
    <m/>
    <m/>
    <m/>
    <d v="2026-04-17T00:00:00"/>
    <m/>
    <m/>
    <m/>
    <m/>
    <s v=""/>
    <m/>
    <m/>
    <s v=""/>
    <s v="20/04/26: Según CQ, actualizó el estado a 03. En Desarrollo_x000a_01/04/2026: Se registró en el Backlog._x000a_06/04/2026: Se creó tramite_x000a__x000a__x000a__x000a__x000a__x000a_"/>
    <s v="RRHH"/>
    <s v="AdministraciónPersonal"/>
    <s v="2026-04"/>
    <s v="2026-04"/>
    <s v="No definido"/>
    <x v="0"/>
    <x v="1"/>
    <m/>
    <m/>
    <m/>
    <m/>
    <m/>
    <m/>
    <s v="Sin Fecha Fin Producción"/>
    <s v="No Aplica"/>
    <m/>
    <s v="Asignada"/>
    <s v="Asignado"/>
    <x v="228"/>
    <x v="0"/>
    <m/>
    <m/>
    <s v="Sin Fecha"/>
    <s v="Oracle"/>
    <s v="Otros Requerimientos"/>
    <x v="2"/>
    <x v="1"/>
    <m/>
    <s v=""/>
    <s v="Sin Fecha"/>
    <s v="No definido"/>
    <m/>
    <s v="Activos"/>
    <x v="0"/>
    <n v="0.15"/>
    <s v="POST"/>
    <m/>
    <m/>
    <s v="SI"/>
    <s v="EN CURSO 🟢"/>
    <n v="0"/>
    <n v="0.15"/>
    <n v="-0.15"/>
    <s v=""/>
    <m/>
    <d v="2026-05-27T00:00:00"/>
    <d v="2026-06-10T00:00:00"/>
    <d v="2026-06-11T00:00:00"/>
    <d v="2026-07-23T00:00:00"/>
    <d v="2026-07-24T00:00:00"/>
    <d v="2026-08-03T00:00:00"/>
    <n v="11"/>
    <n v="0"/>
    <n v="44"/>
    <m/>
    <s v="1. DESARROLLO"/>
    <m/>
    <m/>
    <n v="1"/>
    <n v="0"/>
    <n v="11"/>
    <n v="0"/>
    <n v="44"/>
    <x v="5"/>
  </r>
  <r>
    <s v="M1357"/>
    <n v="3257"/>
    <x v="0"/>
    <s v="2026-T0152"/>
    <s v="2026-M0158"/>
    <s v="Restablecer Grilla en Oracle (ADP)"/>
    <m/>
    <x v="5"/>
    <s v="Administración de Personal"/>
    <s v="Selección de Personal"/>
    <d v="2026-04-01T00:00:00"/>
    <s v="MEMORANDO N° 00000337 - 2026-BN2335"/>
    <s v="OSAI -: Oracle Sistema Administrativo Integrado"/>
    <m/>
    <s v="Agencias"/>
    <s v="No Aplica"/>
    <m/>
    <x v="1"/>
    <m/>
    <m/>
    <m/>
    <m/>
    <m/>
    <m/>
    <m/>
    <s v="Normal"/>
    <d v="2026-04-07T00:00:00"/>
    <x v="1"/>
    <m/>
    <s v="Emerson Quecara Choquetico"/>
    <s v="Juan Carlos Zavaleta"/>
    <x v="7"/>
    <s v="02. En Proceso"/>
    <m/>
    <m/>
    <m/>
    <d v="2026-04-17T00:00:00"/>
    <d v="2026-05-07T00:00:00"/>
    <m/>
    <d v="2026-05-14T00:00:00"/>
    <m/>
    <d v="2026-05-15T00:00:00"/>
    <m/>
    <m/>
    <d v="2026-05-22T00:00:00"/>
    <s v="18/05/26: Según CQ, actualizó el estado a 05. En Calidad_x000a_08/05/26: Según CQ, actualizó el estado a 04. Desarrollo Finalizado_x000a_20/04/26: Según CQ, actualizó el estado a 03. En Desarrollo_x000a_01/04/2026: Se registró en el Backlog._x000a_06/04/2026: Se creó tramite_x000a__x000a__x000a__x000a__x000a__x000a_"/>
    <s v="RRHH"/>
    <s v="AdministraciónPersonal"/>
    <s v="2026-04"/>
    <s v="2026-04"/>
    <s v="2026-05"/>
    <x v="0"/>
    <x v="0"/>
    <m/>
    <m/>
    <m/>
    <m/>
    <m/>
    <m/>
    <s v="Sin Fecha Fin Producción"/>
    <s v="No Aplica"/>
    <m/>
    <s v="Finalizada"/>
    <s v="En_Certificación"/>
    <x v="229"/>
    <x v="0"/>
    <m/>
    <m/>
    <s v="2026-Q2"/>
    <s v="Oracle"/>
    <s v="Otros Requerimientos"/>
    <x v="2"/>
    <x v="1"/>
    <m/>
    <d v="2026-05-22T00:00:00"/>
    <s v="2026-2"/>
    <s v="May 2026"/>
    <m/>
    <s v="Activos"/>
    <x v="0"/>
    <n v="0.7"/>
    <s v="POST"/>
    <m/>
    <m/>
    <s v="SI"/>
    <s v="EN CURSO 🟢"/>
    <n v="0.29411764705882354"/>
    <n v="0.7"/>
    <n v="-0.40588235294117642"/>
    <n v="1.2"/>
    <m/>
    <d v="2026-04-27T00:00:00"/>
    <d v="2026-05-11T00:00:00"/>
    <d v="2026-05-12T00:00:00"/>
    <d v="2026-06-26T00:00:00"/>
    <d v="2026-06-27T00:00:00"/>
    <d v="2026-07-08T00:00:00"/>
    <n v="10"/>
    <n v="1"/>
    <n v="200"/>
    <m/>
    <s v="2. CALIDAD"/>
    <m/>
    <m/>
    <n v="0"/>
    <n v="10"/>
    <n v="0"/>
    <n v="80"/>
    <n v="0"/>
    <x v="10"/>
  </r>
  <r>
    <s v="M1358"/>
    <n v="3260"/>
    <x v="0"/>
    <s v="2026-T0155"/>
    <s v="2026-M0140"/>
    <s v="Migración de Datos Hacia Big Data-Hito 1 Productos pasivos"/>
    <m/>
    <x v="10"/>
    <s v="Datos y Analítica Avanzada"/>
    <m/>
    <d v="2026-03-30T00:00:00"/>
    <s v="MEMORANDO N° 00000015 - 2026-BN/7820"/>
    <s v="BNDA-Data Analítica BN"/>
    <m/>
    <s v="Otros"/>
    <s v="Cuenta Corriente "/>
    <s v="Cuenta de Ahorros"/>
    <x v="0"/>
    <m/>
    <m/>
    <m/>
    <m/>
    <m/>
    <m/>
    <m/>
    <s v="Normal"/>
    <d v="2026-04-07T00:00:00"/>
    <x v="1"/>
    <m/>
    <s v="Luis Enrique Almeyda Pachas"/>
    <s v="Maria Barboza"/>
    <x v="7"/>
    <s v="02. En Proceso"/>
    <m/>
    <m/>
    <m/>
    <d v="2026-04-07T00:00:00"/>
    <d v="2026-04-24T00:00:00"/>
    <m/>
    <d v="2026-05-08T00:00:00"/>
    <m/>
    <d v="2026-04-30T19:12:00"/>
    <m/>
    <m/>
    <d v="2026-05-07T19:12:00"/>
    <s v="12/05/26: Según CQ, actualizó el estado a 05. En Calidad_x000a_13/04/26: Según CQ, actualizó el estado a 03. En Desarrollo_x000a_07/04/2026: Se registró en el Backlog._x000a_07/04/2026: Se creó tramite_x000a__x000a__x000a__x000a__x000a__x000a_"/>
    <s v="Innovación"/>
    <s v=""/>
    <s v="2026-03"/>
    <s v="2026-04"/>
    <s v="2026-04"/>
    <x v="0"/>
    <x v="0"/>
    <m/>
    <m/>
    <m/>
    <m/>
    <m/>
    <m/>
    <s v="Sin Fecha Fin Producción"/>
    <s v="No Aplica"/>
    <m/>
    <s v="Finalizada"/>
    <s v="Observado_Certificacion"/>
    <x v="230"/>
    <x v="0"/>
    <m/>
    <m/>
    <s v="Vencida"/>
    <s v="BackOffice"/>
    <s v="Otros Requerimientos"/>
    <x v="2"/>
    <x v="1"/>
    <m/>
    <s v=""/>
    <s v="Sin Fecha"/>
    <s v="No definido"/>
    <m/>
    <s v="Activos"/>
    <x v="0"/>
    <n v="0.7"/>
    <s v="POST"/>
    <m/>
    <m/>
    <s v="SI"/>
    <s v="ATRASADO 🔴"/>
    <n v="0.95"/>
    <n v="0.9"/>
    <n v="4.9999999999999933E-2"/>
    <n v="0.94736842105263164"/>
    <m/>
    <d v="2026-03-02T00:00:00"/>
    <d v="2026-04-30T00:00:00"/>
    <d v="2026-05-04T00:00:00"/>
    <d v="2026-05-08T00:00:00"/>
    <d v="2026-05-11T00:00:00"/>
    <d v="2026-05-15T00:00:00"/>
    <n v="44"/>
    <n v="1"/>
    <n v="200"/>
    <m/>
    <s v="2. CALIDAD"/>
    <m/>
    <m/>
    <n v="0"/>
    <n v="44"/>
    <n v="0"/>
    <n v="352"/>
    <n v="0"/>
    <x v="8"/>
  </r>
  <r>
    <s v="M0580"/>
    <n v="2361"/>
    <x v="0"/>
    <s v="2024-T0310"/>
    <s v="2024-M0268"/>
    <s v="MN:Generación de Reporte Crediticio Deudor y Anexos SBS, meses Mayo, Junio, Julio y Agosto 2024"/>
    <m/>
    <x v="8"/>
    <s v="Construcción de Aplicaciones"/>
    <s v="Sistemas Bancarios"/>
    <d v="2024-08-14T00:00:00"/>
    <s v="Correo s/n"/>
    <s v="COBD-Contabilidad-RCD"/>
    <m/>
    <s v="Todos los canales"/>
    <s v="No Aplica"/>
    <s v="Servicios Bancarios Diversos "/>
    <x v="2"/>
    <s v="Normativo"/>
    <s v="SBS"/>
    <m/>
    <m/>
    <m/>
    <m/>
    <m/>
    <s v="Regularizado"/>
    <d v="2024-08-29T00:00:00"/>
    <x v="0"/>
    <s v="FS-Indra"/>
    <s v="Javier Baltazar Urquiaga Salazar"/>
    <s v="Tomas Calvera"/>
    <x v="0"/>
    <s v="05. Descartado"/>
    <m/>
    <m/>
    <m/>
    <d v="2025-12-22T00:00:00"/>
    <m/>
    <m/>
    <m/>
    <m/>
    <s v=""/>
    <m/>
    <m/>
    <s v=""/>
    <s v="04/02/2026: Cartera reasignada a Tomas Calvera_x000a_18/12/25: Según CQ, actualizó el estado a 03. En Desarroll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Omar Sarmiento_x000a_11/08/2025: Cartera reasignada a Percy Silva_x000a_14/03/2025: Maribel M. indicó que está a la espera de la confirmación del usuario para poder cerrar el mantenimiento en el CQ_x000a_23/01/2025 Cartera reasignada a Milagros Huamaní_x000a_13/08/24 Requerimiento se viene atendiendo por Construcción."/>
    <s v="TI"/>
    <s v="ConstrucciónAplicaciones"/>
    <s v="2024-08"/>
    <s v="2024-08"/>
    <s v="No definido"/>
    <x v="0"/>
    <x v="1"/>
    <m/>
    <m/>
    <m/>
    <m/>
    <m/>
    <m/>
    <s v="Sin Fecha Fin Producción"/>
    <s v="No Aplica"/>
    <m/>
    <s v="Finalizada"/>
    <s v="Finalizado"/>
    <x v="231"/>
    <x v="0"/>
    <m/>
    <m/>
    <s v="Sin Fecha"/>
    <s v="BackOffice"/>
    <s v="Otros Requerimientos"/>
    <x v="2"/>
    <x v="1"/>
    <m/>
    <s v=""/>
    <s v="Sin Fecha"/>
    <s v="No definido"/>
    <m/>
    <s v="Descartado"/>
    <x v="0"/>
    <n v="-0.01"/>
    <s v="POST"/>
    <m/>
    <m/>
    <s v="No aplica"/>
    <s v="Sin Cronograma 🔵"/>
    <n v="0.9375"/>
    <n v="-0.01"/>
    <s v=""/>
    <s v=""/>
    <m/>
    <d v="2026-02-02T00:00:00"/>
    <d v="2026-02-06T00:00:00"/>
    <d v="2026-02-10T00:00:00"/>
    <d v="2026-02-20T00:00:00"/>
    <d v="2026-02-22T00:00:00"/>
    <d v="2026-05-25T00:00:00"/>
    <n v="5"/>
    <n v="1"/>
    <n v="40"/>
    <m/>
    <s v="5. DESCARTADO"/>
    <m/>
    <m/>
    <n v="0"/>
    <n v="5"/>
    <n v="0"/>
    <n v="40"/>
    <n v="0"/>
    <x v="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2">
  <r>
    <s v="M0532"/>
    <n v="2276"/>
    <x v="0"/>
    <s v="2024-T0423"/>
    <s v="2024-M0367"/>
    <s v="Aplicativo CRMY_CRPP Periodo de Gracia"/>
    <s v="Mejoras en los aplicativos de Prestamos con suscripción de Pagaré CRMY_CRPP"/>
    <x v="0"/>
    <s v="Servicios Bancarios y Recaudación"/>
    <s v="Soporte Servicios Financieros"/>
    <d v="2024-05-09T00:00:00"/>
    <s v="MEMORANDO N° 00000093 - 2024-BN/3241"/>
    <s v="CRMY-Créditos MIPES"/>
    <m/>
    <x v="0"/>
    <s v="No Aplica"/>
    <s v="No aplica"/>
    <x v="0"/>
    <m/>
    <s v="RIESGOS"/>
    <s v="No Aplica"/>
    <s v="No Aplica"/>
    <s v="No Aplica"/>
    <s v="No Aplica"/>
    <s v="No Aplica"/>
    <s v="Normal"/>
    <d v="2024-06-27T00:00:00"/>
    <s v="Sistemas Bancarios"/>
    <s v="FS-Olssa"/>
    <s v="Maribel Marlene Medina Molina"/>
    <s v="Junior Quicaño"/>
    <x v="0"/>
    <x v="0"/>
    <x v="0"/>
    <d v="2024-07-11T00:00:00"/>
    <d v="2025-11-03T00:00:00"/>
    <d v="2025-02-07T00:00:00"/>
    <m/>
    <d v="2025-12-31T00:00:00"/>
    <m/>
    <m/>
    <d v="2026-05-10T19:12:00"/>
    <m/>
    <m/>
    <d v="2026-05-17T19:12:00"/>
    <s v="02/02/2026 Se DESCARTA el mantenimiento. El requerimiento será atendido con el mantenimiento 2024-M0368_x000a_10/02/25: Según CQ, actualizó el estado a 03. En Desarrollo_x000a_15/08/24: Según CQ, actualizó el estado a 01. Registrado_x000a_07/08/24: Según CQ, actualizó el estado a 01. Registrado_x000a_11/07/24 Se creo el TD y se registro en la demanda tactica_x000a_27/06/24 El desarrollo está en proceso._x000a_24/05/2024: Se registró en la demanda integral."/>
    <s v="Operac."/>
    <s v="BancariosRecaudación"/>
    <s v="2024-05"/>
    <s v="2024-06"/>
    <s v="No definido"/>
    <x v="0"/>
    <s v="2026-05"/>
    <m/>
    <m/>
    <m/>
    <m/>
    <d v="2024-06-27T00:00:00"/>
    <s v="2024-II"/>
    <s v="Sin Fecha Fin Producción"/>
    <s v="No Aplica"/>
    <s v="ID 85"/>
    <s v="Finalizada"/>
    <x v="0"/>
    <d v="2026-04-27T11:20:49"/>
    <x v="0"/>
    <m/>
    <m/>
    <s v="Vencida"/>
    <s v="BackOffice"/>
    <s v="Otros Requerimientos"/>
    <d v="2025-04-01T00:00:00"/>
    <d v="2025-04-01T00:00:00"/>
    <s v="Pasa a Calidad mar-25, Atendido por OLssa, se reasigna en CQ a Maria Eva."/>
    <d v="2025-04-30T00:00:00"/>
    <s v="Vencida"/>
    <s v="Abr 2025"/>
    <n v="2025"/>
    <x v="0"/>
    <m/>
    <n v="-0.01"/>
    <s v="PRE"/>
    <s v="NO"/>
    <s v="03. En Desarrollo"/>
    <s v="No aplica"/>
    <x v="0"/>
    <s v=""/>
    <n v="-0.01"/>
    <s v=""/>
    <s v=""/>
    <m/>
    <m/>
    <m/>
    <m/>
    <m/>
    <m/>
    <m/>
    <n v="25"/>
    <n v="0.1"/>
    <n v="200"/>
    <m/>
    <x v="0"/>
    <n v="0.9"/>
    <n v="1"/>
    <n v="24"/>
    <n v="8"/>
    <n v="192"/>
    <x v="0"/>
    <x v="0"/>
    <m/>
    <x v="0"/>
    <m/>
  </r>
  <r>
    <s v="M0590"/>
    <n v="2376"/>
    <x v="0"/>
    <s v="2024-T0479"/>
    <s v="2024-M0423"/>
    <s v="Automatización Cobranza de Cuotas CRMY-CRPP"/>
    <s v="Mejora en los aplicativos CRMY-CRPP Automatización Cobranza Cuotas."/>
    <x v="0"/>
    <s v="Servicios Bancarios y Recaudación"/>
    <s v="Soporte Servicios Financieros"/>
    <d v="2024-07-25T00:00:00"/>
    <s v="MEMORANDO N° 00000172 - 2024-BN/3241"/>
    <s v="CRMY-Créditos MIPES"/>
    <m/>
    <x v="0"/>
    <s v="No Aplica"/>
    <s v="No aplica"/>
    <x v="0"/>
    <m/>
    <s v="RIESGOS"/>
    <s v="No Aplica"/>
    <s v="No Aplica"/>
    <s v="No Aplica"/>
    <s v="No Aplica"/>
    <s v="No Aplica"/>
    <s v="Estandar"/>
    <d v="2024-08-29T00:00:00"/>
    <s v="Sistemas Bancarios"/>
    <s v="FS-Olssa"/>
    <s v="Maribel Marlene Medina Molina"/>
    <s v="Junior Quicaño"/>
    <x v="0"/>
    <x v="0"/>
    <x v="0"/>
    <d v="2024-08-14T00:00:00"/>
    <m/>
    <d v="2025-12-17T00:00:00"/>
    <m/>
    <m/>
    <m/>
    <m/>
    <s v=""/>
    <m/>
    <m/>
    <s v=""/>
    <s v="02/02/2026 Se DESCARTA el mantenimiento. El requerimiento será atendido con el mantenimiento 2024-M0368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0/02/25: POSPUESTO en CQ, se planifica su atención a partir de abr-25._x000a_10/02/25: Según CQ, actualizó el estado a 10. Paralizado_x000a_06/02/52: Usuario manifiesta que se encuentra realizando pruebas, validar con Munarriz._x000a_19/09/24: Según CQ, actualizó el estado a 03. En Desarrollo_x000a_03/09/24: Según CQ, actualizó el estado a 02. En Planificación_x000a_14/08/2024 Construcción en proceso a cargo de Jorge Andres Munarriz Silva. Se encuentra en planificación de pruebas de usuarios. Se registró en el backlog"/>
    <s v="Operac."/>
    <s v="BancariosRecaudación"/>
    <s v="2024-07"/>
    <s v="2024-08"/>
    <s v="No definido"/>
    <x v="0"/>
    <s v="No definido"/>
    <m/>
    <m/>
    <m/>
    <m/>
    <d v="2024-08-29T00:00:00"/>
    <s v="2024-III"/>
    <s v="Sin Fecha Fin Producción"/>
    <s v="No Aplica"/>
    <s v="ID 84-58"/>
    <s v="Finalizada"/>
    <x v="0"/>
    <d v="2026-04-27T11:21:51"/>
    <x v="0"/>
    <m/>
    <m/>
    <s v="Sin Fecha"/>
    <s v="BackOffice"/>
    <s v="Otros Requerimientos"/>
    <s v="Pordefinir"/>
    <m/>
    <s v="Actualiza POSPUESTO en CQ, se planificar su atención a partir de abr-25._x000a_Usuario manifiesta que se encuentra realizando pruebas, validar con Munarriz."/>
    <s v=""/>
    <s v="Sin Fecha"/>
    <s v="No definido"/>
    <n v="2025"/>
    <x v="0"/>
    <m/>
    <n v="-0.01"/>
    <s v="POST"/>
    <s v="REACTIVADO"/>
    <s v="Reactivo"/>
    <s v="No aplica"/>
    <x v="0"/>
    <s v=""/>
    <n v="-0.01"/>
    <s v=""/>
    <s v=""/>
    <m/>
    <m/>
    <m/>
    <m/>
    <m/>
    <m/>
    <m/>
    <n v="25"/>
    <n v="0.1"/>
    <n v="200"/>
    <m/>
    <x v="0"/>
    <n v="0.9"/>
    <n v="1"/>
    <n v="24"/>
    <n v="8"/>
    <n v="192"/>
    <x v="0"/>
    <x v="0"/>
    <m/>
    <x v="0"/>
    <m/>
  </r>
  <r>
    <s v="M1201"/>
    <n v="2990"/>
    <x v="0"/>
    <s v="2025-T0661"/>
    <s v="2025-M0543"/>
    <s v="ME: Se requiere un producto mínimo viable para el producto Factoring BN"/>
    <m/>
    <x v="1"/>
    <s v="Desarrollo Comercial y Proyectos"/>
    <s v="Desarrollo Comercial y Proyectos"/>
    <m/>
    <s v="Correo s/n"/>
    <s v="SFAC-Sistema de Factoring"/>
    <m/>
    <x v="1"/>
    <s v="No Aplica"/>
    <s v="No aplica"/>
    <x v="1"/>
    <m/>
    <m/>
    <m/>
    <m/>
    <m/>
    <m/>
    <m/>
    <s v="Regularizado"/>
    <d v="2025-08-29T00:00:00"/>
    <s v="Sistemas Administrativos"/>
    <m/>
    <s v="Jorge Mora Ruelas"/>
    <s v="Milagros Huamani"/>
    <x v="1"/>
    <x v="1"/>
    <x v="0"/>
    <m/>
    <m/>
    <d v="2025-08-08T00:00:00"/>
    <d v="2025-12-12T00:00:00"/>
    <m/>
    <d v="2025-12-22T00:00:00"/>
    <d v="2026-03-04T00:00:00"/>
    <d v="2026-01-31T09:36:00"/>
    <d v="2026-03-10T00:00:00"/>
    <d v="2026-04-01T00:00:00"/>
    <d v="2026-02-07T09:36:00"/>
    <s v="06/04/26: Según CQ, actualizó el estado a 08. Producción Finalizada_x000a_27/03/26: Según CQ, actualizó el estado a 07. En Despliegue_x000a_19/03/26: Según CQ, actualizó el estado a 06. Calidad Finalizado_x000a_10/03/26: Según CQ, actualizó el estado a 07. En Despliegue_x000a_05/03/26: Según CQ, actualizó el estado a 06. Calidad Finalizado_x000a_24/12/25: Según CQ, actualizó el estado a 05. En Calidad_x000a_15/12/25: Según CQ, actualizó el estado a 04. Desarrollo Finalizado_x000a_01/09/25: Según CQ, actualizó el estado a 03. En Desarrollo_x000a_28/08/25: Se regularizó su registró en el Backlog."/>
    <s v="Productos"/>
    <s v="ComercialProyectos"/>
    <s v="No definido"/>
    <s v="2025-08"/>
    <s v="2025-12"/>
    <x v="1"/>
    <s v="2026-02"/>
    <m/>
    <m/>
    <m/>
    <m/>
    <m/>
    <s v="2025-III"/>
    <n v="236"/>
    <n v="7.8666666666666663"/>
    <m/>
    <s v="Finalizada"/>
    <x v="1"/>
    <d v="2026-04-01T12:15:29"/>
    <x v="0"/>
    <m/>
    <m/>
    <s v="Culminado"/>
    <s v="Sin Aplicativo"/>
    <s v="Sin Aplicativo"/>
    <s v="Pordefinir"/>
    <m/>
    <m/>
    <d v="2026-04-01T00:00:00"/>
    <s v="Culminado"/>
    <s v="Abr 2026"/>
    <m/>
    <x v="1"/>
    <m/>
    <n v="1"/>
    <s v="PRE"/>
    <s v="NO"/>
    <s v="03. En Desarrollo"/>
    <s v="No aplica"/>
    <x v="1"/>
    <n v="1"/>
    <n v="1"/>
    <n v="0"/>
    <n v="1"/>
    <d v="2025-08-08T00:00:00"/>
    <d v="2025-08-08T00:00:00"/>
    <d v="2025-12-12T00:00:00"/>
    <d v="2025-12-22T00:00:00"/>
    <d v="2026-04-10T00:00:00"/>
    <d v="2026-04-10T00:00:00"/>
    <d v="2026-04-17T00:00:00"/>
    <n v="89"/>
    <n v="1"/>
    <n v="200"/>
    <m/>
    <x v="1"/>
    <n v="0"/>
    <n v="89"/>
    <n v="0"/>
    <n v="712"/>
    <n v="0"/>
    <x v="1"/>
    <x v="0"/>
    <m/>
    <x v="0"/>
    <m/>
  </r>
  <r>
    <s v="M1271"/>
    <n v="3090"/>
    <x v="0"/>
    <s v="2025-T0847"/>
    <m/>
    <s v="Solicitud de proceso de actualización de Tickets en el Monitor Multipagos"/>
    <m/>
    <x v="2"/>
    <s v="Canales Alternos"/>
    <s v="Canales Virtuales"/>
    <d v="2025-10-17T00:00:00"/>
    <s v="MEMORANDO N° 00000496 -2025-BN/3252"/>
    <m/>
    <m/>
    <x v="1"/>
    <s v="No Aplica"/>
    <s v="No aplica"/>
    <x v="0"/>
    <m/>
    <m/>
    <m/>
    <m/>
    <m/>
    <m/>
    <m/>
    <s v="Normal"/>
    <d v="2025-11-11T00:00:00"/>
    <s v="Sistemas Bancarios"/>
    <m/>
    <m/>
    <s v="Omar Sarmiento"/>
    <x v="2"/>
    <x v="2"/>
    <x v="0"/>
    <m/>
    <m/>
    <m/>
    <m/>
    <m/>
    <m/>
    <m/>
    <s v=""/>
    <m/>
    <m/>
    <s v=""/>
    <s v="30/03/2026 Se ha solicitado al jefe de construcción procesa con la creación de actividad y asignación de recursos. Luego de ello, de considerarlo necesario, proceder con la paralización_x000a_30/12/2025: Cartera reasignada a Omar Sarmiento_x000a_28/10/25: Se registró en Backlog. "/>
    <s v="B.Digital"/>
    <s v="CanalesAlternos"/>
    <s v="2025-10"/>
    <s v="2025-11"/>
    <s v="No definido"/>
    <x v="0"/>
    <s v="No definido"/>
    <m/>
    <m/>
    <m/>
    <m/>
    <m/>
    <s v="2025-IV"/>
    <s v="Sin Fechas"/>
    <s v="No Aplica"/>
    <m/>
    <m/>
    <x v="2"/>
    <m/>
    <x v="0"/>
    <m/>
    <m/>
    <s v="Sin Mantenimiento"/>
    <s v="Sin Aplicativo"/>
    <s v="Sin Aplicativo"/>
    <m/>
    <m/>
    <m/>
    <s v=""/>
    <s v="Sin Mantenimiento"/>
    <s v="No definido"/>
    <m/>
    <x v="2"/>
    <m/>
    <n v="0.1"/>
    <s v="POST"/>
    <s v="NO"/>
    <m/>
    <s v="SI"/>
    <x v="2"/>
    <n v="0.31343283582089554"/>
    <n v="0.1"/>
    <n v="0.21343283582089553"/>
    <n v="0.31904761904761902"/>
    <d v="2026-03-23T00:00:00"/>
    <d v="2026-03-23T00:00:00"/>
    <d v="2026-08-28T00:00:00"/>
    <d v="2026-08-31T00:00:00"/>
    <d v="2026-09-18T00:00:00"/>
    <d v="2026-09-21T00:00:00"/>
    <d v="2026-09-30T00:00:00"/>
    <n v="111"/>
    <n v="0.36521739130434783"/>
    <n v="200"/>
    <s v="BD"/>
    <x v="2"/>
    <n v="0.63478260869565217"/>
    <n v="41"/>
    <n v="70"/>
    <n v="328"/>
    <n v="560"/>
    <x v="2"/>
    <x v="0"/>
    <m/>
    <x v="0"/>
    <m/>
  </r>
  <r>
    <s v="M1278"/>
    <n v="3111"/>
    <x v="0"/>
    <s v="2025-T0846"/>
    <m/>
    <s v="Modificación de la Transacciones del Saraweb del proceso de Emisión y Reposición de Tarjeta de Débito - FASE I"/>
    <m/>
    <x v="2"/>
    <s v="Canales Alternos"/>
    <s v="Canales Virtuales"/>
    <d v="2025-10-12T00:00:00"/>
    <s v="MEMORANDO N° 00000453 - 2025-BN/3252"/>
    <m/>
    <m/>
    <x v="2"/>
    <s v="Cuenta de Ahorros"/>
    <s v="No aplica"/>
    <x v="0"/>
    <m/>
    <m/>
    <m/>
    <m/>
    <m/>
    <m/>
    <m/>
    <s v="Normal"/>
    <d v="2025-11-11T00:00:00"/>
    <s v="Sistemas Bancarios"/>
    <m/>
    <m/>
    <s v="Omar Sarmiento"/>
    <x v="2"/>
    <x v="2"/>
    <x v="0"/>
    <m/>
    <m/>
    <m/>
    <m/>
    <m/>
    <m/>
    <m/>
    <s v=""/>
    <m/>
    <m/>
    <s v=""/>
    <s v="30/03/2026 Se ha solicitado al jefe de construcción procesa con la creación de actividad y asignación de recursos. Luego de ello, de considerarlo necesario, proceder con la paralización_x000a_30/12/2025: Cartera reasignada a Omar Sarmiento_x000a_11/11/25: Se registró en el Backlog. Anexo 2 actualizado de ID 2410"/>
    <s v="B.Digital"/>
    <s v="CanalesAlternos"/>
    <s v="2025-10"/>
    <s v="2025-11"/>
    <s v="No definido"/>
    <x v="0"/>
    <s v="No definido"/>
    <m/>
    <m/>
    <m/>
    <m/>
    <m/>
    <s v="2025-IV"/>
    <s v="Sin Fechas"/>
    <s v="No Aplica"/>
    <m/>
    <m/>
    <x v="2"/>
    <m/>
    <x v="0"/>
    <m/>
    <m/>
    <s v="Sin Mantenimiento"/>
    <s v="Sin Aplicativo"/>
    <s v="Sin Aplicativo"/>
    <m/>
    <m/>
    <m/>
    <s v=""/>
    <s v="Sin Mantenimiento"/>
    <s v="No definido"/>
    <m/>
    <x v="2"/>
    <m/>
    <n v="0.1"/>
    <s v="POST"/>
    <s v="NO"/>
    <m/>
    <s v="SI"/>
    <x v="2"/>
    <n v="0.39310344827586208"/>
    <n v="0.1"/>
    <n v="0.2931034482758621"/>
    <n v="0.25438596491228072"/>
    <d v="2025-11-03T00:00:00"/>
    <d v="2026-03-02T00:00:00"/>
    <d v="2026-07-30T00:00:00"/>
    <d v="2026-08-06T00:00:00"/>
    <d v="2026-08-31T00:00:00"/>
    <d v="2026-09-07T00:00:00"/>
    <d v="2026-09-24T00:00:00"/>
    <n v="105"/>
    <n v="0.52293577981651373"/>
    <n v="200"/>
    <s v="BD"/>
    <x v="2"/>
    <n v="0.47706422018348627"/>
    <n v="56"/>
    <n v="49"/>
    <n v="448"/>
    <n v="392"/>
    <x v="2"/>
    <x v="0"/>
    <m/>
    <x v="0"/>
    <m/>
  </r>
  <r>
    <s v="M0042"/>
    <n v="970"/>
    <x v="0"/>
    <s v="2023-T0454"/>
    <s v="2023-M0402"/>
    <s v="Modificación de límite en depósito a cuenta corriente en Cajeros  Corresponsales."/>
    <s v="Permitirá aumentar el número de transacciones de depósito a cuenta_x000a_corriente en canal Agentes Multired."/>
    <x v="2"/>
    <s v="Canales Alternos"/>
    <s v="Canales Presenciales"/>
    <d v="2022-04-28T00:00:00"/>
    <s v="MEMORANDO N° 00000512 - 2022-BN/3251"/>
    <s v="TMIN-Tarjeta Multired Interfaces"/>
    <s v="Agente BN"/>
    <x v="3"/>
    <m/>
    <m/>
    <x v="0"/>
    <m/>
    <m/>
    <m/>
    <m/>
    <m/>
    <m/>
    <m/>
    <s v="Normal"/>
    <d v="2023-12-11T00:00:00"/>
    <s v="Sistemas Bancarios"/>
    <s v="Analista-BN"/>
    <s v="Vladimir Ronald Cajavilca Cajavilca"/>
    <s v="Omar Sarmiento"/>
    <x v="3"/>
    <x v="3"/>
    <x v="1"/>
    <d v="2023-08-08T00:00:00"/>
    <m/>
    <d v="2025-02-12T00:00:00"/>
    <d v="2023-12-19T00:00:00"/>
    <m/>
    <d v="2024-01-03T00:00:00"/>
    <d v="2024-02-07T00:00:00"/>
    <d v="2023-07-03T14:24:00"/>
    <d v="2024-03-05T00:00:00"/>
    <m/>
    <d v="2023-07-10T14:24:00"/>
    <s v="26/01/2026 Coordinar con Vladimir para que se reinicie. De acuerdo a las notas, sería reiniciado en el 2026_x000a_04/02/2026: Cartera reasignada aOmar Sarmient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2/02/25: Según CQ, actualizó el estado a 10. Paralizado. Se coordinará con planeamiento y área usuaria su devolución. Se requiere que Izipay resuelva el error reportado en Producción._x000a_07/08/24: Según CQ, actualizó el estado a 03. En Desarrollo_x000a_24/06/2024: Se cambió 'Recurso-Asignado' de FS-Indra a FS-Olssa_x000a_27/04/2024: Según CQ, se actualizó el estado de 06. Calidad Finalizado a 07. En Despliegue_x000a_05/03/24:Según CQ, actualizó el estado a 17. Certificado_x000a_27/02/24:Según CQ, actualizó el estado a 08. Certificado_x000a_20/02/24:Según CQ, actualizó el estado a 08. Certificado_x000a_20/02/2024: Se confirma con Carlos Linares que se encuentra en proceso de despliegue (en coordinación con Fredy )_x000a_19/02/2024: En coordinación con OPP y jefatura se realizará asignación al regreso de vacaciones de Psilva ( 01/02/24-19/02/24). No se ha realizado un traspaso de información solo cambio de recurso._x000a_13/02/2024: Se cambia estado a Certificado según CQ_x000a_30/01/2024: Reasignaciòn de cartera de acuerdo al correo de Martin Nicho de fecha 18.01.2024._x000a_09/01/2024: Se actualiza las fechas de calidad según CQ_x000a_08/01/24:Según CQ, actualizó el estado a 07. En Calidad_x000a_02/01/2024: MMedina confirma que el requerimiento se encuentra en calidad y será atendido por Carlos Linares a su regreso de vacaciones. Pendiente de confirmar fechas por calidad_x000a_13/12/2023: COMITÉ DEMANDA REGULARIZACIÓN: Se regulariza su registro según lo aprobado en comité_x000a_11/12/2023: Según CQ fue rechazado el 30/11 a Desarrollo. Se envió consulta a Construcción sobre el estado actual del RQ._x000a_20/11/2023: Se actualiza el estado En calidad y FI de calidad de 24/10/2023 a 17/11/2023_x000a_06/11/2023: DESA Se informa en comite dep ases a calidad Seman06.11._x000a_10/10/2023: En pruebas unitarias con Izipay. Se cambia Fec Ini a 22Set y FF 30Nov23_x000a_05/10/2023: Reuna MM: Está en desarrollo. MM confirma´ra con Juana_x000a_18/09/2023: Se reitera pedido a Fabrica ( Jorge Valencia)_x000a_11/08/2023: Se cambia de CQ de 2022-M0474 a 2023-M0402._x000a_08/08/2023: P. Encalada envia solicitud a fábrica. Se solicita generación de CQ_x000a_07/08/2023: Usuario reconfirma anexo. 07/08/2023: Por derivar a fábrica_x000a_04/08/2023: Santiago Garcia confirma opcion 3: &quot;3.Implementar un nuevo control de topes exclusivo para las cuentas corrientes (incluyendo el tipo), el impacto es menor. Sólo afectaría a las cuentas corrientes.&quot;_x000a_12/06/2023: Vladimir Cajavilca confirma por correo al área usuaria las opciones que se tiene para implementar la solicitud. Se espera confirmación._x000a_05/06/2023: Se confirma vía correo electrónico del 29/05 que el RQ se encuentra priorizado para su atención._x000a_17/05/2023: Se actualiza FF producción a No definido_x000a_27/02/2023: En proceso de atención_x000a_12/01: Priorizado en comité de demanda del 12/01_x000a_05/01: C.ventocilla Confirma priorización según correo del 05/01, y Carlos Quevedo confirma lo siguiente &quot;los reportes para pago de banca celular a las Telcos. El tema de giros en agentes. Por favor priorícelos los pendientes que nos exponga a fraudes o pérdida de dinero.&quot;_x000a_24/11: Lo revisará Juan. Sigue en paralizado_x000a_22/11: Ver MEMORANDO N° 00000512 - 2022-BN/3251_x000a_09/11: En reuniones de mesa de trabajo, Construcción de aplicaciones (Mario) indicó re asignar al líder técnico Vladimir Cajavilca.  A la fecha no se ha indicado el nombre del recurso re asignado._x000a_29/09: Se remitió anexo brindado por usuario a Construcción._x000a_12/08: Usuario tiene pruebas el día de hoy con Vladimir. Carlos enviar anexo 2._x000a_29/04: Se incorporó a pedido del usuario, correo: MODIFICACIÓN DE LÍMITE DE LA TRANSACCIÓN DE DEPÓSITO EN CUENTA CORRIENTE EN EL CANAL AGENTES MULTIRED._x000a_Se remitió anexo 2"/>
    <s v="B.Digital"/>
    <s v="CanalesAlternos"/>
    <s v=" &lt;  2023"/>
    <s v="2023-12"/>
    <s v="2023-12"/>
    <x v="0"/>
    <s v="2023-07"/>
    <m/>
    <m/>
    <m/>
    <m/>
    <d v="2023-12-11T00:00:00"/>
    <s v="2023-IV"/>
    <s v="Sin Fecha Fin Producción"/>
    <s v="No Aplica"/>
    <m/>
    <s v="Finalizada"/>
    <x v="3"/>
    <d v="2025-11-27T10:59:15"/>
    <x v="0"/>
    <m/>
    <m/>
    <s v="Vencida"/>
    <s v="ATM-Agentes-VISA"/>
    <s v="Canales Presenciales"/>
    <s v="Pordefinir"/>
    <m/>
    <s v="01/04/25 Se retomará su atención en coordonación con Izipay y Vladimir. Se activará en el CQ._x000a_Pospuesto y se coordinará con planeamiento y área usuaria su devolución. Se requiere que Izipay resuelva el error reportado en Producción."/>
    <s v=""/>
    <s v="Sin Fecha"/>
    <s v="No definido"/>
    <n v="2025"/>
    <x v="2"/>
    <s v="Agentes"/>
    <n v="0.12"/>
    <s v="POST"/>
    <s v="REACTIVADO"/>
    <s v="Reactivo"/>
    <s v="No aplica"/>
    <x v="3"/>
    <s v=""/>
    <n v="0.12"/>
    <s v=""/>
    <s v=""/>
    <m/>
    <m/>
    <m/>
    <m/>
    <m/>
    <m/>
    <d v="2027-03-31T00:00:00"/>
    <n v="25"/>
    <n v="0.1"/>
    <n v="200"/>
    <m/>
    <x v="3"/>
    <n v="0.9"/>
    <n v="1"/>
    <n v="24"/>
    <n v="8"/>
    <n v="192"/>
    <x v="3"/>
    <x v="0"/>
    <m/>
    <x v="0"/>
    <m/>
  </r>
  <r>
    <s v="M0052"/>
    <n v="1059"/>
    <x v="0"/>
    <s v="2021-T0535"/>
    <s v="2021-M0473"/>
    <s v="MANTENIMIENTO DEL APLICATIVO FICO _x000a_a) Mejoras y nuevas funcionalidades_x000a_b) Migración de Data de Base Datos Externa"/>
    <s v="MANTENIMIENTO DEL APLICATIVO FICO _x000a_a) Mejoras y nuevas funcionalidades_x000a_b) Migración de Data de Base Datos Externa"/>
    <x v="1"/>
    <m/>
    <s v="Fideicomisos"/>
    <d v="2021-10-14T00:00:00"/>
    <m/>
    <s v="FICO_Fideicomisos"/>
    <m/>
    <x v="1"/>
    <m/>
    <m/>
    <x v="0"/>
    <m/>
    <m/>
    <m/>
    <m/>
    <m/>
    <m/>
    <m/>
    <s v="Normal"/>
    <d v="2023-01-12T00:00:00"/>
    <s v="Sistemas Administrativos"/>
    <s v="FS-Indra"/>
    <s v="Jorge Mora Ruelas"/>
    <s v="Milagros Huamani"/>
    <x v="1"/>
    <x v="1"/>
    <x v="0"/>
    <d v="2021-10-18T00:00:00"/>
    <m/>
    <d v="2021-10-18T00:00:00"/>
    <d v="2025-05-20T00:00:00"/>
    <d v="2025-06-03T00:00:00"/>
    <d v="2025-06-24T00:00:00"/>
    <d v="2025-07-15T00:00:00"/>
    <d v="2026-11-14T14:24:00"/>
    <d v="2025-08-18T00:00:00"/>
    <d v="2026-03-10T00:00:00"/>
    <d v="2026-11-21T14:24:00"/>
    <s v="11/03/26: Según CQ, actualizó el estado a 08. Producción Finalizada_x000a_18/08/25: Según CQ, actualizó el estado a 07. En Despliegue_x000a_16/07/25: Según CQ, actualizó el estado a 06. Calidad Finalizado_x000a_21/05/25: Según CQ, actualizó el estado a 05. En Calidad_x000a_28/08/24: Según CQ, actualizó el estado a 03. En Desarrollo_x000a_07/08/24: Según CQ, actualizó el estado a 02. En Planificación_x000a_21/06/2024 Se cambió el recurso asignado de Analista-BN a FS-Indra_x000a_10/05/2024: De acuerdo a reporte remitido por M. Barboza de Construcción:  Se esta trabajando con la fabrica INDRA desde el 2 de mayo. Se actualiza el N° de mantenimiento y el estado de registrado a en desarrollo_x000a_07/11/2023 En atención al MEMORANDO N° 00000083 - 2023-BN/2542 se cambia de gestor de O. Sarmiento a M.Huamani_x000a_31/09/2023 Se cambio estado a Registrado por estar depriorizado por el Usuario._x000a_20/03/23 De acuerdo a reunion con el usuario del 17/03 se despriorizó el requerimiento, cambiando su estado en la demanda a Solicitado._x000a_18/07: Resgistrado en Cartera_x000a_MEMORANDO N° 00001775 - 2021-BN/7101 del 15/10/2021"/>
    <s v="Productos"/>
    <s v=""/>
    <s v=" &lt;  2023"/>
    <s v="2023-01"/>
    <s v="2025-05"/>
    <x v="2"/>
    <s v="2026-11"/>
    <s v="Finalizado"/>
    <d v="2024-05-02T00:00:00"/>
    <d v="2025-06-03T00:00:00"/>
    <d v="2025-06-03T00:00:00"/>
    <d v="2023-01-12T00:00:00"/>
    <s v="2023-IV"/>
    <n v="1604"/>
    <n v="53.466666666666669"/>
    <s v="ID 3"/>
    <s v="Finalizada"/>
    <x v="1"/>
    <d v="2026-03-10T18:13:42"/>
    <x v="0"/>
    <m/>
    <m/>
    <s v="Culminado"/>
    <s v="BackOffice"/>
    <s v="Otros Requerimientos"/>
    <d v="2025-09-01T00:00:00"/>
    <d v="2025-09-01T00:00:00"/>
    <s v="Evaluar el descarte con David y Rosario Armas para que la atención figure con el mantenimiento 2024-M0251."/>
    <d v="2026-03-10T00:00:00"/>
    <s v="Culminado"/>
    <s v="Mar 2026"/>
    <n v="2025"/>
    <x v="1"/>
    <m/>
    <n v="1"/>
    <s v="PRE"/>
    <s v="NO"/>
    <s v="07. En Despliegue"/>
    <s v="No aplica"/>
    <x v="1"/>
    <n v="1"/>
    <n v="1"/>
    <n v="0"/>
    <n v="1"/>
    <d v="2021-10-18T00:00:00"/>
    <d v="2021-10-18T00:00:00"/>
    <d v="2025-05-20T00:00:00"/>
    <d v="2025-06-24T00:00:00"/>
    <d v="2025-07-15T00:00:00"/>
    <d v="2025-08-18T00:00:00"/>
    <d v="2026-03-27T00:00:00"/>
    <n v="904"/>
    <n v="1"/>
    <n v="200"/>
    <m/>
    <x v="1"/>
    <n v="0"/>
    <n v="904"/>
    <n v="0"/>
    <n v="7232"/>
    <n v="0"/>
    <x v="4"/>
    <x v="0"/>
    <m/>
    <x v="0"/>
    <m/>
  </r>
  <r>
    <s v="M0074"/>
    <n v="1194"/>
    <x v="0"/>
    <s v="2022-T0523"/>
    <s v="2022-M0526"/>
    <s v="Código de productos que no se están cargando a BDUC"/>
    <m/>
    <x v="0"/>
    <s v="Captaciones y Pagaduría"/>
    <s v="Apertura de Cuentas"/>
    <d v="2022-11-08T00:00:00"/>
    <s v="Correo s/n"/>
    <s v="SIUC-Sistema de Información Unica de Clientes"/>
    <m/>
    <x v="3"/>
    <s v="No Aplica"/>
    <s v="No aplica"/>
    <x v="1"/>
    <m/>
    <s v="No Aplica"/>
    <s v="No Aplica"/>
    <s v="No Aplica"/>
    <s v="No Aplica"/>
    <s v="No Aplica"/>
    <s v="No Aplica"/>
    <s v="Normal"/>
    <d v="2023-12-11T00:00:00"/>
    <s v="Sistemas Bancarios"/>
    <s v="Analista-BN"/>
    <s v="Johnny Luis Rocca Surco"/>
    <s v="Junior Quicaño"/>
    <x v="4"/>
    <x v="4"/>
    <x v="0"/>
    <d v="2022-10-13T00:00:00"/>
    <m/>
    <d v="2023-09-18T00:00:00"/>
    <d v="2023-10-27T00:00:00"/>
    <m/>
    <d v="2023-11-10T00:00:00"/>
    <d v="2023-11-22T00:00:00"/>
    <d v="2023-11-11T14:24:00"/>
    <d v="2026-03-25T00:00:00"/>
    <m/>
    <d v="2023-11-18T14:24:00"/>
    <s v="27/03/26: Según CQ, actualizó el estado a 07. En Despliegue_x000a_24/06/2024: Se cambió 'Recurso-Asignado' de FS-Indra a FS-Olssa. El estado Indra es Rechazado_x000a_05/03/24:Según CQ, actualizó el estado a 17. Certificado_x000a_27/02/24:Según CQ, actualizó el estado a 08. Certificado_x000a_20/02/24:Según CQ, actualizó el estado a 08. Certificad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20/12/23:Según CQ, actualizó el estado a 08. Certificado_x000a_13/12/2023: COMITÉ DEMANDA REGULARIZACIÓN: Se regulariza su registro según lo aprobado en comité_x000a_16/10/2023: DESA se informa en comite de pases a calidad Sema.16.10.2023._x000a_18/09/2023 DESA el mant.correcto es 202-M0526 se esta atendiendo con ese numero y se informa en comite depases a calidad Sem18.09._x000a_12/12/2022: El requerimiento será atendido por OLSSA, se ha registrado un nuevo mantenimiento 2022-M0556, se solicitará cronograma._x000a_11/11: Se registra por cruce con lista de Fábrica Indra"/>
    <s v="Operac."/>
    <s v="CaptacionesPagaduría"/>
    <s v=" &lt;  2023"/>
    <s v="2023-12"/>
    <s v="2023-10"/>
    <x v="0"/>
    <s v="2023-11"/>
    <s v="Rechazado"/>
    <m/>
    <m/>
    <m/>
    <d v="2023-12-11T00:00:00"/>
    <s v="2023-IV"/>
    <s v="Sin Fecha Fin Producción"/>
    <s v="No Aplica"/>
    <m/>
    <s v="Finalizada,Finalizada"/>
    <x v="4"/>
    <d v="2026-03-25T15:59:32"/>
    <x v="0"/>
    <m/>
    <m/>
    <s v="Vencida"/>
    <s v="Clientes (BDUC)"/>
    <s v="Canales Presenciales"/>
    <d v="2025-02-01T00:00:00"/>
    <d v="2025-02-01T00:00:00"/>
    <m/>
    <d v="2025-02-28T00:00:00"/>
    <s v="Vencida"/>
    <s v="Feb 2025"/>
    <m/>
    <x v="2"/>
    <m/>
    <n v="0.9"/>
    <s v="PRE"/>
    <s v="NO"/>
    <s v="06. Calidad Finalizado"/>
    <s v="SI"/>
    <x v="2"/>
    <n v="1"/>
    <n v="0.9"/>
    <n v="9.9999999999999978E-2"/>
    <n v="0.9"/>
    <d v="2023-09-18T00:00:00"/>
    <d v="2023-09-18T00:00:00"/>
    <d v="2023-10-27T00:00:00"/>
    <d v="2023-11-10T00:00:00"/>
    <d v="2023-11-22T00:00:00"/>
    <d v="2026-02-19T00:00:00"/>
    <d v="2026-03-27T00:00:00"/>
    <n v="29"/>
    <n v="1"/>
    <n v="200"/>
    <m/>
    <x v="4"/>
    <n v="0"/>
    <n v="29"/>
    <n v="0"/>
    <n v="232"/>
    <n v="0"/>
    <x v="4"/>
    <x v="0"/>
    <s v="Se encuentra ordenado_x000a_Debe pasar a producción después del mantenimiento 2024-M0621._x000a_18/03: Pendiente de explicación para el próximo comité."/>
    <x v="1"/>
    <m/>
  </r>
  <r>
    <s v="M0085"/>
    <n v="1246"/>
    <x v="0"/>
    <s v="2023-T0400"/>
    <s v="2023-M0356"/>
    <s v="Migración del Aplicativo SIARLADI"/>
    <s v="Se requiere realizar la migración del Aplicativo SIARLADI (SQL Server 2000, Visual Studio 2003) a una plataforma actual (SQL Server, Visual Studio y Sistema Operativo 2019), debido al alto riesgo sobre la continuidad operativa del aplicativo y seguir adecuado a la normatividad vigente."/>
    <x v="3"/>
    <s v="Oficialía de PLAFT"/>
    <s v="Oficialía de PLAFT"/>
    <d v="2022-12-29T00:00:00"/>
    <s v="MEMORANDO N° 00000012 - 2022-BN/1202"/>
    <s v="LADI-Lavado de Dinero"/>
    <m/>
    <x v="3"/>
    <m/>
    <m/>
    <x v="0"/>
    <m/>
    <m/>
    <m/>
    <m/>
    <m/>
    <m/>
    <m/>
    <s v="Normal"/>
    <d v="2023-01-12T00:00:00"/>
    <s v="Sistemas Administrativos"/>
    <s v="Analista-BN"/>
    <s v="Paul Alminagorta Cabezas"/>
    <s v="Juan Carlos Zavaleta"/>
    <x v="5"/>
    <x v="4"/>
    <x v="0"/>
    <d v="2023-07-12T00:00:00"/>
    <m/>
    <d v="2023-10-05T00:00:00"/>
    <m/>
    <m/>
    <m/>
    <m/>
    <s v=""/>
    <m/>
    <m/>
    <s v=""/>
    <s v="13/04/2026 Supeditado a los recursos de fábrica_x000a_05/09/2025: Cartera reasignada a Juan Carlos Zavaleta_x000a_11/08/2025: Cartera reasignada a Percy Silva_x000a_20/01/2025 Cartera reasignada a Omar Sarmiento_x000a_28/08/24: Según CQ, actualizó el estado a 03. En Desarrollo_x000a_15/08/24: Según CQ, actualizó el estado a 02. En Planificación_x000a_07/08/24: Según CQ, actualizó el estado a 02. En Planificación_x000a_14/03/24 Construcción brindó las nuevas fechas de implementación: _x000a_•_x0009_01-feb al 01-mar: Aprender .NET y revisión del código de SIARLADI._x000a_•_x0009_08-mar: 1ra. reunión de entendimiento con el usuario. (reunión todos los viernes para verificar los avances)._x000a_•_x0009_05-Abr: Ver que parte de SIARLADI entraría para la primera parte._x000a_•_x0009_29-Abr: Pase a Certificación de la 1ra. parte de SIARLADI._x000a_•_x0009_17-Jun: Pase a Certificación de la 2da. parte de SIARLADI._x000a_•_x0009_22- Julio: Pase a Certificación de la 3ra. parte de SIARLADI._x000a_•_x0009_02-Setiembre: Pase a producción final de SIARLADI completo._x000a_•_x0009_(desactivación de la base de datos y links anteriores)._x000a_05/03/24 Se paralizo de Dic23 a Feb24 por un tema de disponibilidad de recursos. SIn embargo a partir del    se ha retomado con el desarrollo._x000a_16/02/24: Se paralizó el requerimiento por un tema de disponbilidad de recursos; sin embargo David Coca confirmó que ya se cuenta con los recursos y las fechas son las sgtes:_x000a_•_x0009_01-feb al 01-mar: Aprender .NET y revisión del código de SIARLADI._x000a_•_x0009_08-mar: 1ra. reunión de entendimiento con el usuario._x000a_•_x0009_(reunión todos los viernes para verificar los avances)._x000a_•_x0009_05-Abr: Ver que parte de SIARLADI entraría para la primera parte._x000a_•_x0009_29-Abr: Pase a Certificación de la 1ra. parte de SIARLADI._x000a_•_x0009_03-Jun: Pase a Certificación de la 2da. parte de SIARLADI._x000a_•_x0009_08 Julio: Pase a Certificación de la 3ra. parte de SIARLADI._x000a_•_x0009_26 Julio: Pase a producción final de SIARLADI completo._x000a_•_x0009_(desactivación de la base de datos y links anteriores)._x000a__x000a_29/11/2023 En desarrollo, se estima culminar con una primera etapa del desarrollo en el mes de diciembre y su puesta en Producción en el mes de enero 2024._x000a_31/10/2023: El requerimiento se encuentra en proceso de desarrollo. Pendiente revisión y conformidad del cronograma remitido a Paul Alminagorta en base a lo coordinado._x000a_27/09/2023: DESA se cambia de area responsable a Adminitrativos._x000a_28/08/23: De acuerdo a reunión sostenida con Paul Alminagorta (ver acuerdos en correo de fecha 23/08), el desarrollo inició en una nueva fecha 16/08. Se armó un borrador de cronograma, el cual Paul informó que será revisado el 01/09._x000a_14/08/23:Según CQ, actualizó el estado a 02. No Iniciado_x000a_31/07/23:Según CQ, actualizó el estado a 02. No Iniciado_x000a_18/07/23 De acuerdo a lo coordinado hoy con DCoca la migración se está avanzado, se estima concluir con el mismo el 31/10, Noviembre certificación y primera semana de diciembre en producción._x000a_12/04/23 Mediante correo de hoy DCoca informa el inicio de la migración._x000a_09/03/23 De acuerdo a lo coordinado con Construcción el requerimiento será atendido por la Fábrica Indra. Se encuentran en etapa de evaluación._x000a_06/01-Comité de Demanda TI: Reunion con el usuario para definir el alcance."/>
    <s v="PLAFT"/>
    <s v="OficialíaPLAFT"/>
    <s v=" &lt;  2023"/>
    <s v="2023-01"/>
    <s v="No definido"/>
    <x v="0"/>
    <s v="No definido"/>
    <m/>
    <m/>
    <m/>
    <m/>
    <d v="2023-01-12T00:00:00"/>
    <s v="2023-IV"/>
    <s v="Sin Fecha Fin Producción"/>
    <s v="No Aplica"/>
    <m/>
    <s v="Finalizada"/>
    <x v="5"/>
    <d v="2025-06-19T21:12:49"/>
    <x v="0"/>
    <m/>
    <m/>
    <s v="Sin Fecha"/>
    <s v="BackOffice"/>
    <s v="Otros Requerimientos"/>
    <d v="2025-08-01T00:00:00"/>
    <d v="2025-08-01T00:00:00"/>
    <s v="pasa a calidad Jun-25"/>
    <d v="2025-08-31T00:00:00"/>
    <s v="Vencida"/>
    <s v="Ago 2025"/>
    <n v="2025"/>
    <x v="2"/>
    <m/>
    <n v="0.15"/>
    <s v="PRE"/>
    <s v="NO"/>
    <s v="03. En Desarrollo"/>
    <s v="SI"/>
    <x v="4"/>
    <n v="0.33333333333333331"/>
    <n v="0.15"/>
    <n v="0.18333333333333332"/>
    <n v="0.45"/>
    <d v="2026-04-13T00:00:00"/>
    <d v="2026-04-13T00:00:00"/>
    <d v="2026-06-30T00:00:00"/>
    <d v="2026-07-04T00:00:00"/>
    <d v="2026-07-25T00:00:00"/>
    <d v="2026-08-02T00:00:00"/>
    <d v="2026-08-09T00:00:00"/>
    <n v="55"/>
    <n v="0.47368421052631576"/>
    <n v="88"/>
    <m/>
    <x v="2"/>
    <n v="0.52631578947368429"/>
    <n v="26"/>
    <n v="29"/>
    <n v="41.6"/>
    <n v="46.400000000000006"/>
    <x v="5"/>
    <x v="0"/>
    <m/>
    <x v="0"/>
    <m/>
  </r>
  <r>
    <s v="M0104"/>
    <n v="1319"/>
    <x v="0"/>
    <s v="2023-T0065"/>
    <s v="2023-M0052"/>
    <s v="Transferencia Interbancarias CCE-Diferidas (SICA)"/>
    <m/>
    <x v="4"/>
    <s v="Contabilidad"/>
    <m/>
    <d v="2023-02-01T00:00:00"/>
    <m/>
    <s v="SICA-Sistema de Canje Electronico"/>
    <s v="Facturación Electrónica - I"/>
    <x v="1"/>
    <m/>
    <m/>
    <x v="2"/>
    <s v="Normativo"/>
    <s v="SUNAT"/>
    <s v="R.S. N°193-2020/SUNAT - MODIFICAN LA NORMATIVA SOBRE EMISIÓN ELECTRÓNICA EN RELACIÓN CON LA FACTURA ELECTRÓNICA, EL RECIBO POR HONORARIOS ELECTRÓNICO"/>
    <m/>
    <m/>
    <m/>
    <m/>
    <s v="Heredado"/>
    <d v="2022-09-30T00:00:00"/>
    <s v="Sistemas Bancarios"/>
    <s v="FS-Indra"/>
    <s v="Eduardo Saul Cardenas Manrique"/>
    <s v="Juan Carlos Zavaleta"/>
    <x v="1"/>
    <x v="1"/>
    <x v="0"/>
    <d v="2023-02-01T00:00:00"/>
    <m/>
    <d v="2025-08-01T00:00:00"/>
    <d v="2025-08-01T00:00:00"/>
    <d v="2025-07-25T00:00:00"/>
    <d v="2025-09-11T00:00:00"/>
    <d v="2025-09-29T00:00:00"/>
    <d v="2025-07-22T04:48:00"/>
    <d v="2026-02-10T00:00:00"/>
    <d v="2026-02-10T00:00:00"/>
    <d v="2025-07-29T04:48:00"/>
    <s v="11/02/26: Según CQ, actualizó el estado a 08. Producción Finalizada_x000a_01/10/25: Según CQ, actualizó el estado a 06. Calidad Finalizado_x000a_04/08/25: Según CQ, actualizó el estado a 05. En Calidad_x000a_24/07/25: Según CQ, actualizó el estado a 03. En Desarrollo_x000a_17/06/2025: Se cambia de gestor de TI de Omar S. a Juan Carlos Z._x000a_05/06/25: Según CQ, actualizó el estado a 05. En Calidad_x000a_28/05/25: Según CQ, actualizó el estado a 04. Desarrollo Finalizado_x000a_30/01/2024: Reasignaciòn de cartera de acuerdo al correo de Martin Nicho de fecha 18.01.2024._x000a_08/11/2023: Se encuentra en proceso de las pruebas 07INVOICE._x000a_30/10/2023: Se actualizaron las fechas debido a que aún no se realizan las pruebas por parte del área usuaria._x000a_11/10/2023: Se encuentra a la espera del status de dicho requerimiento._x000a_30/05/2023: Se registro las fechas según lo detallado por INDRA y se actualizó el estado (&quot;En Desarrollo&quot;)_x000a_17/03/2023:En etapa de evaluación, pendiente de absolver una consulta enviada por analista Indra. Luego de ello se sincera la estimación y se enviará los artefactos._x000a_07/02/2023: Operaciones actualizara Anexo 2_x000a_25/01/2023: Se revisón requerimeiento con INDRA, Operaciones debe de actualizar Anexo 2 incluyendo nombre de los archivos diarios de cuentas corrientes SIF23 para monedad nacional y MCF96 para moneda extrajera, y fuente de captura para las cuentas de ahora con Norma Fukunaga._x000a_No iniciado, revisión analistas TI y OP._x000a_10/01/2023: Se efectuo revisión con analistas TI y OP. Falta actualizar información para convocar reunión con INDRA._x000a_20/01/2023: Se agendo reunión para el 24/01 para la presentación a INDRA._x000a_NOTA: Dependencia del RQ con ID Histórico 941"/>
    <s v="Finanzas"/>
    <s v="Contabilidad"/>
    <s v="2023-02"/>
    <s v="2022-09"/>
    <s v="2025-08"/>
    <x v="3"/>
    <s v="2025-07"/>
    <s v="Entregado"/>
    <d v="2023-05-16T00:00:00"/>
    <d v="2025-07-25T00:00:00"/>
    <d v="2025-07-25T00:00:00"/>
    <d v="2022-09-30T00:00:00"/>
    <s v="2023-IV"/>
    <n v="193"/>
    <n v="6.4333333333333336"/>
    <m/>
    <s v="Finalizada"/>
    <x v="1"/>
    <d v="2026-02-10T17:10:53"/>
    <x v="0"/>
    <m/>
    <m/>
    <s v="Culminado"/>
    <s v="BackOffice"/>
    <s v="Otros Requerimientos"/>
    <d v="2025-03-01T00:00:00"/>
    <d v="2025-03-01T00:00:00"/>
    <s v="Pase a Calidad Feb-25 - Paquete 6"/>
    <d v="2026-02-10T00:00:00"/>
    <s v="Culminado"/>
    <s v="Feb 2026"/>
    <n v="2025"/>
    <x v="1"/>
    <m/>
    <n v="1"/>
    <s v="PRE"/>
    <s v="NO"/>
    <s v="06. Calidad Finalizado"/>
    <s v="No aplica"/>
    <x v="1"/>
    <n v="1"/>
    <n v="1"/>
    <n v="0"/>
    <n v="1"/>
    <d v="2025-08-01T00:00:00"/>
    <d v="2025-08-01T00:00:00"/>
    <d v="2025-08-01T00:00:00"/>
    <d v="2025-09-11T00:00:00"/>
    <d v="2025-09-29T00:00:00"/>
    <d v="2026-02-10T00:00:00"/>
    <d v="2026-04-10T00:00:00"/>
    <n v="1"/>
    <n v="1"/>
    <n v="200"/>
    <m/>
    <x v="1"/>
    <n v="0"/>
    <n v="1"/>
    <n v="0"/>
    <n v="8"/>
    <n v="0"/>
    <x v="1"/>
    <x v="0"/>
    <m/>
    <x v="0"/>
    <m/>
  </r>
  <r>
    <s v="M0126"/>
    <n v="1462"/>
    <x v="0"/>
    <s v="2023-T0210"/>
    <s v="2023-M0182"/>
    <s v="Implementación del extorno automático en la devolución del tesoro público (T6) en el canal agente multired "/>
    <s v="Implementación del extorno automático de la transacción Devolución al Tesoro Público (T6) en el canal agente multired operado por Izipay."/>
    <x v="2"/>
    <s v="Canales Alternos"/>
    <s v="Canales Presenciales"/>
    <d v="2023-03-30T00:00:00"/>
    <s v="MEMORANDO N° 00000192 - 2023-BN/3251"/>
    <s v="TMIN-Tarjeta Multired Interfaces"/>
    <s v="Agente BN"/>
    <x v="4"/>
    <s v="No Aplica"/>
    <s v="Pagos"/>
    <x v="0"/>
    <m/>
    <m/>
    <s v="No Aplica"/>
    <m/>
    <m/>
    <m/>
    <s v="No Aplica"/>
    <s v="Normal"/>
    <d v="2023-12-11T00:00:00"/>
    <s v="Sistemas Bancarios"/>
    <s v="FS-Indra"/>
    <s v="Eduardo Saul Cardenas Manrique"/>
    <s v="Omar Sarmiento"/>
    <x v="5"/>
    <x v="4"/>
    <x v="0"/>
    <d v="2023-04-05T00:00:00"/>
    <m/>
    <d v="2025-06-27T00:00:00"/>
    <m/>
    <d v="2025-08-22T00:00:00"/>
    <m/>
    <m/>
    <d v="2025-09-13T09:36:00"/>
    <m/>
    <m/>
    <d v="2025-09-20T09:36:00"/>
    <s v="30/12/2025: Cartera reasignada a Omar Sarmiento_x000a_27/06/25: Según CQ, actualizó el estado a 03. En Desarrollo_x000a_10/02/25: El desarrollo está terminado, se coordinará con Juan Oliva-Indra para preparar las pruebas._x000a_10/02/25: Según CQ, actualizó el estado a 10. Paralizado._x000a_07/08/24: Según CQ, actualizó el estado a 03. En Desarroll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13/12/2023: COMITÉ DEMANDA REGULARIZACIÓN: Se regulariza su registro según lo aprobado en comité_x000a_12/12/2023: Se actualizó el estado a En Planificación luego de la revisión interna con el equipo técnico_x000a_12/10/2023: Orden Canales Presenciales: 4_x000a_21/07/2023: para regularizar en Comité_x000a_05/04/2023: Se deriva el memo a Construcción para su atención._x000a_03/04/2023: Se registra solicitud según memo MEMORANDO N° 00000192 - 2023-BN/3251"/>
    <s v="B.Digital"/>
    <s v="CanalesAlternos"/>
    <s v="2023-03"/>
    <s v="2023-12"/>
    <s v="No definido"/>
    <x v="0"/>
    <s v="2025-09"/>
    <s v="Entregado"/>
    <d v="2025-06-03T00:00:00"/>
    <d v="2025-08-22T00:00:00"/>
    <d v="2025-08-22T00:00:00"/>
    <d v="2023-12-11T00:00:00"/>
    <s v="2023-IV"/>
    <s v="Sin Fecha Fin Producción"/>
    <s v="No Aplica"/>
    <m/>
    <s v="Iniciada"/>
    <x v="5"/>
    <d v="2025-06-27T11:35:54"/>
    <x v="0"/>
    <m/>
    <m/>
    <s v="Vencida"/>
    <s v="ATM-Agentes-VISA"/>
    <s v="Canales Presenciales"/>
    <d v="2025-06-01T00:00:00"/>
    <d v="2025-06-01T00:00:00"/>
    <s v="1/04/25 Se activará en CQ._x000a_Activar en CQ a iniciado. El desarrollo está terminado, se coordinará con Juan Oliva-Indra para preparar las pruebas."/>
    <d v="2025-06-30T00:00:00"/>
    <s v="Vencida"/>
    <s v="Jun 2025"/>
    <n v="2025"/>
    <x v="2"/>
    <s v="Agentes"/>
    <n v="0.25"/>
    <s v="PRE"/>
    <s v="NO"/>
    <s v="03. En Desarrollo"/>
    <s v="SI"/>
    <x v="2"/>
    <n v="0.70370370370370372"/>
    <n v="0.25"/>
    <n v="0.45370370370370372"/>
    <n v="0.35526315789473684"/>
    <d v="2025-11-10T00:00:00"/>
    <d v="2026-03-02T00:00:00"/>
    <d v="2026-04-23T00:00:00"/>
    <d v="2026-04-24T00:00:00"/>
    <d v="2026-05-29T00:00:00"/>
    <d v="2026-06-01T00:00:00"/>
    <d v="2026-06-23T00:00:00"/>
    <n v="39"/>
    <n v="1"/>
    <n v="44.571428571428569"/>
    <s v="BD"/>
    <x v="2"/>
    <n v="0"/>
    <n v="39"/>
    <n v="0"/>
    <n v="44.571428571428569"/>
    <n v="0"/>
    <x v="6"/>
    <x v="0"/>
    <m/>
    <x v="0"/>
    <m/>
  </r>
  <r>
    <s v="M0135"/>
    <n v="1501"/>
    <x v="0"/>
    <s v="2024-T0089"/>
    <s v="2024-M0085"/>
    <s v="CORREGIR LA OPCIÓN DE REPORTES SBS EN EL POAD"/>
    <s v="Actualmente en el POAD se cuenta con una opción para consultas - SBS, la misma que viene presentando errores y no genera la información en forma correcta"/>
    <x v="5"/>
    <s v="Administración de Personal"/>
    <s v="Registro de Personal"/>
    <d v="2023-04-28T00:00:00"/>
    <m/>
    <s v="POAD_Administración_Portal_Empleado"/>
    <m/>
    <x v="1"/>
    <s v="No Aplica"/>
    <s v="No aplica"/>
    <x v="0"/>
    <m/>
    <s v="No Aplica"/>
    <s v="Evolutivo"/>
    <m/>
    <m/>
    <m/>
    <s v="No indica"/>
    <s v="Normal"/>
    <d v="2023-06-21T00:00:00"/>
    <s v="Sistemas Administrativos"/>
    <s v="Analista-BN"/>
    <s v="Paul Alminagorta Cabezas"/>
    <s v="Juan Carlos Zavaleta"/>
    <x v="5"/>
    <x v="4"/>
    <x v="0"/>
    <d v="2024-02-12T00:00:00"/>
    <m/>
    <d v="2024-04-25T00:00:00"/>
    <m/>
    <d v="2025-08-29T00:00:00"/>
    <m/>
    <m/>
    <d v="2026-03-13T09:36:00"/>
    <m/>
    <m/>
    <d v="2026-03-20T09:36:00"/>
    <s v="13/04/2026 Supeditado a los recursos de fábrica_x000a_17/06/2025: Se cambia de gestor de TI de Omar S. a Juan Carlos Z._x000a_14/08/2024 De acuerdo a lo indicado a M.Barboza culminará el 30 de setiembre._x000a_24/06/2024: Se cambió 'Recurso-Asignado' de ' ' a Analista-BN_x000a_16/04/24: El rq pasa a la cartera del gestor Omar Sarmiento._x000a_16/04/24 Con correo del 04.04.24, Paul Alminagorta indica que lo actualizo._x000a_Con correo del 02.04.24 se solicita a Paul Alminagorta actualizar en el clearquest el anexo 2 y el nombre del  mantenimiento  2024-M0085, como se acordó en la reunión del 21.03.24._x000a_DICE: : CORREGIR LA OPCIÓN DE REPORTES SBS EN EL POAD_x000a_DEBE DECIR: : MEJORA DE LA OPCIÓN DE REPORTES SBS EN EL POAD_x000a_19/03/24 Con correo del 19.03.24 se consulta a Paul Alminagosta si el requerimiento es incidente o mantenimiento._x000a_Registrado el 12.02.24 en el clearquest._x000a_30/01/2024: Reasignaciòn de cartera de acuerdo al correo de Martin Nicho de fecha 18.01.2024._x000a_18/01/2024: El área usuaria menciona que este requerimiento es una incidencia y se pide que se pueda validar si es un tema técnico o propio de la SBS_x000a_08/01/2024: El analista se encuentra de vacaciones aún no se establece un inicio de su desarrollo_x000a_27/12/2023: Se encuentra a la espera de la creación del CQ_x000a_17/11/2023: Hasta el momento se sigue a la espera de la creación del CQ_x000a_08/11/2023: Sigue pendiente la creación de CQ_x000a_25/10/2023: Pendiente creación de CQ, se reitero a jefatura construcción aplicaciones sistemas administrativos_x000a_31/08/2023: Se encuentra a la espera de la creación de CQ por parte de David Coca_x000a_11/07/2023: De acuerdo con María Barboza queda pendiente la creación de CQ._x000a_04/07/2023: COMITÉ DE DEMANDA TI: Se asignará a Paul Alminagorta, se atenderá despues del SARE_x000a_"/>
    <s v="RRHH"/>
    <s v="AdministraciónPersonal"/>
    <s v="2023-04"/>
    <s v="2023-06"/>
    <s v="No definido"/>
    <x v="0"/>
    <s v="2026-03"/>
    <m/>
    <m/>
    <m/>
    <m/>
    <d v="2023-06-21T00:00:00"/>
    <s v="2023-IV"/>
    <s v="Sin Fecha Fin Producción"/>
    <s v="No Aplica"/>
    <m/>
    <s v="Finalizada"/>
    <x v="5"/>
    <d v="2025-09-23T18:53:11"/>
    <x v="0"/>
    <m/>
    <m/>
    <s v="Vencida"/>
    <s v="BackOffice"/>
    <s v="Otros Requerimientos"/>
    <d v="2025-08-01T00:00:00"/>
    <d v="2025-08-01T00:00:00"/>
    <s v="pasa a Calidad Jul-25"/>
    <d v="2025-08-31T00:00:00"/>
    <s v="Vencida"/>
    <s v="Ago 2025"/>
    <n v="2025"/>
    <x v="2"/>
    <m/>
    <n v="0.15"/>
    <s v="PRE"/>
    <s v="NO"/>
    <s v="03. En Desarrollo"/>
    <s v="SI"/>
    <x v="5"/>
    <n v="0"/>
    <n v="0.15"/>
    <n v="-0.15"/>
    <s v=""/>
    <d v="2026-06-01T00:00:00"/>
    <d v="2026-06-01T00:00:00"/>
    <d v="2026-07-31T00:00:00"/>
    <d v="2026-08-01T00:00:00"/>
    <d v="2026-08-20T00:00:00"/>
    <d v="2026-09-01T00:00:00"/>
    <d v="2026-09-07T00:00:00"/>
    <n v="42"/>
    <n v="0"/>
    <n v="67.2"/>
    <m/>
    <x v="2"/>
    <n v="1"/>
    <n v="0"/>
    <n v="42"/>
    <n v="0"/>
    <n v="67.2"/>
    <x v="2"/>
    <x v="0"/>
    <m/>
    <x v="0"/>
    <m/>
  </r>
  <r>
    <s v="M0142"/>
    <n v="1516"/>
    <x v="0"/>
    <s v="2023-T0227"/>
    <s v="2023-M0197"/>
    <s v="Migración y Mejora del Aplicativo ECOF - Medidas de Ecoficiencia BN"/>
    <s v="Reporte"/>
    <x v="6"/>
    <s v="Servicios"/>
    <s v="Servicios Generales"/>
    <d v="2023-05-29T00:00:00"/>
    <s v="Por correo del 29.05.23"/>
    <s v="ECOF_Reporte Ecoeficiencia"/>
    <m/>
    <x v="1"/>
    <s v="No Aplica"/>
    <s v="No aplica"/>
    <x v="2"/>
    <s v="Normativo"/>
    <s v="OTROS"/>
    <s v="Decreto Supremo N° 016-2021-MINAM"/>
    <s v="Gestión de Ecoeficiencia en las Entidades de la Administración Pública"/>
    <m/>
    <m/>
    <s v="No indica"/>
    <s v="Normal"/>
    <d v="2023-06-21T00:00:00"/>
    <s v="Sistemas Administrativos"/>
    <s v="FS-Indra"/>
    <s v="Paul Alminagorta Cabezas"/>
    <s v="Maria Barboza"/>
    <x v="1"/>
    <x v="1"/>
    <x v="0"/>
    <d v="2023-04-20T00:00:00"/>
    <m/>
    <d v="2025-02-14T00:00:00"/>
    <d v="2025-02-20T00:00:00"/>
    <d v="2024-11-26T00:00:00"/>
    <d v="2025-02-21T00:00:00"/>
    <d v="2025-02-26T00:00:00"/>
    <d v="2024-10-25T00:00:00"/>
    <d v="2025-02-27T00:00:00"/>
    <d v="2026-03-10T00:00:00"/>
    <d v="2024-11-01T00:00:00"/>
    <s v="10/03/26: Según CQ, actualizó el estado a 08. Producción Finalizada_x000a_19/01/2025: Cartera reasignada a Maria Barboza_x000a_05/09/2025: Cartera reasignada a Omar Sarmiento_x000a_17/06/2025: Se cambia de gestor de TI de Omar S. a Luis Alberto I._x000a_27/03/25: De acuerdo a la revisión del status del mantenimiento en el CQ se actualiza su Fecha Fin Compromiso a abril._x000a_18/02/25: Según CQ, actualizó el estado a 07. En Despliegue_x000a_16/01/25: Según CQ, actualizó el estado a 08. Producción Finalizada_x000a_07/01/25: Según CQ, actualizó el estado a 03. En Desarrollo_x000a_05/12/24: Según CQ, actualizó el estado a 05. En Calidad_x000a_25/11/24: Según CQ, actualizó el estado a 04. Desarrollo Finalizado_x000a_28/08/24: Según CQ, actualizó el estado a 03. En Desarrollo_x000a_07/08/24: Según CQ, actualizó el estado a 02. En Planificación_x000a_24/06/2024: Se cambió 'Recurso-Asignado' de Analista-BN a FS-Olssa_x000a_30/05/24 Devuelto el 24.05.24, Por solicitud del área de producción del BN y en coordinación con el área de desarrollo se procede al rechazo del requerimiento, debido a la demora de subsanación del formulario “Form07_ECOF_PerfilesOpciones.xls” el cual fue observado por el área de seguridad. _x000a_30/04/24-04/04/24 Según CQ. el estado es ordenado el  04.04.24._x000a_27/04/2024: Según CQ, se actualizó el estado de 06. Calidad Finalizado a 07. En Despliegue_x000a_16/04/24 En el clearquest esta ordenado el 04.04.24._x000a_03/04/24 En el clearquest esta ordenado desde el 27.03.24._x000a_09/02/24 Con correo del 09.02.24 se solicita a Martin Nicho priorice el requerimiento por ser normativo._x000a_ Con correo del 09.02.24  Paul Alminagorta informa que su requerimiento paso a Calidad._x000a_07/02/24 Construcción BN:  Por correo del 07.02.24 se le consulta a Paul Alminagort cuando va a pasar el requerimiento a calidad, ya que no se ha cumplido con la fecha programada; Paul Alminagort nos indica que  no hay servidores bd ni aplicativo desde ayer 3pm._x000a_24/01/24 Construcción BN: Paul Alminagorta informa que el 25.01.24 remitira el requerimiento a calidad._x000a_......................................................................_x000a_29/12/23 Desarrollo: Paul Alminagorta esta gestionando permisos con seguridad de información para la creación de la cuenta integradora del aplicativo ECOF._x000a_21/12/23 Paralizado: Con correo del 21.12.23 se solicita a David Coca el estado del requerimiento, asimismo indicar la fecha de producción, ya que la indicada en la cartera de la demanda es el 30.11.23._x000a_Nos informa Paul Alminagorta y David Coca que esta la 85% y por el momento estan a la espera  de nuevo personal de apoyo._x000a_04/12/23 Con correo del 04.12.23  se consulta  a Paul Alminagorta el estado del requerimiento, ya que en el clearquest sigue en desarrollo._x000a_17/11/23 Con correo del 17.11.23 se consulta a Paul Alminagorta si el requerimiento pasa este año, y el confirma que si._x000a_07/11/23 Con correo del 07.11.23 se consulta a Paul Alminagorta el estado del requerimiento._x000a_19/10/23 Con correo del 19.10.23 Paul Alminagorta nos indica que el 23.10.23 va a volver a exponerlo en la reunión con certificación. _x000a_17/10/23 Con correo del 17.10.23 se consulta a Paul Alminagorta el estado del requerimiento, ya que se realizo la reunión solicitada._x000a_03/10/23 Con correo del 03.10.23 Paul Alminagorta  indica que ha  tenido inconvenientes de estándares con Seguridad Informática que no se resolvió para ECOF y solicita reunión._x000a_Con correo del 03.10.23 se consulta a Paul Alminagorta el estado del requerimiento, ya que debio estar en producción el 29.09.23._x000a_13/09/23 Van a retomar el desarrollo el 18.09.23._x000a_14/07/2023 Se retomara apartir del 15 de agosto_x000a_04/07/2023: COMITÉ DE DEMANDA TI: En atención de Paul Alminagorta._x000a_19/06/23 Se informo a calidad  07/06/23 Con correo del 07.06.23, se consulta a Paul Alminagorta el estado del requerimiento, que en el  clearquest esta asignado desde el 23.02.23; el cual indica que hace 2 días lo expuso en certificación y antes del viernes lo va dejar  aprobado en  el clearquest para que empiece su atención._x000a_................................................................................................_x000a_31/05/ Se informo a calidad de soluciones                        30/05/23 Se solicita su ingreso a la cartera con correo del 29.05.23 por el gestor  de la demanda Gisela Lopez para su priorización.."/>
    <s v="Logística"/>
    <s v="Servicios"/>
    <s v="2023-05"/>
    <s v="2023-06"/>
    <s v="2025-02"/>
    <x v="2"/>
    <s v="2024-11"/>
    <s v="Finalizado"/>
    <d v="2024-09-12T00:00:00"/>
    <d v="2024-11-26T00:00:00"/>
    <d v="2024-11-26T00:00:00"/>
    <d v="2023-06-21T00:00:00"/>
    <s v="2023-IV"/>
    <n v="389"/>
    <n v="12.966666666666667"/>
    <m/>
    <s v="Finalizada"/>
    <x v="6"/>
    <d v="2026-03-10T17:02:40"/>
    <x v="0"/>
    <m/>
    <m/>
    <s v="Culminado"/>
    <s v="BackOffice"/>
    <s v="Otros Requerimientos"/>
    <d v="2025-03-01T00:00:00"/>
    <d v="2025-04-01T00:00:00"/>
    <m/>
    <d v="2026-03-10T00:00:00"/>
    <s v="Culminado"/>
    <s v="Mar 2026"/>
    <m/>
    <x v="1"/>
    <m/>
    <n v="1"/>
    <s v="PRE"/>
    <s v="NO"/>
    <s v="07. En Despliegue"/>
    <s v="No aplica"/>
    <x v="1"/>
    <n v="1"/>
    <n v="1"/>
    <n v="0"/>
    <n v="1"/>
    <d v="2025-02-14T00:00:00"/>
    <d v="2025-02-14T00:00:00"/>
    <d v="2025-02-20T00:00:00"/>
    <d v="2025-02-21T00:00:00"/>
    <d v="2025-02-26T00:00:00"/>
    <d v="2025-03-10T00:00:00"/>
    <d v="2026-03-27T00:00:00"/>
    <n v="5"/>
    <n v="1"/>
    <n v="200"/>
    <m/>
    <x v="1"/>
    <n v="0"/>
    <n v="5"/>
    <n v="0"/>
    <n v="40"/>
    <n v="0"/>
    <x v="4"/>
    <x v="0"/>
    <m/>
    <x v="0"/>
    <m/>
  </r>
  <r>
    <s v="M0154"/>
    <n v="1590"/>
    <x v="0"/>
    <s v="2024-T0087"/>
    <s v="2024-M0083"/>
    <s v="Implementación del SIstema web de saldos y sumatorias de cajeros automáticos"/>
    <s v="Migración a web"/>
    <x v="2"/>
    <s v="Canales Alternos"/>
    <s v="Canales Presenciales"/>
    <d v="2023-06-23T00:00:00"/>
    <s v="MEMORANDO N° 00000320 - 2023-BN/3251"/>
    <s v="SALC-Saldos Cajeros"/>
    <m/>
    <x v="5"/>
    <s v="No Aplica"/>
    <s v="No aplica"/>
    <x v="0"/>
    <m/>
    <m/>
    <m/>
    <m/>
    <m/>
    <m/>
    <m/>
    <s v="Normal"/>
    <d v="2023-12-11T00:00:00"/>
    <s v="Sistemas Administrativos"/>
    <s v="Analista-BN"/>
    <s v="Paul Alminagorta Cabezas"/>
    <s v="Omar Sarmiento"/>
    <x v="3"/>
    <x v="3"/>
    <x v="1"/>
    <d v="2024-02-12T00:00:00"/>
    <m/>
    <d v="2025-12-10T00:00:00"/>
    <d v="2025-09-15T00:00:00"/>
    <m/>
    <d v="2025-07-03T00:00:00"/>
    <m/>
    <d v="2025-08-11T14:24:00"/>
    <m/>
    <m/>
    <d v="2025-08-18T14:24:00"/>
    <s v="30/12/2025: Cartera reasignada a Omar Sarmiento_x000a_11/12/25: Según CQ, actualizó el estado a 10. Paralizado_x000a_18/09/25: Según CQ, actualizó el estado a 03. En Desarrollo_x000a_15/09/25: Según CQ, actualizó el estado a 04. Desarrollo Finalizado_x000a_10/09/25: Según CQ, actualizó el estado a 03. En Desarrollo_x000a_07/07/25: Según CQ, actualizó el estado a 05. En Calidad_x000a_19/06/25: Según CQ, actualizó el estado a 04. Desarrollo Finalizado_x000a_19/09/24: Según CQ, actualizó el estado a 03. En Desarrollo_x000a_07/08/24: Según CQ, actualizó el estado a 02. En Planificación_x000a_30/04/2024: Según CQ, se actualizó el estado de 04. Desarrollo Finalizado a 05. En Calidad_x000a_19/02/2024: En coordinación con OPP y jefatura se realizará asignación al regreso de vacaciones de Psilva ( 01/02/24-19/02/24). No se ha realizado un traspaso de información solo cambio de recurso._x000a_13/02/2024: Se actualiza el N° de tramite de 2024-T0075 a 2024-T0087. Se anula el 2024-T0075 por duplicidad, y se confirma N° mantenimiento 2024-M0083_x000a_08/02/2024: Se solicitó generar el Mantenimiento _x000a_06/02/2024: Se confirma el N° trámite: 2024-T0075, y se confirma con Paul ALminagorta que el RQ se encuentra en desarrollo._x000a_30/01/2024: Reasignaciòn de cartera de acuerdo al correo de Martin Nicho de fecha 18.01.2024._x000a_13/12/2023: COMITÉ DEMANDA PRIORIZACION: Requerimiento aprobado_x000a_12/10/2023: Orden Canales Presenciales: 3_x000a_15/08/2023: REU: En reuna con H.Poma se indicó evaluar si va en comité por dependencia con siscaj_x000a_27/06/2023: Se registra según MEMORANDO N° 00000320 - 2023-BN/3251"/>
    <s v="B.Digital"/>
    <s v="CanalesAlternos"/>
    <s v="2023-06"/>
    <s v="2023-12"/>
    <s v="2025-09"/>
    <x v="0"/>
    <s v="2025-08"/>
    <m/>
    <m/>
    <m/>
    <m/>
    <d v="2023-12-11T00:00:00"/>
    <s v="2023-IV"/>
    <s v="Sin Fecha Fin Producción"/>
    <s v="No Aplica"/>
    <m/>
    <s v="Finalizada"/>
    <x v="3"/>
    <d v="2025-12-16T09:08:33"/>
    <x v="0"/>
    <m/>
    <m/>
    <s v="Vencida"/>
    <s v="Sin Aplicativo"/>
    <s v="Sin Aplicativo"/>
    <d v="2025-06-01T00:00:00"/>
    <d v="2025-06-01T00:00:00"/>
    <s v="Indra, pasa a calidad abril-25"/>
    <d v="2025-06-30T00:00:00"/>
    <s v="Vencida"/>
    <s v="Jun 2025"/>
    <n v="2025"/>
    <x v="2"/>
    <s v="ATM"/>
    <n v="0.12"/>
    <s v="PRE"/>
    <s v="NO"/>
    <s v="03. En Desarrollo"/>
    <s v="No aplica"/>
    <x v="3"/>
    <n v="0"/>
    <n v="0.12"/>
    <n v="-0.12"/>
    <s v=""/>
    <m/>
    <d v="2026-07-01T00:00:00"/>
    <d v="2026-08-30T00:00:00"/>
    <d v="2026-09-01T00:00:00"/>
    <d v="2026-09-30T00:00:00"/>
    <d v="2026-10-01T00:00:00"/>
    <d v="2026-10-05T00:00:00"/>
    <n v="41"/>
    <n v="0"/>
    <n v="200"/>
    <s v="BD"/>
    <x v="3"/>
    <n v="1"/>
    <n v="0"/>
    <n v="41"/>
    <n v="0"/>
    <n v="328"/>
    <x v="7"/>
    <x v="0"/>
    <m/>
    <x v="0"/>
    <m/>
  </r>
  <r>
    <s v="M0198"/>
    <n v="1715"/>
    <x v="0"/>
    <s v="2023-T0777"/>
    <s v="2023-M0712"/>
    <s v="Mandatorio Certificar AFT e implementar reverso AFT"/>
    <s v="Mejora en el servicio de operaciones VISA DIRECT (AFT)"/>
    <x v="2"/>
    <s v="Canales Alternos"/>
    <s v="Canales Virtuales"/>
    <d v="2023-08-29T00:00:00"/>
    <s v="MEMORANDO N° 00000492 - 2023-BN/3252"/>
    <s v="TMIN-Tarjeta Multired Interfaces"/>
    <s v="VISA"/>
    <x v="6"/>
    <s v="Cuenta de Ahorros"/>
    <m/>
    <x v="2"/>
    <s v="Normativo"/>
    <s v="SBS"/>
    <s v="MEMO DE INSPECCION N 00015 - 2023, Literal 26a y b_x000a_07-2022-DSBE Literal 26.a, 26.d. 26.c.1, 26.c.2_x000a_06-2023-DSBE Literal 27.f"/>
    <m/>
    <m/>
    <m/>
    <d v="2024-07-26T00:00:00"/>
    <s v="Normal"/>
    <d v="2023-12-11T00:00:00"/>
    <s v="Sistemas Bancarios"/>
    <s v="FS-Indra"/>
    <s v="Vladimir Ronald Cajavilca Cajavilca"/>
    <s v="Omar Sarmiento"/>
    <x v="6"/>
    <x v="4"/>
    <x v="0"/>
    <d v="2023-12-22T00:00:00"/>
    <m/>
    <d v="2024-07-17T00:00:00"/>
    <d v="2025-07-25T00:00:00"/>
    <d v="2025-01-23T00:00:00"/>
    <d v="2025-08-03T00:00:00"/>
    <d v="2025-09-02T00:00:00"/>
    <d v="2025-04-09T00:00:00"/>
    <m/>
    <m/>
    <d v="2025-04-16T00:00:00"/>
    <s v="30/12/2025: Cartera reasignada a Omar Sarmiento_x000a_03/09/25: Según CQ, actualizó el estado a 06. Calidad Finalizado_x000a_04/08/25: Según CQ, actualizó el estado a 05. En Calidad_x000a_30/07/25: Según CQ, actualizó el estado a 04. Desarrollo Finalizado_x000a_22/01/25: Vladimir C.  indicó que esta semana pasa a Producción, luego atenderá el  Manteniemiento 2023-M0700: Mejora código respuesta 05_x000a_13/01/25: Vladimir C.  indicó que esta semana pasa a Producción, luego atenderá el  Manteniemiento 2023-M0700: Mejora código respuesta 05, se actualizo estado a inciada en el QC_x000a_27/08/24: Maribel Medina confirma que ya se encuentra en Desarrollo_x000a_07/08/24: Según CQ, actualizó el estado a 02. En Planificación_x000a_12/06/2024: Se está avanzando con el análisis (JO). En proceso de analisis para brindar fechas_x000a_02/05/2024: MMedina confirma Fab Indfra que la contraparte por parte del BN será Vladimir Cajavilca_x000a_25/04/2024: MJMedrano envía evidencia de que el RQ es mandatorio de VISA._x000a_25/01/2024: Usuario confirmó que el nuevo cronograma se indica Jul24 (antes 14/05/24)_x000a_02/01/2024: MMedina confirma N° CQ 2023-M0712 y Analista CQ a Vladimir Cajavilca._x000a_22/12/2023 Se registró el trámite en el CQ: 2023-T0777_x000a_13/12/2023: COMITÉ DEMANDA PRIORIZACION: Requerimiento aprobado_x000a_30/11/2023: Se encuentra atendiendo otros RQs relacionados a VISA o ATMs (mismos recursos)_x000a_06/11/2023: Reunión con Maria Jesús Medrano: Se acuerda que este RQ es el reemplazo del ID 1197, puesto que el A2 anterior tiene varios puntos implementados. Pendiente de validar con Construcción el CQ 2023-M0318 y el A2_x000a_20/09/2023: Arquitectura da conformidad al documento _x000a_18/09/2023: Se envia correo a Maria Jesus para que confirme el memorando del RQ. _x000a_11/09/2023: P. Encalada confirma que el TDR se encuentra en proceso de firmas|nexo firmado"/>
    <s v="B.Digital"/>
    <s v="CanalesAlternos"/>
    <s v="2023-08"/>
    <s v="2023-12"/>
    <s v="2025-07"/>
    <x v="0"/>
    <s v="2025-04"/>
    <s v="Entregado"/>
    <d v="2024-06-10T00:00:00"/>
    <d v="2025-01-23T00:00:00"/>
    <d v="2025-01-23T00:00:00"/>
    <d v="2023-12-11T00:00:00"/>
    <s v="2023-IV"/>
    <s v="Sin Fecha Fin Producción"/>
    <s v="No Aplica"/>
    <m/>
    <s v="Finalizada"/>
    <x v="7"/>
    <d v="2025-12-01T15:24:52"/>
    <x v="0"/>
    <m/>
    <m/>
    <s v="Vencida"/>
    <s v="ATM-Agentes-VISA"/>
    <s v="Canales Presenciales"/>
    <d v="2025-05-01T00:00:00"/>
    <d v="2025-05-01T00:00:00"/>
    <s v="Pasa a Calidad el 10/02."/>
    <d v="2025-05-31T00:00:00"/>
    <s v="Vencida"/>
    <s v="May 2025"/>
    <n v="2025"/>
    <x v="2"/>
    <s v="Visa"/>
    <n v="0.85"/>
    <s v="PRE"/>
    <s v="NO"/>
    <s v="06. Calidad Finalizado"/>
    <s v="SI"/>
    <x v="2"/>
    <n v="1"/>
    <n v="0.85"/>
    <n v="0.15000000000000002"/>
    <n v="0.85"/>
    <d v="2024-07-17T00:00:00"/>
    <d v="2024-07-17T00:00:00"/>
    <d v="2025-07-25T00:00:00"/>
    <d v="2025-08-03T00:00:00"/>
    <d v="2025-09-02T00:00:00"/>
    <d v="2026-02-19T00:00:00"/>
    <d v="2026-03-27T00:00:00"/>
    <n v="253"/>
    <n v="1"/>
    <n v="200"/>
    <m/>
    <x v="5"/>
    <n v="0"/>
    <n v="253"/>
    <n v="0"/>
    <n v="2024"/>
    <n v="0"/>
    <x v="4"/>
    <x v="0"/>
    <s v="18/03: 18/03: Se planificará con construcción el pase según correo del Subgerente de construcción."/>
    <x v="2"/>
    <m/>
  </r>
  <r>
    <s v="M0220"/>
    <n v="1779"/>
    <x v="0"/>
    <s v="2023-T0581"/>
    <s v="2023-M0522"/>
    <s v="Implementar controles a Cuentas Detracciones."/>
    <m/>
    <x v="0"/>
    <s v="Servicios Bancarios y Recaudación"/>
    <s v="Recaudación y Corresponsalía"/>
    <d v="2023-09-20T00:00:00"/>
    <s v="MEMORANDO N° 00000247 - 2023-BN/3243"/>
    <s v="SICT-Sistema de Informacón de Cuentas Corrientes"/>
    <m/>
    <x v="0"/>
    <s v="No Aplica"/>
    <s v="No aplica"/>
    <x v="0"/>
    <m/>
    <s v="No Aplica"/>
    <s v="No Aplica"/>
    <s v="No Aplica"/>
    <s v="No Aplica"/>
    <s v="No Aplica"/>
    <s v="No Aplica"/>
    <s v="Normal"/>
    <d v="2023-12-11T00:00:00"/>
    <s v="Sistemas Bancarios"/>
    <s v="Analista-BN"/>
    <s v="Eduardo Saul Cardenas Manrique"/>
    <s v="Junior Quicaño"/>
    <x v="5"/>
    <x v="4"/>
    <x v="0"/>
    <d v="2023-10-03T00:00:00"/>
    <m/>
    <d v="2026-04-30T00:00:00"/>
    <d v="2024-11-28T00:00:00"/>
    <m/>
    <d v="2025-01-02T00:00:00"/>
    <d v="2025-01-03T00:00:00"/>
    <d v="2024-05-04T19:12:00"/>
    <d v="2026-03-25T00:00:00"/>
    <m/>
    <d v="2024-05-11T19:12:00"/>
    <s v="15/04/26: Según CQ, actualizó el estado a 03. En Desarrollo_x000a_27/03/26: Según CQ, actualizó el estado a 07. En Despliegue_x000a_06/01/25: Según CQ, actualizó el estado a 06. Calidad Finalizado_x000a_27/12/24: Según CQ, actualizó el estado a 05. En Calidad_x000a_29/11/24: Según CQ, actualizó el estado a 04. Desarrollo Finalizado_x000a_27/12/2023 Este mantenimiento será asignado a FS OLSSA._x000a_13/12/2023: COMITÉ DEMANDA REGULARIZACIÓN: Se regulariza su registro según lo aprobado en comité_x000a_27/09/2023: Se registra el requerimiento de acuerdo al memo"/>
    <s v="Operac."/>
    <s v="BancariosRecaudación"/>
    <s v="2023-09"/>
    <s v="2023-12"/>
    <s v="2024-11"/>
    <x v="0"/>
    <s v="2024-05"/>
    <m/>
    <m/>
    <m/>
    <m/>
    <d v="2023-12-11T00:00:00"/>
    <s v="2023-IV"/>
    <s v="Sin Fecha Fin Producción"/>
    <s v="No Aplica"/>
    <m/>
    <s v="Finalizada"/>
    <x v="5"/>
    <d v="2026-04-30T09:31:30"/>
    <x v="0"/>
    <m/>
    <m/>
    <s v="Vencida"/>
    <s v="BackOffice"/>
    <s v="Otros Requerimientos"/>
    <d v="2025-02-01T00:00:00"/>
    <d v="2025-02-01T00:00:00"/>
    <m/>
    <d v="2025-02-28T00:00:00"/>
    <s v="Vencida"/>
    <s v="Feb 2025"/>
    <m/>
    <x v="2"/>
    <m/>
    <n v="0.15"/>
    <s v="PRE"/>
    <s v="NO"/>
    <s v="06. Calidad Finalizado"/>
    <s v="SI"/>
    <x v="2"/>
    <n v="1"/>
    <n v="0.15"/>
    <n v="0.85"/>
    <n v="0.15"/>
    <d v="2024-06-27T00:00:00"/>
    <d v="2024-06-27T00:00:00"/>
    <d v="2024-11-28T00:00:00"/>
    <d v="2025-01-02T00:00:00"/>
    <d v="2025-01-03T00:00:00"/>
    <d v="2026-02-19T00:00:00"/>
    <d v="2026-03-27T00:00:00"/>
    <n v="105"/>
    <n v="1"/>
    <n v="120"/>
    <m/>
    <x v="2"/>
    <n v="0"/>
    <n v="105"/>
    <n v="0"/>
    <n v="120"/>
    <n v="0"/>
    <x v="4"/>
    <x v="0"/>
    <m/>
    <x v="0"/>
    <m/>
  </r>
  <r>
    <s v="M0243"/>
    <n v="1824"/>
    <x v="0"/>
    <s v="2023-T0770"/>
    <s v="2023-M0708"/>
    <s v="Mandatorio Autorización Parcial"/>
    <s v="Con guía técnica de VISA"/>
    <x v="2"/>
    <s v="Canales Alternos"/>
    <s v="Canales Virtuales"/>
    <d v="2023-10-25T00:00:00"/>
    <s v="MEMORANDO N° 00000602 - 2023-BN/3252"/>
    <s v="TMIN-Tarjeta Multired Interfaces"/>
    <s v="VISA"/>
    <x v="7"/>
    <s v="Cuenta de Ahorros"/>
    <s v="No aplica"/>
    <x v="2"/>
    <s v="Normativo"/>
    <s v="VISA"/>
    <s v=" "/>
    <m/>
    <m/>
    <m/>
    <s v=" "/>
    <s v="Normal"/>
    <d v="2023-12-11T00:00:00"/>
    <s v="Sistemas Bancarios"/>
    <s v="FS-Indra"/>
    <s v="Vladimir Ronald Cajavilca Cajavilca"/>
    <s v="Omar Sarmiento"/>
    <x v="6"/>
    <x v="4"/>
    <x v="0"/>
    <d v="2023-12-22T00:00:00"/>
    <m/>
    <d v="2025-01-16T00:00:00"/>
    <d v="2025-08-21T00:00:00"/>
    <d v="2025-07-31T00:00:00"/>
    <d v="2025-08-23T00:00:00"/>
    <d v="2025-09-02T00:00:00"/>
    <d v="2025-10-17T09:36:00"/>
    <m/>
    <m/>
    <d v="2025-10-24T09:36:00"/>
    <s v="30/12/2025: Cartera reasignada a Omar Sarmiento_x000a_03/09/25: Según CQ, actualizó el estado a 06. Calidad Finalizado_x000a_25/08/25: Según CQ, actualizó el estado a 05. En Calidad_x000a_22/08/25: Según CQ, actualizó el estado a 04. Desarrollo Finalizado_x000a_16/01/25: Maribel M. actualizó en el CQ el estado a iniciado_x000a_16/01/25:  Fredy C.  indicó que el desarrollo en el ambiente Host ya culminó pero para pasar al ambiente de Producción se necesita que  Vladimir C.  culmine unos componentes (AFT) y Jaime Salas culmine su desarrollo en el ESPLINK por autorización parcial_x000a_15/01/2025: pendiente actualización de estado en CQ a asignado e iniciado_x000a_13/01/25: Maribel M. indicó que el proveedor Cesar Santome esta desarrollando este requerimiento y estan realizando pruebas con Vladimir C._x000a_25/11/24: Según CQ, actualizó el estado a 01. Registrado_x000a_22/11/24: Según CQ, actualizó el estado a 01. Registrado_x000a_28/08/24: Según CQ, actualizó el estado a 01. Registrado_x000a_27/08/24: Maribel Medina confirma que ya se encuentra en Planificación_x000a_25/04/2024: MJMedrano envía evidencia de que el RQ es mandatorio de VISA._x000a_02/01/2024: MMedina confirma N° CQ 2023-M0708 y Analista CQ a Vladimir Cajavilca._x000a_22/12/2023 Se registró el trámite en el CQ: 2023-T0770_x000a_13/12/2023: COMITÉ DEMANDA PRIORIZACION: Requerimiento aprobado_x000a_06/11/2023: Reunión con Maria Jesus Medrano: Se registra nuevo requerimiento enviado por MEMORANDO N° 00000602 - 2023-BN/3252"/>
    <s v="B.Digital"/>
    <s v="CanalesAlternos"/>
    <s v="2023-10"/>
    <s v="2023-12"/>
    <s v="2025-08"/>
    <x v="0"/>
    <s v="2025-10"/>
    <s v="Entregado"/>
    <d v="2025-06-02T00:00:00"/>
    <d v="2025-07-31T00:00:00"/>
    <d v="2025-12-04T00:00:00"/>
    <d v="2023-12-11T00:00:00"/>
    <s v="2023-IV"/>
    <s v="Sin Fecha Fin Producción"/>
    <s v="No Aplica"/>
    <m/>
    <s v="Finalizada"/>
    <x v="7"/>
    <d v="2025-12-01T15:24:11"/>
    <x v="0"/>
    <m/>
    <m/>
    <s v="Vencida"/>
    <s v="ATM-Agentes-VISA"/>
    <s v="Canales Presenciales"/>
    <d v="2025-07-01T00:00:00"/>
    <d v="2025-07-01T00:00:00"/>
    <s v="Pasa a calidad y producción en paralelo al 2023-M0711."/>
    <d v="2025-07-31T00:00:00"/>
    <s v="Vencida"/>
    <s v="Jul 2025"/>
    <n v="2025"/>
    <x v="2"/>
    <s v="Visa"/>
    <n v="0.85"/>
    <s v="PRE"/>
    <s v="NO"/>
    <s v="06. Calidad Finalizado"/>
    <s v="SI"/>
    <x v="2"/>
    <n v="1"/>
    <n v="0.85"/>
    <n v="0.15000000000000002"/>
    <n v="0.85"/>
    <d v="2025-01-16T00:00:00"/>
    <d v="2025-01-16T00:00:00"/>
    <d v="2025-08-21T00:00:00"/>
    <d v="2025-08-23T00:00:00"/>
    <d v="2025-09-02T00:00:00"/>
    <d v="2026-02-19T00:00:00"/>
    <d v="2026-03-27T00:00:00"/>
    <n v="153"/>
    <n v="1"/>
    <n v="200"/>
    <m/>
    <x v="5"/>
    <n v="0"/>
    <n v="153"/>
    <n v="0"/>
    <n v="1224"/>
    <n v="0"/>
    <x v="4"/>
    <x v="0"/>
    <s v="18/03: Se planificará con construcción el pase según correo del Subgerente de construcción._x000a_Está amarrado al 711, 708 y 712."/>
    <x v="1"/>
    <m/>
  </r>
  <r>
    <s v="M0244"/>
    <n v="1825"/>
    <x v="0"/>
    <s v="2023-T0775"/>
    <s v="2023-M0711"/>
    <s v="Mandatorio Aceptación campo 34"/>
    <s v=" "/>
    <x v="2"/>
    <s v="Canales Alternos"/>
    <s v="Canales Virtuales"/>
    <d v="2023-10-25T00:00:00"/>
    <s v="MEMORANDO N° 00000602 - 2023-BN/3252"/>
    <s v="TMIN-Tarjeta Multired Interfaces"/>
    <s v="VISA"/>
    <x v="7"/>
    <s v="Cuenta de Ahorros"/>
    <s v="No aplica"/>
    <x v="2"/>
    <s v="Normativo"/>
    <s v="VISA"/>
    <s v=" "/>
    <m/>
    <m/>
    <m/>
    <s v=" "/>
    <s v="Normal"/>
    <d v="2023-12-11T00:00:00"/>
    <s v="Sistemas Bancarios"/>
    <s v="FS-Indra"/>
    <s v="Vladimir Ronald Cajavilca Cajavilca"/>
    <s v="Omar Sarmiento"/>
    <x v="6"/>
    <x v="4"/>
    <x v="0"/>
    <d v="2023-12-22T00:00:00"/>
    <m/>
    <d v="2025-04-14T00:00:00"/>
    <d v="2025-08-21T00:00:00"/>
    <d v="2025-05-30T00:00:00"/>
    <d v="2025-08-23T00:00:00"/>
    <d v="2025-09-02T00:00:00"/>
    <d v="2025-06-17T09:36:00"/>
    <m/>
    <m/>
    <d v="2025-06-24T09:36:00"/>
    <s v="30/12/2025: Cartera reasignada a Omar Sarmiento_x000a_03/09/25: Según CQ, actualizó el estado a 06. Calidad Finalizado_x000a_25/08/25: Según CQ, actualizó el estado a 05. En Calidad_x000a_22/08/25: Según CQ, actualizó el estado a 04. Desarrollo Finalizado_x000a_15/04/25: Según CQ, actualizó el estado a 03. En Desarrollo_x000a_06/02/25: Se actualiza estado en CQ a POSPUESTO. El desarrollo esta terminado parte BN, pendiente  adecuaciones de Bevertec, no hay rspta se debe escalar con Jaime Salas/Castellano._x000a_Considerar, que dede pasar primero AFT. Se estima pasar a calidad Mar-25._x000a_06/02/25: Según CQ, actualizó el estado a 10. Paralizado_x000a_27/01/25: FC comunicó que se realizaron las pruebas pero persiste el error, se coordinó con Bevertec para que continue con la revisón. JS comentó que se ha identificado que es con Sentinel el problema y que se nececsita que un experto en Setinel lo revise._x000a_22/01/25: Fredy C. indicó que se realizaron las pruebas del campor 34 pero continua el error. JS indicó que coordinará con FC luego de la reunión realizar pruebas_x000a_17/01/25: Según CQ, actualizó el estado a 01. Registrado_x000a_16/01/25: Según CQ, actualizó el estado a 01. Registrado_x000a_15/01/25: pendiente actualización en CQ de estado a asignado e iniciado_x000a_14/01/25: Jaime S. indicó que se debe probar primero  el campo 34 en el simulador  y  luego hacer ajustes  al 56.  _x000a_Fredy C y Jaime S. acuerdan hacer las pruebas del 34 el día de hoy 14/01/25 con el apoyo de Lizet Flores de Bevertec._x000a_02/12/2024: JS indica que ya coordino con FC y el día de mañana le estará entregando la información solicitada para realizar las pruebas_x000a_26/11/2024: FC indica que aún esta pendiente la respuesta de JS respecto a las pruebas, JS indica que falta enviar al Host y se necesitan realizar varios cambios, culmina el viernes 29/11/2024_x000a_18/11/2024: JS indica que ya tienen el campo 34 y esta a la espera del primer caracter. FC comunica que necesitan hacer pruebas con otro Proveedor y que realizarán pruebas con campo 34, tambien solicita a JS hacer pruebas con el campo 56_x000a_04/11/2024: FC indica que aún esta pendiente el envío_x000a_28/10/2024, FC solicita que le envie el primer caracter , JS enviara el 56 para activarlo_x000a_09/09 MM indica que esta coordinando las pruebas. JS recomienda primero cerrar todos los binarios, que pasen a produccion para luego hacer las pruebas. _x000a_26/08 JS indica que se realizo el cambio, el 34 se va al HOST y este debe ser probado, coordinar pruebas _x000a_24/06/2024: Se cambió 'Recurso-Asignado' de Analista-BN a  ' Desarrollo' _x000a_25/04/2024: MJMedrano envía evidencia de que el RQ es mandatorio de VISA._x000a_23/01/2024: Pedro Encalada confirma aprobación de PCR por correo a Jaime Salas._x000a_10/01/2024: En coordinación con P Encalada se envió correo a J Salas para evaluar el PCR_x000a_09/01/2024: En reunión del 09Ene con el usuario y el especialista de Construcción, se acordó que se coordinará con la jefatura de Sistemas Bancarios la generación del PCR correspondiente para su implementación por Bevertec._x000a_02/01/2024: MMedina confirma N° CQ 2023-M0711 y Analista CQ a Vladimir Cajavilca._x000a_22/12/2023 Se registró el trámite en el CQ: 2023-T0775_x000a_13/12/2023: COMITÉ DEMANDA PRIORIZACION: Requerimiento aprobado_x000a_06/11/2023: Reunión con Maria Jesus Medrano: Se registra nuevo requerimiento enviado por MEMORANDO N° 00000602 - 2023-BN/3252"/>
    <s v="B.Digital"/>
    <s v="CanalesAlternos"/>
    <s v="2023-10"/>
    <s v="2023-12"/>
    <s v="2025-08"/>
    <x v="0"/>
    <s v="2025-06"/>
    <s v="Entregado"/>
    <d v="2025-03-31T00:00:00"/>
    <d v="2025-05-30T00:00:00"/>
    <d v="2025-05-30T00:00:00"/>
    <d v="2023-12-11T00:00:00"/>
    <s v="2023-IV"/>
    <s v="Sin Fecha Fin Producción"/>
    <s v="No Aplica"/>
    <m/>
    <s v="Finalizada"/>
    <x v="7"/>
    <d v="2026-02-17T17:41:58"/>
    <x v="0"/>
    <m/>
    <m/>
    <s v="Vencida"/>
    <s v="ATM-Agentes-VISA"/>
    <s v="Canales Presenciales"/>
    <d v="2025-05-01T00:00:00"/>
    <d v="2025-05-01T00:00:00"/>
    <s v="01/04 /25 en atención, se concluye en abril. Se debe activar en CQ._x000a_Se actualiza estado en CQ a POSPUESTO. El desarrollo esta terminado parte BN, pendiente  adecuaciones de Bevertec, no hay rspta se debe escalar con Jaime Salas/Castellano._x000a_Considerar, que dede pasar primero AFT. Se estima pasar a calidad Mar-25."/>
    <d v="2025-05-31T00:00:00"/>
    <s v="Vencida"/>
    <s v="May 2025"/>
    <n v="2025"/>
    <x v="2"/>
    <s v="Visa"/>
    <n v="0.85"/>
    <s v="PRE"/>
    <s v="NO"/>
    <s v="06. Calidad Finalizado"/>
    <s v="SI"/>
    <x v="2"/>
    <n v="1"/>
    <n v="0.85"/>
    <n v="0.15000000000000002"/>
    <n v="0.85"/>
    <d v="2025-04-14T00:00:00"/>
    <d v="2025-04-14T00:00:00"/>
    <d v="2025-08-21T00:00:00"/>
    <d v="2025-08-23T00:00:00"/>
    <d v="2025-09-02T00:00:00"/>
    <d v="2026-02-19T00:00:00"/>
    <d v="2026-03-27T00:00:00"/>
    <n v="91"/>
    <n v="1"/>
    <n v="200"/>
    <m/>
    <x v="5"/>
    <n v="0"/>
    <n v="91"/>
    <n v="0"/>
    <n v="728"/>
    <n v="0"/>
    <x v="4"/>
    <x v="0"/>
    <s v="18/03: Se coordinará su fecha de pase a producción._x000a_Está amarrado al 711, 708 y 712."/>
    <x v="1"/>
    <m/>
  </r>
  <r>
    <s v="M0245"/>
    <n v="1827"/>
    <x v="0"/>
    <s v="2023-T0793"/>
    <s v="2023-M0701"/>
    <s v="Mejora en el proceso de conciliación de operaciones visa (punto 4): Nuevos reportes reemplazo REPVISA  - Parte OPEN"/>
    <s v="Mejora en el proceso de conciliación de las operaciones VISA"/>
    <x v="2"/>
    <s v="Canales Alternos"/>
    <s v="Canales Virtuales"/>
    <d v="2023-08-15T00:00:00"/>
    <s v="MEMORANDO N° 00000452 - 2023-BN/3252"/>
    <s v="BNDA-Data Analítica BN"/>
    <s v="VISA"/>
    <x v="7"/>
    <s v="Cuenta de Ahorros"/>
    <s v="No aplica"/>
    <x v="0"/>
    <m/>
    <s v="SBS"/>
    <s v="06-2023-DSBE"/>
    <s v="Informe de Inspección"/>
    <s v="N° 27"/>
    <s v="27.f"/>
    <d v="2024-12-31T00:00:00"/>
    <s v="Normal"/>
    <d v="2023-12-11T00:00:00"/>
    <s v="Sistemas Administrativos"/>
    <s v="FS-Indra"/>
    <s v="Emerson Quecara Choquetico"/>
    <s v="Omar Sarmiento"/>
    <x v="1"/>
    <x v="1"/>
    <x v="0"/>
    <d v="2023-12-29T00:00:00"/>
    <m/>
    <d v="2025-05-21T00:00:00"/>
    <d v="2025-07-21T00:00:00"/>
    <d v="2025-01-20T00:00:00"/>
    <d v="2025-07-23T00:00:00"/>
    <d v="2025-10-01T00:00:00"/>
    <d v="2024-12-02T14:24:00"/>
    <d v="2026-03-10T00:00:00"/>
    <d v="2026-04-13T00:00:00"/>
    <d v="2024-12-09T14:24:00"/>
    <s v="15/04/26: Según CQ, actualizó el estado a 08. Producción Finalizada_x000a_19/03/26: Según CQ, actualizó el estado a 06. Calidad Finalizado_x000a_10/03/26: Según CQ, actualizó el estado a 07. En Despliegue_x000a_26/02/2026 Se coordinó por correo para que producción reciba el apoyo de emerson e inciar el despliegue_x000a_30/12/2025: Cartera reasignada a Omar Sarmiento_x000a_02/10/25: Según CQ, actualizó el estado a 06. Calidad Finalizado_x000a_24/07/25: Según CQ, actualizó el estado a 05. En Calidad_x000a_16/04/25: Según CQ, actualizó el estado a 03. En Desarrollo_x000a_03/02/25: Según CQ, actualizó el estado a 05. En Calidad_x000a_23/01/25: Según CQ, actualizó el estado a 04. Desarrollo Finalizado_x000a_15/01/25: Emerson Q. informó que remitió el acta para firma de usuaria. Usuaria envío ese dia el acta firmada._x000a_13/01/2025: Fredy C. indicó que las pruebas se realizaron con los datos de Producción, solamante falta la aprobación del usuario, el BN  debe decidir si pasa a Certificación o a Producción directamente._x000a_02/01/25: Según lo coordinado con Cumplimiento Normativo el 12/12/24, se modifica la categoría de Recomendación a Evolutivo_x000a_21/11/2024: FC indica que se estan haciendo pruebas con la información de Producción con la Usuaria Xenia Solis_x000a_17/09/2024: Emerson Quecara comunica que necesita que Sistemas Bancarios le remita uno archivo para realizar pruebas con los usuarios_x000a_27/08/24: Maribel Medina confirma que este mantenimiento se encuentra en Desarrollo y esta  próximo a  pasar a Calidad_x000a_15/08/24: Según CQ, actualizó el estado a 01. Registrado_x000a_13/08/2024: Mediante correo la Secc. Administrativa comunica que se encuentra paralizado por tener dependencia con el 2024-M0298 Mejora en el proceso de conciliación de operaciones visa (punto 4): Nuevos reportes reemplazo REPVISA – Parte Host._x000a_07/08/24: Según CQ, actualizó el estado a 01. Registrado_x000a_02/07/2024: Se reitera pedido de fecha de implementación a Sist. Admins._x000a_17/05/2024: Se solicita a Irina la planificación del RQ, sin respuesta aun_x000a_10/04/2024: El 05Abr24 D Coca confirma a fábrica la inf. de Visa. Pendiente de planificación por parte de fábrica_x000a_26/03/2024: Se realizó reunión el 21Mar24 donde se acordó la entrega delos sgtes puntos: (1) Entrega de Fuentes por Paul Alminagorta (2) 2-_x0009_Revisar conexión a Base de datos (Oracle) y confirmar la habilitación de la BD - Jorge Mora (3) Inicio de revisión de documentación / fuentes _x000a_14/03/2024: Se actualiza el Lider técnico de acuerdo a lista de FS INdra_x000a_20/02/2023: David Coca confirma por correo que no tiene disponibilidad de equipo hasta la 1era semana de marzo. Se reitera el pedido. Martin Nicho reitera solicitud de fecha de implementac._x000a_22/01/2024: Se envia correo a David Coca solicitando fechas de planificación. H Zevallos reconfirma a David Coca_x000a_15/01/2024: Se confirma con D. Coca el N° cq 2023-M0701_x000a_12/01/2024: Reunión BDigital: C Vventocilla solicitó que se cambiara la categoria de Evolutivo a Correctivo_x000a_13/12/2023: COMITÉ DEMANDA PRIORIZACION: Requerimiento aprobado_x000a_08/11/2023: Se consulta a  David Coca si el RQ se encuentra en proceso de atención, y confirma que ha solicitado apoyo para los extractores que se tendria que desarrollar con analista de Sistemas Bancarios. Pendiente de confirmar CQ_x000a_08/11/2023: Reunión con Maria Jesus Medrano: Se acuerda que este requerimiento solo contemplará el punto 4, puesto que el 2 corresponde al RQ con ID 1515 y el 1 y 3 corresponde al ID 1736._x000a_NOTA: Dependencia del trámite 2023-T0793"/>
    <s v="B.Digital"/>
    <s v="CanalesAlternos"/>
    <s v="2023-08"/>
    <s v="2023-12"/>
    <s v="2025-07"/>
    <x v="1"/>
    <s v="2024-12"/>
    <s v="Entregado"/>
    <d v="2024-05-02T00:00:00"/>
    <d v="2025-01-20T00:00:00"/>
    <d v="2025-09-30T00:00:00"/>
    <d v="2023-12-11T00:00:00"/>
    <s v="2023-IV"/>
    <n v="327"/>
    <n v="10.9"/>
    <m/>
    <s v="Finalizada"/>
    <x v="1"/>
    <d v="2026-04-13T22:48:31"/>
    <x v="0"/>
    <m/>
    <m/>
    <s v="Culminado"/>
    <s v="BackOffice"/>
    <s v="Otros Requerimientos"/>
    <d v="2025-05-01T00:00:00"/>
    <d v="2025-05-01T00:00:00"/>
    <m/>
    <d v="2026-04-13T00:00:00"/>
    <s v="Culminado"/>
    <s v="Abr 2026"/>
    <n v="2025"/>
    <x v="1"/>
    <s v="Visa"/>
    <n v="1"/>
    <s v="PRE"/>
    <s v="NO"/>
    <s v="06. Calidad Finalizado"/>
    <s v="No aplica"/>
    <x v="1"/>
    <n v="1"/>
    <n v="1"/>
    <n v="0"/>
    <n v="1"/>
    <d v="2025-05-21T00:00:00"/>
    <d v="2025-05-21T00:00:00"/>
    <d v="2025-07-21T00:00:00"/>
    <d v="2025-07-23T00:00:00"/>
    <d v="2025-10-03T00:00:00"/>
    <d v="2026-03-02T00:00:00"/>
    <d v="2026-03-30T00:00:00"/>
    <n v="44"/>
    <n v="1"/>
    <n v="200"/>
    <m/>
    <x v="1"/>
    <n v="0"/>
    <n v="44"/>
    <n v="0"/>
    <n v="352"/>
    <n v="0"/>
    <x v="4"/>
    <x v="0"/>
    <m/>
    <x v="0"/>
    <m/>
  </r>
  <r>
    <s v="M0317"/>
    <n v="2102"/>
    <x v="0"/>
    <s v="2024-T0046"/>
    <s v="2024-M0071"/>
    <s v="Cheques de Gerencia - Facturación Electrónica"/>
    <s v="Incorporación de campos en la Txn 5500 y elaboración de un reporte donde se capturen los datos de la Emisión de cheques de gerencia"/>
    <x v="0"/>
    <s v="Servicios Bancarios y Recaudación"/>
    <s v="Recaudación y Corresponsalía"/>
    <d v="2024-03-15T00:00:00"/>
    <m/>
    <s v="CGME-Cheques de Gerencia ME."/>
    <s v="Facturación Electrónica - I"/>
    <x v="2"/>
    <s v="No Aplica"/>
    <s v="No aplica"/>
    <x v="0"/>
    <m/>
    <s v="SUNAT"/>
    <s v="No Aplica"/>
    <s v="No Aplica"/>
    <s v="No Aplica"/>
    <s v="No Aplica"/>
    <s v="No Aplica"/>
    <s v="Heredado"/>
    <d v="2023-09-30T00:00:00"/>
    <s v="Sistemas Bancarios"/>
    <s v="FS-Indra"/>
    <s v="María Eva Alfaro Apaza"/>
    <s v="Juan Carlos Zavaleta"/>
    <x v="1"/>
    <x v="1"/>
    <x v="0"/>
    <d v="2024-01-23T00:00:00"/>
    <m/>
    <d v="2024-02-07T00:00:00"/>
    <d v="2025-08-21T00:00:00"/>
    <d v="2025-06-24T00:00:00"/>
    <d v="2025-10-01T00:00:00"/>
    <d v="2025-10-03T00:00:00"/>
    <d v="2026-01-11T04:48:00"/>
    <d v="2026-03-09T00:00:00"/>
    <d v="2026-03-09T00:00:00"/>
    <d v="2026-01-18T04:48:00"/>
    <s v="09/03/26: Según CQ, actualizó el estado a 08. Producción Finalizada_x000a_03/10/25: Según CQ, actualizó el estado a 06. Calidad Finalizado_x000a_25/08/25: Según CQ, actualizó el estado a 05. En Calidad_x000a_22/08/25: Según CQ, actualizó el estado a 04. Desarrollo Finalizado_x000a_17/06/2025: Se cambia de gestor de TI de Omar S. a Juan Carlos Z._x000a_06/02/2024: El requerimiento se registra debido a que pertenece al proyecto de Fact. Electrónica_x000a_NOTA: Dependencia del RQ con ID Histórico 941"/>
    <s v="Operac."/>
    <s v="BancariosRecaudación"/>
    <s v="2024-03"/>
    <s v="2023-09"/>
    <s v="2025-08"/>
    <x v="2"/>
    <s v="2026-01"/>
    <s v="Entregado"/>
    <d v="2024-10-18T00:00:00"/>
    <d v="2025-06-24T00:00:00"/>
    <d v="2025-06-24T00:00:00"/>
    <d v="2023-09-30T00:00:00"/>
    <s v="2024-I"/>
    <n v="761"/>
    <n v="25.366666666666667"/>
    <m/>
    <s v="Finalizada"/>
    <x v="1"/>
    <d v="2026-03-09T08:49:56"/>
    <x v="0"/>
    <m/>
    <m/>
    <s v="Culminado"/>
    <s v="BackOffice"/>
    <s v="Otros Requerimientos"/>
    <d v="2025-05-01T00:00:00"/>
    <d v="2025-05-01T00:00:00"/>
    <s v="Culmina el desarrollo 20 de marzo"/>
    <d v="2026-03-09T00:00:00"/>
    <s v="Culminado"/>
    <s v="Mar 2026"/>
    <n v="2025"/>
    <x v="1"/>
    <m/>
    <n v="1"/>
    <s v="PRE"/>
    <s v="NO"/>
    <s v="06. Calidad Finalizado"/>
    <s v="No aplica"/>
    <x v="1"/>
    <n v="1"/>
    <n v="1"/>
    <n v="0"/>
    <n v="1"/>
    <d v="2024-02-07T00:00:00"/>
    <d v="2024-02-07T00:00:00"/>
    <d v="2025-08-21T00:00:00"/>
    <d v="2025-10-01T00:00:00"/>
    <d v="2025-10-03T00:00:00"/>
    <d v="2026-02-19T00:00:00"/>
    <d v="2026-03-27T00:00:00"/>
    <n v="384"/>
    <n v="1"/>
    <n v="200"/>
    <m/>
    <x v="1"/>
    <n v="0"/>
    <n v="384"/>
    <n v="0"/>
    <n v="3072"/>
    <n v="0"/>
    <x v="4"/>
    <x v="0"/>
    <m/>
    <x v="0"/>
    <m/>
  </r>
  <r>
    <s v="M0337"/>
    <n v="2011"/>
    <x v="0"/>
    <s v="2024-T0071"/>
    <s v="2024-M0315"/>
    <s v="Modificación de programas y hojas de trabajo del Anexo 5 y RCD aplicando los criterios de cálculo de las Provisiones Procíclicas por producto."/>
    <s v="Actualmente las provisiones procíclicas están desactivadas desde el 2014. Existen cuentas contables_x000a_de provisiones procíclicas que presentan saldo (se adjunta saldos a junio 2023). Lo que se necesita es_x000a_actualizar o agregar nuevas cuentas contables de provisiones procíclicas. Los saldos de las cuentas_x000a_contables de provisiones procíclicas se deben mostrar en el Reporte RCD Previo , RCD Final que es_x000a_enviado a la SBS y Anexo 5 previo y final."/>
    <x v="7"/>
    <s v="Riesgos Crediticios y Financieros"/>
    <s v="Evaluación de_x000a_Cartera de Créditos"/>
    <d v="2023-08-29T00:00:00"/>
    <s v="MEMORANDO N° 00000018 -_x000a_2023-BN/2191"/>
    <s v="COBD-Contabilidad-RCD"/>
    <m/>
    <x v="1"/>
    <s v="No Aplica"/>
    <s v="No aplica"/>
    <x v="2"/>
    <s v="Normativo"/>
    <s v="SBS"/>
    <s v="Resolución SBS N° 03718-2021"/>
    <m/>
    <m/>
    <m/>
    <d v="2024-06-30T00:00:00"/>
    <s v="Normal"/>
    <d v="2024-02-16T00:00:00"/>
    <s v="Sistemas Bancarios"/>
    <s v="FS-Indra"/>
    <s v="Andrés Quiñones Gonzales"/>
    <s v="Maria Barboza"/>
    <x v="6"/>
    <x v="4"/>
    <x v="2"/>
    <d v="2024-02-02T00:00:00"/>
    <m/>
    <d v="2026-02-26T00:00:00"/>
    <d v="2026-04-07T00:00:00"/>
    <m/>
    <d v="2026-04-20T00:00:00"/>
    <d v="2026-04-22T00:00:00"/>
    <d v="2026-04-23T00:00:00"/>
    <m/>
    <m/>
    <d v="2026-04-30T00:00:00"/>
    <s v="24/04/26: Según CQ, actualizó el estado a 06. Calidad Finalizado_x000a_22/04/26: Según CQ, actualizó el estado a 05. En Calidad_x000a_10/04/26: Según CQ, actualizó el estado a 04. Desarrollo Finalizado_x000a_19/02/26: Según CQ, actualizó el estado a 03. En Desarrollo_x000a_11/02/26: Según CQ, actualizó el estado a 05. En Calidad_x000a_19/01/2025: Cartera reasignada a Maria Barboza_x000a_05/09/2025: Cartera reasignada a Milagros Huamani_x000a_11/08/2025: Cartera reasignada a Percy Silva_x000a_20/01/2025 Cartera reasignada a Omar Sarmiento_x000a_18/11/24: Según CQ, actualizó el estado a 06. Calidad Finalizado_x000a_14/10/24: Según CQ, actualizó el estado a 05. En Calidad_x000a_30/09/24: Según CQ, actualizó el estado a 04. Desarrollo Finalizado_x000a_28/08/24: Según CQ, actualizó el estado a 03. En Desarrollo_x000a_02/07/24 El usuario de riesgos remitió los documentos solicitados en reunion del 21/06, la misma que se encuentran en revisiond e fábrica._x000a_21/06/2024 Se cambió el recurso asignado de Analista-BN a FS-Indra, se sostuvo reunión de entendimiento con Fábrica donde se evidencio que no están las cuentas contables y el flujo definido para el nuevo cálculo de las provisiones procíclicas, la cual serían remitidas para el 27/06._x000a_16/02/2024: COMITE EXCPECIONAL: Se realiza su priorización_x000a_Pendiente generar mantenimiento"/>
    <s v="Riesgos"/>
    <s v="CrediticiosFinancieros"/>
    <s v="2023-08"/>
    <s v="2024-02"/>
    <s v="2026-04"/>
    <x v="0"/>
    <s v="2026-04"/>
    <s v="Finalizado"/>
    <d v="2024-06-10T00:00:00"/>
    <d v="2024-09-30T00:00:00"/>
    <d v="2024-09-30T00:00:00"/>
    <d v="2024-02-16T00:00:00"/>
    <s v="2024-I"/>
    <s v="Sin Fecha Fin Producción"/>
    <s v="No Aplica"/>
    <m/>
    <s v="Finalizada"/>
    <x v="7"/>
    <d v="2026-04-22T14:58:08"/>
    <x v="0"/>
    <m/>
    <m/>
    <s v="Vencida"/>
    <s v="BackOffice"/>
    <s v="Otros Requerimientos"/>
    <d v="2025-02-01T00:00:00"/>
    <d v="2025-02-01T00:00:00"/>
    <m/>
    <d v="2025-02-28T00:00:00"/>
    <s v="Vencida"/>
    <s v="Feb 2025"/>
    <m/>
    <x v="2"/>
    <m/>
    <n v="0.85"/>
    <s v="PRE"/>
    <s v="NO"/>
    <s v="06. Calidad Finalizado"/>
    <s v="SI"/>
    <x v="2"/>
    <n v="0.9"/>
    <n v="0.85"/>
    <n v="5.0000000000000044E-2"/>
    <n v="0.94444444444444442"/>
    <d v="2026-02-26T00:00:00"/>
    <d v="2026-03-02T00:00:00"/>
    <d v="2026-04-07T00:00:00"/>
    <d v="2026-04-07T00:00:00"/>
    <d v="2026-04-17T00:00:00"/>
    <d v="2026-04-20T00:00:00"/>
    <d v="2026-05-18T00:00:00"/>
    <n v="27"/>
    <n v="1"/>
    <n v="200"/>
    <m/>
    <x v="5"/>
    <n v="0"/>
    <n v="27"/>
    <n v="0"/>
    <n v="216"/>
    <n v="0"/>
    <x v="8"/>
    <x v="0"/>
    <m/>
    <x v="3"/>
    <m/>
  </r>
  <r>
    <s v="M0387"/>
    <n v="2074"/>
    <x v="0"/>
    <s v="2024-T0150"/>
    <s v="2024-M0146"/>
    <s v="ME: Generación de Clave de Internet y Afiliación a la Clave Dinámica Digital (CDD) en el Canal Banca Móvil (Biometría Facial)"/>
    <s v="Poner a disposición del cliente la funcionalidad de Afiliación a la Clave Dinámica Digital desde la APP BN integrado al proceso de Generación de Clave de Internet, eliminando la necesidad actual de acudir a una Agencia para validar la identidad del cliente y autorizar la afiliación"/>
    <x v="2"/>
    <s v="Canales Alternos"/>
    <s v="Canales Virtuales"/>
    <d v="2024-01-18T00:00:00"/>
    <s v="MEMORANDO N° 00000270 - 2024-BN/3252"/>
    <s v="SABM - Sistema Atencion Banca Movil"/>
    <s v="MV/APP"/>
    <x v="8"/>
    <s v="Cuenta de Ahorros"/>
    <s v="No aplica"/>
    <x v="0"/>
    <m/>
    <m/>
    <m/>
    <m/>
    <m/>
    <m/>
    <m/>
    <s v="Normal"/>
    <d v="2024-03-20T00:00:00"/>
    <s v="Soluciones Digitales"/>
    <s v="FS-Indra"/>
    <s v="Marilu Cordova Quispe"/>
    <s v="Omar Sarmiento"/>
    <x v="6"/>
    <x v="4"/>
    <x v="0"/>
    <d v="2024-02-29T00:00:00"/>
    <m/>
    <d v="2025-12-23T00:00:00"/>
    <d v="2025-12-23T00:00:00"/>
    <d v="2025-07-22T00:00:00"/>
    <d v="2026-01-07T00:00:00"/>
    <d v="2026-03-17T00:00:00"/>
    <d v="2025-05-21T09:36:00"/>
    <m/>
    <m/>
    <d v="2025-05-28T09:36:00"/>
    <s v="18/03/26: Según CQ, actualizó el estado a 06. Calidad Finalizado_x000a_12/01/26: Según CQ, actualizó el estado a 05. En Calidad_x000a_12/01/26: Según CQ, actualizó el estado a 04. Desarrollo Finalizado_x000a_08/01/26: Según CQ, actualizó el estado a 05. En Calidad_x000a_30/12/2025: Cartera reasignada a Omar Sarmiento_x000a_24/12/25: Según CQ, actualizó el estado a 04. Desarrollo Finalizado_x000a_01/12/25: Según CQ, actualizó el estado a 03. En Desarrollo_x000a_30/10/25: Según CQ, actualizó el estado a 06. Calidad Finalizado_x000a_30/07/25: Según CQ, actualizó el estado a 05. En Calidad_x000a_24/07/25: Según CQ, actualizó el estado a 04. Desarrollo Finalizado_x000a_23/04/25: Se coordinó con el líder técnico y se estableció como fecha de compromiso el mes de julio._x000a_07/08/24: Según CQ, actualizó el estado a 03. En Desarrollo_x000a_26/04/2024: Se confirma la recepción del _x000a_MEMORANDO N° 00000270 - 2024-BN/3252 enviado a la OPP el 25/04/2024._x000a_Ell MEMORANDO  00052-2024-BN/3252 _x000a_fue devuelto por Construcción el 29Ene._x000a_25/03/2024: COMITE EXCPECIONAL: Se realiza su priorización_x000a_20/03/24 Todavia no ha iniciado por disponibilidad de recursos. Se viene atendiendo de acuerdo al orden de atencion dada por el usuario. Indra y externos._x000a_01/03/2024: Se actualiza el N° TD de 2024-T0149 a  2024-T0150_x000a_29/02/2023: Registrado en la demanda integral. Pendiente de regularizar firmas del anexo de acuerdo a directiva y pendiente de envío del memo a la OPP. Priorizado por GG y GTI."/>
    <s v="B.Digital"/>
    <s v="CanalesAlternos"/>
    <s v="2024-01"/>
    <s v="2024-03"/>
    <s v="2025-12"/>
    <x v="0"/>
    <s v="2025-05"/>
    <s v="Entregado"/>
    <d v="2024-03-17T00:00:00"/>
    <d v="2025-07-22T00:00:00"/>
    <d v="2025-09-25T00:00:00"/>
    <d v="2024-03-20T00:00:00"/>
    <s v="2024-I"/>
    <s v="Sin Fecha Fin Producción"/>
    <s v="No Aplica"/>
    <s v="ID 47"/>
    <s v="Finalizada,Finalizada"/>
    <x v="7"/>
    <d v="2026-04-23T11:14:43"/>
    <x v="0"/>
    <m/>
    <m/>
    <s v="Vencida"/>
    <s v="Banca Movil"/>
    <s v="Canales Virtuales"/>
    <d v="2025-07-01T00:00:00"/>
    <d v="2025-07-01T00:00:00"/>
    <s v="Activar en CQ"/>
    <d v="2025-07-31T00:00:00"/>
    <s v="Vencida"/>
    <s v="Jul 2025"/>
    <n v="2025"/>
    <x v="2"/>
    <s v="APP/Web"/>
    <n v="0.85"/>
    <s v="PRE"/>
    <s v="NO"/>
    <s v="05. En Calidad"/>
    <s v="SI"/>
    <x v="2"/>
    <n v="1"/>
    <n v="0.85"/>
    <n v="0.15000000000000002"/>
    <n v="0.85"/>
    <d v="2025-12-23T00:00:00"/>
    <d v="2025-12-23T00:00:00"/>
    <d v="2025-12-23T00:00:00"/>
    <d v="2026-01-07T00:00:00"/>
    <d v="2026-03-19T00:00:00"/>
    <d v="2026-03-20T00:00:00"/>
    <d v="2026-03-31T00:00:00"/>
    <n v="1"/>
    <n v="1"/>
    <n v="200"/>
    <s v="BD"/>
    <x v="5"/>
    <n v="0"/>
    <n v="1"/>
    <n v="0"/>
    <n v="8"/>
    <n v="0"/>
    <x v="4"/>
    <x v="0"/>
    <s v="-Sólo está Pendiente de la actividad por parte de las subgerencias  el mecanismo de despliegue._x000a_-Por la migración de los microservicios a OpenShift, es necesario establecer el mecanismo de despliegue en esta plataforma en los 3 ambientes. La SubGerencia de producción coordinara con las otras Subgerencias._x000a__x000a_-El área de seguridad se reunirá con calidad para revisar las vulnerabilidades"/>
    <x v="2"/>
    <m/>
  </r>
  <r>
    <s v="M0389"/>
    <n v="2076"/>
    <x v="0"/>
    <s v="2024-T0152"/>
    <s v="2024-M0146"/>
    <s v="Mostrar de manera separada la información de las transferencias por contacto y CCI en los resúmenes operativos del monitor web de consultas"/>
    <s v="En los resúmenes operativos del monitor web de consultas de las transacciones en el App BN y Multired Virtual debe mostrarse de manera separada la información de las transferencias por contacto y CCI"/>
    <x v="2"/>
    <s v="Canales Alternos"/>
    <s v="Canales Virtuales"/>
    <d v="2024-02-29T00:00:00"/>
    <s v="MEMORANDO N° 00000109 - 2024-BN/3252"/>
    <s v="SABM - Sistema Atencion Banca Movil"/>
    <s v="MV/APP"/>
    <x v="8"/>
    <s v="Cuenta de Ahorros"/>
    <s v="No aplica"/>
    <x v="0"/>
    <m/>
    <m/>
    <m/>
    <m/>
    <m/>
    <m/>
    <m/>
    <s v="Normal"/>
    <d v="2024-03-20T00:00:00"/>
    <s v="Soluciones Digitales"/>
    <s v="FS-Indra"/>
    <s v="Marilu Cordova Quispe"/>
    <s v="Omar Sarmiento"/>
    <x v="6"/>
    <x v="4"/>
    <x v="0"/>
    <d v="2024-02-29T00:00:00"/>
    <m/>
    <d v="2025-12-23T00:00:00"/>
    <d v="2025-12-23T00:00:00"/>
    <d v="2025-07-22T00:00:00"/>
    <d v="2026-01-07T00:00:00"/>
    <d v="2026-03-17T00:00:00"/>
    <d v="2025-05-21T09:36:00"/>
    <m/>
    <m/>
    <d v="2025-05-28T09:36:00"/>
    <s v="18/03/26: Según CQ, actualizó el estado a 06. Calidad Finalizado_x000a_12/01/26: Según CQ, actualizó el estado a 05. En Calidad_x000a_12/01/26: Según CQ, actualizó el estado a 04. Desarrollo Finalizado_x000a_08/01/26: Según CQ, actualizó el estado a 05. En Calidad_x000a_30/12/2025: Cartera reasignada a Omar Sarmiento_x000a_24/12/25: Según CQ, actualizó el estado a 04. Desarrollo Finalizado_x000a_01/12/25: Según CQ, actualizó el estado a 03. En Desarrollo_x000a_30/10/25: Según CQ, actualizó el estado a 06. Calidad Finalizado_x000a_30/07/25: Según CQ, actualizó el estado a 05. En Calidad_x000a_24/07/25: Según CQ, actualizó el estado a 04. Desarrollo Finalizado_x000a_23/04/25: Se coordinó con el líder técnico y se estableció como fecha de compromiso el mes de julio._x000a_07/08/24: Según CQ, actualizó el estado a 03. En Desarrollo_x000a_21/06/2024 Se cambió el recurso asignado de Analista-BN a FS-Indra_x000a_02/05/2024: Se confirma asignación de N° Mant al TD_x000a_24/04/2024: Se solicitó a Construcción asociar el N° TD con el N° de mantenimiento confirmado._x000a_26/03/2024: Construcción confirmó el N° de CQ asociado_x000a_25/03/2024: COMITE EXCPECIONAL: Se realiza su priorización_x000a_20/03/24 Esta en proceso dentro del paquete de UX (ID 2074)_x000a_29/02/2024: Registrado en la demanda integral. Pendiente de firma de Anexo 2 según directiva y pendiente de enviar memo a la OPP_x000a_01/03/2024: Memorando derivado a Construcción"/>
    <s v="B.Digital"/>
    <s v="CanalesAlternos"/>
    <s v="2024-02"/>
    <s v="2024-03"/>
    <s v="2025-12"/>
    <x v="0"/>
    <s v="2025-05"/>
    <s v="Entregado"/>
    <d v="2024-03-17T00:00:00"/>
    <d v="2025-07-22T00:00:00"/>
    <d v="2025-09-25T00:00:00"/>
    <d v="2024-03-20T00:00:00"/>
    <s v="2024-I"/>
    <s v="Sin Fecha Fin Producción"/>
    <s v="No Aplica"/>
    <m/>
    <s v="Finalizada,Finalizada"/>
    <x v="7"/>
    <d v="2026-04-23T11:14:43"/>
    <x v="0"/>
    <m/>
    <m/>
    <s v="Vencida"/>
    <s v="Banca Movil"/>
    <s v="Canales Virtuales"/>
    <d v="2025-07-01T00:00:00"/>
    <d v="2025-07-01T00:00:00"/>
    <s v="Activar en CQ"/>
    <d v="2025-07-31T00:00:00"/>
    <s v="Vencida"/>
    <s v="Jul 2025"/>
    <n v="2025"/>
    <x v="2"/>
    <s v="APP/Web"/>
    <n v="0.85"/>
    <s v="PRE"/>
    <s v="NO"/>
    <s v="05. En Calidad"/>
    <s v="SI"/>
    <x v="2"/>
    <n v="1"/>
    <n v="0.85"/>
    <n v="0.15000000000000002"/>
    <n v="0.85"/>
    <d v="2025-12-23T00:00:00"/>
    <d v="2025-12-23T00:00:00"/>
    <d v="2025-12-23T00:00:00"/>
    <d v="2026-01-07T00:00:00"/>
    <d v="2026-03-19T00:00:00"/>
    <d v="2026-03-20T00:00:00"/>
    <d v="2026-03-31T00:00:00"/>
    <n v="1"/>
    <n v="1"/>
    <n v="200"/>
    <s v="BD"/>
    <x v="5"/>
    <n v="0"/>
    <n v="1"/>
    <n v="0"/>
    <n v="8"/>
    <n v="0"/>
    <x v="4"/>
    <x v="0"/>
    <s v="-Sólo está Pendiente de la actividad por parte de las subgerencias  el mecanismo de despliegue._x000a_-Por la migración de los microservicios a OpenShift, es necesario establecer el mecanismo de despliegue en esta plataforma en los 3 ambientes. La SubGerencia de producción coordinara con las otras Subgerencias._x000a__x000a_-El área de seguridad se reunirá con calidad para revisar las vulnerabilidades"/>
    <x v="2"/>
    <m/>
  </r>
  <r>
    <s v="M0398"/>
    <n v="2086"/>
    <x v="0"/>
    <s v="2024-T0168"/>
    <s v="2024-M0494"/>
    <s v="MN: Migración de producto para TC entre bines Clásico, Gold y Platinum"/>
    <s v="Se requiere implementar la funcionalidad de cambio de producto entre las tarjetas de créditos personales Clásicas, Gold y Platinum, es decir que puedan pasar de un BIM a otro, transfiriendo todos sus datos administrativos y financieros."/>
    <x v="1"/>
    <s v="Banca Personal"/>
    <s v="Tarjeta de Crédito"/>
    <d v="2024-02-27T00:00:00"/>
    <s v="MEMORANDO N° 00000047 - 2024-BN/3340"/>
    <s v="SITC – Tarjeta de Crédito"/>
    <m/>
    <x v="2"/>
    <s v="Tarjeta de Crédito "/>
    <s v="No aplica"/>
    <x v="2"/>
    <s v="Normativo"/>
    <s v="SBS"/>
    <s v="Reglamento de Gestión de Conducta de MErcado del Sistema Financiero, Resolución SBS N° 3274-2017 y modificatorias a través de la Resolución SBS 1870-202 y Oficio N° 22607-2020-SBS"/>
    <m/>
    <m/>
    <m/>
    <d v="2024-06-30T00:00:00"/>
    <s v="Normal"/>
    <d v="2024-03-20T00:00:00"/>
    <s v="Sistemas Bancarios"/>
    <s v="FS-Olssa"/>
    <s v="Maribel Marlene Medina Molina"/>
    <s v="Milagros Huamani"/>
    <x v="4"/>
    <x v="4"/>
    <x v="0"/>
    <d v="2024-03-04T00:00:00"/>
    <m/>
    <d v="2024-03-20T00:00:00"/>
    <d v="2024-06-28T00:00:00"/>
    <m/>
    <d v="2024-09-18T00:00:00"/>
    <d v="2025-02-11T00:00:00"/>
    <d v="2024-08-07T00:00:00"/>
    <d v="2025-11-11T00:00:00"/>
    <m/>
    <d v="2024-08-14T00:00:00"/>
    <s v="13/11/25: Según CQ, actualizó el estado a 07. En Despliegue_x000a_22/10/25: Según CQ, actualizó el estado a 03. En Desarrollo_x000a_11/09/25: Según CQ, actualizó el estado a 05. En Calidad_x000a_04/09/25: Según CQ, actualizó el estado a 04. Desarrollo Finalizado_x000a_24/07/25: Según CQ, actualizó el estado a 03. En Desarrollo_x000a_10/02/25: Pospuesto en CQ. El recurso está atendiendo Tarjeta Tesoro._x000a_06/02/25: Según CQ, actualizó el estado a 10. Paralizado_x000a_28/11/24: Según CQ, actualizó el estado a 03. En Desarrollo_x000a_25/11/24: Según CQ, actualizó el estado a 03. En Desarrollo_x000a_21/11/2024 : PE indico que se atenderá en Febrero por Fab Olssa pero primero se debe culminar con el mantenimiento Tarjeta de Crédito_x000a_17/10/2024: PE indico que se derivará a Fab. Olssa en diciembre y sera coordinado por PE_x000a_26/09/24: Según CQ, actualizó el estado a 03. En Desarrollo_x000a_23/09/2024: Se asigna a Fabrica su atención_x000a_25/03/2024: COMITE EXCPECIONAL: Se realiza su priorización_x000a_20/03/24 Se atenderá a partir de junio24."/>
    <s v="Productos"/>
    <s v="BancaPersonal"/>
    <s v="2024-02"/>
    <s v="2024-03"/>
    <s v="2024-06"/>
    <x v="0"/>
    <s v="2024-08"/>
    <m/>
    <m/>
    <m/>
    <m/>
    <d v="2024-03-20T00:00:00"/>
    <s v="2024-I"/>
    <s v="Sin Fecha Fin Producción"/>
    <s v="No Aplica"/>
    <m/>
    <s v="Finalizada"/>
    <x v="8"/>
    <d v="2026-02-26T12:24:19"/>
    <x v="0"/>
    <m/>
    <m/>
    <s v="Vencida"/>
    <s v="Tarjeta Tesoro"/>
    <s v="Productos"/>
    <s v="Pordefinir"/>
    <m/>
    <s v="01/04/25 Se activará en CQ, será derivado a Olssa. y se coordinará con Izipay._x000a_El recurso está atendiendo Tarjeta Tesoro."/>
    <s v=""/>
    <s v="Sin Fecha"/>
    <s v="No definido"/>
    <n v="2025"/>
    <x v="2"/>
    <m/>
    <n v="0.9"/>
    <s v="PRE"/>
    <s v="NO"/>
    <s v="03. En Desarrollo"/>
    <s v="SI"/>
    <x v="2"/>
    <n v="1"/>
    <n v="0.9"/>
    <n v="9.9999999999999978E-2"/>
    <n v="0.9"/>
    <d v="2024-03-20T00:00:00"/>
    <d v="2024-03-20T00:00:00"/>
    <d v="2024-06-28T00:00:00"/>
    <d v="2024-09-18T00:00:00"/>
    <d v="2025-02-11T00:00:00"/>
    <d v="2025-11-11T00:00:00"/>
    <d v="2026-03-27T00:00:00"/>
    <n v="72"/>
    <n v="1"/>
    <n v="200"/>
    <m/>
    <x v="4"/>
    <n v="0"/>
    <n v="72"/>
    <n v="0"/>
    <n v="576"/>
    <n v="0"/>
    <x v="4"/>
    <x v="0"/>
    <s v="17/03/26:Están diciendo que se necesita confirmación de jefe de sección sist. bancarios; sin embargo, esto no es correcto ya que la confirmación ya se hizo anteriormente. Tomás se encargará."/>
    <x v="2"/>
    <m/>
  </r>
  <r>
    <s v="M0408"/>
    <n v="2097"/>
    <x v="0"/>
    <s v="2024-T0199"/>
    <s v="2024-M0175"/>
    <s v="Pago electrónico de tributos municipales (SRTM)"/>
    <s v="MEF ha implementado el SRTM, por lo que solicita que el BN brinde el servicio de cobranza, a través de su canal Pasarela de Pagos, así como la acreditación respectiva de lo recaudado de los ingresos depositados en la CUT"/>
    <x v="0"/>
    <s v="Servicios Bancarios y Recaudación"/>
    <s v="Recaudación y Corresponsalía"/>
    <d v="2024-03-13T00:00:00"/>
    <s v=" MEMORANDO N° 00000063 - 2024-BN/3243 "/>
    <s v="SOMP – SISTEMA DE OPERACIONES MULTIPAGOS"/>
    <s v="MEF"/>
    <x v="9"/>
    <s v="No Aplica"/>
    <s v="No aplica"/>
    <x v="0"/>
    <m/>
    <s v="MEF"/>
    <s v="No Aplica"/>
    <s v="No Aplica"/>
    <s v="No Aplica"/>
    <s v="No Aplica"/>
    <s v="No Aplica"/>
    <s v="Normal"/>
    <d v="2024-03-20T00:00:00"/>
    <s v="Sistemas Bancarios"/>
    <s v="FS-Indra"/>
    <s v="Angela Rocio Risco Vega/Jorge Lucio Ruedas Fernandez"/>
    <s v="Junior Quicaño"/>
    <x v="5"/>
    <x v="4"/>
    <x v="0"/>
    <d v="2024-03-15T00:00:00"/>
    <m/>
    <m/>
    <m/>
    <d v="2025-03-11T00:00:00"/>
    <m/>
    <m/>
    <s v=""/>
    <m/>
    <m/>
    <s v=""/>
    <s v="12/03/26: Según CQ, actualizó el estado a 03. En Desarrollo_x000a_10/03/26: Según CQ, actualizó el estado a 05. En Calidad_x000a_05/03/26: Según CQ, actualizó el estado a 07. En Despliegue_x000a_30/01/26: Según CQ, actualizó el estado a 08. Producción Finalizada_x000a_28/01/26: Según CQ, actualizó el estado a 07. En Despliegue_x000a_24/07/25: Según CQ, actualizó el estado a 06. Calidad Finalizado_x000a_05/03/25: Según CQ, actualizó el estado a 05. En Calidad_x000a_27/02/25: Según CQ, actualizó el estado a 04. Desarrollo Finalizado_x000a_21/11/2024 Pendiente que MEF termine sus actividades de construcción para iniciar las pruebas Integrales en Desarrollo._x000a_28/08/24: Según CQ, actualizó el estado a 03. En Desarrollo_x000a_15/08/24: Según CQ, actualizó el estado a 02. En Planificación_x000a_07/08/24: Según CQ, actualizó el estado a 02. En Planificación_x000a_27/06/2024 Se encuentra en Proceso en Fábrica desde Marzo 2024_x000a_25/03/2024: COMITE EXCPECIONAL: Se realiza su priorización_x000a_20/03/24 Se generó el mantenimiento 2024-M0175_x000a_15/03/24 Es un requerimiento que debemos atender de manera URGENTE, es un pedido de MEF coordinado con GG."/>
    <s v="Operac."/>
    <s v="BancariosRecaudación"/>
    <s v="2024-03"/>
    <s v="2024-03"/>
    <s v="No definido"/>
    <x v="0"/>
    <s v="No definido"/>
    <s v="Finalizado"/>
    <d v="2024-03-21T00:00:00"/>
    <d v="2025-03-11T00:00:00"/>
    <d v="2025-03-11T00:00:00"/>
    <d v="2024-03-20T00:00:00"/>
    <s v="2024-I"/>
    <s v="Sin Fechas"/>
    <s v="No Aplica"/>
    <s v="ID 61"/>
    <s v="Finalizada,Finalizada"/>
    <x v="9"/>
    <d v="2026-03-12T08:49:07"/>
    <x v="0"/>
    <m/>
    <m/>
    <s v="Sin Fecha"/>
    <s v="Pagalo.pe"/>
    <s v="Canales Virtuales"/>
    <d v="2025-05-01T00:00:00"/>
    <d v="2025-05-01T00:00:00"/>
    <m/>
    <d v="2025-05-31T00:00:00"/>
    <s v="Vencida"/>
    <s v="May 2025"/>
    <m/>
    <x v="2"/>
    <s v="Págalo"/>
    <n v="0.45"/>
    <s v="PRE"/>
    <s v="NO"/>
    <s v="06. Calidad Finalizado"/>
    <s v="SI"/>
    <x v="2"/>
    <n v="0.99617590822179736"/>
    <n v="0.45"/>
    <n v="0.5461759082217974"/>
    <n v="0.45172744721689057"/>
    <d v="2024-03-15T00:00:00"/>
    <d v="2024-04-17T00:00:00"/>
    <d v="2025-04-24T00:00:00"/>
    <d v="2025-04-27T00:00:00"/>
    <d v="2025-05-16T00:00:00"/>
    <d v="2026-05-18T00:00:00"/>
    <d v="2026-05-22T00:00:00"/>
    <n v="252"/>
    <n v="1"/>
    <n v="1008"/>
    <m/>
    <x v="2"/>
    <n v="0"/>
    <n v="252"/>
    <n v="0"/>
    <n v="1008"/>
    <n v="0"/>
    <x v="8"/>
    <x v="0"/>
    <m/>
    <x v="0"/>
    <m/>
  </r>
  <r>
    <s v="M0423"/>
    <n v="2140"/>
    <x v="0"/>
    <s v="2024-T0204"/>
    <s v="2024-M0255"/>
    <s v="Mandatorio Abril 2024"/>
    <s v="Actualmente el BN no procesa los campos indicados en VISA en su guía del mandatorio abril 2024."/>
    <x v="2"/>
    <s v="Canales Alternos"/>
    <s v="Canales Virtuales"/>
    <d v="2024-03-18T00:00:00"/>
    <s v="MEMORANDO N° 00000205 - 2024-BN/3252"/>
    <s v="TMIN-Tarjeta Multired Interfaces"/>
    <s v="VISA"/>
    <x v="7"/>
    <s v="Cuenta de Ahorros"/>
    <s v="Cuenta de Ahorros"/>
    <x v="2"/>
    <s v="Normativo"/>
    <s v="VISA"/>
    <m/>
    <m/>
    <m/>
    <m/>
    <d v="2024-03-15T00:00:00"/>
    <s v="Normal"/>
    <d v="2024-03-20T00:00:00"/>
    <s v="Sistemas Bancarios"/>
    <s v="Analista-BN"/>
    <s v="Vladimir Ronald Cajavilca Cajavilca"/>
    <s v="Omar Sarmiento"/>
    <x v="3"/>
    <x v="3"/>
    <x v="1"/>
    <d v="2024-03-19T00:00:00"/>
    <m/>
    <d v="2024-05-03T00:00:00"/>
    <m/>
    <m/>
    <m/>
    <m/>
    <s v=""/>
    <m/>
    <m/>
    <s v=""/>
    <s v="04/02/2026: Cartera reasignada a Omar Sarmiento"/>
    <s v="B.Digital"/>
    <s v="CanalesAlternos"/>
    <s v="2024-03"/>
    <s v="2024-03"/>
    <s v="No definido"/>
    <x v="0"/>
    <s v="No definido"/>
    <m/>
    <m/>
    <m/>
    <m/>
    <d v="2024-03-20T00:00:00"/>
    <s v="2024-I"/>
    <s v="Sin Fecha Fin Producción"/>
    <s v="No Aplica"/>
    <s v="ID 63"/>
    <s v="Pospuesta"/>
    <x v="3"/>
    <d v="2025-11-27T15:27:37"/>
    <x v="0"/>
    <m/>
    <m/>
    <s v="Sin Fecha"/>
    <s v="ATM-Agentes-VISA"/>
    <s v="Canales Presenciales"/>
    <d v="2025-08-01T00:00:00"/>
    <d v="2025-08-01T00:00:00"/>
    <s v="13/02 Se atenderá con TDR"/>
    <d v="2025-08-31T00:00:00"/>
    <s v="Vencida"/>
    <s v="Ago 2025"/>
    <n v="2025"/>
    <x v="2"/>
    <s v="Visa"/>
    <n v="0.12"/>
    <s v="POST"/>
    <s v="REACTIVADO"/>
    <s v="Reactivo"/>
    <s v="No aplica"/>
    <x v="3"/>
    <s v=""/>
    <n v="0.12"/>
    <s v=""/>
    <s v=""/>
    <m/>
    <m/>
    <m/>
    <m/>
    <m/>
    <m/>
    <d v="2026-08-31T00:00:00"/>
    <n v="25"/>
    <n v="0.1"/>
    <n v="200"/>
    <m/>
    <x v="3"/>
    <n v="0.9"/>
    <n v="1"/>
    <n v="24"/>
    <n v="8"/>
    <n v="192"/>
    <x v="5"/>
    <x v="0"/>
    <m/>
    <x v="0"/>
    <m/>
  </r>
  <r>
    <s v="M0439"/>
    <n v="2008"/>
    <x v="0"/>
    <s v="2024-T0085"/>
    <s v="2024-M0252"/>
    <s v="Publicaciones Períodicas"/>
    <s v="Brindar información rápida de la carátula e índice de la publicación, para una vista general de los usuarios interesados como asesores de Presidencia, funcionarios y trabajadores en general."/>
    <x v="5"/>
    <s v="Desarrollo del Talento"/>
    <s v="Capacitación"/>
    <d v="2024-01-23T00:00:00"/>
    <s v="MEMORANDO N° 00000021 - 2024-BN/2334"/>
    <s v="BIBL-Gestión y Consulta de Biblioteca-BN"/>
    <m/>
    <x v="1"/>
    <s v="No Aplica"/>
    <s v="No aplica"/>
    <x v="0"/>
    <m/>
    <m/>
    <m/>
    <m/>
    <m/>
    <m/>
    <m/>
    <s v="Normal"/>
    <d v="2024-04-19T00:00:00"/>
    <s v="Sistemas Administrativos"/>
    <s v="FS-Olssa"/>
    <s v="Paul Alminagorta Cabezas"/>
    <s v="Juan Carlos Zavaleta"/>
    <x v="5"/>
    <x v="4"/>
    <x v="0"/>
    <d v="2024-02-09T00:00:00"/>
    <m/>
    <d v="2024-08-23T00:00:00"/>
    <m/>
    <d v="2025-08-29T00:00:00"/>
    <m/>
    <m/>
    <d v="2026-01-24T09:36:00"/>
    <m/>
    <m/>
    <d v="2026-01-31T09:36:00"/>
    <s v="13/04/2026 Supeditado a los recursos de fábrica_x000a_17/06/2025: Se cambia de gestor de TI de Omar S. a Juan Carlos Z._x000a_07/01/2025: Se cambia el Recurso Asignado a Analista-BN debido a que el estado de INDRA es Rechazado_x000a_19/09/24: Según CQ, actualizó el estado a 03. En Desarrollo_x000a_28/08/24: Según CQ, actualizó el estado a 02. En Planificación_x000a_24/06/2024: Se cambió 'Recurso-Asignado' de Analista-BN a  ' ' _x000a_&quot;18/04/24 Agendar reunion con el usuario para aclara alcance._x000a_19/03/24 Reunion con area usuaria para aclarar el alcance y generar el mantenimiento.&quot;"/>
    <s v="RRHH"/>
    <s v="DesarrolloTalento"/>
    <s v="2024-01"/>
    <s v="2024-04"/>
    <s v="No definido"/>
    <x v="0"/>
    <s v="2026-01"/>
    <s v="Rechazado"/>
    <d v="2024-11-25T00:00:00"/>
    <d v="2025-03-05T00:00:00"/>
    <m/>
    <d v="2024-04-19T00:00:00"/>
    <s v="2024-II"/>
    <s v="Sin Fecha Fin Producción"/>
    <s v="No Aplica"/>
    <s v="ID 13"/>
    <s v="Finalizada"/>
    <x v="5"/>
    <d v="2025-08-22T14:32:27"/>
    <x v="0"/>
    <m/>
    <m/>
    <s v="Vencida"/>
    <s v="BackOffice"/>
    <s v="Otros Requerimientos"/>
    <d v="2025-12-01T00:00:00"/>
    <d v="2025-12-01T00:00:00"/>
    <s v="Pase a Calidad Oct-25"/>
    <d v="2025-12-31T00:00:00"/>
    <s v="Vencida"/>
    <s v="Dic 2025"/>
    <n v="2025"/>
    <x v="2"/>
    <m/>
    <n v="0.15"/>
    <s v="PRE"/>
    <s v="NO"/>
    <s v="03. En Desarrollo"/>
    <s v="SI"/>
    <x v="5"/>
    <n v="0"/>
    <n v="0.15"/>
    <n v="-0.15"/>
    <s v=""/>
    <d v="2026-06-01T00:00:00"/>
    <d v="2026-06-01T00:00:00"/>
    <d v="2026-07-31T00:00:00"/>
    <d v="2026-08-01T00:00:00"/>
    <d v="2026-08-20T00:00:00"/>
    <d v="2026-09-01T00:00:00"/>
    <d v="2026-09-07T00:00:00"/>
    <n v="42"/>
    <n v="0"/>
    <n v="67.2"/>
    <m/>
    <x v="2"/>
    <n v="1"/>
    <n v="0"/>
    <n v="42"/>
    <n v="0"/>
    <n v="67.2"/>
    <x v="2"/>
    <x v="0"/>
    <m/>
    <x v="0"/>
    <m/>
  </r>
  <r>
    <s v="M0442"/>
    <n v="2058"/>
    <x v="0"/>
    <s v="2024-T0278"/>
    <s v="2024-M0409"/>
    <s v="Cobro de comisión adquirente Internacional Visa por uso en Canal ATM del BN (Consultas y retiros) Surcharge"/>
    <s v="Se requiere implementar un nuevo FEE (tarifa) para operaciones efectuadas por clientes foráneos internacionales en el canal ATM del BN"/>
    <x v="2"/>
    <s v="Canales Alternos"/>
    <s v="Canales Virtuales"/>
    <d v="2024-02-14T00:00:00"/>
    <s v="MEMORANDO N° 00000073 - 2024-BN/3251"/>
    <s v="STRA - Proyecto de Stratus"/>
    <s v="VISA"/>
    <x v="5"/>
    <s v="No Aplica"/>
    <s v="No aplica"/>
    <x v="1"/>
    <m/>
    <m/>
    <m/>
    <m/>
    <m/>
    <m/>
    <m/>
    <s v="Normal"/>
    <d v="2024-04-19T00:00:00"/>
    <s v="Sistemas Bancarios"/>
    <s v="FS-Indra"/>
    <s v="Vladimir Ronald Cajavilca Cajavilca"/>
    <s v="Omar Sarmiento"/>
    <x v="6"/>
    <x v="4"/>
    <x v="0"/>
    <d v="2024-04-19T00:00:00"/>
    <m/>
    <d v="2025-08-15T00:00:00"/>
    <d v="2026-01-16T00:00:00"/>
    <d v="2025-03-17T00:00:00"/>
    <d v="2026-01-19T00:00:00"/>
    <d v="2026-01-23T00:00:00"/>
    <d v="2025-01-15T14:24:00"/>
    <m/>
    <m/>
    <d v="2025-01-22T14:24:00"/>
    <s v="26/01/26: Según CQ, actualizó el estado a 06. Calidad Finalizado_x000a_21/01/26: Según CQ, actualizó el estado a 05. En Calidad_x000a_19/01/26: Según CQ, actualizó el estado a 04. Desarrollo Finalizado_x000a_30/12/2025: Cartera reasignada a Omar Sarmiento_x000a_18/08/25: Según CQ, actualizó el estado a 03. En Desarrollo_x000a_11/02/25: Pospuesto por Definición contable con Adaliza, para contar la ventana de pruebas con VISA coordinar con usuario ( Adalguiza y Maria Medrano )._x000a_10/02/25: Según CQ, actualizó el estado a 10. Paralizado_x000a_27/01/25: No asistieron a la reunión AA y JP para informar respecto a las 02 tareas pendientes: la solicitud de soporte con Visa y la definición contable, ambas tareas estan pendientes por parte del Usuario, enviaremos correos._x000a_22/01/25: las pruebas de validación de pantalla las esta realizando Adalguiza A. con Mario de Bevertec, FC indicó que estan pendientes 2 tareas: la solicitud de soporte con Visa y la definición contable, ambas tareas estan pendientes por parte del Usuario, se envió correos a los usuarios al respecto para su gestión_x000a_14/01/25: Fredy C. indicó que se debe realizar y culminar la prueba completa para saber si se grabo bien la comisión, comentó que solicitó el 09/2024 a Juliana P.  para que coordine la solicitud de soporte con Visa. Al respecto se consultará el estado de coordinación a Juliana P. _x000a_Se acuerda que Adalguiza A. coordinará via Whatsapp las pruebas con Bevertec y el cajero y simulador del BN. Jaime Salas confirma que Mario Sanchez seguira apoyando al BN_x000a_Fredy C. indica que esta pendiente la entrega de la parte contable de parte del Equipo de Cristian V. Canales Virtuales._x000a_02/12/2024:FC indica que ha solicitado en reiterdas oportunidades sigue a la espera. respecto a soporte de VISA se ha solicitado respondio que tiene un costo y con eso se podra hacer una prueba completa incluida la parte contable_x000a_26/11/2024: FC indica que falta definir  la parte contable  solicitado al equipo de  Cristian Ventocilla las pruebas la realiza la usuaria  Adalguiza , se estan haciendo pruebas limitidas con el usuario pero para las pruebas completas se debe solicitar a VISA previo pago se espera la respuesta del usuario para seguir con las coordinaciones respectivas_x000a_18/11/2024: FC indica que se esta avanzando y que se deben considerar 3 puntos importantes:_x000a_ 1. reglas contables, 2. flujo de pantallas  y 3. reportes (7) mas interfase (1), se necesitan reglas contables y flujo de pantallas. _x000a_Usuarios Adalguiza y Xenia solicitan coordinar un Laboratorio para las pruebas,  FC coordinará las pruebas en el Laboratorio._x000a_17/09 Juliana Palomino está coordinando el cronograma de trabajo_x000a_09/09 MM indica que se realizaron pruebas con las tarjetas foráneas, se acordó que el área usuaria enviará el diseño de las pantallas azules. MM indica que se consultará. _x000a_JP indica que  comunicara cuando se realilizará la reunión de Visa con BN, consultarán si la comision es fija o variable, JS recomienda que sea variable_x000a_26/08 JS indica que ya se entregó, se debe terminar de probar por parte de los usuarios, programar las pruebas_x000a_19/08 JS indica que esta en Pruebas_x000a_12/08 J.Salas señala que los desarrollos estasn listos para los 2 ATMs NCR y diebold. Terminado el reporte (14/08), remitirá guia. Parte transaccional ya se puede probar. _x000a_12/08 M.Huamani solicIta la guia de despliegue a BVT. Fredy Canchanya  apoyará en la parte técnica por el área de Construcción._x000a_05/08 Jaime Salas señala que ya entregó el desarrollo al BN, se deben realizar pruebas con los simuladores. El 02/08/2024 ya probó Mario Sanchez de BVT - msanchez@bevertec.com - Cel. 966198682_x000a_15/07 Maribel Median gestionará correo para accesos a Mario Sánchez y Lizet Flores de BVT_x000a_11/07 Se solicito a Maribel Medina la fecha de inicio de pruebas en ATMs NCR_x000a_09/07 Desarrollo terminado en NCR, listo para probar. _x000a_Pendiente del Desarrollo para DIEBOLD  _x000a_19/04/2024 El requerimiento es Urgente, por el cual se procederá con la gerencion de l trámite. Será asignado a Bevertec."/>
    <s v="B.Digital"/>
    <s v="CanalesAlternos"/>
    <s v="2024-02"/>
    <s v="2024-04"/>
    <s v="2026-01"/>
    <x v="0"/>
    <s v="2025-01"/>
    <s v="En Proceso"/>
    <d v="2024-08-26T00:00:00"/>
    <d v="2025-03-17T00:00:00"/>
    <m/>
    <d v="2024-04-19T00:00:00"/>
    <s v="2024-II"/>
    <s v="Sin Fecha Fin Producción"/>
    <s v="No Aplica"/>
    <s v="ID 16"/>
    <s v="Finalizada"/>
    <x v="7"/>
    <d v="2026-03-17T12:14:37"/>
    <x v="0"/>
    <m/>
    <m/>
    <s v="Vencida"/>
    <s v="ATM-Agentes-VISA"/>
    <s v="Canales Presenciales"/>
    <d v="2025-08-01T00:00:00"/>
    <d v="2025-08-01T00:00:00"/>
    <s v="11/02: Pospuesto por Definición contable con Adaliza, para contar la ventana de pruebas con VISA coordinar con usuario ( Adalguiza y Maria Medrano )._x000a__x000a_07/02: Se revisará con Maribel y Vladimir en la tarde fecha de compromiso. _x000a__x000a_"/>
    <d v="2025-08-31T00:00:00"/>
    <s v="Vencida"/>
    <s v="Ago 2025"/>
    <n v="2025"/>
    <x v="2"/>
    <s v="Visa"/>
    <n v="0.85"/>
    <s v="PRE"/>
    <s v="NO"/>
    <s v="03. En Desarrollo"/>
    <s v="SI"/>
    <x v="2"/>
    <n v="1"/>
    <n v="0.85"/>
    <n v="0.15000000000000002"/>
    <n v="0.85"/>
    <d v="2025-08-15T00:00:00"/>
    <d v="2025-08-15T00:00:00"/>
    <d v="2026-01-16T00:00:00"/>
    <d v="2026-01-19T00:00:00"/>
    <d v="2026-01-23T00:00:00"/>
    <d v="2026-03-03T00:00:00"/>
    <d v="2026-03-27T00:00:00"/>
    <n v="105"/>
    <n v="1"/>
    <n v="200"/>
    <s v="BD"/>
    <x v="5"/>
    <n v="0"/>
    <n v="105"/>
    <n v="0"/>
    <n v="840"/>
    <n v="0"/>
    <x v="4"/>
    <x v="0"/>
    <s v="18/03: Se planificará con construcción el pase según correo del Subgerente de construcción."/>
    <x v="2"/>
    <m/>
  </r>
  <r>
    <s v="M0443"/>
    <n v="2059"/>
    <x v="0"/>
    <s v="2024-T0264"/>
    <s v="2024-M0317"/>
    <s v="Migrar el sistema Errores de Cajeros (Monitoreo cajeros automáticos) entorno web que soporte la trazabilidad de la atención de los incidentes relacionados con la operatividad de los ATMs"/>
    <s v="Contar con un sistema que permita el registro de las incidencias relacionadas con la operatividad de los ATMs, a su vez gestionar la trazabilidad de la atención de los mismos, con una base de datos centralizada y reportes gestionables"/>
    <x v="2"/>
    <s v="Canales Alternos"/>
    <s v="Canales Presenciales"/>
    <d v="2024-02-14T00:00:00"/>
    <s v="MEMORANDO N° 00000073 - 2024-BN/3251"/>
    <s v="ECAJ-Errores de Cajero Multired"/>
    <s v="ATM"/>
    <x v="5"/>
    <s v="No Aplica"/>
    <s v="No aplica"/>
    <x v="3"/>
    <s v="Recomendación"/>
    <s v="AUDITORIA INTERNA"/>
    <s v="1) P-008-2022-BN/1400;_x000a_2) P-007-2021-BN/1400"/>
    <s v="1) Evaluación del proceso de administración de canales presenciales y virtuales - canal de atención cajeros automáticos_x000a_2) EVALUACIÓN DE LOS PROCESOS DE SERVICIOS DE BANCO Y DE SERVICIOS POR CONVENIOS Y DE LA GESTIÓN DE LOS FIDEICOMISOS"/>
    <s v="1) 6_x000a_2) 2"/>
    <s v="1) 6_x000a_2) 2"/>
    <d v="2023-12-30T00:00:00"/>
    <s v="Regularizado"/>
    <d v="2024-04-19T00:00:00"/>
    <s v="Sistemas Administrativos"/>
    <s v="FS-Olssa"/>
    <s v="Paul Alminagorta Cabezas"/>
    <s v="Omar Sarmiento"/>
    <x v="3"/>
    <x v="3"/>
    <x v="1"/>
    <d v="2024-04-15T00:00:00"/>
    <m/>
    <d v="2026-02-27T00:00:00"/>
    <d v="2025-07-04T00:00:00"/>
    <m/>
    <d v="2025-07-10T00:00:00"/>
    <d v="2025-08-27T00:00:00"/>
    <d v="2025-03-30T19:12:00"/>
    <d v="2025-09-05T00:00:00"/>
    <m/>
    <d v="2025-04-06T19:12:00"/>
    <s v="02/03/26: Según CQ, actualizó el estado a 10. Paralizado_x000a_13/01/26: Según CQ, actualizó el estado a 03. En Desarrollo_x000a_12/01/26: Según CQ, actualizó el estado a 05. En Calidad_x000a_30/12/2025: Cartera reasignada a Omar Sarmiento_x000a_08/09/25: Según CQ, actualizó el estado a 07. En Despliegue_x000a_28/08/25: Según CQ, actualizó el estado a 06. Calidad Finalizado_x000a_11/07/25: Según CQ, actualizó el estado a 05. En Calidad_x000a_07/07/25: Según CQ, actualizó el estado a 04. Desarrollo Finalizado_x000a_02/07/25: Según CQ, actualizó el estado a 05. En Calidad_x000a_19/06/25: Según CQ, actualizó el estado a 04. Desarrollo Finalizado_x000a_28/08/24: Según CQ, actualizó el estado a 03. En Desarrollo_x000a_12/08/24: De acuerdo a lo coordinado con Paul Alminagorta, el desarrollo se encuentra al 95% sin embargo esta pendiente solucionar el problema de accesos ( Host a ISAM ) _x000a_07/08/24: Según CQ, actualizó el estado a 02. En Planificación_x000a_24/06/2024: Se cambió 'Recurso-Asignado' de FS-Indra a Analista-BN_x000a_18/04/24 Se derivará a FS-indra. Se está trabajando en la re-definición del requerimiento._x000a_19/03/24 Se requiere reunion con el usuario para aclarar el alcance. "/>
    <s v="B.Digital"/>
    <s v="CanalesAlternos"/>
    <s v="2024-02"/>
    <s v="2024-04"/>
    <s v="2025-07"/>
    <x v="0"/>
    <s v="2025-04"/>
    <m/>
    <m/>
    <m/>
    <m/>
    <d v="2024-04-19T00:00:00"/>
    <s v="2024-II"/>
    <s v="Sin Fecha Fin Producción"/>
    <s v="No Aplica"/>
    <m/>
    <s v="Finalizada"/>
    <x v="3"/>
    <d v="2026-02-27T15:21:40"/>
    <x v="1"/>
    <s v="181"/>
    <m/>
    <s v="Vencida"/>
    <s v="Sin Aplicativo"/>
    <s v="Sin Aplicativo"/>
    <d v="2025-06-01T00:00:00"/>
    <d v="2025-06-01T00:00:00"/>
    <s v="24/04/25: Se dará pase a producción a inicio de Junio_x000a_En desarrollo, pasa a Calidad 31.Mar25"/>
    <d v="2025-06-30T00:00:00"/>
    <s v="Vencida"/>
    <s v="Jun 2025"/>
    <n v="2025"/>
    <x v="2"/>
    <s v="ATM"/>
    <n v="0.12"/>
    <s v="PRE"/>
    <s v="NO"/>
    <s v="07. En Despliegue"/>
    <s v="No aplica"/>
    <x v="3"/>
    <n v="0"/>
    <n v="0.12"/>
    <n v="-0.12"/>
    <s v=""/>
    <m/>
    <d v="2026-07-01T00:00:00"/>
    <d v="2026-08-30T00:00:00"/>
    <d v="2026-09-01T00:00:00"/>
    <d v="2026-09-30T00:00:00"/>
    <d v="2026-10-01T00:00:00"/>
    <d v="2026-10-05T00:00:00"/>
    <n v="41"/>
    <n v="0"/>
    <n v="200"/>
    <m/>
    <x v="3"/>
    <n v="1"/>
    <n v="0"/>
    <n v="41"/>
    <n v="0"/>
    <n v="328"/>
    <x v="7"/>
    <x v="0"/>
    <m/>
    <x v="0"/>
    <m/>
  </r>
  <r>
    <s v="M0451"/>
    <n v="2173"/>
    <x v="0"/>
    <s v="2024-T0239"/>
    <s v="2024-M0201"/>
    <s v="MC: Crear la opción de consultas en línea para las cuentas corrientes, SIAF, RDR, Ordinarias, Depósitos en garantía y ahorros MN y ME"/>
    <s v="Crear la opción de una consulta en línea en el aplicativo HOST, para las cuentas corrientes, SIAF, RDR, Ordinarias, Depositos en garantia y ahorros de MN y ME"/>
    <x v="0"/>
    <s v="Internacional"/>
    <s v="Comercio Exterior"/>
    <d v="2024-03-27T00:00:00"/>
    <s v="Correo s/n"/>
    <s v="MEDH-Depositos Garantia ME"/>
    <m/>
    <x v="0"/>
    <s v="Cuenta Corriente "/>
    <s v="No aplica"/>
    <x v="1"/>
    <m/>
    <s v="No Aplica"/>
    <s v="No Aplica"/>
    <s v="No Aplica"/>
    <s v="No Aplica"/>
    <s v="No Aplica"/>
    <s v="No Aplica"/>
    <s v="Normal"/>
    <d v="2024-04-19T00:00:00"/>
    <s v="Sistemas Bancarios"/>
    <s v="Analista-BN"/>
    <s v="Maribel Marlene Medina Molina"/>
    <s v="Junior Quicaño"/>
    <x v="1"/>
    <x v="1"/>
    <x v="0"/>
    <d v="2024-04-04T00:00:00"/>
    <m/>
    <d v="2025-11-03T00:00:00"/>
    <d v="2025-11-03T00:00:00"/>
    <m/>
    <d v="2025-11-04T00:00:00"/>
    <d v="2025-11-20T00:00:00"/>
    <d v="2025-11-03T00:00:00"/>
    <d v="2026-01-07T00:00:00"/>
    <d v="2026-01-12T00:00:00"/>
    <d v="2025-11-10T00:00:00"/>
    <s v="13/01/26: Según CQ, actualizó el estado a 08. Producción Finalizada_x000a_12/01/26: Según CQ, actualizó el estado a 07. En Despliegue_x000a_12/01/26: Según CQ, actualizó el estado a 06. Calidad Finalizado_x000a_08/01/26: Según CQ, actualizó el estado a 07. En Despliegue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4/11/25: Según CQ, actualizó el estado a 05. En Calidad_x000a_10/02/25: Según CQ, actualizó el estado a 03. En Desarrollo_x000a_19/09/24: Según CQ, actualizó el estado a 03. En Desarrollo_x000a_07/08/24: Según CQ, actualizó el estado a 02. En Planificación_x000a_27/03/2024: Se registra el requerimiento de tipo urgente"/>
    <s v="Operac."/>
    <s v="Internacional"/>
    <s v="2024-03"/>
    <s v="2024-04"/>
    <s v="2025-11"/>
    <x v="4"/>
    <s v="2025-11"/>
    <m/>
    <m/>
    <m/>
    <m/>
    <d v="2024-04-19T00:00:00"/>
    <s v="2024-II"/>
    <n v="70"/>
    <n v="2.3333333333333335"/>
    <m/>
    <s v="Finalizada"/>
    <x v="1"/>
    <d v="2026-01-12T12:16:44"/>
    <x v="0"/>
    <m/>
    <m/>
    <s v="Culminado"/>
    <s v="BackOffice"/>
    <s v="Otros Requerimientos"/>
    <d v="2025-08-01T00:00:00"/>
    <d v="2025-08-01T00:00:00"/>
    <s v="Junio pasará a calidad será asignado a OLSSA, se reasignará a Eduardo, Norma, Maria Eva. "/>
    <d v="2026-01-12T00:00:00"/>
    <s v="Culminado"/>
    <s v="Ene 2026"/>
    <n v="2025"/>
    <x v="1"/>
    <m/>
    <n v="1"/>
    <s v="POST"/>
    <s v="REACTIVADO"/>
    <s v="Reactivo"/>
    <s v="No aplica"/>
    <x v="1"/>
    <n v="1"/>
    <n v="1"/>
    <n v="0"/>
    <n v="1"/>
    <d v="2025-11-03T00:00:00"/>
    <d v="2025-11-03T00:00:00"/>
    <d v="2025-11-03T00:00:00"/>
    <d v="2025-11-04T00:00:00"/>
    <d v="2025-11-20T00:00:00"/>
    <d v="2026-01-07T00:00:00"/>
    <d v="2026-01-16T00:00:00"/>
    <n v="1"/>
    <n v="1"/>
    <n v="200"/>
    <m/>
    <x v="1"/>
    <n v="0"/>
    <n v="1"/>
    <n v="0"/>
    <n v="8"/>
    <n v="0"/>
    <x v="9"/>
    <x v="0"/>
    <m/>
    <x v="0"/>
    <m/>
  </r>
  <r>
    <s v="M0455"/>
    <n v="2182"/>
    <x v="0"/>
    <s v="2024-T0231"/>
    <s v="2024-M0518"/>
    <s v="Agregar campos en actualización de datos en los canales Banca Móvil y Multired Virtual"/>
    <s v="Implementar en los canales APP BN y MV los campos: Nacionalidad, residencia y el nombre del Centro de Labores."/>
    <x v="2"/>
    <s v="Canales Alternos"/>
    <s v="Canales Virtuales"/>
    <d v="2024-04-09T00:00:00"/>
    <s v="MEMORANDO N° 00000215 - 2024-BN/3252"/>
    <s v="SATI-Sistema ATI"/>
    <s v="MV/APP"/>
    <x v="8"/>
    <s v="Cuenta de Ahorros"/>
    <s v="No aplica"/>
    <x v="2"/>
    <s v="Normativo"/>
    <s v="SBS"/>
    <s v="Reglamento de Gestión de Riesgos de Lavado de Activos y del Financiamiento del Terrorismo aprobado por Resolución N° 2660-2015"/>
    <m/>
    <m/>
    <m/>
    <m/>
    <s v="Normal"/>
    <d v="2024-04-18T00:00:00"/>
    <s v="Soluciones Digitales"/>
    <s v="FS-Indra"/>
    <s v="Monica del Pilar Garcia Campana"/>
    <s v="Omar Sarmiento"/>
    <x v="5"/>
    <x v="4"/>
    <x v="0"/>
    <d v="2024-04-03T00:00:00"/>
    <m/>
    <m/>
    <m/>
    <d v="2025-08-22T00:00:00"/>
    <m/>
    <m/>
    <s v=""/>
    <m/>
    <m/>
    <s v=""/>
    <s v="26/02/2026 Tiene como predecesor al requerimiento de biometria_x000a_30/12/2025: Cartera reasignada a Omar Sarmiento_x000a_04/11/25: Según CQ, actualizó el estado a 03. En Desarrollo_x000a_23/10/25: Según CQ, actualizó el estado a 05. En Calidad_x000a_16/10/25: Según CQ, actualizó el estado a 04. Desarrollo Finalizado_x000a_23/04/25: Se coordinó con el líder técnico y se estableció como fecha de compromiso el mes de agosto._x000a_03/10/24: Según CQ, actualizó el estado a 03. En Desarrollo_x000a_24/06/2024: Se cambió 'Recurso-Asignado' de Analista-BN a  ' '_x000a_22/05/2024: Pendiente de confirmación por JRocca sobre _x000a_18/04/24 Se atendera conforme a la interfaz de BDUC este realizado._x000a_03/04/2024: Se registró en la demanda integral_x000a_Comprometido con el Directorio para Junio 2024 por campaña de actualización de datos de clientes"/>
    <s v="B.Digital"/>
    <s v="CanalesAlternos"/>
    <s v="2024-04"/>
    <s v="2024-04"/>
    <s v="No definido"/>
    <x v="0"/>
    <s v="No definido"/>
    <s v="En Proceso"/>
    <d v="2024-10-09T00:00:00"/>
    <d v="2025-08-22T00:00:00"/>
    <m/>
    <d v="2024-04-18T00:00:00"/>
    <s v="2024-II"/>
    <s v="Sin Fechas"/>
    <s v="No Aplica"/>
    <s v="ID 73"/>
    <s v="Finalizada"/>
    <x v="9"/>
    <d v="2026-03-02T16:01:12"/>
    <x v="0"/>
    <m/>
    <m/>
    <s v="Sin Fecha"/>
    <s v="Multired Virtual"/>
    <s v="Canales Virtuales"/>
    <d v="2025-08-01T00:00:00"/>
    <d v="2025-08-01T00:00:00"/>
    <s v="Activar en CQ"/>
    <d v="2025-08-31T00:00:00"/>
    <s v="Vencida"/>
    <s v="Ago 2025"/>
    <n v="2025"/>
    <x v="2"/>
    <s v="APP/Web"/>
    <n v="0.45"/>
    <s v="PRE"/>
    <s v="NO"/>
    <s v="05. En Calidad"/>
    <s v="SI"/>
    <x v="4"/>
    <n v="0.53773584905660377"/>
    <n v="0.45"/>
    <n v="8.7735849056603754E-2"/>
    <n v="0.83684210526315794"/>
    <d v="2025-11-10T00:00:00"/>
    <d v="2026-03-02T00:00:00"/>
    <d v="2026-06-26T00:00:00"/>
    <d v="2026-06-29T00:00:00"/>
    <d v="2026-07-24T00:00:00"/>
    <d v="2026-07-27T00:00:00"/>
    <d v="2026-07-31T00:00:00"/>
    <n v="84"/>
    <n v="0.6705882352941176"/>
    <n v="224"/>
    <s v="BD"/>
    <x v="2"/>
    <n v="0.3294117647058824"/>
    <n v="56"/>
    <n v="28"/>
    <n v="149.33333333333331"/>
    <n v="74.666666666666657"/>
    <x v="10"/>
    <x v="0"/>
    <m/>
    <x v="0"/>
    <m/>
  </r>
  <r>
    <s v="M0473"/>
    <n v="2212"/>
    <x v="0"/>
    <s v="2024-T0260"/>
    <s v="2024-M0223"/>
    <s v="MC: Montos retenidos - Yape"/>
    <s v="Generación de un log de las operaciones VISA y resolución de la incidencia importes diferentes en las operaciones de VISA en la consulta de la transacción TM05"/>
    <x v="8"/>
    <s v="Construcción de Aplicaciones"/>
    <s v="Sistemas Bancarios"/>
    <d v="2024-04-11T00:00:00"/>
    <m/>
    <s v="INCA - Interfaz Cajeros automaticos"/>
    <m/>
    <x v="7"/>
    <s v="No Aplica"/>
    <s v="No aplica"/>
    <x v="1"/>
    <m/>
    <m/>
    <m/>
    <m/>
    <m/>
    <m/>
    <m/>
    <s v="Normal"/>
    <d v="2024-04-19T00:00:00"/>
    <s v="Sistemas Bancarios"/>
    <s v="Analista-BN"/>
    <s v="Vladimir Ronald Cajavilca Cajavilca"/>
    <s v="Tomas Calvera"/>
    <x v="3"/>
    <x v="3"/>
    <x v="1"/>
    <d v="2024-04-15T00:00:00"/>
    <m/>
    <d v="2025-02-07T00:00:00"/>
    <d v="2024-04-26T00:00:00"/>
    <m/>
    <d v="2024-04-30T00:00:00"/>
    <d v="2024-04-30T00:00:00"/>
    <d v="2024-01-02T04:48:00"/>
    <d v="2024-05-07T00:00:00"/>
    <m/>
    <d v="2024-01-09T04:48:00"/>
    <s v="04/02/2026: Cartera reasignada a Tomas Calvera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Omar Sarmiento_x000a_11/08/2025: Cartera reasignada a Percy Silva_x000a_10/02/25: Se pospuso en CQ. Evaluar Descarte con usuario ( Maria Medrano ) _x000a_10/02/25: Según CQ, actualizó el estado a 10. Paralizado_x000a_23/01/2025 Cartera reasignada a Milagros Huamaní_x000a_12/06/2024: Se realizó reasignación de Gestor TI de Mónica Osorio a Francisco La Torre._x000a_05/06/2024: Se actualiza el estado de Producción FInalizada a En desarrollo según CQ (Rechazado)_x000a_07/05/2024: Carlos Linares confirma que el RQ pasó a producción el 04May24_x000a_03/05/2024: El 02May CLinares confirmapase a producción el fds, sin embargo, luego de coordinar el pase con área usuaria, solicitan postergarlo para la sgte semana._x000a_3/05/2024: Según CQ, se actualizó el estado de 05. En Calidad a 06. Calidad Finalizado_x000a_30/04/2024: Según CQ, se actualizó el estado de 01. Registrado a 05. En Calidad_x000a_15/04/2024: Se registró en la demanda integral. •_x0009_Proviene de un incidente reportado por el área usuaria"/>
    <s v="TI"/>
    <s v="ConstrucciónAplicaciones"/>
    <s v="2024-04"/>
    <s v="2024-04"/>
    <s v="2024-04"/>
    <x v="0"/>
    <s v="2024-01"/>
    <m/>
    <m/>
    <m/>
    <m/>
    <d v="2024-04-19T00:00:00"/>
    <s v="2024-II"/>
    <s v="Sin Fecha Fin Producción"/>
    <s v="No Aplica"/>
    <m/>
    <s v="Finalizada"/>
    <x v="3"/>
    <d v="2025-11-27T12:45:11"/>
    <x v="0"/>
    <m/>
    <m/>
    <s v="Vencida"/>
    <s v="ATM-Agentes-VISA"/>
    <s v="Canales Presenciales"/>
    <s v="Pordefinir"/>
    <m/>
    <s v="01/04/25 Percy evaluará con el usuario su descarte._x000a_Se pospuso. Evaluar Descarte con usuario ( Maria Medrano ) "/>
    <s v=""/>
    <s v="Sin Fecha"/>
    <s v="No definido"/>
    <s v="Rev."/>
    <x v="2"/>
    <m/>
    <n v="0.12"/>
    <s v="POST"/>
    <s v="REACTIVADO"/>
    <s v="Reactivo"/>
    <s v="No aplica"/>
    <x v="3"/>
    <s v=""/>
    <n v="0.12"/>
    <s v=""/>
    <s v=""/>
    <m/>
    <m/>
    <m/>
    <m/>
    <m/>
    <m/>
    <d v="2027-03-31T00:00:00"/>
    <n v="25"/>
    <n v="0.1"/>
    <n v="200"/>
    <m/>
    <x v="3"/>
    <n v="0.9"/>
    <n v="1"/>
    <n v="24"/>
    <n v="8"/>
    <n v="192"/>
    <x v="3"/>
    <x v="0"/>
    <m/>
    <x v="0"/>
    <m/>
  </r>
  <r>
    <s v="M0477"/>
    <n v="2216"/>
    <x v="0"/>
    <s v="2024-T0267"/>
    <s v="2024-M0238"/>
    <s v="ME: Implementación de Transacción en línea de la cobranza de las Empresas Públicas de Electricidad."/>
    <s v="Implementación de Transacción en línea de la cobranza de las Empresas Públicas de Electricidad Hidroandina, Electroeste, Electronorte, Electrocentro, Electrosur."/>
    <x v="0"/>
    <s v="Servicios Bancarios y Recaudación"/>
    <s v="Recaudación y Corresponsalía"/>
    <d v="2024-02-08T00:00:00"/>
    <s v="MEMORANDO N° 00000035 - 2024-BN/3243"/>
    <s v="RECA-Recaudacion"/>
    <s v="GG"/>
    <x v="2"/>
    <s v="No Aplica"/>
    <s v="Servicios Bancarios Diversos "/>
    <x v="0"/>
    <m/>
    <s v="GG"/>
    <s v="No Aplica"/>
    <s v="No Aplica"/>
    <s v="No Aplica"/>
    <s v="No Aplica"/>
    <s v="No Aplica"/>
    <s v="Normal"/>
    <d v="2024-04-19T00:00:00"/>
    <s v="Sistemas Bancarios"/>
    <s v="Analista-BN"/>
    <s v="Jorge Lucio Ruedas Fernandez/Fiorella Emma Galvan Soto"/>
    <s v="Junior Quicaño"/>
    <x v="1"/>
    <x v="1"/>
    <x v="0"/>
    <d v="2024-04-17T00:00:00"/>
    <m/>
    <d v="2024-04-23T00:00:00"/>
    <d v="2024-09-19T00:00:00"/>
    <m/>
    <d v="2024-10-01T00:00:00"/>
    <d v="2024-10-09T00:00:00"/>
    <d v="2024-11-17T14:24:00"/>
    <d v="2026-03-10T00:00:00"/>
    <d v="2026-03-10T00:00:00"/>
    <d v="2024-11-24T14:24:00"/>
    <s v="10/03/26: Según CQ, actualizó el estado a 08. Producción Finalizada_x000a_10/10/24: Según CQ, actualizó el estado a 06. Calidad Finalizado_x000a_01/10/24: Según CQ, actualizó el estado a 05. En Calidad_x000a_23/09/24: Según CQ, actualizó el estado a 04. Desarrollo Finalizado_x000a_03/07/2024 Se ingreso en la máscara las entidades eléctricas para que puedan realizar prueba de conexión, aún se está trabajando._x000a_17/04/2024: Se registró en la demanda integral."/>
    <s v="Operac."/>
    <s v="BancariosRecaudación"/>
    <s v="2024-02"/>
    <s v="2024-04"/>
    <s v="2024-09"/>
    <x v="2"/>
    <s v="2024-11"/>
    <m/>
    <m/>
    <m/>
    <m/>
    <d v="2024-04-19T00:00:00"/>
    <s v="2024-II"/>
    <n v="686"/>
    <n v="22.866666666666667"/>
    <s v="ID 22"/>
    <s v="Finalizada,Finalizada"/>
    <x v="1"/>
    <d v="2026-03-10T14:48:07"/>
    <x v="0"/>
    <m/>
    <m/>
    <s v="Culminado"/>
    <s v="BackOffice"/>
    <s v="Otros Requerimientos"/>
    <d v="2025-02-01T00:00:00"/>
    <d v="2025-02-01T00:00:00"/>
    <m/>
    <d v="2026-03-10T00:00:00"/>
    <s v="Culminado"/>
    <s v="Mar 2026"/>
    <m/>
    <x v="1"/>
    <m/>
    <n v="1"/>
    <s v="PRE"/>
    <s v="NO"/>
    <s v="06. Calidad Finalizado"/>
    <s v="No aplica"/>
    <x v="1"/>
    <n v="1"/>
    <n v="1"/>
    <n v="0"/>
    <n v="1"/>
    <d v="2024-04-23T00:00:00"/>
    <d v="2024-04-23T00:00:00"/>
    <d v="2024-09-19T00:00:00"/>
    <d v="2024-10-01T00:00:00"/>
    <d v="2025-08-21T00:00:00"/>
    <d v="2026-02-19T00:00:00"/>
    <d v="2026-03-27T00:00:00"/>
    <n v="104"/>
    <n v="1"/>
    <n v="200"/>
    <m/>
    <x v="1"/>
    <n v="0"/>
    <n v="104"/>
    <n v="0"/>
    <n v="832"/>
    <n v="0"/>
    <x v="4"/>
    <x v="0"/>
    <m/>
    <x v="0"/>
    <m/>
  </r>
  <r>
    <s v="M0482"/>
    <n v="2224"/>
    <x v="0"/>
    <s v="2024-T0277"/>
    <s v="2024-M0237"/>
    <s v="ME: Integración al Sistema Comercial SEDAPAL"/>
    <s v="Integración del Sistema del Banco de la Nación con el nuevo sistema comercial SEDAPAL para recaudación en línea"/>
    <x v="0"/>
    <s v="Servicios Bancarios y Recaudación"/>
    <s v="Recaudación y Corresponsalía"/>
    <d v="2024-02-16T00:00:00"/>
    <s v="MEMORANDO N° 00000041 - 2024-BN/3243"/>
    <s v="RECA-Recaudacion"/>
    <s v="GG"/>
    <x v="2"/>
    <s v="No Aplica"/>
    <s v="Servicios Bancarios Diversos "/>
    <x v="0"/>
    <m/>
    <s v="GG"/>
    <s v="No Aplica"/>
    <s v="No Aplica"/>
    <s v="No Aplica"/>
    <s v="No Aplica"/>
    <s v="No Aplica"/>
    <s v="Normal"/>
    <d v="2024-04-19T00:00:00"/>
    <s v="Sistemas Bancarios"/>
    <s v="FS-Olssa"/>
    <s v="Jorge Lucio Ruedas Fernandez/Fiorella Emma Galvan Soto"/>
    <s v="Junior Quicaño"/>
    <x v="1"/>
    <x v="1"/>
    <x v="0"/>
    <d v="2024-04-19T00:00:00"/>
    <m/>
    <d v="2024-04-23T00:00:00"/>
    <d v="2025-06-16T00:00:00"/>
    <m/>
    <d v="2025-06-30T00:00:00"/>
    <d v="2025-06-30T00:00:00"/>
    <d v="2025-11-30T14:24:00"/>
    <d v="2025-07-01T00:00:00"/>
    <d v="2026-03-10T00:00:00"/>
    <d v="2025-12-07T14:24:00"/>
    <s v="10/03/26: Según CQ, actualizó el estado a 08. Producción Finalizada_x000a_02/07/25: Según CQ, actualizó el estado a 07. En Despliegue_x000a_30/06/25: Según CQ, actualizó el estado a 06. Calidad Finalizado_x000a_20/06/25: Según CQ, actualizó el estado a 05. En Calidad_x000a_19/06/25: Según CQ, actualizó el estado a 04. Desarrollo Finalizado_x000a_21/11/2024 El mantenimiento se encuentra pospuesto, se planteó una solución temporal que esta validando el equipo de SEDAPAL._x000a_03/07/2024 Se ha solictado Data de Pruebas._x000a_19/04/2024: Registrado en al demanda integral. Requerimiento solicitado por GG"/>
    <s v="Operac."/>
    <s v="BancariosRecaudación"/>
    <s v="2024-02"/>
    <s v="2024-04"/>
    <s v="2025-06"/>
    <x v="2"/>
    <s v="2025-12"/>
    <m/>
    <m/>
    <m/>
    <m/>
    <d v="2024-04-19T00:00:00"/>
    <s v="2024-II"/>
    <n v="686"/>
    <n v="22.866666666666667"/>
    <s v="ID 37"/>
    <s v="Finalizada,Finalizada"/>
    <x v="1"/>
    <d v="2026-04-30T09:16:07"/>
    <x v="0"/>
    <m/>
    <m/>
    <s v="Culminado"/>
    <s v="BackOffice"/>
    <s v="Otros Requerimientos"/>
    <d v="2025-10-01T00:00:00"/>
    <d v="2025-10-01T00:00:00"/>
    <s v="OLSSA, dependencia con nuevo Hub de integración. "/>
    <d v="2026-03-10T00:00:00"/>
    <s v="Culminado"/>
    <s v="Mar 2026"/>
    <n v="2025"/>
    <x v="1"/>
    <m/>
    <n v="1"/>
    <s v="PRE"/>
    <s v="NO"/>
    <s v="07. En Despliegue"/>
    <s v="No aplica"/>
    <x v="1"/>
    <n v="1"/>
    <n v="1"/>
    <n v="0"/>
    <n v="1"/>
    <d v="2024-04-23T00:00:00"/>
    <d v="2024-04-23T00:00:00"/>
    <d v="2025-06-16T00:00:00"/>
    <d v="2025-06-30T00:00:00"/>
    <d v="2025-06-30T00:00:00"/>
    <d v="2025-07-01T00:00:00"/>
    <d v="2026-03-27T00:00:00"/>
    <n v="284"/>
    <n v="1"/>
    <n v="200"/>
    <m/>
    <x v="1"/>
    <n v="0"/>
    <n v="284"/>
    <n v="0"/>
    <n v="2272"/>
    <n v="0"/>
    <x v="4"/>
    <x v="0"/>
    <m/>
    <x v="0"/>
    <m/>
  </r>
  <r>
    <s v="M0486"/>
    <n v="2286"/>
    <x v="0"/>
    <s v="2024-T0346"/>
    <s v="2024-M0298"/>
    <s v="Mejora en el proceso de conciliación de operaciones visa (punto 4): Nuevos reportes reemplazo REPVISA – Parte Host"/>
    <s v="Corresponde a cambios en el Host para la Mejora en el proceso de conciliación de las operaciones VISA - Reportes "/>
    <x v="8"/>
    <s v="Construcción de Aplicaciones"/>
    <s v="Sistemas Bancarios"/>
    <d v="2024-05-27T00:00:00"/>
    <s v="MEMORANDO N° 00000452 - 2023-BN/3252"/>
    <s v="TMIN-Tarjeta Multired Interfaces"/>
    <s v="REP-VISA"/>
    <x v="7"/>
    <s v="Cuenta de Ahorros"/>
    <s v="No aplica"/>
    <x v="0"/>
    <m/>
    <s v="SBS"/>
    <s v="06-2023-DSBE"/>
    <s v="Informe de Inspección"/>
    <s v="N° 27"/>
    <m/>
    <d v="2024-12-31T00:00:00"/>
    <s v="Heredado"/>
    <m/>
    <s v="Sistemas Bancarios"/>
    <s v="FS-Indra"/>
    <s v="Vladimir Ronald Cajavilca Cajavilca"/>
    <s v="Tomas Calvera"/>
    <x v="3"/>
    <x v="3"/>
    <x v="3"/>
    <d v="2024-05-27T00:00:00"/>
    <m/>
    <d v="2025-12-04T00:00:00"/>
    <d v="2025-01-28T00:00:00"/>
    <m/>
    <d v="2025-02-05T00:00:00"/>
    <d v="2025-02-13T00:00:00"/>
    <d v="2024-09-26T00:00:00"/>
    <m/>
    <m/>
    <d v="2024-10-03T00:00:00"/>
    <s v="27/02/26: Según CQ, actualizó el estado a 10. Paralizado_x000a_26/02: cambiar estado en el CQ a Pralizado_x000a_04/02/2026: Cartera reasignada a Tomas Calvera_x000a_05/09/2025: Cartera reasignada a Omar Sarmiento_x000a_11/08/2025: Cartera reasignada a Percy Silva_x000a_17/06/2025: Se cambia de gestor de TI de Percy S. a Milagros H._x000a_16/04/25: Según CQ, actualizó el estado a 03. En Desarrollo_x000a_14/02/25: Según CQ, actualizó el estado a 06. Calidad Finalizado_x000a_06/02/25: Según CQ, actualizó el estado a 05. En Calidad_x000a_29/01/25: Según CQ, actualizó el estado a 04. Desarrollo Finalizado_x000a_23/01/2025 Cartera reasignada a Milagros Huamaní_x000a_02/01/25: Según lo coordinado con Cumplimiento Normativo el 12/12/24, se modifica la categoría de Recomendación a Evolutivo_x000a_22/11/24: Según CQ, actualizó el estado a 03. En Desarrollo_x000a_21/11/2024: FC En etapa de Certificación con Open_x000a_08/11/24: Según CQ, actualizó el estado a 03. En Desarrollo_x000a_10/10/2024: Maribel Medina indica en el CQ que se aprueba cuando pase el mantenimiento de OPEN  (2023-M0701)_x000a_28/08/24: Según CQ, actualizó el estado a 03. En Desarrollo_x000a_07/08/24: Según CQ, actualizó el estado a 02. En Planificación_x000a_08/07/2024: Es un requerimiento hijo asociado a una recomendación _x000a_03/07/2024: Maribel Medina confirma que el RQ se encuentra en atención por recurso de Fabrica Indra (Fredy Canchanya), fecha fin de desarrollo 15.07. _x000a_27/05/2024: Se registró en la demanda Integral. Se registró en la demanda Táctica y  corresponde a la parte host del RQ; ID 1827_x000a_NOTA: Dependencia del trámite 2023-T0793"/>
    <s v="TI"/>
    <s v="ConstrucciónAplicaciones"/>
    <s v="2024-05"/>
    <s v="No definido"/>
    <s v="2025-01"/>
    <x v="0"/>
    <s v="2024-10"/>
    <s v="Finalizado"/>
    <d v="2024-07-05T00:00:00"/>
    <d v="2025-01-23T00:00:00"/>
    <d v="2025-01-23T00:00:00"/>
    <d v="2024-05-27T00:00:00"/>
    <s v="2024-II"/>
    <s v="Sin Fecha Fin Producción"/>
    <s v="No Aplica"/>
    <m/>
    <s v="Finalizada"/>
    <x v="3"/>
    <d v="2026-02-26T17:52:41"/>
    <x v="0"/>
    <m/>
    <m/>
    <s v="Vencida"/>
    <s v="ATM-Agentes-VISA"/>
    <s v="Canales Presenciales"/>
    <d v="2025-05-01T00:00:00"/>
    <d v="2025-05-01T00:00:00"/>
    <m/>
    <d v="2025-05-31T00:00:00"/>
    <s v="Vencida"/>
    <s v="May 2025"/>
    <m/>
    <x v="2"/>
    <s v="Visa"/>
    <n v="0.12"/>
    <s v="PRE"/>
    <s v="NO"/>
    <s v="03. En Desarrollo"/>
    <s v="No aplica"/>
    <x v="3"/>
    <s v=""/>
    <n v="0.12"/>
    <s v=""/>
    <s v=""/>
    <m/>
    <m/>
    <m/>
    <m/>
    <m/>
    <m/>
    <d v="2027-03-31T00:00:00"/>
    <n v="25"/>
    <n v="0.1"/>
    <n v="200"/>
    <m/>
    <x v="3"/>
    <n v="0.9"/>
    <n v="1"/>
    <n v="24"/>
    <n v="8"/>
    <n v="192"/>
    <x v="3"/>
    <x v="0"/>
    <m/>
    <x v="0"/>
    <m/>
  </r>
  <r>
    <s v="M0493"/>
    <n v="2238"/>
    <x v="0"/>
    <s v="2024-T0292"/>
    <s v="2024-M0320"/>
    <s v="MN: Actualización de Metodología de Cálculo de encaje Exigible"/>
    <s v="Actualización del Reporte 5A Encaje adelantado por normativas de ente regulador BCRP"/>
    <x v="0"/>
    <s v="Caja y Valores"/>
    <s v="Soporte Mesa de Dinero"/>
    <d v="2024-03-25T00:00:00"/>
    <s v="MEMORANDO N° 00000010 - 2024-BN/3216"/>
    <s v="PSAI-Proyecto Mantenimiento SAI"/>
    <m/>
    <x v="2"/>
    <s v="Cuenta de Ahorros"/>
    <s v="No aplica"/>
    <x v="2"/>
    <s v="Normativo"/>
    <s v="No Aplica"/>
    <s v="No Aplica"/>
    <s v="No Aplica"/>
    <s v="No Aplica"/>
    <s v="No Aplica"/>
    <s v="No Aplica"/>
    <s v="Normal"/>
    <d v="2024-05-22T00:00:00"/>
    <s v="Sistemas Administrativos"/>
    <s v="FS-Indra"/>
    <s v="Emerson Quecara Choquetico"/>
    <s v="Junior Quicaño"/>
    <x v="1"/>
    <x v="1"/>
    <x v="0"/>
    <d v="2024-04-25T00:00:00"/>
    <m/>
    <d v="2026-01-15T00:00:00"/>
    <d v="2026-01-22T00:00:00"/>
    <d v="2025-12-31T00:00:00"/>
    <d v="2026-01-23T00:00:00"/>
    <d v="2026-01-28T00:00:00"/>
    <d v="2025-12-25T00:00:00"/>
    <d v="2026-01-29T00:00:00"/>
    <d v="2026-03-24T00:00:00"/>
    <d v="2026-01-01T00:00:00"/>
    <s v="23/03/26: Según CQ, actualizó el estado a 08. Producción Finalizada_x000a_30/01/26: Según CQ, actualizó el estado a 07. En Despliegue_x000a_14/10/25: Según CQ, actualizó el estado a 03. En Desarrollo_x000a_31/07/25: Según CQ, actualizó el estado a 05. En Calidad_x000a_30/07/25: Según CQ, actualizó el estado a 04. Desarrollo Finalizado_x000a_28/08/24: Según CQ, actualizó el estado a 03. En Desarrollo_x000a_15/08/24: Según CQ, actualizó el estado a 01. Registrado_x000a_07/08/24: Según CQ, actualizó el estado a 01. Registrado_x000a_27/06/2024 Se encuetra Asigando a Fábrica desde Junio 2024._x000a_24/06/2024: Se cambió 'Recurso-Asignado' de FS-Indra a  ' ' _x000a_22/05/24 Se iniciará su atención._x000a_25/04/2024: Se registró en la demanda Integral "/>
    <s v="Operac."/>
    <s v="CajaValores"/>
    <s v="2024-03"/>
    <s v="2024-05"/>
    <s v="2026-01"/>
    <x v="2"/>
    <s v="2026-01"/>
    <s v="En Proceso"/>
    <d v="2024-07-09T00:00:00"/>
    <d v="2025-07-31T00:00:00"/>
    <m/>
    <d v="2024-05-22T00:00:00"/>
    <s v="2024-II"/>
    <n v="68"/>
    <n v="2.2666666666666666"/>
    <s v="ID 108"/>
    <s v="Finalizada"/>
    <x v="6"/>
    <d v="2026-03-25T11:23:10"/>
    <x v="0"/>
    <m/>
    <m/>
    <s v="Culminado"/>
    <s v="Oracle"/>
    <s v="Otros Requerimientos"/>
    <d v="2025-10-01T00:00:00"/>
    <d v="2025-10-01T00:00:00"/>
    <s v="Se remitirá a Indra para su evaluación."/>
    <d v="2026-03-24T00:00:00"/>
    <s v="Culminado"/>
    <s v="Mar 2026"/>
    <n v="2025"/>
    <x v="1"/>
    <m/>
    <n v="1"/>
    <s v="PRE"/>
    <s v="NO"/>
    <s v="03. En Desarrollo"/>
    <s v="No aplica"/>
    <x v="1"/>
    <n v="1"/>
    <n v="1"/>
    <n v="0"/>
    <n v="1"/>
    <d v="2026-01-15T00:00:00"/>
    <d v="2026-01-15T00:00:00"/>
    <d v="2026-01-22T00:00:00"/>
    <d v="2026-01-23T00:00:00"/>
    <d v="2026-01-28T00:00:00"/>
    <d v="2026-01-29T00:00:00"/>
    <d v="2026-04-13T00:00:00"/>
    <n v="6"/>
    <n v="1"/>
    <n v="200"/>
    <m/>
    <x v="1"/>
    <n v="0"/>
    <n v="6"/>
    <n v="0"/>
    <n v="48"/>
    <n v="0"/>
    <x v="1"/>
    <x v="0"/>
    <m/>
    <x v="0"/>
    <m/>
  </r>
  <r>
    <s v="M0497"/>
    <n v="2242"/>
    <x v="0"/>
    <s v="2024-T0357"/>
    <s v="2024-M0345"/>
    <s v="MC: Actualización de opciones en el sistema de claves del aplicativo RSUP"/>
    <s v="Se requiere independizar y normalización de términos de las opciones según corresponda, lo que permitirá una adecuada asignación de roles y evitar riesgos debido a una segregación de funciones inadecuadas."/>
    <x v="5"/>
    <s v="Compensaciones"/>
    <s v="Remuneraciones Pensiones y Subsidios"/>
    <d v="2024-04-29T00:00:00"/>
    <s v="MEMORANDO N° 00000850 - 2024-BN/2321"/>
    <s v="RHPP- Recursos humanos planillas"/>
    <m/>
    <x v="0"/>
    <s v="No Aplica"/>
    <s v="No aplica"/>
    <x v="1"/>
    <m/>
    <m/>
    <m/>
    <m/>
    <m/>
    <m/>
    <m/>
    <s v="Normal"/>
    <d v="2024-05-22T00:00:00"/>
    <s v="Sistemas Administrativos"/>
    <s v="Analista-BN"/>
    <s v="Walter Tito Valencia"/>
    <s v="Juan Carlos Zavaleta"/>
    <x v="1"/>
    <x v="1"/>
    <x v="0"/>
    <d v="2024-05-29T00:00:00"/>
    <m/>
    <d v="2024-07-11T00:00:00"/>
    <d v="2025-12-01T00:00:00"/>
    <d v="2026-03-31T00:00:00"/>
    <d v="2025-12-16T00:00:00"/>
    <d v="2025-12-30T00:00:00"/>
    <d v="2026-12-07T04:48:00"/>
    <d v="2026-01-07T00:00:00"/>
    <d v="2026-01-12T00:00:00"/>
    <d v="2026-12-14T04:48:00"/>
    <s v="13/01/26: Según CQ, actualizó el estado a 08. Producción Finalizada_x000a_12/01/26: Según CQ, actualizó el estado a 07. En Despliegue_x000a_12/01/26: Según CQ, actualizó el estado a 06. Calidad Finalizado_x000a_08/01/26: Según CQ, actualizó el estado a 07. En Despliegue_x000a_05/01/26: Según CQ, actualizó el estado a 06. Calidad Finalizado_x000a_17/12/2025: Se reactiva mantenimiento debido a movimiento dentro del CQ post-devolución (27-10-25)_x000a_05/12/25: Según CQ, actualizó el estado a 05. En Calidad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7/06/2025: Se cambia de gestor de TI de Omar S. a Juan Carlos Z._x000a_14/08/2024 Se prolongo su atención toda vexz que e analista se encuentra atendiendo desarrollos de SENTINEL_x000a_07/08/24: Según CQ, actualizó el estado a 03. En Desarrollo_x000a_24/06/2024: Se cambió 'Recurso-Asignado' de Analista-BN a  ' ' _x000a_22/05/24 Se prioriza por ser un correctivo. Se Iniciará su atención luego del ID2241._x000a_02/05/2024: Se registra en la demanda Integral."/>
    <s v="RRHH"/>
    <s v="Compensaciones"/>
    <s v="2024-04"/>
    <s v="2024-05"/>
    <s v="2025-12"/>
    <x v="4"/>
    <s v="2026-12"/>
    <m/>
    <m/>
    <m/>
    <m/>
    <d v="2024-05-22T00:00:00"/>
    <s v="2024-II"/>
    <n v="550"/>
    <n v="18.333333333333332"/>
    <s v="ID 107"/>
    <s v="Finalizada"/>
    <x v="1"/>
    <d v="2026-01-15T11:40:57"/>
    <x v="0"/>
    <m/>
    <m/>
    <s v="Culminado"/>
    <s v="BackOffice"/>
    <s v="Otros Requerimientos"/>
    <s v="Pordefinir"/>
    <m/>
    <s v="Colocar en el Clearquest POSPUESTO"/>
    <d v="2026-01-12T00:00:00"/>
    <s v="Culminado"/>
    <s v="Ene 2026"/>
    <n v="2025"/>
    <x v="1"/>
    <m/>
    <n v="1"/>
    <s v="POST"/>
    <s v="REACTIVADO"/>
    <s v="Reactivo"/>
    <s v="No aplica"/>
    <x v="1"/>
    <n v="1"/>
    <n v="1"/>
    <n v="0"/>
    <n v="1"/>
    <d v="2024-07-11T00:00:00"/>
    <d v="2024-07-11T00:00:00"/>
    <d v="2025-12-01T00:00:00"/>
    <d v="2025-12-16T00:00:00"/>
    <d v="2025-12-30T00:00:00"/>
    <d v="2026-01-07T00:00:00"/>
    <d v="2026-01-23T00:00:00"/>
    <n v="345"/>
    <n v="1"/>
    <n v="200"/>
    <m/>
    <x v="1"/>
    <n v="0"/>
    <n v="345"/>
    <n v="0"/>
    <n v="2760"/>
    <n v="0"/>
    <x v="9"/>
    <x v="0"/>
    <m/>
    <x v="0"/>
    <m/>
  </r>
  <r>
    <s v="M0506"/>
    <n v="2268"/>
    <x v="0"/>
    <s v="2024-T0342"/>
    <s v="2024-M0295"/>
    <s v="Mejoras a la funcionalidad de Contrataciones hasta 8UIT - Oracle EBS"/>
    <s v="Mejoras de acuerdo a lo remendado por Auditoría"/>
    <x v="6"/>
    <s v="Compras"/>
    <s v="Programación, Evaluación y Compras Menores"/>
    <d v="2024-05-20T00:00:00"/>
    <s v="MEMORANDO N° 00000599 - 2024-BN-2663"/>
    <s v="OSAI -: Oracle Sistema Administrativo Integrado"/>
    <s v="Oracle"/>
    <x v="0"/>
    <s v="No Aplica"/>
    <s v="No aplica"/>
    <x v="3"/>
    <s v="Recomendación"/>
    <s v="AUDITORIA INTERNA"/>
    <s v="P-022-2019-BN/1400"/>
    <s v="Evaluación del proceso de seguimiento y control logístico"/>
    <s v="N° 2"/>
    <s v="2.b"/>
    <d v="2024-11-29T00:00:00"/>
    <s v="Normal"/>
    <d v="2024-05-22T00:00:00"/>
    <s v="Sistemas Administrativos"/>
    <s v="FS-Indra"/>
    <s v="Emerson Quecara Choquetico"/>
    <s v="Omar Sarmiento"/>
    <x v="1"/>
    <x v="1"/>
    <x v="0"/>
    <d v="2024-05-24T00:00:00"/>
    <m/>
    <d v="2024-07-10T00:00:00"/>
    <d v="2025-05-05T00:00:00"/>
    <d v="2025-05-19T00:00:00"/>
    <d v="2025-05-21T00:00:00"/>
    <d v="2025-07-04T00:00:00"/>
    <d v="2025-09-21T04:48:00"/>
    <d v="2025-08-18T00:00:00"/>
    <d v="2026-01-12T00:00:00"/>
    <d v="2025-09-28T04:48:00"/>
    <s v="13/01/26: Según CQ, actualizó el estado a 08. Producción Finalizada_x000a_05/09/2025: Cartera reasignada a Omar Sarmiento_x000a_19/08/25: Según CQ, actualizó el estado a 07. En Despliegue_x000a_07/07/25: Según CQ, actualizó el estado a 06. Calidad Finalizado_x000a_17/06/2025: Se cambia de gestor de TI de Omar S. a Luis Alberto I._x000a_22/05/25: Según CQ, actualizó el estado a 05. En Calidad_x000a_07/05/25: Según CQ, actualizó el estado a 04. Desarrollo Finalizado_x000a_28/08/24: Según CQ, actualizó el estado a 03. En Desarrollo_x000a_15/08/24: Según CQ, actualizó el estado a 02. En Planificación_x000a_07/08/24: Según CQ, actualizó el estado a 02. En Planificación_x000a_31/05/24 Según CQ esta registrado el 27.05.24, esta registrado en el aplicativo de Indra y lo atenderá Rosana Bermejo._x000a_22/05/24 Se prioriza, para su atención por Fabrica."/>
    <s v="Logística"/>
    <s v="Compras"/>
    <s v="2024-05"/>
    <s v="2024-05"/>
    <s v="2025-05"/>
    <x v="4"/>
    <s v="2025-09"/>
    <s v="Finalizado"/>
    <d v="2024-07-02T00:00:00"/>
    <d v="2025-05-19T00:00:00"/>
    <d v="2025-05-19T00:00:00"/>
    <d v="2024-05-22T00:00:00"/>
    <s v="2024-II"/>
    <n v="551"/>
    <n v="18.366666666666667"/>
    <s v="ID 100"/>
    <s v="Finalizada"/>
    <x v="1"/>
    <d v="2026-01-12T15:57:51"/>
    <x v="1"/>
    <s v="33"/>
    <m/>
    <s v="Culminado"/>
    <s v="Oracle"/>
    <s v="Otros Requerimientos"/>
    <d v="2025-04-01T00:00:00"/>
    <d v="2025-04-01T00:00:00"/>
    <s v="Indra, pasa a Calidad el 28-Febrero-25"/>
    <d v="2026-01-12T00:00:00"/>
    <s v="Culminado"/>
    <s v="Ene 2026"/>
    <n v="2025"/>
    <x v="1"/>
    <m/>
    <n v="1"/>
    <s v="PRE"/>
    <s v="NO"/>
    <s v="07. En Despliegue"/>
    <s v="No aplica"/>
    <x v="1"/>
    <n v="1"/>
    <n v="1"/>
    <n v="0"/>
    <n v="1"/>
    <d v="2024-07-10T00:00:00"/>
    <d v="2024-07-10T00:00:00"/>
    <d v="2025-05-05T00:00:00"/>
    <d v="2025-05-21T00:00:00"/>
    <d v="2025-07-04T00:00:00"/>
    <d v="2025-08-18T00:00:00"/>
    <d v="2026-01-12T00:00:00"/>
    <n v="199"/>
    <n v="1"/>
    <n v="200"/>
    <m/>
    <x v="1"/>
    <n v="0"/>
    <n v="199"/>
    <n v="0"/>
    <n v="1592"/>
    <n v="0"/>
    <x v="9"/>
    <x v="0"/>
    <m/>
    <x v="0"/>
    <m/>
  </r>
  <r>
    <s v="M0525"/>
    <n v="2289"/>
    <x v="0"/>
    <s v="2024-T0364"/>
    <s v="2024-M0308"/>
    <s v="Depuración de Datos de contacto, correos electrónicos y teléfonos celulares personal."/>
    <s v="Depuración de Datos Inconsistentes, correos electrónicos y celulares en BDUC"/>
    <x v="0"/>
    <s v="Captaciones y Pagaduría"/>
    <s v="Apertura de Cuentas"/>
    <d v="2024-05-20T00:00:00"/>
    <s v="MEMORANDO N° 00000297 - 2024-BN/3111"/>
    <s v="SIUC-Sistema de Información Unica de Clientes"/>
    <m/>
    <x v="0"/>
    <s v="No Aplica"/>
    <s v="No aplica"/>
    <x v="0"/>
    <m/>
    <s v="GG"/>
    <s v="No Aplica"/>
    <s v="No Aplica"/>
    <s v="No Aplica"/>
    <s v="No Aplica"/>
    <s v="No Aplica"/>
    <s v="Normal"/>
    <d v="2024-06-27T00:00:00"/>
    <s v="Sistemas Bancarios"/>
    <s v="FS-Indra"/>
    <s v="Johnny Luis Rocca Surco"/>
    <s v="Junior Quicaño"/>
    <x v="5"/>
    <x v="4"/>
    <x v="0"/>
    <d v="2024-05-31T00:00:00"/>
    <d v="2025-11-03T00:00:00"/>
    <m/>
    <m/>
    <m/>
    <m/>
    <m/>
    <s v=""/>
    <m/>
    <m/>
    <s v=""/>
    <s v="24/04/26: Según CQ, actualizó el estado a 03. En Desarrollo_x000a_10/04/26: Según CQ, actualizó el estado a 04. Desarrollo Finalizado_x000a_25/03/26: Según CQ, actualizó el estado a 03. En Desarrollo_x000a_18/03/26: Según CQ, actualizó el estado a 04. Desarrollo Finalizado_x000a_26/01/26: Según CQ, actualizó el estado a 03. En Desarrollo_x000a_26/11/25: Según CQ, actualizó el estado a 05. En Calidad_x000a_21/11/25: Según CQ, actualizó el estado a 04. Desarrollo Finalizado_x000a_28/08/24: Según CQ, actualizó el estado a 03. En Desarrollo_x000a_15/08/24: Según CQ, actualizó el estado a 02. En Planificación_x000a_07/08/24: Según CQ, actualizó el estado a 02. En Planificación_x000a_31/05/2024: Se registró en el Backlog de requerimientos y se generó trámite para el inicio de su atención.. Solicitado por GG"/>
    <s v="Operac."/>
    <s v="CaptacionesPagaduría"/>
    <s v="2024-05"/>
    <s v="2024-06"/>
    <s v="No definido"/>
    <x v="0"/>
    <s v="No definido"/>
    <s v="En Proceso"/>
    <d v="2024-08-28T00:00:00"/>
    <d v="2025-07-31T00:00:00"/>
    <m/>
    <d v="2024-06-27T00:00:00"/>
    <s v="2024-II"/>
    <s v="Sin Fechas"/>
    <s v="No Aplica"/>
    <s v="ID 134"/>
    <s v="Finalizada"/>
    <x v="9"/>
    <d v="2026-04-22T19:59:39"/>
    <x v="0"/>
    <m/>
    <m/>
    <s v="Sin Fecha"/>
    <s v="Clientes (BDUC)"/>
    <s v="Canales Presenciales"/>
    <d v="2025-05-01T00:00:00"/>
    <d v="2025-05-01T00:00:00"/>
    <s v="Pasa a Calidad en mar-25"/>
    <d v="2025-05-31T00:00:00"/>
    <s v="Vencida"/>
    <s v="May 2025"/>
    <n v="2025"/>
    <x v="2"/>
    <m/>
    <n v="0.45"/>
    <s v="PRE"/>
    <s v="NO"/>
    <s v="03. En Desarrollo"/>
    <s v="SI"/>
    <x v="5"/>
    <n v="0.45"/>
    <n v="0.45"/>
    <n v="0"/>
    <n v="1"/>
    <d v="2025-11-03T00:00:00"/>
    <d v="2026-03-02T00:00:00"/>
    <d v="2026-03-31T00:00:00"/>
    <d v="2026-05-19T00:00:00"/>
    <d v="2026-06-19T00:00:00"/>
    <d v="2026-06-22T00:00:00"/>
    <d v="2026-06-26T00:00:00"/>
    <n v="22"/>
    <n v="1"/>
    <n v="25.142857142857142"/>
    <m/>
    <x v="2"/>
    <n v="0"/>
    <n v="22"/>
    <n v="0"/>
    <n v="25.142857142857142"/>
    <n v="0"/>
    <x v="6"/>
    <x v="0"/>
    <m/>
    <x v="0"/>
    <m/>
  </r>
  <r>
    <s v="M0526"/>
    <n v="2290"/>
    <x v="0"/>
    <s v="2024-T0372"/>
    <s v="2024-M0341"/>
    <s v="Incorporación de Campo para el cierre de cuentas de ahorro y corrientes."/>
    <s v="Incorporación de Campo para el cierre de cuentas de ahorro y corrientes."/>
    <x v="0"/>
    <s v="Captaciones y Pagaduría"/>
    <s v="Apertura de Cuentas"/>
    <d v="2024-05-22T00:00:00"/>
    <s v="MEMORANDO N° 00000312 - 2024-BN/3111"/>
    <s v="DPAH- Deposito de Ahorros MN"/>
    <s v="Cumplimiento Normativo"/>
    <x v="0"/>
    <s v="Cuenta de Ahorros"/>
    <s v="No aplica"/>
    <x v="3"/>
    <s v="Recomendación"/>
    <s v="AUDITORIA EXTERNA"/>
    <s v="Caipo y Asociados S. Civil, de R.L. - KPMG  "/>
    <s v="Memorándum de Recomendaciones sobre Aspectos de Control Interno, Contable y Otros al 31 de diciembre de 2023"/>
    <s v="I.6i "/>
    <s v="I.6i (RA)"/>
    <d v="2024-06-07T00:00:00"/>
    <s v="Normal"/>
    <d v="2024-06-27T00:00:00"/>
    <s v="Sistemas Bancarios"/>
    <s v="FS-Olssa"/>
    <s v="Norma Fukunaga Fuentes"/>
    <s v="Junior Quicaño"/>
    <x v="1"/>
    <x v="1"/>
    <x v="0"/>
    <d v="2024-06-10T00:00:00"/>
    <m/>
    <d v="2024-06-25T00:00:00"/>
    <d v="2025-02-20T00:00:00"/>
    <d v="2024-11-21T00:00:00"/>
    <d v="2025-02-26T00:00:00"/>
    <d v="2025-04-16T00:00:00"/>
    <d v="2025-01-19T14:24:00"/>
    <d v="2026-01-28T00:00:00"/>
    <d v="2026-03-19T00:00:00"/>
    <d v="2025-01-26T14:24:00"/>
    <s v="23/03/26: Según CQ, actualizó el estado a 08. Producción Finalizada_x000a_30/01/26: Según CQ, actualizó el estado a 07. En Despliegue_x000a_21/04/25: Según CQ, actualizó el estado a 06. Calidad Finalizado_x000a_27/02/25: Según CQ, actualizó el estado a 05. En Calidad_x000a_21/02/25: Según CQ, actualizó el estado a 04. Desarrollo Finalizado_x000a_07/01/2025: Se cambia el Recurso Asignado a Analista-BN debido a que el estado de INDRA es Rechazado_x000a_28/08/24: Según CQ, actualizó el estado a 03. En Desarrollo_x000a_15/08/24: Según CQ, actualizó el estado a 02. En Planificación_x000a_13/08/2024 Esta pendiente que fabrica remita el cronograma definitivo para planificar los plazos en certificación y produccón._x000a_07/08/24: Según CQ, actualizó el estado a 02. En Planificación_x000a_10/06/2024: Se registró en el Backlog de requerimientos"/>
    <s v="Operac."/>
    <s v="CaptacionesPagaduría"/>
    <s v="2024-05"/>
    <s v="2024-06"/>
    <s v="2025-02"/>
    <x v="2"/>
    <s v="2025-01"/>
    <s v="Rechazado"/>
    <d v="2024-09-19T00:00:00"/>
    <d v="2024-11-21T00:00:00"/>
    <m/>
    <d v="2024-06-27T00:00:00"/>
    <s v="2024-II"/>
    <n v="632"/>
    <n v="21.066666666666666"/>
    <s v="ID 130"/>
    <s v="Finalizada"/>
    <x v="1"/>
    <d v="2026-03-19T15:39:26"/>
    <x v="1"/>
    <s v="2419"/>
    <m/>
    <s v="Culminado"/>
    <s v="BackOffice"/>
    <s v="Otros Requerimientos"/>
    <d v="2025-03-01T00:00:00"/>
    <d v="2025-03-01T00:00:00"/>
    <s v="Debe entrar en febrero a calidad. "/>
    <d v="2026-03-19T00:00:00"/>
    <s v="Culminado"/>
    <s v="Mar 2026"/>
    <m/>
    <x v="1"/>
    <m/>
    <n v="1"/>
    <s v="PRE"/>
    <s v="NO"/>
    <s v="06. Calidad Finalizado"/>
    <s v="No aplica"/>
    <x v="1"/>
    <n v="1"/>
    <n v="1"/>
    <n v="0"/>
    <n v="1"/>
    <d v="2024-06-25T00:00:00"/>
    <d v="2024-06-25T00:00:00"/>
    <d v="2025-02-20T00:00:00"/>
    <d v="2025-02-26T00:00:00"/>
    <d v="2025-04-16T00:00:00"/>
    <d v="2026-01-28T00:00:00"/>
    <d v="2026-03-27T00:00:00"/>
    <n v="159"/>
    <n v="1"/>
    <n v="200"/>
    <m/>
    <x v="1"/>
    <n v="0"/>
    <n v="159"/>
    <n v="0"/>
    <n v="1272"/>
    <n v="0"/>
    <x v="4"/>
    <x v="0"/>
    <m/>
    <x v="0"/>
    <m/>
  </r>
  <r>
    <s v="M0533"/>
    <n v="2282"/>
    <x v="0"/>
    <s v="2024-T0424"/>
    <s v="2024-M0368"/>
    <s v="Mejora en los aplicativos CRMY_CRPP"/>
    <s v="Se requiere Mostrar los nombres completos de los aplicativos CRMY Y CRPP, ya sea por consultar , desembolsar o recupero de crédito para la atención de la cartera Banca Gobierno Nacional"/>
    <x v="0"/>
    <s v="Servicios Bancarios y Recaudación"/>
    <s v="Soporte Servicios Financieros"/>
    <d v="2024-05-09T00:00:00"/>
    <s v="MEMORANDO N° 00000092 - 2024-BN/3241"/>
    <s v="CRPP- Cobranzas Municipales"/>
    <m/>
    <x v="0"/>
    <s v="No Aplica"/>
    <s v="No aplica"/>
    <x v="0"/>
    <m/>
    <s v="RIESGOS"/>
    <s v="No Aplica"/>
    <s v="No Aplica"/>
    <s v="No Aplica"/>
    <s v="No Aplica"/>
    <s v="No Aplica"/>
    <s v="Normal"/>
    <d v="2024-06-27T00:00:00"/>
    <s v="Sistemas Bancarios"/>
    <s v="FS-Olssa"/>
    <s v="Maribel Marlene Medina Molina"/>
    <s v="Junior Quicaño"/>
    <x v="5"/>
    <x v="4"/>
    <x v="0"/>
    <d v="2024-07-11T00:00:00"/>
    <d v="2025-11-03T00:00:00"/>
    <d v="2024-07-11T00:00:00"/>
    <m/>
    <d v="2025-12-31T00:00:00"/>
    <m/>
    <m/>
    <d v="2026-08-03T04:48:00"/>
    <m/>
    <m/>
    <d v="2026-08-10T04:48:00"/>
    <s v="28/08/24: Según CQ, actualizó el estado a 03. En Desarrollo_x000a_15/08/24: Según CQ, actualizó el estado a 02. En Planificación_x000a_07/08/24: Según CQ, actualizó el estado a 02. En Planificación_x000a_11/07/24 Se creo el TD y se registro en la demanda tactica_x000a_27/06/24 El desarrollo está en proceso._x000a_24/05/2024: Se registró en la demanda integral."/>
    <s v="Operac."/>
    <s v="BancariosRecaudación"/>
    <s v="2024-05"/>
    <s v="2024-06"/>
    <s v="No definido"/>
    <x v="0"/>
    <s v="2026-08"/>
    <m/>
    <m/>
    <m/>
    <m/>
    <d v="2024-06-27T00:00:00"/>
    <s v="2024-II"/>
    <s v="Sin Fecha Fin Producción"/>
    <s v="No Aplica"/>
    <s v="ID 81"/>
    <s v="Iniciada"/>
    <x v="5"/>
    <d v="2026-03-04T11:13:38"/>
    <x v="0"/>
    <m/>
    <m/>
    <s v="2026-Q3"/>
    <s v="BackOffice"/>
    <s v="Otros Requerimientos"/>
    <d v="2025-04-01T00:00:00"/>
    <d v="2025-04-01T00:00:00"/>
    <s v="Pasa a Calidad mar-25, Atendido por OLssa, se reasigna en CQ a Maria Eva."/>
    <d v="2026-08-10T04:48:00"/>
    <s v="2026-3"/>
    <s v="Ago 2026"/>
    <n v="2025"/>
    <x v="2"/>
    <m/>
    <n v="0.4"/>
    <s v="PRE"/>
    <s v="NO"/>
    <s v="03. En Desarrollo"/>
    <s v="SI"/>
    <x v="5"/>
    <n v="0.44374999999999998"/>
    <n v="0.4"/>
    <n v="4.3749999999999956E-2"/>
    <n v="0.90140845070422548"/>
    <d v="2025-11-03T00:00:00"/>
    <d v="2026-02-10T00:00:00"/>
    <d v="2026-08-17T00:00:00"/>
    <d v="2026-08-18T00:00:00"/>
    <d v="2026-09-18T00:00:00"/>
    <d v="2026-09-21T00:00:00"/>
    <d v="2026-09-25T00:00:00"/>
    <n v="131"/>
    <n v="0.52592592592592591"/>
    <n v="524"/>
    <m/>
    <x v="2"/>
    <n v="0.47407407407407409"/>
    <n v="70"/>
    <n v="61"/>
    <n v="280"/>
    <n v="244"/>
    <x v="2"/>
    <x v="0"/>
    <m/>
    <x v="0"/>
    <m/>
  </r>
  <r>
    <s v="M0534"/>
    <n v="2323"/>
    <x v="0"/>
    <s v="2024-T0433"/>
    <s v="2024-M0431"/>
    <s v="Actualizar la interface del mantenimiento 2018-M0564 para incluir la inclusión de duplicados de cronogramas y la comisión por envío físico de estado de cuenta en la emisión de boletas electrónicas del Crédito Hipotecario."/>
    <m/>
    <x v="1"/>
    <s v="Banca Personal"/>
    <s v="Crédito Hipotecario"/>
    <d v="2024-07-08T00:00:00"/>
    <s v="MEMORANDO N° 00000060 - 2024-BN-3341"/>
    <s v="CRHP-Sistema Creditos Hipotecarios"/>
    <s v="Facturación Electrónica - I"/>
    <x v="1"/>
    <s v="No Aplica"/>
    <s v="No aplica"/>
    <x v="2"/>
    <s v="Normativo"/>
    <s v="SUNAT"/>
    <s v="R.S. N° 193-2020/SUNAT"/>
    <m/>
    <m/>
    <m/>
    <m/>
    <s v="Heredado"/>
    <m/>
    <s v="Sistemas Bancarios"/>
    <s v="FS-Indra"/>
    <s v="Javier Baltazar Urquiaga Salazar"/>
    <s v="Juan Carlos Zavaleta"/>
    <x v="1"/>
    <x v="1"/>
    <x v="0"/>
    <d v="2024-07-16T00:00:00"/>
    <m/>
    <d v="2024-08-19T00:00:00"/>
    <d v="2025-07-16T00:00:00"/>
    <d v="2025-07-03T00:00:00"/>
    <d v="2025-07-23T00:00:00"/>
    <d v="2025-08-20T00:00:00"/>
    <d v="2025-11-07T04:48:00"/>
    <d v="2026-01-05T00:00:00"/>
    <d v="2026-01-12T00:00:00"/>
    <d v="2025-11-14T04:48:00"/>
    <s v="13/01/26: Según CQ, actualizó el estado a 08. Producción Finalizada_x000a_05/01/26: Según CQ, actualizó el estado a 07. En Despliegue_x000a_21/08/25: Según CQ, actualizó el estado a 06. Calidad Finalizado_x000a_24/07/25: Según CQ, actualizó el estado a 05. En Calidad_x000a_17/07/25: Según CQ, actualizó el estado a 04. Desarrollo Finalizado_x000a_17/06/2025: Se cambia de gestor de TI de Omar S. a Juan Carlos Z._x000a_28/08/24: Según CQ, actualizó el estado a 03. En Desarrollo_x000a_20/08/24: Según CQ, actualizó el estado a 02. En Planificación_x000a_31/07/2024 Javier Urquiaga en reunión co los usuarios de FE del área de finanzas acordaron que eliminarian algunos puntos del alcance por lo que enviarían un correo con las precisiones.(Correo miércoles 24/07/2024 16:50)_x000a_16/07/2024 Se registró en el Backlog de requerimientos y se genero el tramite documentario. Es hijo del requerimiento ID 941_x000a_NOTA: Dependencia del trámite 2022-T0144"/>
    <s v="Productos"/>
    <s v="BancaPersonal"/>
    <s v="2024-07"/>
    <s v="No definido"/>
    <s v="2025-07"/>
    <x v="4"/>
    <s v="2025-11"/>
    <s v="Entregado"/>
    <d v="2024-09-19T00:00:00"/>
    <d v="2025-07-03T00:00:00"/>
    <d v="2025-07-03T00:00:00"/>
    <d v="2024-07-16T00:00:00"/>
    <s v="2024-III"/>
    <n v="511"/>
    <n v="17.033333333333335"/>
    <s v="ID 167-93"/>
    <s v="Finalizada"/>
    <x v="1"/>
    <d v="2026-01-12T12:30:41"/>
    <x v="0"/>
    <m/>
    <m/>
    <s v="Culminado"/>
    <s v="Créditos Hipotecarios"/>
    <s v="Productos"/>
    <d v="2025-03-01T00:00:00"/>
    <d v="2025-03-01T00:00:00"/>
    <s v="En cierre de construcción pasará a Calidad en quincena de febrero. -  Paquete 6"/>
    <d v="2026-01-12T00:00:00"/>
    <s v="Culminado"/>
    <s v="Ene 2026"/>
    <n v="2025"/>
    <x v="1"/>
    <m/>
    <n v="1"/>
    <s v="PRE"/>
    <s v="NO"/>
    <s v="06. Calidad Finalizado"/>
    <s v="No aplica"/>
    <x v="1"/>
    <n v="1"/>
    <n v="1"/>
    <n v="0"/>
    <n v="1"/>
    <d v="2024-08-19T00:00:00"/>
    <d v="2024-08-19T00:00:00"/>
    <d v="2025-07-16T00:00:00"/>
    <d v="2025-07-23T00:00:00"/>
    <d v="2025-08-20T00:00:00"/>
    <d v="2026-01-05T00:00:00"/>
    <d v="2026-01-15T00:00:00"/>
    <n v="225"/>
    <n v="1"/>
    <n v="200"/>
    <m/>
    <x v="1"/>
    <n v="0"/>
    <n v="225"/>
    <n v="0"/>
    <n v="1800"/>
    <n v="0"/>
    <x v="9"/>
    <x v="0"/>
    <m/>
    <x v="0"/>
    <m/>
  </r>
  <r>
    <s v="M0535"/>
    <n v="2333"/>
    <x v="0"/>
    <s v="2024-T0444"/>
    <s v="2024-M0447"/>
    <s v="Generar facturas electrónicas por el cobro de las comisiones en cuentas de ahorro por retiro en ventanilla, consulta de últimos movimientos, emisión de estado de cuenta y consulta de saldo en MN y ME."/>
    <s v="Se requiere que el aplicativo O7Invoice contenga toda la informacion de comprobantes de pago que se genere por las operaciones de cargo procesados en las cuentas de ahorro que se graban diariamente en el archivo de movimiento diario DPAH"/>
    <x v="0"/>
    <s v="Captaciones y Pagaduría"/>
    <s v="Administración de Cuentas y Pagaduría"/>
    <d v="2024-07-05T00:00:00"/>
    <s v="MEMORANDO N° 00000705 - 2024-BN-3191"/>
    <s v="DPAH- Deposito de Ahorros MN"/>
    <s v="Facturación Electrónica - I"/>
    <x v="1"/>
    <s v="No Aplica"/>
    <s v="No aplica"/>
    <x v="2"/>
    <s v="Normativo"/>
    <s v="SUNAT"/>
    <s v="R.S. N° 193-2020/SUNAT"/>
    <m/>
    <m/>
    <m/>
    <m/>
    <s v="Heredado"/>
    <s v="No aplica"/>
    <s v="Sistemas Bancarios"/>
    <s v="FS-Indra"/>
    <s v="Norma Fukunaga Fuentes"/>
    <s v="Juan Carlos Zavaleta"/>
    <x v="1"/>
    <x v="1"/>
    <x v="0"/>
    <d v="2024-07-24T00:00:00"/>
    <m/>
    <d v="2024-08-27T00:00:00"/>
    <d v="2025-06-17T00:00:00"/>
    <d v="2025-06-27T00:00:00"/>
    <d v="2025-08-13T00:00:00"/>
    <d v="2025-08-13T00:00:00"/>
    <d v="2025-10-26T14:24:00"/>
    <d v="2026-01-23T00:00:00"/>
    <d v="2026-01-28T00:00:00"/>
    <d v="2025-11-02T14:24:00"/>
    <s v="30/01/26: Según CQ, actualizó el estado a 08. Producción Finalizada_x000a_26/01/26: Según CQ, actualizó el estado a 07. En Despliegue_x000a_14/08/25: Según CQ, actualizó el estado a 06. Calidad Finalizado_x000a_26/06/25: Según CQ, actualizó el estado a 05. En Calidad_x000a_19/06/25: Según CQ, actualizó el estado a 04. Desarrollo Finalizado_x000a_17/06/2025: Se cambia de gestor de TI de Omar S. a Juan Carlos Z._x000a_28/08/24: Según CQ, actualizó el estado a 02. En Planificación_x000a_24/07/2024 Se registró en el Backlog de requerimientos, se genero el tramite documentario y se registro en la demanda tactica_x000a_NOTA: Dependencia del trámite 2022-T0144"/>
    <s v="Operac."/>
    <s v="CaptacionesPagaduría"/>
    <s v="2024-07"/>
    <s v="No aplica"/>
    <s v="2025-06"/>
    <x v="4"/>
    <s v="2025-11"/>
    <s v="Finalizado"/>
    <d v="2024-09-18T00:00:00"/>
    <d v="2025-06-27T00:00:00"/>
    <d v="2025-06-27T00:00:00"/>
    <d v="2024-07-24T00:00:00"/>
    <s v="2024-III"/>
    <n v="519"/>
    <n v="17.3"/>
    <s v="ID 159"/>
    <s v="Finalizada"/>
    <x v="1"/>
    <d v="2026-01-28T08:45:04"/>
    <x v="0"/>
    <m/>
    <m/>
    <s v="Culminado"/>
    <s v="BackOffice"/>
    <s v="Otros Requerimientos"/>
    <s v="Pordefinir"/>
    <m/>
    <s v="Se coordinará con el area usuaria si la necesidad persiste."/>
    <d v="2026-01-28T00:00:00"/>
    <s v="Culminado"/>
    <s v="Ene 2026"/>
    <s v="Rev."/>
    <x v="1"/>
    <m/>
    <n v="1"/>
    <s v="PRE"/>
    <s v="NO"/>
    <s v="06. Calidad Finalizado"/>
    <s v="No aplica"/>
    <x v="1"/>
    <n v="1"/>
    <n v="1"/>
    <n v="0"/>
    <n v="1"/>
    <d v="2024-08-27T00:00:00"/>
    <d v="2024-08-27T00:00:00"/>
    <d v="2025-06-17T00:00:00"/>
    <d v="2025-08-13T00:00:00"/>
    <d v="2025-08-13T00:00:00"/>
    <d v="2026-01-23T00:00:00"/>
    <d v="2026-02-06T00:00:00"/>
    <n v="198"/>
    <n v="1"/>
    <n v="200"/>
    <m/>
    <x v="1"/>
    <n v="0"/>
    <n v="198"/>
    <n v="0"/>
    <n v="1584"/>
    <n v="0"/>
    <x v="11"/>
    <x v="0"/>
    <m/>
    <x v="0"/>
    <m/>
  </r>
  <r>
    <s v="M0556"/>
    <n v="2235"/>
    <x v="0"/>
    <s v="2024-T0510"/>
    <s v="2024-M0509"/>
    <s v="Levantamiento de Incidencias en el módulo de RBFF-FONAVI"/>
    <s v="Correcto acceso al Módulo RBFF y correcta ejecución del archivo de publicados."/>
    <x v="0"/>
    <s v="Servicios Bancarios y Recaudación"/>
    <s v="Recaudación y Corresponsalía"/>
    <d v="2024-02-05T00:00:00"/>
    <s v="MEMORANDO N° 00000031 - 2024-BN/3243"/>
    <s v="PRCA- Prestamos Corresponsalia Agro"/>
    <m/>
    <x v="2"/>
    <s v="No Aplica"/>
    <s v="No aplica"/>
    <x v="0"/>
    <m/>
    <s v="No Aplica"/>
    <s v="No Aplica"/>
    <s v="No Aplica"/>
    <s v="No Aplica"/>
    <s v="No Aplica"/>
    <s v="No Aplica"/>
    <s v="Normal"/>
    <d v="2024-08-29T00:00:00"/>
    <s v="Sistemas Bancarios"/>
    <s v="FS-Olssa"/>
    <s v="María Eva Alfaro Apaza"/>
    <s v="Junior Quicaño"/>
    <x v="6"/>
    <x v="4"/>
    <x v="0"/>
    <d v="2024-09-02T00:00:00"/>
    <m/>
    <d v="2024-09-30T00:00:00"/>
    <d v="2024-11-25T00:00:00"/>
    <m/>
    <d v="2024-12-18T00:00:00"/>
    <d v="2025-01-06T00:00:00"/>
    <d v="2024-12-17T09:36:00"/>
    <m/>
    <m/>
    <d v="2024-12-24T09:36:00"/>
    <s v="07/01/25: Según CQ, actualizó el estado a 06. Calidad Finalizado_x000a_28/11/24: Según CQ, actualizó el estado a 05. En Calidad_x000a_26/11/24: Según CQ, actualizó el estado a 04. Desarrollo Finalizado_x000a_30/09/24: Según CQ, actualizó el estado a 03. En Desarrollo_x000a_27/06/24 Se revisará en un prox. comité cuando el recurso se libere. Se evaluará su envío a Fábrica._x000a_22/05/2024: A ser evaluado con J Rueda. Para revisar en Prox. Comité. Falta capacidad operativa._x000a_24/04/2024: Se registró en la demanda Integral "/>
    <s v="Operac."/>
    <s v="BancariosRecaudación"/>
    <s v="2024-02"/>
    <s v="2024-08"/>
    <s v="2024-11"/>
    <x v="0"/>
    <s v="2024-12"/>
    <m/>
    <m/>
    <m/>
    <m/>
    <d v="2024-08-29T00:00:00"/>
    <s v="2024-III"/>
    <s v="Sin Fecha Fin Producción"/>
    <s v="No Aplica"/>
    <s v="ID 30"/>
    <s v="Finalizada"/>
    <x v="7"/>
    <d v="2026-01-08T17:56:54"/>
    <x v="0"/>
    <m/>
    <m/>
    <s v="Vencida"/>
    <s v="BackOffice"/>
    <s v="Otros Requerimientos"/>
    <d v="2025-02-01T00:00:00"/>
    <d v="2025-02-01T00:00:00"/>
    <m/>
    <d v="2025-02-28T00:00:00"/>
    <s v="Vencida"/>
    <s v="Feb 2025"/>
    <m/>
    <x v="2"/>
    <m/>
    <n v="0.85"/>
    <s v="PRE"/>
    <s v="NO"/>
    <s v="06. Calidad Finalizado"/>
    <s v="SI"/>
    <x v="2"/>
    <n v="1"/>
    <n v="0.85"/>
    <n v="0.15000000000000002"/>
    <n v="0.85"/>
    <d v="2024-09-30T00:00:00"/>
    <d v="2024-09-30T00:00:00"/>
    <d v="2024-11-25T00:00:00"/>
    <d v="2024-12-18T00:00:00"/>
    <d v="2025-01-06T00:00:00"/>
    <d v="2026-02-19T00:00:00"/>
    <d v="2026-03-27T00:00:00"/>
    <n v="38"/>
    <n v="1"/>
    <n v="200"/>
    <m/>
    <x v="5"/>
    <n v="0"/>
    <n v="38"/>
    <n v="0"/>
    <n v="304"/>
    <n v="0"/>
    <x v="4"/>
    <x v="0"/>
    <s v="18/03: 18/03: Analista indicó lo siguiente: 'Componentes no se pueden desplegar, ya que las Actas de Seguridad están en Proceso por parte de Recaudación."/>
    <x v="2"/>
    <m/>
  </r>
  <r>
    <s v="M0595"/>
    <n v="2388"/>
    <x v="0"/>
    <s v="2024-T0475"/>
    <s v="2024-M0418"/>
    <s v="ME: Modificación para el registro de reclamos por bancaseguros en SARE intranet/internet, en mantenimiento y reportes"/>
    <s v="El SARE no cuenta con el detalle solicitado en la Resolución SBS 04036-2022, el cual es de carácter normativo/obligatorio."/>
    <x v="9"/>
    <s v="Experiencia de Cliente y Reclamos"/>
    <s v="Reclamos"/>
    <d v="2024-08-07T00:00:00"/>
    <s v="MEMORANDO N° 00000080 - 2024-BN/7832"/>
    <s v="SARE_Atención de Reclamos"/>
    <m/>
    <x v="2"/>
    <s v="Crédito Hipotecario"/>
    <s v="Cobranzas "/>
    <x v="2"/>
    <s v="Normativo"/>
    <s v="SBS"/>
    <s v="Resolución S.B.S. N° 04036 - 2022"/>
    <m/>
    <m/>
    <m/>
    <d v="2024-01-01T00:00:00"/>
    <s v="Normal"/>
    <d v="2024-08-29T00:00:00"/>
    <s v="Sistemas Administrativos"/>
    <s v="FS-Indra"/>
    <s v="Paul Alminagorta Cabezas"/>
    <s v="Maria Barboza"/>
    <x v="0"/>
    <x v="0"/>
    <x v="0"/>
    <d v="2024-08-13T00:00:00"/>
    <m/>
    <d v="2026-02-25T00:00:00"/>
    <m/>
    <d v="2024-11-11T00:00:00"/>
    <m/>
    <m/>
    <d v="2024-05-06T14:24:00"/>
    <d v="2026-02-24T00:00:00"/>
    <m/>
    <d v="2024-05-13T14:24:00"/>
    <s v="19/01/2025: Cartera reasignada a Maria Barboza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3/01/2025 Cartera reasignada a Milagros Huamaní_x000a_23/08/2024:  Se registró en el Backlog de requerimientos."/>
    <s v="GerenciaGral."/>
    <s v="ClienteReclamos"/>
    <s v="2024-08"/>
    <s v="2024-08"/>
    <s v="No definido"/>
    <x v="0"/>
    <s v="2024-05"/>
    <s v="Finalizado"/>
    <d v="2024-09-02T00:00:00"/>
    <d v="2024-11-11T00:00:00"/>
    <d v="2024-11-11T00:00:00"/>
    <d v="2024-08-29T00:00:00"/>
    <s v="2024-III"/>
    <s v="Sin Fecha Fin Producción"/>
    <s v="No Aplica"/>
    <s v="QC-215"/>
    <s v="Finalizada"/>
    <x v="0"/>
    <d v="2026-02-25T18:40:56"/>
    <x v="0"/>
    <m/>
    <m/>
    <s v="Vencida"/>
    <s v="BackOffice"/>
    <s v="Otros Requerimientos"/>
    <d v="2025-05-01T00:00:00"/>
    <d v="2025-05-01T00:00:00"/>
    <s v="Pase a calidad abril-25"/>
    <d v="2025-05-31T00:00:00"/>
    <s v="Vencida"/>
    <s v="May 2025"/>
    <n v="2025"/>
    <x v="0"/>
    <m/>
    <n v="-0.01"/>
    <s v="POST"/>
    <s v="REACTIVADO"/>
    <s v="Reactivo"/>
    <s v="No aplica"/>
    <x v="0"/>
    <s v=""/>
    <n v="-0.01"/>
    <s v=""/>
    <s v=""/>
    <m/>
    <m/>
    <m/>
    <m/>
    <m/>
    <m/>
    <m/>
    <n v="25"/>
    <n v="0.1"/>
    <n v="200"/>
    <m/>
    <x v="0"/>
    <n v="0.9"/>
    <n v="1"/>
    <n v="24"/>
    <n v="8"/>
    <n v="192"/>
    <x v="0"/>
    <x v="0"/>
    <m/>
    <x v="0"/>
    <m/>
  </r>
  <r>
    <s v="M0596"/>
    <n v="2391"/>
    <x v="0"/>
    <s v="2024-T0505"/>
    <s v="2024-M0449"/>
    <s v="Reducción a 5 minutos de los extornos para tasas canal ventanilla"/>
    <s v="Reducción a 5 minutos de los extornos para tasas canal ventanilla."/>
    <x v="0"/>
    <s v="Servicios Bancarios y Recaudación"/>
    <s v="Recaudación y Corresponsalía"/>
    <d v="2024-07-01T00:00:00"/>
    <s v="MEMORANDO N° 00000132 - 2024-BN/3243"/>
    <s v="RECA-Recaudacion"/>
    <m/>
    <x v="2"/>
    <s v="No Aplica"/>
    <s v="Pagos "/>
    <x v="0"/>
    <m/>
    <s v="No Aplica"/>
    <s v="No Aplica"/>
    <s v="No Aplica"/>
    <s v="No Aplica"/>
    <s v="No Aplica"/>
    <s v="No Aplica"/>
    <s v="Normal"/>
    <d v="2024-08-29T00:00:00"/>
    <s v="Sistemas Bancarios"/>
    <s v="Analista-BN"/>
    <s v="Jorge Lucio Ruedas Fernandez"/>
    <s v="Junior Quicaño"/>
    <x v="5"/>
    <x v="4"/>
    <x v="0"/>
    <d v="2024-08-28T00:00:00"/>
    <m/>
    <m/>
    <m/>
    <m/>
    <m/>
    <m/>
    <s v=""/>
    <m/>
    <m/>
    <s v=""/>
    <s v="08/05/26: Según CQ, actualizó el estado a 03. En Desarrollo_x000a_19/03/25: Según CQ, actualizó el estado a 06. Calidad Finalizado_x000a_07/03/25: Según CQ, actualizó el estado a 05. En Calidad_x000a_04/03/25: Según CQ, actualizó el estado a 04. Desarrollo Finalizado_x000a_03/09/24: Según CQ, actualizó el estado a 03. En Desarrollo_x000a_28/08/2024:  Se registró en el Backlog de requerimientos."/>
    <s v="Operac."/>
    <s v="BancariosRecaudación"/>
    <s v="2024-07"/>
    <s v="2024-08"/>
    <s v="No definido"/>
    <x v="0"/>
    <s v="No definido"/>
    <m/>
    <m/>
    <m/>
    <m/>
    <d v="2024-08-29T00:00:00"/>
    <s v="2024-III"/>
    <s v="Sin Fechas"/>
    <s v="No Aplica"/>
    <s v="ID 162"/>
    <s v="Finalizada"/>
    <x v="9"/>
    <d v="2026-05-08T08:14:36"/>
    <x v="0"/>
    <m/>
    <m/>
    <s v="Sin Fecha"/>
    <s v="BackOffice"/>
    <s v="Otros Requerimientos"/>
    <d v="2025-03-01T00:00:00"/>
    <d v="2025-03-01T00:00:00"/>
    <s v="Desarrollo Terminado x JRueda, pasa a Calidad Feb-25 con Mantenimiento de saraweb (merge Feb.25) (2024-M0267)"/>
    <d v="2025-03-31T00:00:00"/>
    <s v="Vencida"/>
    <s v="Mar 2025"/>
    <m/>
    <x v="2"/>
    <m/>
    <n v="0.45"/>
    <s v="PRE"/>
    <s v="NO"/>
    <s v="06. Calidad Finalizado"/>
    <s v="SI"/>
    <x v="2"/>
    <n v="1"/>
    <n v="0.45"/>
    <n v="0.55000000000000004"/>
    <n v="0.45"/>
    <d v="2024-08-29T00:00:00"/>
    <d v="2024-08-29T00:00:00"/>
    <d v="2025-03-03T00:00:00"/>
    <d v="2025-03-06T00:00:00"/>
    <d v="2025-03-18T00:00:00"/>
    <d v="2026-02-19T00:00:00"/>
    <d v="2026-03-27T00:00:00"/>
    <n v="121"/>
    <n v="1"/>
    <n v="242"/>
    <m/>
    <x v="2"/>
    <n v="0"/>
    <n v="121"/>
    <n v="0"/>
    <n v="242"/>
    <n v="0"/>
    <x v="4"/>
    <x v="0"/>
    <s v="18/03: Analista indicó lo siguiente: 'Se ha pedido a las áreas usuarias respectivas si se va RECHAZAR y/o DEVOLVER a desarrollo."/>
    <x v="4"/>
    <m/>
  </r>
  <r>
    <s v="M0604"/>
    <n v="2402"/>
    <x v="0"/>
    <s v="2024-T0531"/>
    <s v="2024-M0461"/>
    <s v="Emisión comprobante de pago por la comisión por uso de cajero BN por parte de clientes foráneos locales e internacionales"/>
    <m/>
    <x v="2"/>
    <s v="Canales Alternos"/>
    <s v="Canales Virtuales"/>
    <d v="2024-08-29T00:00:00"/>
    <s v="MEMORANDO N° 00000430 - 2024-BN-3252"/>
    <s v="TMIN-Tarjeta Multired Interfaces"/>
    <s v="Facturación Electrónica - I"/>
    <x v="1"/>
    <s v="No Aplica"/>
    <s v="No aplica"/>
    <x v="2"/>
    <s v="Normativo"/>
    <s v="SUNAT"/>
    <s v="R.S N° 193-2020/SUNAT"/>
    <m/>
    <m/>
    <m/>
    <d v="2024-09-30T00:00:00"/>
    <s v="Normal"/>
    <m/>
    <s v="Sistemas Bancarios"/>
    <s v="FS-Indra"/>
    <s v="Vladimir Ronald Cajavilca Cajavilca"/>
    <s v="Juan Carlos Zavaleta"/>
    <x v="6"/>
    <x v="4"/>
    <x v="0"/>
    <d v="2024-09-05T00:00:00"/>
    <m/>
    <d v="2024-09-05T00:00:00"/>
    <d v="2025-08-07T00:00:00"/>
    <d v="2025-05-22T00:00:00"/>
    <d v="2025-08-08T00:00:00"/>
    <d v="2025-08-14T00:00:00"/>
    <d v="2025-09-02T14:24:00"/>
    <m/>
    <m/>
    <d v="2025-09-09T14:24:00"/>
    <s v="15/08/25: Según CQ, actualizó el estado a 06. Calidad Finalizado_x000a_11/08/25: Según CQ, actualizó el estado a 05. En Calidad_x000a_07/08/25: Según CQ, actualizó el estado a 04. Desarrollo Finalizado_x000a_17/06/2025: Se cambia de gestor de TI de Omar S. a Juan Carlos Z._x000a_09/09/24: Según CQ, actualizó el estado a 02. En Planificación_x000a_05/09/2024:  Se registró en el Backlog de requerimientos._x000a_NOTA: Dependencia del RQ con ID Histórico 941"/>
    <s v="B.Digital"/>
    <s v="CanalesAlternos"/>
    <s v="2024-08"/>
    <s v="No definido"/>
    <s v="2025-08"/>
    <x v="0"/>
    <s v="2025-09"/>
    <s v="Entregado"/>
    <d v="2024-12-16T00:00:00"/>
    <d v="2025-05-22T00:00:00"/>
    <d v="2025-05-22T00:00:00"/>
    <d v="2024-09-05T00:00:00"/>
    <s v="2024-III"/>
    <s v="Sin Fecha Fin Producción"/>
    <s v="No Aplica"/>
    <s v="QC-212"/>
    <s v="Finalizada"/>
    <x v="7"/>
    <d v="2025-12-01T15:47:00"/>
    <x v="0"/>
    <m/>
    <m/>
    <s v="Vencida"/>
    <s v="ATM-Agentes-VISA"/>
    <s v="Canales Presenciales"/>
    <d v="2025-05-01T00:00:00"/>
    <d v="2025-05-01T00:00:00"/>
    <s v="24/04/25: Se tiene que Posponer en CQ debido a que no se tiene registor. de comisiones. Lucila Choy  indicó qeue se hará manualmente por el momento."/>
    <d v="2025-05-31T00:00:00"/>
    <s v="Vencida"/>
    <s v="May 2025"/>
    <n v="2025"/>
    <x v="2"/>
    <s v="Visa"/>
    <n v="0.85"/>
    <s v="PRE"/>
    <s v="NO"/>
    <s v="06. Calidad Finalizado"/>
    <s v="SI"/>
    <x v="2"/>
    <n v="1"/>
    <n v="0.85"/>
    <n v="0.15000000000000002"/>
    <n v="0.85"/>
    <d v="2024-09-05T00:00:00"/>
    <d v="2024-09-05T00:00:00"/>
    <d v="2025-08-07T00:00:00"/>
    <d v="2025-08-08T00:00:00"/>
    <d v="2025-08-14T00:00:00"/>
    <d v="2026-02-19T00:00:00"/>
    <d v="2026-04-30T00:00:00"/>
    <n v="227"/>
    <n v="1"/>
    <n v="200"/>
    <m/>
    <x v="5"/>
    <n v="0"/>
    <n v="227"/>
    <n v="0"/>
    <n v="1816"/>
    <n v="0"/>
    <x v="1"/>
    <x v="0"/>
    <s v="18/03: Se planificará con construcción el pase según correo del Subgerente de construcción."/>
    <x v="2"/>
    <m/>
  </r>
  <r>
    <s v="M0606"/>
    <n v="2404"/>
    <x v="0"/>
    <s v="2024-T0533"/>
    <s v="2024-M0462"/>
    <s v="Emisión de Comprobantes de pago por la comisión por reposición de la nueva tarjeta multired"/>
    <m/>
    <x v="2"/>
    <s v="Canales Alternos"/>
    <s v="Canales Virtuales"/>
    <d v="2024-08-29T00:00:00"/>
    <s v="MEMORANDO N° 00000430 - 2024-BN-3252"/>
    <s v="ATCA-Adm.Tarjetas Cajero Automático"/>
    <s v="Facturación Electrónica - I"/>
    <x v="1"/>
    <s v="No Aplica"/>
    <s v="No aplica"/>
    <x v="2"/>
    <s v="Normativo"/>
    <s v="SUNAT"/>
    <s v="R.S N° 193-2020/SUNAT"/>
    <m/>
    <m/>
    <m/>
    <d v="2024-09-30T00:00:00"/>
    <s v="Normal"/>
    <m/>
    <s v="Sistemas Bancarios"/>
    <s v="FS-Indra"/>
    <s v="Waldo Antonio Basurto Valverde"/>
    <s v="Juan Carlos Zavaleta"/>
    <x v="1"/>
    <x v="1"/>
    <x v="0"/>
    <d v="2024-09-05T00:00:00"/>
    <m/>
    <d v="2025-12-12T00:00:00"/>
    <d v="2025-12-16T00:00:00"/>
    <d v="2025-07-25T00:00:00"/>
    <d v="2025-12-16T00:00:00"/>
    <d v="2025-12-17T00:00:00"/>
    <d v="2025-05-30T00:00:00"/>
    <d v="2026-01-21T00:00:00"/>
    <d v="2026-01-21T00:00:00"/>
    <d v="2025-06-06T00:00:00"/>
    <s v="26/01/26: Según CQ, actualizó el estado a 08. Producción Finalizada_x000a_18/12/25: Según CQ, actualizó el estado a 06. Calidad Finalizado_x000a_17/12/25: Según CQ, actualizó el estado a 05. En Calidad_x000a_17/11/25: Según CQ, actualizó el estado a 03. En Desarrollo_x000a_27/10/25: Según CQ, actualizó el estado a 05. En Calidad_x000a_22/10/25: Según CQ, actualizó el estado a 04. Desarrollo Finalizado_x000a_17/06/2025: Se cambia de gestor de TI de Omar S. a Juan Carlos Z._x000a_05/09/2024:  Se registró en el Backlog de requerimientos._x000a_NOTA: Dependencia del RQ con ID Histórico 941"/>
    <s v="B.Digital"/>
    <s v="CanalesAlternos"/>
    <s v="2024-08"/>
    <s v="No definido"/>
    <s v="2025-12"/>
    <x v="4"/>
    <s v="2025-06"/>
    <s v="Finalizado"/>
    <d v="2024-10-28T00:00:00"/>
    <d v="2025-07-25T00:00:00"/>
    <d v="2025-07-25T00:00:00"/>
    <d v="2024-09-05T00:00:00"/>
    <s v="2024-III"/>
    <n v="40"/>
    <n v="1.3333333333333333"/>
    <s v="ID 224"/>
    <s v="Finalizada"/>
    <x v="1"/>
    <d v="2026-01-21T11:39:43"/>
    <x v="0"/>
    <m/>
    <m/>
    <s v="Culminado"/>
    <s v="ATM-Agentes-VISA"/>
    <s v="Canales Presenciales"/>
    <d v="2025-04-01T00:00:00"/>
    <d v="2025-04-01T00:00:00"/>
    <s v="- Paquete 7"/>
    <d v="2026-01-21T00:00:00"/>
    <s v="Culminado"/>
    <s v="Ene 2026"/>
    <n v="2025"/>
    <x v="1"/>
    <m/>
    <n v="1"/>
    <s v="PRE"/>
    <s v="NO"/>
    <s v="05. En Calidad"/>
    <s v="No aplica"/>
    <x v="1"/>
    <n v="1"/>
    <n v="1"/>
    <n v="0"/>
    <n v="1"/>
    <d v="2025-12-12T00:00:00"/>
    <d v="2025-12-12T00:00:00"/>
    <d v="2025-12-16T00:00:00"/>
    <d v="2025-12-16T00:00:00"/>
    <d v="2025-12-17T00:00:00"/>
    <d v="2026-01-21T00:00:00"/>
    <d v="2026-01-23T00:00:00"/>
    <n v="3"/>
    <n v="1"/>
    <n v="200"/>
    <s v="BD"/>
    <x v="1"/>
    <n v="0"/>
    <n v="3"/>
    <n v="0"/>
    <n v="24"/>
    <n v="0"/>
    <x v="9"/>
    <x v="0"/>
    <m/>
    <x v="0"/>
    <m/>
  </r>
  <r>
    <s v="M0698"/>
    <n v="2416"/>
    <x v="0"/>
    <s v="2024-T0557"/>
    <s v="2024-M0529"/>
    <s v="Emisión de comprobantes electrónicas por los cobros de comisión a través de la Transacción 3610"/>
    <m/>
    <x v="4"/>
    <s v="Contabilidad"/>
    <m/>
    <d v="2024-09-11T00:00:00"/>
    <s v="MEMORANDO N° 00000188 - 2024-BN-6210"/>
    <s v="PGCO-Pago de Comisiones"/>
    <s v="Facturación Electrónica - I"/>
    <x v="1"/>
    <s v="No Aplica"/>
    <s v="No aplica"/>
    <x v="2"/>
    <s v="Normativo"/>
    <s v="SUNAT"/>
    <s v="R.S. N° 193-2020/SUNAT"/>
    <m/>
    <m/>
    <m/>
    <d v="2024-12-31T00:00:00"/>
    <s v="Heredado"/>
    <m/>
    <s v="Sistemas Bancarios"/>
    <s v="FS-Olssa"/>
    <s v="Maribel Marlene Medina Molina"/>
    <s v="Juan Carlos Zavaleta"/>
    <x v="3"/>
    <x v="3"/>
    <x v="2"/>
    <d v="2024-09-18T00:00:00"/>
    <m/>
    <d v="2026-03-10T00:00:00"/>
    <d v="2026-02-26T00:00:00"/>
    <d v="2025-07-04T00:00:00"/>
    <d v="2026-03-03T00:00:00"/>
    <m/>
    <d v="2025-03-26T09:36:00"/>
    <m/>
    <m/>
    <d v="2025-04-02T09:36:00"/>
    <s v="10/03/26: Según CQ, actualizó el estado a 10. Paralizado_x000a_04/03/26: Según CQ, actualizó el estado a 03. En Desarrollo_x000a_27/02/26: Según CQ, actualizó el estado a 04. Desarrollo Finalizado_x000a_17/06/2025: Se cambia de gestor de TI de Omar S. a Juan Carlos Z._x000a_10/10/24: Según CQ, actualizó el estado a 03. En Desarrollo_x000a_18/09/2024:  Se registró en el Backlog de requerimientos. Se generó TD _x000a_NOTA: Dependencia del RQ con ID Histórico 941"/>
    <s v="Finanzas"/>
    <s v="Contabilidad"/>
    <s v="2024-09"/>
    <s v="No definido"/>
    <s v="2026-02"/>
    <x v="0"/>
    <s v="2025-04"/>
    <s v="Rechazado"/>
    <d v="2024-11-14T00:00:00"/>
    <d v="2025-07-04T00:00:00"/>
    <m/>
    <d v="2024-09-18T00:00:00"/>
    <s v="2024-III"/>
    <s v="Sin Fecha Fin Producción"/>
    <s v="No Aplica"/>
    <s v="QC-240"/>
    <s v="Finalizada"/>
    <x v="3"/>
    <d v="2026-03-10T13:11:30"/>
    <x v="0"/>
    <m/>
    <m/>
    <s v="Vencida"/>
    <s v="BackOffice"/>
    <s v="Otros Requerimientos"/>
    <d v="2025-04-01T00:00:00"/>
    <d v="2025-04-01T00:00:00"/>
    <s v="- Paquete 7"/>
    <d v="2025-04-30T00:00:00"/>
    <s v="Vencida"/>
    <s v="Abr 2025"/>
    <n v="2025"/>
    <x v="2"/>
    <m/>
    <n v="0.12"/>
    <s v="PRE"/>
    <s v="NO"/>
    <s v="03. En Desarrollo"/>
    <s v="No aplica"/>
    <x v="3"/>
    <n v="0.6705882352941176"/>
    <n v="0.12"/>
    <n v="0.5505882352941176"/>
    <n v="0.17894736842105263"/>
    <d v="2026-01-16T00:00:00"/>
    <d v="2026-03-02T00:00:00"/>
    <d v="2026-03-31T00:00:00"/>
    <d v="2026-03-31T00:00:00"/>
    <d v="2026-06-12T00:00:00"/>
    <d v="2026-06-12T00:00:00"/>
    <d v="2026-06-30T00:00:00"/>
    <n v="22"/>
    <n v="1"/>
    <n v="200"/>
    <m/>
    <x v="3"/>
    <n v="0"/>
    <n v="22"/>
    <n v="0"/>
    <n v="176"/>
    <n v="0"/>
    <x v="6"/>
    <x v="0"/>
    <m/>
    <x v="0"/>
    <m/>
  </r>
  <r>
    <s v="M0699"/>
    <n v="2417"/>
    <x v="0"/>
    <s v="2024-T0558"/>
    <s v="2024-M0528"/>
    <s v="Emisión de Comprobantes de pago por las comisiones de uso del canal ATM BN"/>
    <m/>
    <x v="2"/>
    <s v="Canales Alternos"/>
    <s v="Canales Presenciales"/>
    <d v="2024-09-15T00:00:00"/>
    <s v="MEMORANDO N° 00000387 - 2024-BN-3251"/>
    <s v="TMIN-Tarjeta Multired Interfaces"/>
    <s v="Facturación Electrónica - I"/>
    <x v="1"/>
    <s v="No Aplica"/>
    <s v="No aplica"/>
    <x v="2"/>
    <s v="Normativo"/>
    <s v="SUNAT"/>
    <s v="R.S. N° 193-2020/SUNAT"/>
    <m/>
    <m/>
    <m/>
    <d v="2024-12-31T00:00:00"/>
    <s v="Heredado"/>
    <m/>
    <s v="Sistemas Bancarios"/>
    <s v="FS-Indra"/>
    <s v="Vladimir Ronald Cajavilca Cajavilca"/>
    <s v="Juan Carlos Zavaleta"/>
    <x v="1"/>
    <x v="1"/>
    <x v="0"/>
    <d v="2024-09-18T00:00:00"/>
    <m/>
    <d v="2024-10-03T00:00:00"/>
    <d v="2025-08-07T00:00:00"/>
    <d v="2025-05-23T00:00:00"/>
    <d v="2025-08-08T00:00:00"/>
    <d v="2025-08-20T00:00:00"/>
    <d v="2025-08-23T19:12:00"/>
    <d v="2026-01-09T00:00:00"/>
    <d v="2026-01-13T00:00:00"/>
    <d v="2025-08-30T19:12:00"/>
    <s v="14/01/26: Según CQ, actualizó el estado a 08. Producción Finalizada_x000a_12/01/26: Según CQ, actualizó el estado a 07. En Despliegue_x000a_21/08/25: Según CQ, actualizó el estado a 06. Calidad Finalizado_x000a_11/08/25: Según CQ, actualizó el estado a 05. En Calidad_x000a_07/08/25: Según CQ, actualizó el estado a 04. Desarrollo Finalizado_x000a_17/06/2025: Se cambia de gestor de TI de Omar S. a Juan Carlos Z._x000a_10/10/24: Según CQ, actualizó el estado a 03. En Desarrollo_x000a_18/09/2024:  Se registró en el Backlog de requerimientos. Se generó TD _x000a_NOTA: Dependencia del RQ con ID Histórico 941"/>
    <s v="B.Digital"/>
    <s v="CanalesAlternos"/>
    <s v="2024-09"/>
    <s v="No definido"/>
    <s v="2025-08"/>
    <x v="4"/>
    <s v="2025-08"/>
    <s v="Entregado"/>
    <d v="2024-12-16T00:00:00"/>
    <d v="2025-05-23T00:00:00"/>
    <d v="2025-05-23T00:00:00"/>
    <d v="2024-09-18T00:00:00"/>
    <s v="2024-III"/>
    <n v="467"/>
    <n v="15.566666666666666"/>
    <s v="QC-241"/>
    <s v="Finalizada"/>
    <x v="1"/>
    <d v="2026-04-10T09:42:09"/>
    <x v="0"/>
    <m/>
    <m/>
    <s v="Culminado"/>
    <s v="ATM-Agentes-VISA"/>
    <s v="Canales Presenciales"/>
    <d v="2025-05-01T00:00:00"/>
    <d v="2025-05-01T00:00:00"/>
    <s v="- Paquete 7"/>
    <d v="2026-01-13T00:00:00"/>
    <s v="Culminado"/>
    <s v="Ene 2026"/>
    <n v="2025"/>
    <x v="1"/>
    <s v="ATM"/>
    <n v="1"/>
    <s v="PRE"/>
    <s v="NO"/>
    <s v="06. Calidad Finalizado"/>
    <s v="No aplica"/>
    <x v="1"/>
    <n v="1"/>
    <n v="1"/>
    <n v="0"/>
    <n v="1"/>
    <d v="2024-10-03T00:00:00"/>
    <d v="2024-10-03T00:00:00"/>
    <d v="2025-08-07T00:00:00"/>
    <d v="2025-08-08T00:00:00"/>
    <d v="2025-08-20T00:00:00"/>
    <d v="2026-01-09T00:00:00"/>
    <d v="2026-01-13T00:00:00"/>
    <n v="207"/>
    <n v="1"/>
    <n v="200"/>
    <m/>
    <x v="1"/>
    <n v="0"/>
    <n v="207"/>
    <n v="0"/>
    <n v="1656"/>
    <n v="0"/>
    <x v="9"/>
    <x v="0"/>
    <m/>
    <x v="0"/>
    <m/>
  </r>
  <r>
    <s v="M0728"/>
    <n v="2461"/>
    <x v="0"/>
    <s v="2024-T0614"/>
    <s v="2024-M0546"/>
    <s v="Efectuar cambios en la Transacción 3210 Sedapal"/>
    <m/>
    <x v="0"/>
    <s v="Servicios Bancarios y Recaudación"/>
    <s v="Recaudación y Corresponsalía"/>
    <d v="2024-10-03T00:00:00"/>
    <s v="MEMORANDO N° 00000192 - 2024-BN/3243"/>
    <s v="PGOL-Pagos En Línea"/>
    <m/>
    <x v="2"/>
    <s v="No Aplica"/>
    <s v="No aplica"/>
    <x v="0"/>
    <m/>
    <s v="No Aplica"/>
    <s v="No Aplica"/>
    <s v="No Aplica"/>
    <s v="No Aplica"/>
    <s v="No Aplica"/>
    <s v="No Aplica"/>
    <s v="Normal"/>
    <d v="2024-10-09T00:00:00"/>
    <s v="Sistemas Bancarios"/>
    <s v="Analista-BN"/>
    <s v="Jorge Lucio Ruedas Fernandez"/>
    <s v="Junior Quicaño"/>
    <x v="0"/>
    <x v="0"/>
    <x v="0"/>
    <d v="2024-10-09T00:00:00"/>
    <m/>
    <d v="2026-01-09T00:00:00"/>
    <d v="2026-01-09T00:00:00"/>
    <m/>
    <m/>
    <m/>
    <d v="2026-01-09T00:00:00"/>
    <m/>
    <m/>
    <d v="2026-01-16T00:00:00"/>
    <s v="12/01/26: Según CQ, actualizó el estado a 09. Descartad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3/03/2025: De acuerdo a lo coordinado la Fecha Fin Planificación pasará a marzo._x000a_14/10/2024: Según CQ, actualizó el estado a 03. En Desarrollo_x000a_09/10/2024 Se registró en el backlog, se creó el tramite y se priorizó a la demanda tactica"/>
    <s v="Operac."/>
    <s v="BancariosRecaudación"/>
    <s v="2024-10"/>
    <s v="2024-10"/>
    <s v="2026-01"/>
    <x v="0"/>
    <s v="2026-01"/>
    <m/>
    <m/>
    <m/>
    <m/>
    <d v="2024-10-09T00:00:00"/>
    <s v="2024-IV"/>
    <s v="Sin Fecha Fin Producción"/>
    <s v="No Aplica"/>
    <s v="QC-256"/>
    <s v="Finalizada"/>
    <x v="0"/>
    <d v="2026-01-09T12:08:41"/>
    <x v="0"/>
    <m/>
    <m/>
    <s v="Vencida"/>
    <s v="BackOffice"/>
    <s v="Otros Requerimientos"/>
    <d v="2025-02-01T00:00:00"/>
    <d v="2025-03-01T00:00:00"/>
    <s v="Desarrollo Terminado x JRueda, pasa a Calidad Feb-25 con Mantenimiento de saraweb (merge Feb.25) (2024-M0267)"/>
    <d v="2025-03-31T00:00:00"/>
    <s v="Vencida"/>
    <s v="Mar 2025"/>
    <n v="2025"/>
    <x v="0"/>
    <m/>
    <n v="-0.01"/>
    <s v="POST"/>
    <s v="REACTIVADO"/>
    <s v="Reactivo"/>
    <s v="No aplica"/>
    <x v="0"/>
    <s v=""/>
    <n v="-0.01"/>
    <s v=""/>
    <s v=""/>
    <m/>
    <m/>
    <m/>
    <m/>
    <m/>
    <m/>
    <m/>
    <n v="25"/>
    <n v="0.1"/>
    <n v="200"/>
    <m/>
    <x v="0"/>
    <n v="0.9"/>
    <n v="1"/>
    <n v="24"/>
    <n v="8"/>
    <n v="192"/>
    <x v="0"/>
    <x v="0"/>
    <m/>
    <x v="0"/>
    <m/>
  </r>
  <r>
    <s v="M0751"/>
    <n v="2478"/>
    <x v="0"/>
    <s v="2024-T0647"/>
    <s v="2024-M0578"/>
    <s v="ME: FACTURACIONELECTRONICA .- CREACIÓN DE UNA INTERFACE ORACLE FAH PARA EL APLICATIVO DE BANKTRADE"/>
    <m/>
    <x v="0"/>
    <s v="Internacional"/>
    <s v="Comercio Exterior"/>
    <d v="2024-10-31T00:00:00"/>
    <s v="Correo s/n"/>
    <s v="OSAI -: Oracle Sistema Administrativo Integrado"/>
    <s v="Facturación Electrónica - I"/>
    <x v="1"/>
    <s v="No Aplica"/>
    <s v="No aplica"/>
    <x v="0"/>
    <m/>
    <s v="No Aplica"/>
    <s v="No Aplica"/>
    <s v="No Aplica"/>
    <s v="No Aplica"/>
    <s v="No Aplica"/>
    <s v="No Aplica"/>
    <s v="Regularizado"/>
    <d v="2024-10-31T00:00:00"/>
    <s v="Sistemas Administrativos"/>
    <m/>
    <s v="Emerson Quecara Choquetico"/>
    <s v="Juan Carlos Zavaleta"/>
    <x v="6"/>
    <x v="4"/>
    <x v="0"/>
    <d v="2024-11-22T00:00:00"/>
    <m/>
    <d v="2025-05-19T00:00:00"/>
    <d v="2025-05-19T00:00:00"/>
    <d v="2024-12-22T00:00:00"/>
    <d v="2025-05-26T00:00:00"/>
    <d v="2025-06-09T00:00:00"/>
    <d v="2024-10-23T19:12:00"/>
    <m/>
    <m/>
    <d v="2024-10-30T19:12:00"/>
    <s v="18/05/26: Según CQ, actualizó el estado a 06. Calidad Finalizado_x000a_12/05/26: Según CQ, actualizó el estado a 06. Calidad Finalizado_x000a_08/05/26: Según CQ, actualizó el estado a 06. Calidad Finalizado_x000a_04/05/26: Según CQ, actualizó el estado a 06. Calidad Finalizado_x000a_27/04/26: Según CQ, actualizó el estado a 06. Calidad Finalizado_x000a_22/04/26: Según CQ, actualizó el estado a 06. Calidad Finalizado_x000a_20/04/26: Según CQ, actualizó el estado a 06. Calidad Finalizado_x000a_15/04/26: Según CQ, actualizó el estado a 08. Producción Finalizada_x000a_27/03/26: Según CQ, actualizó el estado a 06. Calidad Finalizado_x000a_27/03/26: Según CQ, actualizó el estado a 06. Calidad Finalizado_x000a_25/03/26: Según CQ, actualizó el estado a 06. Calidad Finalizado_x000a_24/03/26: Según CQ, actualizó el estado a 08. Producción Finalizada_x000a_23/03/26: Según CQ, actualizó el estado a 06. Calidad Finalizado_x000a_19/03/26: Según CQ, actualizó el estado a 06. Calidad Finalizado_x000a_18/03/26: Según CQ, actualizó el estado a 06. Calidad Finalizado_x000a_17/03/26: Según CQ, actualizó el estado a 06. Calidad Finalizado_x000a_05/03/26: Según CQ, actualizó el estado a 06. Calidad Finalizado_x000a_02/03/26: Según CQ, actualizó el estado a 06. Calidad Finalizado_x000a_27/02/26: Según CQ, actualizó el estado a 06. Calidad Finalizado_x000a_25/02/26: Según CQ, actualizó el estado a 06. Calidad Finalizado_x000a_19/02/26: Según CQ, actualizó el estado a 06. Calidad Finalizado_x000a_12/01/26: Según CQ, actualizó el estado a 06. Calidad Finalizado_x000a_09/01/2026: Se cambia del trámite 2024-T0701 al trámite 2024-T0647_x000a_16/12/2024: Se está asignando la Fecha de Priorización de Comité (31/10/2024) como Fecha de Solicitud a TI. [Regularizado]_x000a_22/11/24: Según CQ, actualizó el estado a 08. Producción Finalizada_x000a_21/11/24: Según CQ, actualizó el estado a 08. Producción Finalizada_x000a_20/11/24: Según CQ, actualizó el estado a 03. En Desarrollo_x000a_19/11/24: Según CQ, actualizó el estado a 03. En Desarrollo_x000a_18/11/24: Según CQ, actualizó el estado a 03. En Desarrollo_x000a_12/11/24: Según CQ, actualizó el estado a 03. En Desarrollo_x000a_07/11/24: Según CQ, actualizó el estado a 03. En Desarrollo_x000a_06/11/24: Según CQ, actualizó el estado a 03. En Desarrollo_x000a_05/11/24: Según CQ, actualizó el estado a 03. En Desarrollo_x000a_30/10/2024 Se registró en el Backlog"/>
    <s v="Operac."/>
    <s v="Internacional"/>
    <s v="2024-10"/>
    <s v="2024-10"/>
    <s v="2025-05"/>
    <x v="0"/>
    <s v="2024-10"/>
    <m/>
    <m/>
    <m/>
    <m/>
    <m/>
    <s v="2024-IV"/>
    <s v="Sin Fecha Fin Producción"/>
    <s v="No Aplica"/>
    <m/>
    <s v="Finalizada"/>
    <x v="7"/>
    <d v="2025-09-05T17:27:47"/>
    <x v="0"/>
    <m/>
    <m/>
    <s v="Vencida"/>
    <s v="Oracle"/>
    <s v="Otros Requerimientos"/>
    <s v="Pordefinir"/>
    <m/>
    <s v="EN proceso desarrollo por parte del proveedor de Banck Trade. Usuario Juan Carlos Carrasco, confirmará estado, de acuerdo a ello se paralizará en el CQ "/>
    <s v=""/>
    <s v="Sin Fecha"/>
    <s v="No definido"/>
    <n v="2025"/>
    <x v="2"/>
    <m/>
    <n v="0.85"/>
    <s v="PRE"/>
    <s v="NO"/>
    <s v="03. En Desarrollo"/>
    <s v="SI"/>
    <x v="4"/>
    <n v="0.96946564885496178"/>
    <n v="0.85"/>
    <n v="0.1194656488549618"/>
    <n v="0.87677165354330711"/>
    <d v="2025-05-19T00:00:00"/>
    <d v="2025-05-19T00:00:00"/>
    <d v="2025-05-19T00:00:00"/>
    <d v="2025-05-26T00:00:00"/>
    <d v="2025-06-09T00:00:00"/>
    <d v="2026-02-19T00:00:00"/>
    <d v="2026-06-01T00:00:00"/>
    <n v="1"/>
    <n v="1"/>
    <n v="200"/>
    <m/>
    <x v="5"/>
    <n v="0"/>
    <n v="1"/>
    <n v="0"/>
    <n v="8"/>
    <n v="0"/>
    <x v="6"/>
    <x v="0"/>
    <s v="18/03: Analista indicó lo siguiente: Pendiente de autorización del Usuario (Lucila Choy) para el pase a producción. Depende del mantenimiento host: 2023-M0386 que se encuentra en estado &quot;Asignado&quot;."/>
    <x v="1"/>
    <m/>
  </r>
  <r>
    <s v="M0757"/>
    <n v="2412"/>
    <x v="0"/>
    <s v="2024-T0667"/>
    <s v="2024-M0621"/>
    <s v="Actualización del requerimiento de Oplaft en la BDUC – Fase 2 PEP"/>
    <s v="Identificar a las PEP declarado por el cliente, para ello se requiere realizar cambios en el módulo PEP de la BDUC."/>
    <x v="3"/>
    <s v="Prevención"/>
    <s v="Prevención"/>
    <d v="2024-09-09T00:00:00"/>
    <s v="MEMORANDO N° 00000074 - 2024-BN/1202"/>
    <s v="SIUC-Sistema de Información Unica de Clientes"/>
    <s v="Mejoras Tecnológicas"/>
    <x v="2"/>
    <s v="Cuenta de Ahorros"/>
    <s v="No aplica"/>
    <x v="3"/>
    <s v="Recomendación"/>
    <s v="SBS"/>
    <s v="04-2024-DSBE"/>
    <s v="Informe de Inspección"/>
    <s v="N° 7; 25"/>
    <s v="7c; 25a"/>
    <s v="Abr-2025; Dic-2025"/>
    <s v="Normal"/>
    <d v="2024-11-06T00:00:00"/>
    <s v="Sistemas Bancarios"/>
    <s v="FS-Indra"/>
    <s v="Johnny Luis Rocca Surco"/>
    <s v="Juan Carlos Zavaleta"/>
    <x v="6"/>
    <x v="4"/>
    <x v="2"/>
    <d v="2024-11-06T00:00:00"/>
    <m/>
    <d v="2026-02-26T00:00:00"/>
    <d v="2026-03-02T00:00:00"/>
    <d v="2025-10-14T00:00:00"/>
    <d v="2026-03-04T00:00:00"/>
    <d v="2026-04-08T00:00:00"/>
    <d v="2025-08-21T00:00:00"/>
    <m/>
    <m/>
    <d v="2025-08-28T00:00:00"/>
    <s v="10/04/26: Según CQ, actualizó el estado a 06. Calidad Finalizado_x000a_05/03/26: Según CQ, actualizó el estado a 05. En Calidad_x000a_03/03/26: Según CQ, actualizó el estado a 04. Desarrollo Finalizado_x000a_19/02/26: Según CQ, actualizó el estado a 03. En Desarrollo_x000a_17/12/25: Según CQ, actualizó el estado a 05. En Calidad_x000a_15/12/25: Según CQ, actualizó el estado a 04. Desarrollo Finalizado_x000a_05/09/2025: Cartera reasignada a Juan Carlos Zavaleta_x000a_11/08/2025: Cartera reasignada a Percy Silva_x000a_05/08/2025: Se actualiza columna cartera por la denominación &quot;Mejoras Tecnológicas&quot;_x000a_29/04/2025 De acuerdo a cronograma remitido a TitoPareja, la fecha de pase a  producción es el 24/09/2025._x000a_02/04/25: Según CQ, actualizó el estado a 03. En Desarrollo_x000a_10/02/25: Pospuesto en CQ. Se retoma en mar-25 y pasa a Calidad en May-25_x000a_10/02/25: Según CQ, actualizó el estado a 10. Paralizado_x000a_07/02/25 En reunion con CN-Diego Villaverte y Oplaft se actualiza la categoría del requerimiento a Recomendación._x000a_20/01/2025 Cartera reasignada a Omar Sarmiento_x000a_22/11/24: Según CQ, actualizó el estado a 03. En Desarrollo_x000a_&quot;17/09/2024:  Se registró en el Backlog de requerimientos._x000a_16/09/24 Se informó al usuario que el requerimiento será tratado como un evolutivo, considerando cerrar primero los compromisos que se tienen para el presente año 2024.&quot;"/>
    <s v="PLAFT"/>
    <s v="Prevención"/>
    <s v="2024-09"/>
    <s v="2024-11"/>
    <s v="2026-03"/>
    <x v="0"/>
    <s v="2025-08"/>
    <s v="Rechazado"/>
    <d v="2025-04-07T00:00:00"/>
    <d v="2025-10-14T00:00:00"/>
    <m/>
    <m/>
    <s v="2024-IV"/>
    <s v="Sin Fecha Fin Producción"/>
    <s v="No Aplica"/>
    <s v="QC-230"/>
    <s v="Finalizada"/>
    <x v="7"/>
    <d v="2026-05-18T18:44:10"/>
    <x v="2"/>
    <s v="1. 2963_x000a_2. 3019_x000a_3. 3020_x000a_4. 3021"/>
    <m/>
    <s v="Vencida"/>
    <s v="Clientes (BDUC)"/>
    <s v="Canales Presenciales"/>
    <d v="2025-08-01T00:00:00"/>
    <d v="2025-08-01T00:00:00"/>
    <s v="01/04/25 Asignado a Indra, se activará en CQ._x000a_Se actualiza a Pospuesto, se retoma en mar-25 y pasa a Calidad en May-25"/>
    <d v="2025-08-31T00:00:00"/>
    <s v="Vencida"/>
    <s v="Ago 2025"/>
    <n v="2025"/>
    <x v="2"/>
    <m/>
    <n v="0.99"/>
    <s v="PRE"/>
    <s v="NO"/>
    <s v="03. En Desarrollo"/>
    <s v="SI"/>
    <x v="2"/>
    <n v="0.99"/>
    <n v="0.99"/>
    <n v="0"/>
    <n v="1"/>
    <d v="2025-11-03T00:00:00"/>
    <d v="2025-11-03T00:00:00"/>
    <d v="2026-03-31T00:00:00"/>
    <d v="2026-04-01T00:00:00"/>
    <d v="2026-04-30T00:00:00"/>
    <d v="2026-05-15T00:00:00"/>
    <d v="2026-05-18T00:00:00"/>
    <n v="102"/>
    <n v="1"/>
    <n v="200"/>
    <m/>
    <x v="5"/>
    <n v="0"/>
    <n v="102"/>
    <n v="0"/>
    <n v="816"/>
    <n v="0"/>
    <x v="8"/>
    <x v="0"/>
    <m/>
    <x v="3"/>
    <m/>
  </r>
  <r>
    <s v="M0768"/>
    <n v="2499"/>
    <x v="0"/>
    <s v="2024-T0719"/>
    <s v="2024-M0644"/>
    <s v="Generación de Archivos Planos del proceso Operativo de Créditos Hipotecarios."/>
    <m/>
    <x v="0"/>
    <s v="Servicios Bancarios y Recaudación"/>
    <s v="Soporte Servicios Financieros"/>
    <d v="2024-09-30T00:00:00"/>
    <s v="MEMORANDO N° 00000225 - 2024-BN/3241"/>
    <s v="CRHP-Sistema Creditos Hipotecarios"/>
    <m/>
    <x v="1"/>
    <s v="Crédito Hipotecario"/>
    <s v="No aplica"/>
    <x v="3"/>
    <s v="Recomendación"/>
    <s v="AUDITORIA INTERNA / AUDITORÍA EXTERNA"/>
    <s v="P-011-2024-BN/1400_x000a_Memorándum de Recomendaciones sobre Aspectos de Control Interno, Contable y Otros al 31 de diciembre de 2024"/>
    <s v="Evaluación de los Saldos y Movimientos de las Operaciones en Trámite, así como su antiguedad_x000a_Memorándum de Recomendaciones sobre Aspectos de Control Interno, Contable y Otros al 31 de diciembre de 2024"/>
    <s v="N° 4_x000a_I.7"/>
    <s v="4.2_x000a_I.7.i - I.7.ii"/>
    <s v="1. 30/06/2026_x000a_2. 31/10/2025_x000a_3. 31/10/2025"/>
    <s v="Normal"/>
    <d v="2024-12-02T00:00:00"/>
    <s v="Sistemas Bancarios"/>
    <s v="FS-Olssa"/>
    <s v="Pedro Jose Encalada Huertas"/>
    <s v="Junior Quicaño"/>
    <x v="1"/>
    <x v="1"/>
    <x v="0"/>
    <d v="2024-12-02T00:00:00"/>
    <d v="2025-11-03T00:00:00"/>
    <d v="2024-12-02T00:00:00"/>
    <d v="2026-02-10T00:00:00"/>
    <d v="2025-12-31T00:00:00"/>
    <d v="2026-02-17T00:00:00"/>
    <d v="2026-03-03T00:00:00"/>
    <d v="2026-06-06T14:24:00"/>
    <d v="2026-03-17T00:00:00"/>
    <d v="2026-03-24T00:00:00"/>
    <d v="2026-06-13T14:24:00"/>
    <s v="25/03/26: Según CQ, actualizó el estado a 08. Producción Finalizada_x000a_17/03/26: Según CQ, actualizó el estado a 07. En Despliegue_x000a_04/03/26: Según CQ, actualizó el estado a 06. Calidad Finalizado_x000a_19/02/26: Según CQ, actualizó el estado a 05. En Calidad_x000a_11/02/26: Según CQ, actualizó el estado a 04. Desarrollo Finalizado_x000a_03/12/24: Según CQ, actualizó el estado a 03. En Desarrollo_x000a_02/12/2024:  Se registró en el Backlog de requerimientos, se creó trámite y se registró en la cartera."/>
    <s v="Operac."/>
    <s v="BancariosRecaudación"/>
    <s v="2024-09"/>
    <s v="2024-12"/>
    <s v="2026-02"/>
    <x v="2"/>
    <s v="2026-06"/>
    <m/>
    <m/>
    <m/>
    <m/>
    <m/>
    <s v="2024-IV"/>
    <n v="477"/>
    <n v="15.9"/>
    <s v="QC-249"/>
    <s v="Finalizada"/>
    <x v="1"/>
    <d v="2026-03-24T17:31:24"/>
    <x v="3"/>
    <s v="1. 2772_x000a_2. 3145_x000a_3. 3146"/>
    <m/>
    <s v="Culminado"/>
    <s v="Créditos Hipotecarios"/>
    <s v="Productos"/>
    <d v="2025-05-01T00:00:00"/>
    <d v="2025-05-01T00:00:00"/>
    <m/>
    <d v="2026-03-24T00:00:00"/>
    <s v="Culminado"/>
    <s v="Mar 2026"/>
    <n v="2025"/>
    <x v="1"/>
    <m/>
    <n v="1"/>
    <s v="PRE"/>
    <s v="NO"/>
    <s v="03. En Desarrollo"/>
    <s v="No aplica"/>
    <x v="1"/>
    <n v="1"/>
    <n v="1"/>
    <n v="0"/>
    <n v="1"/>
    <d v="2025-11-03T00:00:00"/>
    <d v="2025-11-03T00:00:00"/>
    <d v="2026-02-10T00:00:00"/>
    <d v="2026-02-17T00:00:00"/>
    <d v="2026-03-31T00:00:00"/>
    <d v="2026-04-01T00:00:00"/>
    <d v="2026-04-03T00:00:00"/>
    <n v="67"/>
    <n v="1"/>
    <n v="200"/>
    <m/>
    <x v="1"/>
    <n v="0"/>
    <n v="67"/>
    <n v="0"/>
    <n v="536"/>
    <n v="0"/>
    <x v="1"/>
    <x v="0"/>
    <m/>
    <x v="0"/>
    <m/>
  </r>
  <r>
    <s v="M0790"/>
    <n v="2530"/>
    <x v="0"/>
    <s v="2024-T0665"/>
    <s v="2024-M0595"/>
    <s v="REVISION DE EVENTO DE INTERRUPCION DEL MICROSERVICIO MSGatewayRestGo"/>
    <m/>
    <x v="8"/>
    <s v="Construcción de Aplicaciones"/>
    <s v="Sistemas Bancarios"/>
    <m/>
    <m/>
    <s v="SOMP – SISTEMA DE OPERACIONES MULTIPAGOS"/>
    <m/>
    <x v="8"/>
    <s v="No Aplica"/>
    <s v="No aplica"/>
    <x v="0"/>
    <m/>
    <m/>
    <m/>
    <m/>
    <m/>
    <m/>
    <m/>
    <s v="Regularizado"/>
    <d v="2024-12-27T00:00:00"/>
    <s v="Sistemas Bancarios"/>
    <s v="Analista-BN"/>
    <s v="Angela Rocio Risco Vega"/>
    <s v="Tomas Calvera"/>
    <x v="4"/>
    <x v="4"/>
    <x v="0"/>
    <d v="2024-11-04T00:00:00"/>
    <m/>
    <d v="2024-11-05T00:00:00"/>
    <d v="2024-11-20T00:00:00"/>
    <m/>
    <d v="2024-11-25T00:00:00"/>
    <d v="2024-12-18T00:00:00"/>
    <d v="2024-11-26T00:00:00"/>
    <d v="2025-01-15T00:00:00"/>
    <m/>
    <d v="2024-12-03T00:00:00"/>
    <s v="04/02/2026: Cartera reasignada a Tomas Calvera_x000a_05/09/2025: Cartera reasignada a Omar Sarmiento_x000a_11/08/2025: Cartera reasignada a Percy Silva_x000a_17/06/2025: Se cambia de gestor de TI de Omar S. a Milagros H._x000a_27/03/25: De acuerdo a la revisión del status del mantenimiento en el CQ se actualiza su Fecha Fin Compromiso a abril._x000a_18/02/25: Según CQ, actualizó el estado a 07. En Despliegue_x000a_20/01/2025 Cartera reasignada a Omar Sarmiento_x000a_16/01/25: Según CQ, actualizó el estado a 08. Producción Finalizada_x000a_27/12/24: Según CQ, actualizó el estado a 03. En Desarrollo_x000a_27/12/2024: Se registró en el Backlog como trámite Rugularizado"/>
    <s v="TI"/>
    <s v="ConstrucciónAplicaciones"/>
    <s v="No definido"/>
    <s v="2024-12"/>
    <s v="2024-11"/>
    <x v="0"/>
    <s v="2024-12"/>
    <m/>
    <m/>
    <m/>
    <m/>
    <m/>
    <s v="2024-IV"/>
    <s v="Sin Fecha Fin Producción"/>
    <s v="No Aplica"/>
    <m/>
    <s v="Finalizada"/>
    <x v="8"/>
    <d v="2025-01-15T14:56:01"/>
    <x v="0"/>
    <m/>
    <m/>
    <s v="Vencida"/>
    <s v="Pagalo.pe"/>
    <s v="Canales Virtuales"/>
    <d v="2025-06-01T00:00:00"/>
    <d v="2025-06-01T00:00:00"/>
    <m/>
    <d v="2025-06-30T00:00:00"/>
    <s v="Vencida"/>
    <s v="Jun 2025"/>
    <m/>
    <x v="2"/>
    <s v="Págalo"/>
    <n v="0.9"/>
    <s v="PRE"/>
    <s v="NO"/>
    <s v="07. En Despliegue"/>
    <s v="SI"/>
    <x v="2"/>
    <n v="1"/>
    <n v="0.9"/>
    <n v="9.9999999999999978E-2"/>
    <n v="0.9"/>
    <d v="2024-11-05T00:00:00"/>
    <d v="2024-11-05T00:00:00"/>
    <d v="2024-11-20T00:00:00"/>
    <d v="2024-11-25T00:00:00"/>
    <d v="2024-12-18T00:00:00"/>
    <d v="2025-01-15T00:00:00"/>
    <d v="2026-03-27T00:00:00"/>
    <n v="12"/>
    <n v="1"/>
    <n v="200"/>
    <m/>
    <x v="4"/>
    <n v="0"/>
    <n v="12"/>
    <n v="0"/>
    <n v="96"/>
    <n v="0"/>
    <x v="4"/>
    <x v="0"/>
    <s v="17/03/26: Este tiene un microservicio en la plataforma de Kubernetes, y se va a activar."/>
    <x v="2"/>
    <m/>
  </r>
  <r>
    <s v="M0801"/>
    <n v="2544"/>
    <x v="0"/>
    <s v="2024-T0770"/>
    <s v="2024-M0687"/>
    <s v="Reporte de trazabilidad y validación criptográfica para el canal ATMs - Indecopi"/>
    <s v="Reporte de trazabilidad y validación criptográfica para el canal ATMs - Indecopi"/>
    <x v="2"/>
    <s v="Canales Alternos"/>
    <s v="Canales Presenciales"/>
    <d v="2024-10-30T00:00:00"/>
    <s v="MEMORANDO N° 00000448 - 2024-BN/3251"/>
    <s v="STRA - Proyecto de Stratus"/>
    <s v="ATM"/>
    <x v="5"/>
    <s v="Cuenta de Ahorros"/>
    <s v="No aplica"/>
    <x v="2"/>
    <s v="Normativo"/>
    <s v="SBS"/>
    <s v="Resolución S.B.S. N° 504 - 2021"/>
    <m/>
    <m/>
    <m/>
    <m/>
    <s v="Normal"/>
    <d v="2024-12-30T00:00:00"/>
    <s v="Sistemas Bancarios"/>
    <s v="FS-Indra"/>
    <s v="Vladimir Ronald Cajavilca Cajavilca"/>
    <s v="Omar Sarmiento"/>
    <x v="1"/>
    <x v="1"/>
    <x v="0"/>
    <d v="2024-12-30T00:00:00"/>
    <m/>
    <d v="2025-04-01T00:00:00"/>
    <d v="2025-08-04T00:00:00"/>
    <d v="2025-07-31T00:00:00"/>
    <d v="2025-08-07T00:00:00"/>
    <d v="2025-10-27T00:00:00"/>
    <d v="2025-09-17T09:36:00"/>
    <d v="2026-01-28T00:00:00"/>
    <d v="2026-01-29T00:00:00"/>
    <d v="2025-09-24T09:36:00"/>
    <s v="30/01/26: Según CQ, actualizó el estado a 08. Producción Finalizada_x000a_30/12/2025: Cartera reasignada a Omar Sarmiento_x000a_30/10/25: Según CQ, actualizó el estado a 06. Calidad Finalizado_x000a_07/08/25: Según CQ, actualizó el estado a 05. En Calidad_x000a_04/08/25: Según CQ, actualizó el estado a 04. Desarrollo Finalizado_x000a_02/04/25: Según CQ, actualizó el estado a 03. En Desarrollo_x000a_19/03/25: Según CQ, actualizó el estado a 10. Paralizado_x000a_13/01/25: Maribel M.  indicó que envió el 09/01/25 a Jaime S. el  PCR para la revisión del requerimiento, estan a la espera de la respuesta_x000a_02/01/25: Según CQ, actualizó el estado a 03. En Desarrollo_x000a_30/12/2024:  Se registró en el Backlog de requerimientos, se creó trámite y se registró en la demanda priorizada."/>
    <s v="B.Digital"/>
    <s v="CanalesAlternos"/>
    <s v="2024-10"/>
    <s v="2024-12"/>
    <s v="2025-08"/>
    <x v="4"/>
    <s v="2025-09"/>
    <s v="En Proceso"/>
    <d v="2025-04-14T00:00:00"/>
    <d v="2025-07-31T00:00:00"/>
    <m/>
    <m/>
    <s v="2024-IV"/>
    <n v="303"/>
    <n v="10.1"/>
    <s v="QC-298"/>
    <s v="Finalizada"/>
    <x v="1"/>
    <d v="2026-01-29T07:13:42"/>
    <x v="0"/>
    <m/>
    <m/>
    <s v="Culminado"/>
    <s v="ATM-Agentes-VISA"/>
    <s v="Canales Presenciales"/>
    <d v="2025-06-01T00:00:00"/>
    <d v="2025-06-01T00:00:00"/>
    <s v="1/04/2025 Fue derivado a Indra y se activará en CQ."/>
    <d v="2026-01-29T00:00:00"/>
    <s v="Culminado"/>
    <s v="Ene 2026"/>
    <n v="2025"/>
    <x v="1"/>
    <s v="ATM"/>
    <n v="1"/>
    <s v="PRE"/>
    <s v="NO"/>
    <s v="05. En Calidad"/>
    <s v="No aplica"/>
    <x v="1"/>
    <n v="1"/>
    <n v="1"/>
    <n v="0"/>
    <n v="1"/>
    <d v="2025-04-01T00:00:00"/>
    <d v="2025-04-01T00:00:00"/>
    <d v="2025-08-04T00:00:00"/>
    <d v="2025-08-07T00:00:00"/>
    <d v="2025-10-27T00:00:00"/>
    <d v="2026-01-28T00:00:00"/>
    <d v="2026-01-29T00:00:00"/>
    <n v="87"/>
    <n v="1"/>
    <n v="200"/>
    <m/>
    <x v="1"/>
    <n v="0"/>
    <n v="87"/>
    <n v="0"/>
    <n v="696"/>
    <n v="0"/>
    <x v="9"/>
    <x v="0"/>
    <m/>
    <x v="0"/>
    <m/>
  </r>
  <r>
    <s v="M0808"/>
    <n v="2554"/>
    <x v="0"/>
    <s v="2025-T0043"/>
    <s v="2025-M0096"/>
    <s v="Mejoras en el Aplicativo BDUC sobre el módulo elección de medio de envío de estado de cuentas corrientes"/>
    <m/>
    <x v="0"/>
    <s v="Captaciones y Pagaduría"/>
    <s v="Apertura de Cuentas"/>
    <d v="2024-12-12T00:00:00"/>
    <s v="MEMORANDO N° 00000700 - 2024-BN/3111"/>
    <s v="SAVE-Sistema de Atención en Ventanillas"/>
    <m/>
    <x v="1"/>
    <s v="Cuenta Corriente "/>
    <s v="No aplica"/>
    <x v="3"/>
    <s v="Recomendación"/>
    <s v="AUDITORIA INTERNA"/>
    <s v="Resolución SBS N° 3274-2017 &quot;Reglamento de Gestión de Conducta de Mercado del Sistema Financiero&quot;"/>
    <s v="No Aplica"/>
    <s v="No Aplica"/>
    <s v="No Aplica"/>
    <d v="2024-12-31T00:00:00"/>
    <s v="Normal"/>
    <d v="2025-02-18T00:00:00"/>
    <s v="Sistemas Bancarios"/>
    <s v="Analista-BN"/>
    <s v="Johnny Luis Rocca Surco"/>
    <s v="Junior Quicaño"/>
    <x v="5"/>
    <x v="4"/>
    <x v="0"/>
    <d v="2025-01-17T00:00:00"/>
    <d v="2025-11-03T00:00:00"/>
    <d v="2025-11-03T00:00:00"/>
    <m/>
    <d v="2025-12-31T00:00:00"/>
    <m/>
    <m/>
    <d v="2026-01-23T04:48:00"/>
    <d v="2025-10-30T00:00:00"/>
    <d v="2025-10-30T00:00:00"/>
    <d v="2026-01-30T04:48:00"/>
    <s v="30/10/25: Según CQ, actualizó el estado a 03. En Desarrollo_x000a_30/10/25: Según CQ, actualizó el estado a 07. En Despliegue_x000a_01/10/25: Según CQ, actualizó el estado a 03. En Desarrollo_x000a_25/09/25: Según CQ, actualizó el estado a 10. Paralizado_x000a_13/05/25: Se cambia Categoría de Normativo a Recomendación para darle seguimiento a Informe asignado_x000a_06/02/25: Según CQ, actualizó el estado a 03. En Desarrollo_x000a_17/01/2025: Se creó trámite y se registró en la demanda priorizada. Autorizados por la Jefatura de la Subgerencia de Construcción de Aplicaciones_x000a_13/01/2025: Se registró en el Backlog de requerimientos."/>
    <s v="Operac."/>
    <s v="CaptacionesPagaduría"/>
    <s v="2024-12"/>
    <s v="2025-02"/>
    <s v="No definido"/>
    <x v="5"/>
    <s v="2026-01"/>
    <m/>
    <m/>
    <m/>
    <m/>
    <m/>
    <s v="2025-I"/>
    <n v="-4"/>
    <n v="-0.13333333333333333"/>
    <s v="QC-335"/>
    <s v="Finalizada"/>
    <x v="10"/>
    <d v="2026-01-08T17:53:13"/>
    <x v="1"/>
    <s v="2912"/>
    <m/>
    <s v="Vencida"/>
    <s v="Ventanilla"/>
    <s v="Canales Presenciales"/>
    <d v="2025-05-01T00:00:00"/>
    <d v="2025-05-01T00:00:00"/>
    <s v="Se asigna en CQ a Rossana Rojas - Indra. Pasa Calidad Abr-25."/>
    <d v="2025-05-31T00:00:00"/>
    <s v="Vencida"/>
    <s v="May 2025"/>
    <n v="2025"/>
    <x v="2"/>
    <m/>
    <n v="0.3"/>
    <s v="PRE"/>
    <s v="NO"/>
    <s v="03. En Desarrollo"/>
    <s v="SI"/>
    <x v="5"/>
    <n v="0"/>
    <n v="0.3"/>
    <n v="-0.3"/>
    <s v=""/>
    <d v="2025-11-03T00:00:00"/>
    <d v="2026-09-01T00:00:00"/>
    <d v="2026-11-13T00:00:00"/>
    <d v="2026-11-16T00:00:00"/>
    <d v="2026-12-31T00:00:00"/>
    <d v="2027-01-04T00:00:00"/>
    <d v="2027-01-08T00:00:00"/>
    <n v="53"/>
    <n v="0"/>
    <n v="60.571428571428569"/>
    <m/>
    <x v="2"/>
    <n v="1"/>
    <n v="0"/>
    <n v="53"/>
    <n v="0"/>
    <n v="60.571428571428569"/>
    <x v="12"/>
    <x v="0"/>
    <m/>
    <x v="0"/>
    <m/>
  </r>
  <r>
    <s v="M0812"/>
    <n v="2563"/>
    <x v="0"/>
    <s v="2025-T0053"/>
    <s v="2025-M0050"/>
    <s v="BDUC (Módulo de Apertura Masiva)"/>
    <s v="Proyecto de Migración y Optimización de la Aplicación Distribuida (OPEN) Base de Datos Única de Clientes - BDUC (Módulo de Apertura Masiva) a la Actual Plataforma Tecnológica de Hardware y Software del BN - MIGRACIÓN DE DATACOM SERVER A TRAMAS"/>
    <x v="8"/>
    <s v="Construcción de Aplicaciones"/>
    <s v="Sistemas Bancarios"/>
    <d v="2025-01-22T00:00:00"/>
    <s v="HOJA DE ENVÍO N° 00000004 - 2025-BN/2561"/>
    <s v="SIUC-Sistema de Información Unica de Clientes"/>
    <s v="Mejoras Tecnológicas"/>
    <x v="2"/>
    <s v="Crédito Hipotecario"/>
    <s v="Servicios Bancarios Diversos "/>
    <x v="3"/>
    <s v="Recomendación"/>
    <s v="SBS"/>
    <s v="106-VIG/2019-DSB&quot;E&quot;"/>
    <s v="Visita de inspección SBS 2019"/>
    <n v="6"/>
    <s v="6.f.i"/>
    <d v="2024-12-31T00:00:00"/>
    <s v="Normal"/>
    <d v="2025-02-18T00:00:00"/>
    <s v="Sistemas Bancarios"/>
    <s v="FS-Indra"/>
    <s v="Johnny Luis Rocca Surco"/>
    <s v="Tomas Calvera"/>
    <x v="1"/>
    <x v="1"/>
    <x v="0"/>
    <d v="2025-01-21T00:00:00"/>
    <m/>
    <d v="2025-12-23T00:00:00"/>
    <d v="2025-12-23T00:00:00"/>
    <d v="2025-08-18T00:00:00"/>
    <d v="2025-12-23T00:00:00"/>
    <d v="2026-03-30T00:00:00"/>
    <d v="2025-06-28T04:48:00"/>
    <d v="2026-04-06T00:00:00"/>
    <d v="2026-04-06T00:00:00"/>
    <d v="2025-07-05T04:48:00"/>
    <s v="10/04/26: Según CQ, actualizó el estado a 08. Producción Finalizada_x000a_06/04/26: Según CQ, actualizó el estado a 06. Calidad Finalizado_x000a_04/03/26: Según CQ, actualizó el estado a 05. En Calidad_x000a_03/03/26: Según CQ, actualizó el estado a 04. Desarrollo Finalizado_x000a_02/03/26: Según CQ, actualizó el estado a 03. En Desarrollo_x000a_25/02/26: Según CQ, actualizó el estado a 04. Desarrollo Finalizado_x000a_16/02/26: Según CQ, actualizó el estado a 03. En Desarrollo_x000a_04/02/2026: Cartera reasignada a Tomas Calvera_x000a_24/12/25: Según CQ, actualizó el estado a 05. En Calidad_x000a_05/09/2025: Cartera reasignada a Omar Sarmiento_x000a_11/08/2025: Cartera reasignada a Percy Silva_x000a_05/08/2025: Se actualiza columna cartera por la denominación &quot;Mejoras Tecnológicas&quot;_x000a_23/01/2025 Cartera reasignada a Milagros Huamaní_x000a_23/01/25: Según CQ, actualizó el estado a 03. En Desarrollo_x000a_21/01/2025: Se registró en el Backlog, se creó trámite y se priorizó."/>
    <s v="TI"/>
    <s v="ConstrucciónAplicaciones"/>
    <s v="2025-01"/>
    <s v="2025-02"/>
    <s v="2025-12"/>
    <x v="1"/>
    <s v="2025-07"/>
    <s v="En Proceso"/>
    <d v="2025-02-07T00:00:00"/>
    <d v="2025-08-18T00:00:00"/>
    <m/>
    <m/>
    <s v="2025-I"/>
    <n v="104"/>
    <n v="3.4666666666666668"/>
    <s v="QC-367"/>
    <s v="Finalizada"/>
    <x v="1"/>
    <d v="2026-04-23T09:19:24"/>
    <x v="1"/>
    <s v="1404"/>
    <m/>
    <s v="Culminado"/>
    <s v="Clientes (BDUC)"/>
    <s v="Canales Presenciales"/>
    <d v="2026-03-01T00:00:00"/>
    <d v="2026-03-01T00:00:00"/>
    <s v="En atención de Indra, su atención se prolonga par el sgte año 2026."/>
    <d v="2026-04-06T00:00:00"/>
    <s v="Culminado"/>
    <s v="Abr 2026"/>
    <n v="2026"/>
    <x v="1"/>
    <m/>
    <n v="1"/>
    <s v="PRE"/>
    <s v="NO"/>
    <s v="03. En Desarrollo"/>
    <s v="No aplica"/>
    <x v="1"/>
    <n v="1"/>
    <n v="1"/>
    <n v="0"/>
    <n v="1"/>
    <d v="2025-12-23T00:00:00"/>
    <d v="2025-12-23T00:00:00"/>
    <d v="2025-12-23T00:00:00"/>
    <d v="2025-12-23T00:00:00"/>
    <d v="2026-03-17T00:00:00"/>
    <d v="2026-03-18T00:00:00"/>
    <d v="2026-04-25T00:00:00"/>
    <n v="1"/>
    <n v="1"/>
    <n v="200"/>
    <m/>
    <x v="1"/>
    <n v="0"/>
    <n v="1"/>
    <n v="0"/>
    <n v="8"/>
    <n v="0"/>
    <x v="1"/>
    <x v="0"/>
    <m/>
    <x v="0"/>
    <m/>
  </r>
  <r>
    <s v="M0814"/>
    <n v="2565"/>
    <x v="0"/>
    <s v="2025-T0065"/>
    <s v="2025-M0087"/>
    <s v="Requerimiento Modificación por Servicio de Desembolso CBD transacción 0553"/>
    <m/>
    <x v="0"/>
    <s v="Servicios Bancarios y Recaudación"/>
    <s v="Recaudación y Corresponsalía"/>
    <d v="2025-01-17T00:00:00"/>
    <s v="MEMORANDO N° 00000020 - 2025-BN/3243"/>
    <s v="PRCA- Prestamos Corresponsalia Agro"/>
    <m/>
    <x v="2"/>
    <s v="No Aplica"/>
    <s v="No aplica"/>
    <x v="0"/>
    <m/>
    <s v="No Aplica"/>
    <s v="No Aplica"/>
    <s v="No Aplica"/>
    <s v="No Aplica"/>
    <s v="No Aplica"/>
    <s v="No Aplica"/>
    <s v="Normal"/>
    <d v="2025-02-18T00:00:00"/>
    <s v="Sistemas Bancarios"/>
    <s v="Analista-BN"/>
    <s v="Waldo Antonio Basurto Valverde"/>
    <s v="Junior Quicaño"/>
    <x v="1"/>
    <x v="1"/>
    <x v="0"/>
    <d v="2025-01-23T00:00:00"/>
    <d v="2025-11-03T00:00:00"/>
    <d v="2026-02-02T00:00:00"/>
    <d v="2026-02-02T00:00:00"/>
    <d v="2025-11-28T00:00:00"/>
    <d v="2026-02-16T00:00:00"/>
    <d v="2026-02-20T00:00:00"/>
    <d v="2025-11-01T14:24:00"/>
    <d v="2026-03-09T00:00:00"/>
    <d v="2026-03-09T00:00:00"/>
    <d v="2025-11-08T14:24:00"/>
    <s v="09/03/26: Según CQ, actualizó el estado a 08. Producción Finalizada_x000a_23/02/26: Según CQ, actualizó el estado a 06. Calidad Finalizado_x000a_16/02/26: Según CQ, actualizó el estado a 05. En Calidad_x000a_03/02/26: Según CQ, actualizó el estado a 04. Desarrollo Finalizado_x000a_28/01/26: Según CQ, actualizó el estado a 03. En Desarrollo_x000a_12/01/26: Según CQ, actualizó el estado a 05. En Calidad_x000a_12/01/26: Según CQ, actualizó el estado a 04. Desarrollo Finalizado_x000a_08/01/26: Según CQ, actualizó el estado a 05. En Calidad_x000a_24/12/25: Según CQ, actualizó el estado a 04. Desarrollo Finalizado_x000a_04/02/25: Según CQ, actualizó el estado a 03. En Desarrollo_x000a_23/01/2025: Se creó trámite y se registró en la demanda priorizada"/>
    <s v="Operac."/>
    <s v="BancariosRecaudación"/>
    <s v="2025-01"/>
    <s v="2025-02"/>
    <s v="2026-02"/>
    <x v="2"/>
    <s v="2025-11"/>
    <m/>
    <m/>
    <m/>
    <m/>
    <m/>
    <s v="2025-I"/>
    <n v="35"/>
    <n v="1.1666666666666667"/>
    <s v="QC-350"/>
    <s v="Finalizada"/>
    <x v="1"/>
    <d v="2026-03-09T10:30:51"/>
    <x v="0"/>
    <m/>
    <m/>
    <s v="Culminado"/>
    <s v="BackOffice"/>
    <s v="Otros Requerimientos"/>
    <d v="2025-03-01T00:00:00"/>
    <d v="2025-03-01T00:00:00"/>
    <s v="Pasa calidad mar-25"/>
    <d v="2026-03-09T00:00:00"/>
    <s v="Culminado"/>
    <s v="Mar 2026"/>
    <n v="2025"/>
    <x v="1"/>
    <m/>
    <n v="1"/>
    <s v="PRE"/>
    <s v="NO"/>
    <s v="03. En Desarrollo"/>
    <s v="No aplica"/>
    <x v="1"/>
    <n v="1"/>
    <n v="1"/>
    <n v="0"/>
    <n v="1"/>
    <d v="2026-02-02T00:00:00"/>
    <d v="2026-02-02T00:00:00"/>
    <d v="2026-02-02T00:00:00"/>
    <d v="2026-02-16T00:00:00"/>
    <d v="2026-03-17T00:00:00"/>
    <d v="2026-03-18T00:00:00"/>
    <d v="2026-03-30T00:00:00"/>
    <n v="1"/>
    <n v="1"/>
    <n v="200"/>
    <m/>
    <x v="1"/>
    <n v="0"/>
    <n v="1"/>
    <n v="0"/>
    <n v="8"/>
    <n v="0"/>
    <x v="4"/>
    <x v="0"/>
    <m/>
    <x v="0"/>
    <m/>
  </r>
  <r>
    <s v="M0819"/>
    <n v="2576"/>
    <x v="0"/>
    <s v="2025-T0083"/>
    <s v="2025-M0082"/>
    <s v="Incorporación de Carga Automática EMAPICA"/>
    <m/>
    <x v="0"/>
    <s v="Servicios Bancarios y Recaudación"/>
    <s v="Recaudación y Corresponsalía"/>
    <d v="2024-10-09T00:00:00"/>
    <s v="MEMORANDO N° 00000153 - 2024-BN/3243"/>
    <s v="PGCU-Pagos de Cupones"/>
    <m/>
    <x v="2"/>
    <s v="No Aplica"/>
    <s v="Pagos "/>
    <x v="0"/>
    <m/>
    <s v="No Aplica"/>
    <s v="No Aplica"/>
    <s v="No Aplica"/>
    <s v="No Aplica"/>
    <s v="No Aplica"/>
    <s v="No Aplica"/>
    <s v="Normal"/>
    <d v="2025-02-18T00:00:00"/>
    <s v="Sistemas Bancarios"/>
    <s v="Analista-BN"/>
    <s v="Jorge Lucio Ruedas Fernandez"/>
    <s v="Junior Quicaño"/>
    <x v="1"/>
    <x v="1"/>
    <x v="0"/>
    <d v="2025-01-29T00:00:00"/>
    <d v="2025-11-03T00:00:00"/>
    <d v="2025-02-03T00:00:00"/>
    <d v="2025-12-24T00:00:00"/>
    <d v="2025-11-28T00:00:00"/>
    <d v="2026-01-08T00:00:00"/>
    <d v="2026-01-21T00:00:00"/>
    <d v="2026-03-27T04:48:00"/>
    <d v="2026-01-23T00:00:00"/>
    <d v="2026-01-25T00:00:00"/>
    <d v="2026-04-03T04:48:00"/>
    <s v="26/01/26: Según CQ, actualizó el estado a 08. Producción Finalizada_x000a_12/01/26: Según CQ, actualizó el estado a 05. En Calidad_x000a_29/12/25: Según CQ, actualizó el estado a 04. Desarrollo Finalizado_x000a_24/03/25: Según CQ, actualizó el estado a 03. En Desarrollo_x000a_29/01/2025: Se creó trámite y se registró en la demanda priorizada"/>
    <s v="Operac."/>
    <s v="BancariosRecaudación"/>
    <s v="2024-10"/>
    <s v="2025-02"/>
    <s v="2025-12"/>
    <x v="4"/>
    <s v="2026-04"/>
    <m/>
    <m/>
    <m/>
    <m/>
    <m/>
    <s v="2025-I"/>
    <n v="356"/>
    <n v="11.866666666666667"/>
    <s v="QC-226"/>
    <s v="Finalizada"/>
    <x v="1"/>
    <d v="2026-01-25T00:35:58"/>
    <x v="0"/>
    <m/>
    <m/>
    <s v="Culminado"/>
    <s v="Sin Aplicativo"/>
    <s v="Sin Aplicativo"/>
    <s v="Pordefinir"/>
    <m/>
    <m/>
    <d v="2026-01-25T00:00:00"/>
    <s v="Culminado"/>
    <s v="Ene 2026"/>
    <n v="2025"/>
    <x v="1"/>
    <m/>
    <n v="1"/>
    <s v="PRE"/>
    <s v="NO"/>
    <s v="03. En Desarrollo"/>
    <s v="No aplica"/>
    <x v="1"/>
    <n v="1"/>
    <n v="1"/>
    <n v="0"/>
    <n v="1"/>
    <d v="2025-02-03T00:00:00"/>
    <d v="2025-02-03T00:00:00"/>
    <d v="2025-12-24T00:00:00"/>
    <d v="2026-01-08T00:00:00"/>
    <d v="2026-01-21T00:00:00"/>
    <d v="2026-01-23T00:00:00"/>
    <d v="2026-01-25T00:00:00"/>
    <n v="228"/>
    <n v="1"/>
    <n v="200"/>
    <m/>
    <x v="1"/>
    <n v="0"/>
    <n v="228"/>
    <n v="0"/>
    <n v="1824"/>
    <n v="0"/>
    <x v="9"/>
    <x v="0"/>
    <m/>
    <x v="0"/>
    <m/>
  </r>
  <r>
    <s v="M0831"/>
    <n v="2595"/>
    <x v="0"/>
    <s v="2025-T0111"/>
    <s v="2025-M0113"/>
    <s v="Automatización de la Emisión de Liquidación Prestamos Multired  "/>
    <m/>
    <x v="0"/>
    <s v="Servicios Bancarios y Recaudación"/>
    <s v="Soporte Servicios Financieros"/>
    <d v="2025-01-17T00:00:00"/>
    <s v="MEMORANDO N° 00000009 -2025-BN/3241"/>
    <s v="SSOC-Sistema Soporte de Créditos"/>
    <m/>
    <x v="1"/>
    <s v="Préstamos Multired "/>
    <s v="No aplica"/>
    <x v="0"/>
    <m/>
    <s v="No Aplica"/>
    <s v="No Aplica"/>
    <s v="No Aplica"/>
    <s v="No Aplica"/>
    <s v="No Aplica"/>
    <s v="No Aplica"/>
    <s v="Normal"/>
    <d v="2025-02-18T00:00:00"/>
    <s v="Sistemas Bancarios"/>
    <s v="FS-Olssa"/>
    <s v="Fiorella Emma Galvan Soto"/>
    <s v="Junior Quicaño"/>
    <x v="1"/>
    <x v="1"/>
    <x v="0"/>
    <d v="2025-02-04T00:00:00"/>
    <d v="2025-11-03T00:00:00"/>
    <d v="2025-07-17T00:00:00"/>
    <d v="2025-12-03T00:00:00"/>
    <d v="2025-12-31T00:00:00"/>
    <d v="2025-12-22T00:00:00"/>
    <d v="2026-03-13T00:00:00"/>
    <d v="2026-03-07T19:12:00"/>
    <d v="2026-03-17T00:00:00"/>
    <d v="2026-04-30T00:00:00"/>
    <d v="2026-03-14T19:12:00"/>
    <s v="04/05/26: Según CQ, actualizó el estado a 08. Producción Finalizada_x000a_17/03/26: Según CQ, actualizó el estado a 07. En Despliegue_x000a_16/03/26: Según CQ, actualizó el estado a 06. Calidad Finalizado_x000a_24/12/25: Según CQ, actualizó el estado a 05. En Calidad_x000a_04/12/25: Según CQ, actualizó el estado a 04. Desarrollo Finalizado_x000a_24/07/25: Según CQ, actualizó el estado a 03. En Desarrollo_x000a_10/02/25: Pospuesto en CQ. Se derivará a Olssa-Pedro, se inicia atención a partir de abr-25, se estima pase a calidad jun-25. Se generó mantenimiento, se asignó a Pedro y actualizó a POSPUESTO._x000a_10/02/25: Según CQ, actualizó el estado a 10. Paralizado_x000a_04/02/2025: Se registró en el Backlog, se creó trámite y se priorizó."/>
    <s v="Operac."/>
    <s v="BancariosRecaudación"/>
    <s v="2025-01"/>
    <s v="2025-02"/>
    <s v="2025-12"/>
    <x v="1"/>
    <s v="2026-03"/>
    <m/>
    <m/>
    <m/>
    <m/>
    <m/>
    <s v="2025-I"/>
    <n v="287"/>
    <n v="9.5666666666666664"/>
    <m/>
    <s v="Finalizada"/>
    <x v="1"/>
    <d v="2026-04-30T17:38:05"/>
    <x v="0"/>
    <m/>
    <m/>
    <s v="Culminado"/>
    <s v="Sin Aplicativo"/>
    <s v="Sin Aplicativo"/>
    <d v="2025-08-01T00:00:00"/>
    <d v="2025-08-01T00:00:00"/>
    <s v="01/04/25 Se iniciará en mayo25 con Olssa._x000a_Se derivará a Olssa-Pedro, se inicia atención a partir de abr-25, se estima pase a calidad jun-25. Se generará mantenimiento, se asignará a Pedro y actualiza a POSPUESTO."/>
    <d v="2026-04-30T00:00:00"/>
    <s v="Culminado"/>
    <s v="Abr 2026"/>
    <n v="2025"/>
    <x v="1"/>
    <m/>
    <n v="1"/>
    <s v="PRE"/>
    <s v="NO"/>
    <s v="03. En Desarrollo"/>
    <s v="No aplica"/>
    <x v="1"/>
    <n v="1"/>
    <n v="1"/>
    <n v="0"/>
    <n v="1"/>
    <d v="2025-07-17T00:00:00"/>
    <d v="2025-07-17T00:00:00"/>
    <d v="2025-12-03T00:00:00"/>
    <d v="2025-12-22T00:00:00"/>
    <d v="2026-03-16T00:00:00"/>
    <d v="2026-03-17T00:00:00"/>
    <d v="2026-03-27T00:00:00"/>
    <n v="97"/>
    <n v="1"/>
    <n v="200"/>
    <m/>
    <x v="1"/>
    <n v="0"/>
    <n v="97"/>
    <n v="0"/>
    <n v="776"/>
    <n v="0"/>
    <x v="4"/>
    <x v="0"/>
    <s v="17/03/26: Se expuso antes de que se pusiera certificado. Entonces debería estar ordenado."/>
    <x v="2"/>
    <m/>
  </r>
  <r>
    <s v="M0832"/>
    <n v="2596"/>
    <x v="0"/>
    <s v="2025-T0112"/>
    <s v="2025-M0274"/>
    <s v="Requerimiento Correctivo Proceso de Generación de EECC corriente"/>
    <m/>
    <x v="0"/>
    <s v="Captaciones y Pagaduría"/>
    <s v="Administración de Cuentas y Pagaduría"/>
    <d v="2025-01-29T00:00:00"/>
    <s v="MEMORANDO N° 00000097 -2025-BN/3191"/>
    <s v="SIDG-Sistema de Datos Generales Clientes"/>
    <m/>
    <x v="1"/>
    <s v="Cuenta Corriente "/>
    <s v="No aplica"/>
    <x v="0"/>
    <m/>
    <s v="No Aplica"/>
    <s v="No Aplica"/>
    <s v="No Aplica"/>
    <s v="No Aplica"/>
    <s v="No Aplica"/>
    <s v="No Aplica"/>
    <s v="Normal"/>
    <d v="2025-02-18T00:00:00"/>
    <s v="Sistemas Bancarios"/>
    <s v="Analista-BN"/>
    <s v="Eduardo Saul Cardenas Manrique"/>
    <s v="Junior Quicaño"/>
    <x v="1"/>
    <x v="1"/>
    <x v="0"/>
    <d v="2025-02-04T00:00:00"/>
    <d v="2025-11-03T00:00:00"/>
    <d v="2025-04-01T00:00:00"/>
    <d v="2026-03-03T00:00:00"/>
    <d v="2026-01-30T00:00:00"/>
    <d v="2026-03-13T00:00:00"/>
    <d v="2026-03-27T00:00:00"/>
    <d v="2026-05-31T14:24:00"/>
    <d v="2026-04-13T00:00:00"/>
    <d v="2026-04-14T00:00:00"/>
    <d v="2026-06-07T14:24:00"/>
    <s v="15/04/26: Según CQ, actualizó el estado a 08. Producción Finalizada_x000a_06/04/26: Según CQ, actualizó el estado a 06. Calidad Finalizado_x000a_16/03/26: Según CQ, actualizó el estado a 05. En Calidad_x000a_04/03/26: Según CQ, actualizó el estado a 04. Desarrollo Finalizado_x000a_02/04/25: Según CQ, actualizó el estado a 03. En Desarrollo_x000a_04/02/2025: Se registró en el Backlog, se creó trámite y se priorizó."/>
    <s v="Operac."/>
    <s v="CaptacionesPagaduría"/>
    <s v="2025-01"/>
    <s v="2025-02"/>
    <s v="2026-03"/>
    <x v="1"/>
    <s v="2026-06"/>
    <m/>
    <m/>
    <m/>
    <m/>
    <m/>
    <s v="2025-I"/>
    <n v="378"/>
    <n v="12.6"/>
    <s v="QC-353"/>
    <s v="Finalizada"/>
    <x v="1"/>
    <d v="2026-04-21T14:45:01"/>
    <x v="0"/>
    <m/>
    <m/>
    <s v="Culminado"/>
    <s v="Sin Aplicativo"/>
    <s v="Sin Aplicativo"/>
    <d v="2025-07-01T00:00:00"/>
    <d v="2025-07-01T00:00:00"/>
    <s v="01/04/25 Se remitirá a Indra._x000a_Se genera mantenimiento y se asignará a Indra-Johnny Roca. Se planificar el inicio en mar-25, pase a calidad jun-25"/>
    <d v="2026-04-14T00:00:00"/>
    <s v="Culminado"/>
    <s v="Abr 2026"/>
    <n v="2025"/>
    <x v="1"/>
    <m/>
    <n v="1"/>
    <s v="PRE"/>
    <s v="NO"/>
    <s v="03. En Desarrollo"/>
    <s v="No aplica"/>
    <x v="1"/>
    <n v="1"/>
    <n v="1"/>
    <n v="0"/>
    <n v="1"/>
    <d v="2025-11-03T00:00:00"/>
    <d v="2025-11-03T00:00:00"/>
    <d v="2026-03-09T00:00:00"/>
    <d v="2026-03-11T00:00:00"/>
    <d v="2026-04-06T00:00:00"/>
    <d v="2026-04-07T00:00:00"/>
    <d v="2026-04-13T00:00:00"/>
    <n v="86"/>
    <n v="1"/>
    <n v="200"/>
    <m/>
    <x v="1"/>
    <n v="0"/>
    <n v="86"/>
    <n v="0"/>
    <n v="688"/>
    <n v="0"/>
    <x v="1"/>
    <x v="0"/>
    <m/>
    <x v="0"/>
    <m/>
  </r>
  <r>
    <s v="M0834"/>
    <n v="1792"/>
    <x v="0"/>
    <s v="2023-T0474"/>
    <s v="2023-M0421"/>
    <s v="Proyecto de Migración y Optimización de la Aplicación Base de Datos Única de Clientes"/>
    <s v="Incrementar los beneficios de la empresa a corto y mediano plazo, por medio de la optimización de las funcionalidades: Disponibilidad del servidor, Seguridad, etc"/>
    <x v="0"/>
    <s v="Captaciones y Pagaduría"/>
    <s v="Apertura de Cuentas"/>
    <d v="2023-08-17T00:00:00"/>
    <s v="Correo s/n"/>
    <s v="SIUC-Sistema de Información Unica de Clientes"/>
    <s v="Mejoras Tecnológicas"/>
    <x v="1"/>
    <s v="No Aplica"/>
    <s v="No aplica"/>
    <x v="3"/>
    <s v="Recomendación"/>
    <s v="SBS"/>
    <s v="106-VIG/2019-DSB&quot;E"/>
    <s v="Visita de inspección SBS 2019"/>
    <n v="6"/>
    <s v="6.f.i"/>
    <d v="2024-12-31T00:00:00"/>
    <s v="Normal"/>
    <d v="2025-02-18T00:00:00"/>
    <s v="Sistemas Bancarios"/>
    <s v="FS-Indra"/>
    <s v="Johnny Luis Rocca Surco"/>
    <s v="Junior Quicaño"/>
    <x v="4"/>
    <x v="4"/>
    <x v="0"/>
    <d v="2023-08-17T00:00:00"/>
    <d v="2025-11-03T00:00:00"/>
    <d v="2025-12-23T00:00:00"/>
    <d v="2026-01-16T00:00:00"/>
    <d v="2026-01-30T00:00:00"/>
    <d v="2026-01-19T00:00:00"/>
    <d v="2026-02-03T00:00:00"/>
    <d v="2026-02-14T04:48:00"/>
    <d v="2026-02-10T00:00:00"/>
    <m/>
    <d v="2026-02-21T04:48:00"/>
    <s v="11/02/26: Según CQ, actualizó el estado a 07. En Despliegue_x000a_12/01/26: Según CQ, actualizó el estado a 10. Paralizado_x000a_05/08/2025: Se actualiza columna cartera por la denominación &quot;Mejoras Tecnológicas&quot;_x000a_05/02/2025: De acuerdo a lo solicitado por la OPP y Jefatura de Construcción s ehabilita el mantenimiento. Ademas se actualiza el tipo de EVOLUTIVO  a RECOMENDACIÓN._x000a_24/06/2024: Se cambió 'Recurso-Asignado' de ' ' a FS-Indra_x000a_10/06/2024: En cumplimiento del acuerdo 4.6 del acta Comité de demanda del 03.05.24 y lo remitido en memo N° 087; Se descarta el requerimient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13/12/2023: COMITÉ DEMANDA REGULARIZACIÓN: Se regulariza su registro según lo aprobado en comité_x000a_06/10/2023: Se registra el requerimiento según a solicitud del equipo de Construcción en el correo de 06.10.2023"/>
    <s v="Operac."/>
    <s v="CaptacionesPagaduría"/>
    <s v="2023-08"/>
    <s v="2025-02"/>
    <s v="2026-01"/>
    <x v="0"/>
    <s v="2026-02"/>
    <s v="En Proceso"/>
    <d v="2025-01-09T00:00:00"/>
    <d v="2025-08-22T00:00:00"/>
    <m/>
    <m/>
    <s v="2025-I"/>
    <s v="Sin Fecha Fin Producción"/>
    <s v="No Aplica"/>
    <m/>
    <s v="Finalizada"/>
    <x v="8"/>
    <d v="2026-03-02T15:43:08"/>
    <x v="1"/>
    <s v="1404"/>
    <m/>
    <s v="Vencida"/>
    <s v="Clientes (BDUC)"/>
    <s v="Canales Presenciales"/>
    <d v="2025-12-01T00:00:00"/>
    <d v="2025-12-01T00:00:00"/>
    <m/>
    <d v="2025-12-31T00:00:00"/>
    <s v="Vencida"/>
    <s v="Dic 2025"/>
    <n v="2025"/>
    <x v="2"/>
    <m/>
    <n v="0.9"/>
    <s v="PRE"/>
    <s v="NO"/>
    <s v="03. En Desarrollo"/>
    <s v="SI"/>
    <x v="2"/>
    <n v="1"/>
    <n v="0.9"/>
    <n v="9.9999999999999978E-2"/>
    <n v="0.9"/>
    <d v="2025-12-23T00:00:00"/>
    <d v="2025-12-23T00:00:00"/>
    <d v="2026-01-16T00:00:00"/>
    <d v="2026-01-19T00:00:00"/>
    <d v="2026-02-03T00:00:00"/>
    <d v="2026-02-10T00:00:00"/>
    <d v="2026-03-27T00:00:00"/>
    <n v="15"/>
    <n v="1"/>
    <n v="200"/>
    <m/>
    <x v="4"/>
    <n v="0"/>
    <n v="15"/>
    <n v="0"/>
    <n v="120"/>
    <n v="0"/>
    <x v="4"/>
    <x v="0"/>
    <s v="17/03/26: Pasó a transitorio en febrero y se llevará a cabo una reunión el 19/03/26."/>
    <x v="2"/>
    <m/>
  </r>
  <r>
    <s v="M0836"/>
    <n v="2603"/>
    <x v="0"/>
    <s v="2023-T0418"/>
    <s v="2023-M0369"/>
    <s v="Generación de Expedientes según Tipo de Régimen – Fase 1"/>
    <s v="Se requiere la generación de expedientes virtuales por tipo de régimen: General, Simplificado y reforzado."/>
    <x v="3"/>
    <s v="Oficialía de PLAFT"/>
    <s v="Prevención"/>
    <d v="2024-08-30T00:00:00"/>
    <s v="MEMORANDO N° 00000054 - 2024-BN/1202"/>
    <s v="LADI-Lavado de Dinero"/>
    <s v="Mejoras Tecnológicas"/>
    <x v="1"/>
    <s v="No Aplica"/>
    <s v="No aplica"/>
    <x v="0"/>
    <m/>
    <m/>
    <m/>
    <m/>
    <m/>
    <m/>
    <m/>
    <s v="Normal"/>
    <d v="2025-02-18T00:00:00"/>
    <s v="Sistemas Bancarios"/>
    <s v="FS-Indra"/>
    <s v="Johnny Luis Rocca Surco"/>
    <s v="Juan Carlos Zavaleta"/>
    <x v="1"/>
    <x v="1"/>
    <x v="0"/>
    <d v="2023-07-18T00:00:00"/>
    <m/>
    <d v="2025-04-21T00:00:00"/>
    <d v="2025-04-21T00:00:00"/>
    <d v="2025-06-13T00:00:00"/>
    <d v="2025-05-06T00:00:00"/>
    <d v="2025-07-02T00:00:00"/>
    <d v="2025-07-04T04:48:00"/>
    <d v="2026-01-21T00:00:00"/>
    <d v="2026-01-21T00:00:00"/>
    <d v="2025-07-11T04:48:00"/>
    <s v="26/01/26: Según CQ, actualizó el estado a 08. Producción Finalizada_x000a_05/09/2025: Cartera reasignada a Juan Carlos Zavaleta_x000a_11/08/2025: Cartera reasignada a Percy Silva_x000a_05/08/2025: Se actualiza columna cartera por la denominación &quot;Mejoras Tecnológicas&quot;_x000a_03/07/25: Según CQ, actualizó el estado a 06. Calidad Finalizado_x000a_07/05/25: Según CQ, actualizó el estado a 05. En Calidad_x000a_22/04/25: Según CQ, actualizó el estado a 04. Desarrollo Finalizado_x000a_21/04/25: Según CQ, actualizó el estado a 03. En Desarrollo_x000a_27/02/25: Según CQ, actualizó el estado a 05. En Calidad_x000a_20/02/25: Según CQ, actualizó el estado a 04. Desarrollo Finalizado_x000a_06/02/25: Se resgistró en el Backlog y se priorizó._x000a_04/02/25 Se regulariza su registro."/>
    <s v="PLAFT"/>
    <s v="OficialíaPLAFT"/>
    <s v="2024-08"/>
    <s v="2025-02"/>
    <s v="2025-04"/>
    <x v="4"/>
    <s v="2025-07"/>
    <s v="Entregado"/>
    <d v="2024-06-21T00:00:00"/>
    <d v="2025-06-13T00:00:00"/>
    <d v="2025-06-13T00:00:00"/>
    <m/>
    <s v="2025-I"/>
    <n v="275"/>
    <n v="9.1666666666666661"/>
    <m/>
    <s v="Finalizada"/>
    <x v="1"/>
    <d v="2026-01-21T11:43:23"/>
    <x v="0"/>
    <m/>
    <m/>
    <s v="Culminado"/>
    <s v="BackOffice"/>
    <s v="Otros Requerimientos"/>
    <d v="2025-03-01T00:00:00"/>
    <d v="2025-03-01T00:00:00"/>
    <s v="Canvia termino el desarrollo, pasa a Calidad Feb-25"/>
    <d v="2026-01-21T00:00:00"/>
    <s v="Culminado"/>
    <s v="Ene 2026"/>
    <m/>
    <x v="1"/>
    <m/>
    <n v="1"/>
    <s v="PRE"/>
    <s v="NO"/>
    <s v="06. Calidad Finalizado"/>
    <s v="No aplica"/>
    <x v="1"/>
    <n v="1"/>
    <n v="1"/>
    <n v="0"/>
    <n v="1"/>
    <d v="2025-04-21T00:00:00"/>
    <d v="2025-04-21T00:00:00"/>
    <d v="2025-04-21T00:00:00"/>
    <d v="2025-05-06T00:00:00"/>
    <d v="2025-07-02T00:00:00"/>
    <d v="2026-01-21T00:00:00"/>
    <d v="2026-01-21T00:00:00"/>
    <n v="1"/>
    <n v="1"/>
    <n v="200"/>
    <m/>
    <x v="1"/>
    <n v="0"/>
    <n v="1"/>
    <n v="0"/>
    <n v="8"/>
    <n v="0"/>
    <x v="9"/>
    <x v="0"/>
    <m/>
    <x v="0"/>
    <m/>
  </r>
  <r>
    <s v="M0839"/>
    <n v="2546"/>
    <x v="0"/>
    <s v="2025-T0132"/>
    <s v="2025-M0116"/>
    <s v="Reporte de trazabilidad y validación criptográfica para el canal Agentes - Indecopi"/>
    <s v="Reporte de trazabilidad y validación criptográfica para el canal Agentes - Indecopi"/>
    <x v="2"/>
    <s v="Canales Alternos"/>
    <s v="Canales Presenciales"/>
    <d v="2024-10-30T00:00:00"/>
    <s v="MEMORANDO N° 00000448 - 2024-BN/3251"/>
    <s v="TMIN-Tarjeta Multired Interfaces"/>
    <m/>
    <x v="5"/>
    <s v="Cuenta de Ahorros"/>
    <s v="No aplica"/>
    <x v="2"/>
    <s v="Normativo"/>
    <s v="SBS"/>
    <s v="Resolución S.B.S. N°504-2021"/>
    <m/>
    <m/>
    <m/>
    <d v="2022-07-01T00:00:00"/>
    <s v="Normal"/>
    <d v="2025-02-18T00:00:00"/>
    <s v="Sistemas Bancarios"/>
    <s v="FS-Indra"/>
    <s v="Vladimir Ronald Cajavilca Cajavilca"/>
    <s v="Omar Sarmiento"/>
    <x v="6"/>
    <x v="4"/>
    <x v="0"/>
    <d v="2025-02-07T00:00:00"/>
    <m/>
    <d v="2025-04-04T00:00:00"/>
    <d v="2026-01-15T00:00:00"/>
    <d v="2025-08-22T00:00:00"/>
    <d v="2026-01-15T00:00:00"/>
    <d v="2026-01-21T00:00:00"/>
    <d v="2025-10-17T00:00:00"/>
    <m/>
    <m/>
    <d v="2025-10-24T00:00:00"/>
    <s v="26/01/26: Según CQ, actualizó el estado a 06. Calidad Finalizado_x000a_16/01/26: Según CQ, actualizó el estado a 05. En Calidad_x000a_30/12/2025: Cartera reasignada a Omar Sarmiento_x000a_04/04/25: Según CQ, actualizó el estado a 03. En Desarrollo_x000a_19/03/25: Según CQ, actualizó el estado a 10. Paralizado_x000a_10/02/25: Según CQ, actualizó el estado a 03. En Desarrollo_x000a_07/02/2025: Se creó trámite y se registró en la Demanda Priorizada."/>
    <s v="B.Digital"/>
    <s v="CanalesAlternos"/>
    <s v="2024-10"/>
    <s v="2025-02"/>
    <s v="2026-01"/>
    <x v="0"/>
    <s v="2025-10"/>
    <s v="En Proceso"/>
    <d v="2025-04-10T00:00:00"/>
    <d v="2025-08-22T00:00:00"/>
    <m/>
    <m/>
    <s v="2025-I"/>
    <s v="Sin Fecha Fin Producción"/>
    <s v="No Aplica"/>
    <s v="QC-297"/>
    <s v="Finalizada"/>
    <x v="7"/>
    <d v="2026-01-21T14:36:34"/>
    <x v="0"/>
    <m/>
    <m/>
    <s v="Vencida"/>
    <s v="ATM-Agentes-VISA"/>
    <s v="Canales Presenciales"/>
    <s v="Pordefinir"/>
    <m/>
    <s v="01/04/25 Se activará en CQ y derivará a Indra._x000a_Se debe posponer en CQ. Se coordinará con el usuario para planificar su atención."/>
    <s v=""/>
    <s v="Sin Fecha"/>
    <s v="No definido"/>
    <n v="2025"/>
    <x v="2"/>
    <s v="Agentes"/>
    <n v="0.85"/>
    <s v="PRE"/>
    <s v="NO"/>
    <s v="03. En Desarrollo"/>
    <s v="SI"/>
    <x v="2"/>
    <n v="1"/>
    <n v="0.85"/>
    <n v="0.15000000000000002"/>
    <n v="0.85"/>
    <d v="2025-11-10T00:00:00"/>
    <d v="2025-11-10T00:00:00"/>
    <d v="2026-01-15T00:00:00"/>
    <d v="2026-01-15T00:00:00"/>
    <d v="2026-01-21T00:00:00"/>
    <d v="2026-02-19T00:00:00"/>
    <d v="2026-03-27T00:00:00"/>
    <n v="44"/>
    <n v="1"/>
    <n v="200"/>
    <s v="BD"/>
    <x v="5"/>
    <n v="0"/>
    <n v="44"/>
    <n v="0"/>
    <n v="352"/>
    <n v="0"/>
    <x v="4"/>
    <x v="0"/>
    <s v="19/03: Analista indicó lo siguiente: No pasará a producción se coordinara con Construcción"/>
    <x v="5"/>
    <m/>
  </r>
  <r>
    <s v="M0867"/>
    <n v="2632"/>
    <x v="0"/>
    <s v="2025-T0106"/>
    <s v="2025-M0086"/>
    <s v="IDENTIFICADOR DEL ERROR EN EL SISTEMA DEL ATM POR RETENCION DE TARJETA Y COBRO DE COMISION  POR REPOSICION"/>
    <s v="Para casos presentados en clientes con tarjetas de débito bloqueadas posterior al uso de ATM y sin comunicación precisa y oportuna del bloqueo."/>
    <x v="2"/>
    <s v="Canales Alternos"/>
    <s v="Canales Virtuales"/>
    <m/>
    <s v="Correo s/n"/>
    <s v="TMIN-Tarjeta Multired Interfaces"/>
    <m/>
    <x v="5"/>
    <s v="No Aplica"/>
    <s v="No aplica"/>
    <x v="1"/>
    <m/>
    <m/>
    <m/>
    <m/>
    <m/>
    <m/>
    <m/>
    <s v="Regularizado"/>
    <d v="2025-02-18T00:00:00"/>
    <s v="Sistemas Bancarios"/>
    <s v="Analista-BN"/>
    <s v="Vladimir Ronald Cajavilca Cajavilca"/>
    <s v="Omar Sarmiento"/>
    <x v="3"/>
    <x v="3"/>
    <x v="1"/>
    <d v="2025-02-03T00:00:00"/>
    <m/>
    <d v="2025-02-03T00:00:00"/>
    <m/>
    <m/>
    <m/>
    <m/>
    <s v=""/>
    <m/>
    <m/>
    <s v=""/>
    <s v="30/12/2025: Cartera reasignada a Omar Sarmiento_x000a_24/12/25: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0/02/25: Según CQ, actualizó el estado a 03. En Desarrollo_x000a_17/02/2025: Se registró en el Backlog como trámite Rugularizado"/>
    <s v="B.Digital"/>
    <s v="CanalesAlternos"/>
    <s v="No definido"/>
    <s v="2025-02"/>
    <s v="No definido"/>
    <x v="0"/>
    <s v="No definido"/>
    <m/>
    <m/>
    <m/>
    <m/>
    <m/>
    <s v="2025-I"/>
    <s v="Sin Fecha Fin Producción"/>
    <s v="No Aplica"/>
    <s v="QC-283"/>
    <s v="Asignada"/>
    <x v="3"/>
    <d v="2025-12-23T17:22:41"/>
    <x v="0"/>
    <m/>
    <m/>
    <s v="Sin Fecha"/>
    <s v="ATM-Agentes-VISA"/>
    <s v="Canales Presenciales"/>
    <d v="2025-08-01T00:00:00"/>
    <d v="2025-08-01T00:00:00"/>
    <m/>
    <d v="2025-08-31T00:00:00"/>
    <s v="Vencida"/>
    <s v="Ago 2025"/>
    <n v="2025"/>
    <x v="2"/>
    <s v="ATM"/>
    <n v="0.12"/>
    <s v="POST"/>
    <s v="REACTIVADO"/>
    <s v="Reactivo"/>
    <s v="No aplica"/>
    <x v="3"/>
    <s v=""/>
    <n v="0.12"/>
    <s v=""/>
    <s v=""/>
    <m/>
    <m/>
    <m/>
    <m/>
    <m/>
    <m/>
    <d v="2027-03-31T00:00:00"/>
    <n v="25"/>
    <n v="0.1"/>
    <n v="200"/>
    <m/>
    <x v="3"/>
    <n v="0.9"/>
    <n v="1"/>
    <n v="24"/>
    <n v="8"/>
    <n v="192"/>
    <x v="3"/>
    <x v="0"/>
    <m/>
    <x v="0"/>
    <m/>
  </r>
  <r>
    <s v="M0874"/>
    <n v="2673"/>
    <x v="0"/>
    <s v="2025-T0247"/>
    <s v="2025-M0278"/>
    <s v="Validación CCI / DNI pago de proveedores del estado para abonos en cuentas de ahorro MN"/>
    <m/>
    <x v="0"/>
    <s v="Captaciones y Pagaduría"/>
    <s v="Sistema de Pagos"/>
    <d v="2025-02-27T00:00:00"/>
    <s v="MEMORANDO N° 00000031 -2025-BN/3116"/>
    <s v="DPAH- Deposito de Ahorros MN"/>
    <m/>
    <x v="1"/>
    <s v="Cuenta de Ahorros"/>
    <s v="No aplica"/>
    <x v="0"/>
    <m/>
    <s v="No Aplica"/>
    <s v="No Aplica"/>
    <s v="No Aplica"/>
    <s v="No Aplica"/>
    <s v="No Aplica"/>
    <s v="No Aplica"/>
    <s v="Normal"/>
    <d v="2025-03-31T00:00:00"/>
    <s v="Sistemas Bancarios"/>
    <s v="FS-Olssa"/>
    <s v="Norma Fukunaga Fuentes"/>
    <s v="Junior Quicaño"/>
    <x v="0"/>
    <x v="0"/>
    <x v="0"/>
    <d v="2025-03-13T00:00:00"/>
    <m/>
    <d v="2025-11-27T00:00:00"/>
    <m/>
    <m/>
    <m/>
    <m/>
    <s v=""/>
    <m/>
    <m/>
    <s v=""/>
    <s v="15/09/25: Según CQ, actualizó el estado a 09. Descartado_x000a_03/04/25: Según CQ, actualizó el estado a 03. En Desarrollo_x000a_13/03/2025: Se creó trámite y se registró en la Demanda Priorizada."/>
    <s v="Operac."/>
    <s v="CaptacionesPagaduría"/>
    <s v="2025-02"/>
    <s v="2025-03"/>
    <s v="No definido"/>
    <x v="0"/>
    <s v="No definido"/>
    <m/>
    <m/>
    <m/>
    <m/>
    <m/>
    <s v="2025-I"/>
    <s v="Sin Fecha Fin Producción"/>
    <s v="No Aplica"/>
    <s v="QC-384"/>
    <s v="Finalizada"/>
    <x v="10"/>
    <d v="2026-01-07T18:15:17"/>
    <x v="0"/>
    <m/>
    <m/>
    <s v="Sin Fecha"/>
    <s v="BackOffice"/>
    <s v="Otros Requerimientos"/>
    <s v="Pordefinir"/>
    <m/>
    <s v="1/04/2025 Fue derivado a Olssa. Se generará mantenimiento y se asignará a Norma."/>
    <s v=""/>
    <s v="Sin Fecha"/>
    <s v="No definido"/>
    <n v="2025"/>
    <x v="0"/>
    <m/>
    <n v="-0.01"/>
    <s v="POST"/>
    <s v="REACTIVADO CONSTRUCCIÓN 26"/>
    <s v="09. Descartado"/>
    <s v="No aplica"/>
    <x v="0"/>
    <s v=""/>
    <n v="-0.01"/>
    <s v=""/>
    <s v=""/>
    <m/>
    <m/>
    <m/>
    <m/>
    <m/>
    <m/>
    <m/>
    <n v="25"/>
    <n v="0.1"/>
    <n v="200"/>
    <m/>
    <x v="0"/>
    <n v="0.9"/>
    <n v="1"/>
    <n v="24"/>
    <n v="2.6666666666666665"/>
    <n v="64"/>
    <x v="0"/>
    <x v="0"/>
    <m/>
    <x v="0"/>
    <m/>
  </r>
  <r>
    <s v="M0886"/>
    <n v="2689"/>
    <x v="0"/>
    <s v="2025-T0206"/>
    <s v="2025-M0182"/>
    <s v="OPTIMIZACION EN EL SISTEMA DE TRANSFERENCIAS INTERBANCARIAS DIFERIDAS SITE VIA ( CCE ) - FASE 2"/>
    <m/>
    <x v="0"/>
    <s v="Captaciones y Pagaduría"/>
    <s v="Sistema de Pagos"/>
    <d v="2025-01-17T00:00:00"/>
    <s v="MEMORANDO N° 00000010 - 2025-BN/3116"/>
    <s v="SICA-Sistema de Canje Electronico"/>
    <m/>
    <x v="1"/>
    <s v="No Aplica"/>
    <s v="Transferencias de recursos "/>
    <x v="0"/>
    <m/>
    <s v="No Aplica"/>
    <s v="No Aplica"/>
    <s v="No Aplica"/>
    <s v="No Aplica"/>
    <s v="No Aplica"/>
    <s v="No Aplica"/>
    <s v="Regularizado"/>
    <d v="2025-03-31T00:00:00"/>
    <s v="Sistemas Bancarios"/>
    <s v="FS-Olssa"/>
    <s v="Maribel Marlene Medina Molina/Pedro Jose Encalada Huertas"/>
    <s v="Junior Quicaño"/>
    <x v="5"/>
    <x v="4"/>
    <x v="0"/>
    <d v="2025-03-04T00:00:00"/>
    <d v="2025-11-03T00:00:00"/>
    <d v="2026-04-30T00:00:00"/>
    <d v="2026-02-11T00:00:00"/>
    <d v="2025-12-31T00:00:00"/>
    <d v="2026-02-23T00:00:00"/>
    <m/>
    <d v="2025-11-13T00:00:00"/>
    <m/>
    <m/>
    <d v="2025-11-20T00:00:00"/>
    <s v="06/04/26: Según CQ, actualizó el estado a 03. En Desarrollo_x000a_25/02/26: Según CQ, actualizó el estado a 05. En Calidad_x000a_12/02/26: Según CQ, actualizó el estado a 04. Desarrollo Finalizado_x000a_27/10/25: Según CQ, actualizó el estado a 03. En Desarrollo_x000a_08/09/25: Según CQ, actualizó el estado a 05. En Calidad_x000a_03/09/25: Según CQ, actualizó el estado a 04. Desarrollo Finalizado_x000a_25/08/25: Según CQ, actualizó el estado a 03. En Desarrollo_x000a_19/06/25: Según CQ, actualizó el estado a 05. En Calidad_x000a_20/05/25: Según CQ, actualizó el estado a 04. Desarrollo Finalizado_x000a_27/03/25: Según CQ, actualizó el estado a 03. En Desarrollo_x000a_24/03/25: Se regularizó registro en Backlog."/>
    <s v="Operac."/>
    <s v="CaptacionesPagaduría"/>
    <s v="2025-01"/>
    <s v="2025-03"/>
    <s v="2026-02"/>
    <x v="0"/>
    <s v="2025-11"/>
    <m/>
    <m/>
    <m/>
    <m/>
    <m/>
    <s v="2025-I"/>
    <s v="Sin Fecha Fin Producción"/>
    <s v="No Aplica"/>
    <s v="QC-358"/>
    <s v="Finalizada,Finalizada"/>
    <x v="5"/>
    <d v="2026-05-06T12:22:40"/>
    <x v="0"/>
    <m/>
    <m/>
    <s v="Vencida"/>
    <s v="BackOffice"/>
    <s v="Otros Requerimientos"/>
    <s v="Pordefinir"/>
    <m/>
    <m/>
    <s v=""/>
    <s v="Sin Fecha"/>
    <s v="No definido"/>
    <n v="2025"/>
    <x v="2"/>
    <m/>
    <n v="0.15"/>
    <s v="PRE"/>
    <s v="NO"/>
    <s v="03. En Desarrollo"/>
    <s v="SI"/>
    <x v="5"/>
    <n v="0.13793103448275862"/>
    <n v="0.15"/>
    <n v="-1.2068965517241376E-2"/>
    <n v="1.0874999999999999"/>
    <d v="2025-10-28T00:00:00"/>
    <d v="2026-05-11T00:00:00"/>
    <d v="2026-06-22T00:00:00"/>
    <d v="2026-06-23T00:00:00"/>
    <d v="2026-07-24T00:00:00"/>
    <d v="2026-07-27T00:00:00"/>
    <d v="2026-08-03T00:00:00"/>
    <n v="31"/>
    <n v="0.22580645161290322"/>
    <n v="173.6"/>
    <m/>
    <x v="2"/>
    <n v="0.77419354838709675"/>
    <n v="7"/>
    <n v="24"/>
    <n v="39.199999999999996"/>
    <n v="134.39999999999998"/>
    <x v="5"/>
    <x v="0"/>
    <m/>
    <x v="0"/>
    <m/>
  </r>
  <r>
    <s v="M0891"/>
    <n v="2696"/>
    <x v="0"/>
    <s v="2025-T0241"/>
    <s v="2025-M0538"/>
    <s v="Revisión, Actualización, Optimización y Automatización del Proceso de Carga del RCD"/>
    <m/>
    <x v="8"/>
    <s v="Construcción de Aplicaciones"/>
    <s v="Sistemas Bancarios"/>
    <m/>
    <s v="Correo s/n"/>
    <s v="COBD-Contabilidad-RCD"/>
    <m/>
    <x v="1"/>
    <s v="No Aplica"/>
    <s v="No aplica"/>
    <x v="0"/>
    <m/>
    <m/>
    <m/>
    <m/>
    <m/>
    <m/>
    <m/>
    <s v="Regularizado"/>
    <d v="2025-03-31T00:00:00"/>
    <s v="Sistemas Bancarios"/>
    <m/>
    <s v="Javier Baltazar Urquiaga Salazar"/>
    <s v="Tomas Calvera"/>
    <x v="1"/>
    <x v="1"/>
    <x v="0"/>
    <d v="2025-03-11T00:00:00"/>
    <m/>
    <d v="2025-08-04T00:00:00"/>
    <d v="2025-10-08T00:00:00"/>
    <d v="2025-08-22T00:00:00"/>
    <d v="2025-10-20T00:00:00"/>
    <d v="2025-12-30T00:00:00"/>
    <d v="2025-08-29T04:48:00"/>
    <d v="2026-01-31T00:00:00"/>
    <d v="2026-03-10T00:00:00"/>
    <d v="2025-09-05T04:48:00"/>
    <s v="10/03/26: Según CQ, actualizó el estado a 08. Producción Finalizada_x000a_04/02/2026: Cartera reasignada a Tomas Calvera_x000a_02/02/26: Según CQ, actualizó el estado a 07. En Despliegue_x000a_28/01/26: Según CQ, actualizó el estado a 05. En Calidad_x000a_26/01/26: Según CQ, actualizó el estado a 03. En Desarrollo_x000a_09/09/25: Según CQ, actualizó el estado a 05. En Calidad_x000a_05/09/2025: Cartera reasignada a Omar Sarmiento_x000a_25/08/25: Según CQ, actualizó el estado a 04. Desarrollo Finalizado_x000a_11/08/2025: Cartera reasignada a Percy Silva_x000a_05/08/25: Según CQ, actualizó el estado a 03. En Desarrollo_x000a_24/03/25: Se regularizó registro en Backlog."/>
    <s v="TI"/>
    <s v="ConstrucciónAplicaciones"/>
    <s v="No definido"/>
    <s v="2025-03"/>
    <s v="2025-10"/>
    <x v="2"/>
    <s v="2025-09"/>
    <m/>
    <m/>
    <m/>
    <m/>
    <m/>
    <s v="2025-I"/>
    <n v="218"/>
    <n v="7.2666666666666666"/>
    <m/>
    <s v="Finalizada"/>
    <x v="6"/>
    <d v="2026-03-10T15:10:16"/>
    <x v="0"/>
    <m/>
    <m/>
    <s v="Culminado"/>
    <s v="BackOffice"/>
    <s v="Otros Requerimientos"/>
    <s v="Pordefinir"/>
    <m/>
    <s v="1/04/2025 Fue derivado a Indra. No requiere mantenimiento."/>
    <d v="2026-03-10T00:00:00"/>
    <s v="Culminado"/>
    <s v="Mar 2026"/>
    <s v="Rev."/>
    <x v="1"/>
    <m/>
    <n v="1"/>
    <s v="PRE"/>
    <s v="NO"/>
    <s v="05. En Calidad"/>
    <s v="No aplica"/>
    <x v="1"/>
    <n v="1"/>
    <n v="1"/>
    <n v="0"/>
    <n v="1"/>
    <d v="2025-08-04T00:00:00"/>
    <d v="2025-08-04T00:00:00"/>
    <d v="2025-10-08T00:00:00"/>
    <d v="2025-10-20T00:00:00"/>
    <d v="2025-12-30T00:00:00"/>
    <d v="2026-01-31T00:00:00"/>
    <d v="2026-03-27T00:00:00"/>
    <n v="47"/>
    <n v="1"/>
    <n v="200"/>
    <m/>
    <x v="1"/>
    <n v="0"/>
    <n v="47"/>
    <n v="0"/>
    <n v="376"/>
    <n v="0"/>
    <x v="4"/>
    <x v="0"/>
    <m/>
    <x v="0"/>
    <m/>
  </r>
  <r>
    <s v="M0892"/>
    <n v="2698"/>
    <x v="0"/>
    <s v="2025-T0199"/>
    <s v="2025-M0537"/>
    <s v="REVISION, ACTUALIZACION, AUTOMATIZACION  Y OPTIMIZACION  DEL PROCESO CARGA DEL RCD ANEXO 5"/>
    <m/>
    <x v="8"/>
    <s v="Construcción de Aplicaciones"/>
    <s v="Sistemas Bancarios"/>
    <m/>
    <s v="Correo s/n"/>
    <s v="COBD-Contabilidad-RCD"/>
    <m/>
    <x v="1"/>
    <s v="Crédito Hipotecario"/>
    <s v="No aplica"/>
    <x v="0"/>
    <m/>
    <m/>
    <m/>
    <m/>
    <m/>
    <m/>
    <m/>
    <s v="Regularizado"/>
    <d v="2025-03-31T00:00:00"/>
    <s v="Sistemas Bancarios"/>
    <m/>
    <s v="Javier Baltazar Urquiaga Salazar"/>
    <s v="Tomas Calvera"/>
    <x v="1"/>
    <x v="1"/>
    <x v="0"/>
    <d v="2025-03-04T00:00:00"/>
    <m/>
    <d v="2025-08-04T00:00:00"/>
    <d v="2025-10-08T00:00:00"/>
    <d v="2025-08-22T00:00:00"/>
    <d v="2025-10-20T00:00:00"/>
    <d v="2025-12-30T00:00:00"/>
    <d v="2025-08-29T04:48:00"/>
    <d v="2026-01-30T00:00:00"/>
    <d v="2026-03-10T00:00:00"/>
    <d v="2025-09-05T04:48:00"/>
    <s v="10/03/26: Según CQ, actualizó el estado a 08. Producción Finalizada_x000a_04/02/2026: Cartera reasignada a Tomas Calvera_x000a_02/02/26: Según CQ, actualizó el estado a 07. En Despliegue_x000a_28/01/26: Según CQ, actualizó el estado a 05. En Calidad_x000a_26/01/26: Según CQ, actualizó el estado a 03. En Desarrollo_x000a_09/09/25: Según CQ, actualizó el estado a 05. En Calidad_x000a_05/09/2025: Cartera reasignada a Omar Sarmiento_x000a_25/08/25: Según CQ, actualizó el estado a 04. Desarrollo Finalizado_x000a_11/08/2025: Cartera reasignada a Percy Silva_x000a_05/08/25: Según CQ, actualizó el estado a 03. En Desarrollo_x000a_24/03/25: Se regularizó registro en Backlog."/>
    <s v="TI"/>
    <s v="ConstrucciónAplicaciones"/>
    <s v="No definido"/>
    <s v="2025-03"/>
    <s v="2025-10"/>
    <x v="2"/>
    <s v="2025-09"/>
    <m/>
    <m/>
    <m/>
    <m/>
    <m/>
    <s v="2025-I"/>
    <n v="218"/>
    <n v="7.2666666666666666"/>
    <m/>
    <s v="Finalizada"/>
    <x v="6"/>
    <d v="2026-03-10T15:09:12"/>
    <x v="0"/>
    <m/>
    <m/>
    <s v="Culminado"/>
    <s v="BackOffice"/>
    <s v="Otros Requerimientos"/>
    <s v="Pordefinir"/>
    <m/>
    <s v="1/04/2025 Fue derivado a Indra. No requiere mantenimiento."/>
    <d v="2026-03-10T00:00:00"/>
    <s v="Culminado"/>
    <s v="Mar 2026"/>
    <s v="Rev."/>
    <x v="1"/>
    <m/>
    <n v="1"/>
    <s v="PRE"/>
    <s v="NO"/>
    <s v="05. En Calidad"/>
    <s v="No aplica"/>
    <x v="1"/>
    <n v="1"/>
    <n v="1"/>
    <n v="0"/>
    <n v="1"/>
    <d v="2025-08-04T00:00:00"/>
    <d v="2025-08-04T00:00:00"/>
    <d v="2025-10-08T00:00:00"/>
    <d v="2025-10-20T00:00:00"/>
    <d v="2025-12-30T00:00:00"/>
    <d v="2026-01-30T00:00:00"/>
    <d v="2026-03-27T00:00:00"/>
    <n v="47"/>
    <n v="1"/>
    <n v="200"/>
    <m/>
    <x v="1"/>
    <n v="0"/>
    <n v="47"/>
    <n v="0"/>
    <n v="376"/>
    <n v="0"/>
    <x v="4"/>
    <x v="0"/>
    <m/>
    <x v="0"/>
    <m/>
  </r>
  <r>
    <s v="M0895"/>
    <n v="2704"/>
    <x v="0"/>
    <s v="2025-T0173"/>
    <s v="2025-M0148"/>
    <s v="INTERFAZ SISTEMA CONTABILIDAD BASE DE DATOS (COBD) Y BANK TRADE- BNKT"/>
    <m/>
    <x v="0"/>
    <s v="Internacional"/>
    <s v="Comercio Exterior"/>
    <m/>
    <s v="Correo s/n"/>
    <s v="COBD-Contabilidad-RCD"/>
    <m/>
    <x v="1"/>
    <s v="Crédito Documentario "/>
    <s v="No aplica"/>
    <x v="1"/>
    <m/>
    <m/>
    <m/>
    <s v="No Aplica"/>
    <s v="No Aplica"/>
    <s v="No Aplica"/>
    <s v="No Aplica"/>
    <s v="Regularizado"/>
    <d v="2025-03-31T00:00:00"/>
    <s v="Sistemas Bancarios"/>
    <s v="FS-Olssa"/>
    <s v="Pedro Jose Encalada Huertas"/>
    <s v="Junior Quicaño"/>
    <x v="1"/>
    <x v="1"/>
    <x v="0"/>
    <d v="2025-02-24T00:00:00"/>
    <m/>
    <d v="2025-02-24T00:00:00"/>
    <m/>
    <m/>
    <m/>
    <m/>
    <s v=""/>
    <d v="2025-07-18T00:00:00"/>
    <d v="2026-01-13T00:00:00"/>
    <s v=""/>
    <s v="14/01/26: Según CQ, actualizó el estado a 08. Producción Finalizada_x000a_24/07/25: Según CQ, actualizó el estado a 07. En Despliegue_x000a_27/03/25: Según CQ, actualizó el estado a 03. En Desarrollo_x000a_24/03/25: Se regularizó registro en Backlog."/>
    <s v="Operac."/>
    <s v="Internacional"/>
    <s v="No definido"/>
    <s v="2025-03"/>
    <s v="No definido"/>
    <x v="4"/>
    <s v="No definido"/>
    <m/>
    <m/>
    <m/>
    <m/>
    <m/>
    <s v="2025-I"/>
    <n v="323"/>
    <n v="10.766666666666667"/>
    <m/>
    <s v="Finalizada"/>
    <x v="6"/>
    <d v="2026-01-13T17:25:32"/>
    <x v="0"/>
    <m/>
    <m/>
    <s v="Culminado"/>
    <s v="BackOffice"/>
    <s v="Otros Requerimientos"/>
    <s v="Pordefinir"/>
    <m/>
    <m/>
    <d v="2026-01-13T00:00:00"/>
    <s v="Culminado"/>
    <s v="Ene 2026"/>
    <n v="2025"/>
    <x v="1"/>
    <m/>
    <n v="1"/>
    <s v="PRE"/>
    <s v="NO"/>
    <s v="07. En Despliegue"/>
    <s v="No aplica"/>
    <x v="1"/>
    <n v="1"/>
    <n v="1"/>
    <n v="0"/>
    <n v="1"/>
    <d v="2025-02-24T00:00:00"/>
    <d v="2025-02-24T00:00:00"/>
    <s v=""/>
    <s v=""/>
    <s v=""/>
    <d v="2025-07-18T00:00:00"/>
    <d v="2026-01-13T00:00:00"/>
    <n v="25"/>
    <n v="0.1"/>
    <n v="200"/>
    <m/>
    <x v="1"/>
    <n v="0.9"/>
    <n v="1"/>
    <n v="24"/>
    <n v="8"/>
    <n v="192"/>
    <x v="9"/>
    <x v="0"/>
    <m/>
    <x v="0"/>
    <m/>
  </r>
  <r>
    <s v="M0896"/>
    <n v="2705"/>
    <x v="0"/>
    <s v="2025-T0193"/>
    <s v="2025-M0171"/>
    <s v="Actualización de Tablas de Parámetros de Prestamos Multired y de Tarjeta de Crédito"/>
    <m/>
    <x v="1"/>
    <s v="Banca Personal"/>
    <s v="Préstamo Multired"/>
    <m/>
    <s v="Correo s/n"/>
    <s v="PRAH - Prestamos Multired"/>
    <m/>
    <x v="2"/>
    <s v="Préstamos Multired "/>
    <s v="No aplica"/>
    <x v="0"/>
    <m/>
    <m/>
    <m/>
    <m/>
    <m/>
    <m/>
    <m/>
    <s v="Regularizado"/>
    <d v="2025-03-31T00:00:00"/>
    <s v="Sistemas Bancarios"/>
    <s v="Analista-BN"/>
    <s v="Pedro Jose Encalada Huertas"/>
    <s v="Milagros Huamani"/>
    <x v="1"/>
    <x v="1"/>
    <x v="0"/>
    <d v="2025-03-03T00:00:00"/>
    <m/>
    <d v="2025-03-03T00:00:00"/>
    <d v="2025-07-24T00:00:00"/>
    <m/>
    <d v="2025-08-31T00:00:00"/>
    <d v="2025-09-26T00:00:00"/>
    <d v="2025-09-19T04:48:00"/>
    <d v="2026-01-19T00:00:00"/>
    <d v="2026-01-21T00:00:00"/>
    <d v="2025-09-26T04:48:00"/>
    <s v="26/01/26: Según CQ, actualizó el estado a 08. Producción Finalizada_x000a_21/01/26: Según CQ, actualizó el estado a 07. En Despliegue_x000a_29/09/25: Según CQ, actualizó el estado a 06. Calidad Finalizado_x000a_18/08/25: Según CQ, actualizó el estado a 05. En Calidad_x000a_25/07/25: Según CQ, actualizó el estado a 04. Desarrollo Finalizado_x000a_27/03/25: Según CQ, actualizó el estado a 03. En Desarrollo_x000a_24/03/25: Se regularizó registro en Backlog."/>
    <s v="Productos"/>
    <s v="BancaPersonal"/>
    <s v="No definido"/>
    <s v="2025-03"/>
    <s v="2025-07"/>
    <x v="4"/>
    <s v="2025-09"/>
    <m/>
    <m/>
    <m/>
    <m/>
    <m/>
    <s v="2025-I"/>
    <n v="324"/>
    <n v="10.8"/>
    <m/>
    <s v="Finalizada"/>
    <x v="1"/>
    <d v="2026-01-21T11:30:12"/>
    <x v="0"/>
    <m/>
    <m/>
    <s v="Culminado"/>
    <s v="Préstamos Multired"/>
    <s v="Productos"/>
    <s v="Pordefinir"/>
    <m/>
    <m/>
    <d v="2026-01-21T00:00:00"/>
    <s v="Culminado"/>
    <s v="Ene 2026"/>
    <n v="2025"/>
    <x v="1"/>
    <m/>
    <n v="1"/>
    <s v="PRE"/>
    <s v="NO"/>
    <s v="06. Calidad Finalizado"/>
    <s v="No aplica"/>
    <x v="1"/>
    <n v="1"/>
    <n v="1"/>
    <n v="0"/>
    <n v="1"/>
    <d v="2025-03-03T00:00:00"/>
    <d v="2025-03-03T00:00:00"/>
    <d v="2025-07-24T00:00:00"/>
    <d v="2025-08-31T00:00:00"/>
    <d v="2025-09-26T00:00:00"/>
    <d v="2026-01-19T00:00:00"/>
    <d v="2026-01-21T00:00:00"/>
    <n v="103"/>
    <n v="1"/>
    <n v="200"/>
    <m/>
    <x v="1"/>
    <n v="0"/>
    <n v="103"/>
    <n v="0"/>
    <n v="824"/>
    <n v="0"/>
    <x v="9"/>
    <x v="0"/>
    <m/>
    <x v="0"/>
    <m/>
  </r>
  <r>
    <s v="M0901"/>
    <n v="2234"/>
    <x v="0"/>
    <s v="2025-T0238"/>
    <s v="2025-M0199"/>
    <s v="Automatización Contable de Servicios Educativos."/>
    <m/>
    <x v="0"/>
    <s v="Servicios Bancarios y Recaudación"/>
    <s v="Recaudación y Corresponsalía"/>
    <d v="2024-02-14T00:00:00"/>
    <s v="MEMORANDO N° 00000037 -2024-BN/3243"/>
    <s v="RECA-Recaudacion"/>
    <m/>
    <x v="8"/>
    <s v="No Aplica"/>
    <s v="Cobranzas "/>
    <x v="0"/>
    <m/>
    <s v="No Aplica"/>
    <s v="No Aplica"/>
    <s v="No Aplica"/>
    <s v="No Aplica"/>
    <s v="No Aplica"/>
    <s v="No Aplica"/>
    <s v="Normal"/>
    <d v="2025-03-31T00:00:00"/>
    <s v="Sistemas Bancarios"/>
    <s v="Analista-BN"/>
    <s v="Jorge Lucio Ruedas Fernandez"/>
    <s v="Junior Quicaño"/>
    <x v="3"/>
    <x v="3"/>
    <x v="2"/>
    <d v="2025-03-10T00:00:00"/>
    <d v="2025-11-03T00:00:00"/>
    <d v="2025-04-01T00:00:00"/>
    <m/>
    <m/>
    <m/>
    <m/>
    <s v=""/>
    <m/>
    <m/>
    <s v=""/>
    <s v="24/03/2026 Devuelto de Certificación por detectar incidencias en el escaneo de Seguridad._x000a_12/01/26: Según CQ, actualizó el estado a 10. Paralizado_x000a_02/04/25: Según CQ, actualizó el estado a 03. En Desarrollo_x000a_10/03/25: Se creó trámite._x000a_29/08/2024: Por evaluar jorge rueda y valery _x000a_27/06/24 Se revisará en un prox. comité cuando el recurso se libere._x000a_22/05/24 No se cuenta con recursos para atender temas de Págalo._x000a_24/04/2024: Se registró en la demanda Integral "/>
    <s v="Operac."/>
    <s v="BancariosRecaudación"/>
    <s v="2024-02"/>
    <s v="2025-03"/>
    <s v="No definido"/>
    <x v="0"/>
    <s v="No definido"/>
    <m/>
    <m/>
    <m/>
    <m/>
    <m/>
    <s v="2025-I"/>
    <s v="Sin Fecha Fin Producción"/>
    <s v="No Aplica"/>
    <m/>
    <s v="Pospuesta"/>
    <x v="3"/>
    <d v="2026-01-09T10:41:40"/>
    <x v="0"/>
    <m/>
    <m/>
    <s v="Sin Fecha"/>
    <s v="BackOffice"/>
    <s v="Otros Requerimientos"/>
    <s v="Pordefinir"/>
    <m/>
    <s v="01/04/25 se derivará a Olssa, y se asignará a JRueda."/>
    <s v=""/>
    <s v="Sin Fecha"/>
    <s v="No definido"/>
    <n v="2025"/>
    <x v="2"/>
    <m/>
    <n v="0.12"/>
    <s v="PRE"/>
    <s v="NO"/>
    <s v="03. En Desarrollo"/>
    <s v="No aplica"/>
    <x v="3"/>
    <s v=""/>
    <n v="0.12"/>
    <s v=""/>
    <s v=""/>
    <m/>
    <m/>
    <m/>
    <m/>
    <m/>
    <m/>
    <d v="2026-11-30T00:00:00"/>
    <n v="25"/>
    <n v="0.1"/>
    <n v="200"/>
    <m/>
    <x v="3"/>
    <n v="0.9"/>
    <n v="1"/>
    <n v="24"/>
    <n v="8"/>
    <n v="192"/>
    <x v="13"/>
    <x v="0"/>
    <m/>
    <x v="0"/>
    <m/>
  </r>
  <r>
    <s v="M0915"/>
    <n v="2638"/>
    <x v="0"/>
    <s v="2025-T0162"/>
    <s v="2025-M0306"/>
    <s v="Mantenimiento de Base de Datos para cálculo de requerimiento de capital por riesgo de crédito"/>
    <m/>
    <x v="7"/>
    <s v="Riesgos Crediticios y Financieros"/>
    <s v="Riesgos Crediticios"/>
    <d v="2025-01-17T00:00:00"/>
    <s v="MEMORANDO N° 000000004- 2025-BN-1520"/>
    <s v="COBD-Contabilidad-RCD"/>
    <m/>
    <x v="1"/>
    <s v="Tarjeta de Crédito "/>
    <s v="No aplica"/>
    <x v="2"/>
    <s v="Normativo"/>
    <s v="SBS"/>
    <s v="Resolución SBS N° 4345-2023"/>
    <m/>
    <m/>
    <m/>
    <m/>
    <s v="Normal"/>
    <d v="2025-03-31T00:00:00"/>
    <s v="Sistemas Bancarios"/>
    <s v="Analista-BN"/>
    <s v="Andrés Quiñones Gonzales"/>
    <s v="Maria Barboza"/>
    <x v="5"/>
    <x v="4"/>
    <x v="0"/>
    <d v="2025-02-20T00:00:00"/>
    <m/>
    <d v="2025-04-16T00:00:00"/>
    <m/>
    <m/>
    <m/>
    <m/>
    <s v=""/>
    <m/>
    <m/>
    <s v=""/>
    <s v="19/01/2025: Cartera reasignada a Maria Barboza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Milagros Huamani_x000a_11/08/2025: Cartera reasignada a Percy Silva_x000a_21/04/25: Según CQ, actualizó el estado a 03. En Desarrollo_x000a_20/02/2025: Se registró en el Backlog, se creó trámite y se priorizó."/>
    <s v="Riesgos"/>
    <s v="CrediticiosFinancieros"/>
    <s v="2025-01"/>
    <s v="2025-03"/>
    <s v="No definido"/>
    <x v="0"/>
    <s v="No definido"/>
    <m/>
    <m/>
    <m/>
    <m/>
    <m/>
    <s v="2025-I"/>
    <s v="Sin Fecha Fin Producción"/>
    <s v="No Aplica"/>
    <s v="QC-347"/>
    <s v="Pospuesta"/>
    <x v="5"/>
    <d v="2025-04-16T09:06:48"/>
    <x v="0"/>
    <m/>
    <m/>
    <s v="Sin Fecha"/>
    <s v="BackOffice"/>
    <s v="Otros Requerimientos"/>
    <s v="Pordefinir"/>
    <m/>
    <s v="Repetido"/>
    <s v=""/>
    <s v="Sin Fecha"/>
    <s v="No definido"/>
    <s v="Rev."/>
    <x v="2"/>
    <m/>
    <n v="0.15"/>
    <s v="POST"/>
    <s v="REACTIVADO"/>
    <s v="Reactivo"/>
    <s v="SI"/>
    <x v="5"/>
    <n v="0"/>
    <n v="0.15"/>
    <n v="-0.15"/>
    <s v=""/>
    <d v="2025-11-03T00:00:00"/>
    <d v="2026-09-01T00:00:00"/>
    <d v="2026-10-15T00:00:00"/>
    <d v="2026-10-15T00:00:00"/>
    <d v="2026-11-17T00:00:00"/>
    <d v="2026-11-17T00:00:00"/>
    <d v="2027-03-08T00:00:00"/>
    <n v="32"/>
    <n v="0"/>
    <n v="256"/>
    <m/>
    <x v="2"/>
    <n v="1"/>
    <n v="0"/>
    <n v="32"/>
    <n v="0"/>
    <n v="256"/>
    <x v="3"/>
    <x v="0"/>
    <s v="Depende de las nuevas normas que entran en vigencia en el año 2027 x la SBS"/>
    <x v="0"/>
    <m/>
  </r>
  <r>
    <s v="M0922"/>
    <n v="2652"/>
    <x v="0"/>
    <s v="2025-T0205"/>
    <s v="2025-M0180"/>
    <s v="Extracción periódica de la información del sistema SYGNUS que se encuentra en el entorno de Open Distribuido"/>
    <m/>
    <x v="5"/>
    <s v="Administración de Personal"/>
    <s v="Registro de Personal"/>
    <d v="2025-02-28T00:00:00"/>
    <s v="MEMORANDO N° 00000004 - 2025-BN/2320"/>
    <s v="OSAI -: Oracle Sistema Administrativo Integrado"/>
    <s v="Big Data"/>
    <x v="1"/>
    <s v="No Aplica"/>
    <s v="No aplica"/>
    <x v="0"/>
    <m/>
    <m/>
    <m/>
    <m/>
    <m/>
    <m/>
    <m/>
    <s v="Normal"/>
    <d v="2025-03-31T00:00:00"/>
    <s v="Sistemas Administrativos"/>
    <s v="FS-Olssa"/>
    <s v="Luis Enrique Almeyda Pachas"/>
    <s v="Juan Carlos Zavaleta"/>
    <x v="1"/>
    <x v="1"/>
    <x v="0"/>
    <d v="2025-03-04T00:00:00"/>
    <m/>
    <d v="2025-10-13T00:00:00"/>
    <d v="2025-10-21T00:00:00"/>
    <m/>
    <d v="2025-10-27T00:00:00"/>
    <d v="2025-11-19T00:00:00"/>
    <d v="2025-10-24T04:48:00"/>
    <d v="2026-01-28T00:00:00"/>
    <d v="2026-01-29T00:00:00"/>
    <d v="2025-10-31T04:48:00"/>
    <s v="30/01/26: Según CQ, actualizó el estado a 08. Producción Finalizada_x000a_21/11/25: Según CQ, actualizó el estado a 06. Calidad Finalizado_x000a_30/10/25: Según CQ, actualizó el estado a 05. En Calidad_x000a_22/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01/04/25: Según CQ, actualizó el estado a 03. En Desarrollo_x000a_03/03/2025: Se registró en el Backlog y se creó trámite."/>
    <s v="RRHH"/>
    <s v="AdministraciónPersonal"/>
    <s v="2025-02"/>
    <s v="2025-03"/>
    <s v="2025-10"/>
    <x v="4"/>
    <s v="2025-10"/>
    <m/>
    <m/>
    <m/>
    <m/>
    <m/>
    <s v="2025-I"/>
    <n v="108"/>
    <n v="3.6"/>
    <s v="QC-403"/>
    <s v="Finalizada"/>
    <x v="1"/>
    <d v="2026-01-29T20:12:07"/>
    <x v="0"/>
    <m/>
    <m/>
    <s v="Culminado"/>
    <s v="Oracle"/>
    <s v="Otros Requerimientos"/>
    <s v="Pordefinir"/>
    <m/>
    <m/>
    <d v="2026-01-29T00:00:00"/>
    <s v="Culminado"/>
    <s v="Ene 2026"/>
    <m/>
    <x v="1"/>
    <m/>
    <n v="1"/>
    <s v="PRE"/>
    <s v="NO"/>
    <s v="04. Desarrollo Finalizado"/>
    <s v="No aplica"/>
    <x v="1"/>
    <n v="1"/>
    <n v="1"/>
    <n v="0"/>
    <n v="1"/>
    <d v="2025-10-13T00:00:00"/>
    <d v="2025-10-13T00:00:00"/>
    <d v="2025-10-21T00:00:00"/>
    <d v="2025-10-27T00:00:00"/>
    <d v="2025-11-19T00:00:00"/>
    <d v="2026-01-28T00:00:00"/>
    <d v="2026-01-30T00:00:00"/>
    <n v="7"/>
    <n v="1"/>
    <n v="200"/>
    <m/>
    <x v="1"/>
    <n v="0"/>
    <n v="7"/>
    <n v="0"/>
    <n v="56"/>
    <n v="0"/>
    <x v="9"/>
    <x v="0"/>
    <m/>
    <x v="0"/>
    <m/>
  </r>
  <r>
    <s v="M0923"/>
    <n v="2653"/>
    <x v="0"/>
    <s v="2025-T0210"/>
    <s v="2025-M0203"/>
    <s v="Extracción periódica de la información del sistema SIP (Sistema Integral de Personal) que se encuentra en el entorno de mainframe"/>
    <m/>
    <x v="5"/>
    <s v="Administración de Personal"/>
    <s v="Registro de Personal"/>
    <d v="2025-02-28T00:00:00"/>
    <s v="MEMORANDO N° 00000004 - 2025-BN/2320"/>
    <s v="RHPP- Recursos humanos planillas"/>
    <s v="Big Data"/>
    <x v="1"/>
    <s v="No Aplica"/>
    <s v="No aplica"/>
    <x v="0"/>
    <m/>
    <m/>
    <m/>
    <m/>
    <m/>
    <m/>
    <m/>
    <s v="Normal"/>
    <d v="2025-03-31T00:00:00"/>
    <s v="Sistemas Administrativos"/>
    <s v="Analista-BN"/>
    <s v="Luis Enrique Almeyda Pachas"/>
    <s v="Juan Carlos Zavaleta"/>
    <x v="1"/>
    <x v="1"/>
    <x v="0"/>
    <d v="2025-03-05T00:00:00"/>
    <m/>
    <d v="2025-10-13T00:00:00"/>
    <d v="2025-10-15T00:00:00"/>
    <m/>
    <d v="2025-10-23T00:00:00"/>
    <d v="2025-11-19T00:00:00"/>
    <d v="2025-10-15T19:12:00"/>
    <d v="2026-01-29T00:00:00"/>
    <d v="2026-05-15T00:00:00"/>
    <d v="2025-10-22T19:12:00"/>
    <s v="18/05/26: Según CQ, actualizó el estado a 08. Producción Finalizada_x000a_30/01/26: Según CQ, actualizó el estado a 07. En Despliegue_x000a_21/11/25: Según CQ, actualizó el estado a 06. Calidad Finalizado_x000a_24/10/25: Según CQ, actualizó el estado a 05. En Calidad_x000a_16/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0"/>
    <x v="6"/>
    <s v="2025-10"/>
    <m/>
    <m/>
    <m/>
    <m/>
    <m/>
    <s v="2025-I"/>
    <n v="214"/>
    <n v="7.1333333333333337"/>
    <s v="QC-403"/>
    <s v="Finalizada"/>
    <x v="1"/>
    <d v="2026-05-15T17:07:41"/>
    <x v="0"/>
    <m/>
    <m/>
    <s v="Culminado"/>
    <s v="BackOffice"/>
    <s v="Otros Requerimientos"/>
    <s v="Pordefinir"/>
    <m/>
    <m/>
    <d v="2026-05-15T00:00:00"/>
    <s v="Culminado"/>
    <s v="May 2026"/>
    <m/>
    <x v="1"/>
    <m/>
    <n v="1"/>
    <s v="PRE"/>
    <s v="NO"/>
    <s v="05. En Calidad"/>
    <s v="No aplica"/>
    <x v="1"/>
    <n v="1"/>
    <n v="1"/>
    <n v="0"/>
    <n v="1"/>
    <d v="2025-10-13T00:00:00"/>
    <d v="2025-10-13T00:00:00"/>
    <d v="2025-10-15T00:00:00"/>
    <d v="2025-10-23T00:00:00"/>
    <d v="2025-11-19T00:00:00"/>
    <d v="2026-01-29T00:00:00"/>
    <d v="2026-03-27T00:00:00"/>
    <n v="3"/>
    <n v="1"/>
    <n v="200"/>
    <m/>
    <x v="1"/>
    <n v="0"/>
    <n v="3"/>
    <n v="0"/>
    <n v="24"/>
    <n v="0"/>
    <x v="4"/>
    <x v="0"/>
    <s v="17/03/26: Aún no se ejecuta. Hasta el viernes está planificado ejecturalo."/>
    <x v="2"/>
    <m/>
  </r>
  <r>
    <s v="M0924"/>
    <n v="2654"/>
    <x v="0"/>
    <s v="2025-T0211"/>
    <s v="2025-M0204"/>
    <s v="Extracción periódica de la información del sistema Oracle Financial que se encuentra en el entorno de Open Distribuido"/>
    <m/>
    <x v="5"/>
    <s v="Administración de Personal"/>
    <s v="Registro de Personal"/>
    <d v="2025-02-28T00:00:00"/>
    <s v="MEMORANDO N° 00000004 - 2025-BN/2320"/>
    <s v="OSAI -: Oracle Sistema Administrativo Integrado"/>
    <s v="Big Data"/>
    <x v="1"/>
    <s v="No Aplica"/>
    <s v="No aplica"/>
    <x v="0"/>
    <m/>
    <m/>
    <m/>
    <m/>
    <m/>
    <m/>
    <m/>
    <s v="Normal"/>
    <d v="2025-03-31T00:00:00"/>
    <s v="Sistemas Administrativos"/>
    <s v="Analista-BN"/>
    <s v="Luis Enrique Almeyda Pachas"/>
    <s v="Juan Carlos Zavaleta"/>
    <x v="1"/>
    <x v="1"/>
    <x v="0"/>
    <d v="2025-03-05T00:00:00"/>
    <m/>
    <d v="2025-10-13T00:00:00"/>
    <d v="2025-10-24T00:00:00"/>
    <m/>
    <d v="2025-10-27T00:00:00"/>
    <d v="2025-12-16T00:00:00"/>
    <d v="2025-10-28T09:36:00"/>
    <d v="2026-01-28T00:00:00"/>
    <d v="2026-01-29T00:00:00"/>
    <d v="2025-11-04T09:36:00"/>
    <s v="30/01/26: Según CQ, actualizó el estado a 08. Producción Finalizada_x000a_17/12/25: Según CQ, actualizó el estado a 06. Calidad Finalizado_x000a_30/10/25: Según CQ, actualizó el estado a 05. En Calidad_x000a_27/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0"/>
    <x v="4"/>
    <s v="2025-11"/>
    <m/>
    <m/>
    <m/>
    <m/>
    <m/>
    <s v="2025-I"/>
    <n v="108"/>
    <n v="3.6"/>
    <s v="QC-403"/>
    <s v="Finalizada"/>
    <x v="1"/>
    <d v="2026-01-29T17:16:51"/>
    <x v="0"/>
    <m/>
    <m/>
    <s v="Culminado"/>
    <s v="Oracle"/>
    <s v="Otros Requerimientos"/>
    <s v="Pordefinir"/>
    <m/>
    <m/>
    <d v="2026-01-29T00:00:00"/>
    <s v="Culminado"/>
    <s v="Ene 2026"/>
    <m/>
    <x v="1"/>
    <m/>
    <n v="1"/>
    <s v="PRE"/>
    <s v="NO"/>
    <s v="04. Desarrollo Finalizado"/>
    <s v="No aplica"/>
    <x v="1"/>
    <n v="1"/>
    <n v="1"/>
    <n v="0"/>
    <n v="1"/>
    <d v="2025-10-13T00:00:00"/>
    <d v="2025-10-13T00:00:00"/>
    <d v="2025-10-24T00:00:00"/>
    <d v="2025-10-27T00:00:00"/>
    <d v="2025-12-16T00:00:00"/>
    <d v="2026-01-28T00:00:00"/>
    <d v="2026-01-29T00:00:00"/>
    <n v="10"/>
    <n v="1"/>
    <n v="200"/>
    <m/>
    <x v="1"/>
    <n v="0"/>
    <n v="10"/>
    <n v="0"/>
    <n v="80"/>
    <n v="0"/>
    <x v="9"/>
    <x v="0"/>
    <m/>
    <x v="0"/>
    <m/>
  </r>
  <r>
    <s v="M0925"/>
    <n v="2655"/>
    <x v="0"/>
    <s v="2025-T0212"/>
    <s v="2025-M0206"/>
    <s v="Extraer información relacionada a maestra de empleados siguiendo el diseño propuesto en el presente documento"/>
    <m/>
    <x v="5"/>
    <s v="Administración de Personal"/>
    <s v="Registro de Personal"/>
    <d v="2025-02-28T00:00:00"/>
    <s v="MEMORANDO N° 00000004 - 2025-BN/2320"/>
    <s v="BNDA-Data Analítica BN"/>
    <s v="Big Data"/>
    <x v="1"/>
    <s v="No Aplica"/>
    <s v="No aplica"/>
    <x v="0"/>
    <m/>
    <m/>
    <m/>
    <m/>
    <m/>
    <m/>
    <m/>
    <s v="Normal"/>
    <d v="2025-03-31T00:00:00"/>
    <s v="Sistemas Administrativos"/>
    <s v="FS-Olssa"/>
    <s v="Luis Enrique Almeyda Pachas"/>
    <s v="Juan Carlos Zavaleta"/>
    <x v="1"/>
    <x v="1"/>
    <x v="0"/>
    <d v="2025-03-05T00:00:00"/>
    <m/>
    <d v="2025-05-27T00:00:00"/>
    <d v="2025-12-12T00:00:00"/>
    <m/>
    <d v="2025-12-22T00:00:00"/>
    <d v="2026-02-11T00:00:00"/>
    <d v="2026-03-01T14:24:00"/>
    <d v="2026-03-18T00:00:00"/>
    <d v="2026-03-23T00:00:00"/>
    <d v="2026-03-08T14:24:00"/>
    <s v="23/03/26: Según CQ, actualizó el estado a 08. Producción Finalizada_x000a_19/03/26: Según CQ, actualizó el estado a 07. En Despliegue_x000a_12/02/26: Según CQ, actualizó el estado a 06. Calidad Finalizado_x000a_30/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2"/>
    <x v="2"/>
    <s v="2026-03"/>
    <m/>
    <m/>
    <m/>
    <m/>
    <m/>
    <s v="2025-I"/>
    <n v="300"/>
    <n v="10"/>
    <s v="QC-403"/>
    <s v="Finalizada"/>
    <x v="1"/>
    <d v="2026-03-23T10:58:26"/>
    <x v="0"/>
    <m/>
    <m/>
    <s v="Culminado"/>
    <s v="BackOffice"/>
    <s v="Otros Requerimientos"/>
    <s v="Pordefinir"/>
    <m/>
    <m/>
    <d v="2026-03-23T00:00:00"/>
    <s v="Culminado"/>
    <s v="Mar 2026"/>
    <m/>
    <x v="1"/>
    <m/>
    <n v="1"/>
    <s v="PRE"/>
    <s v="NO"/>
    <s v="03. En Desarrollo"/>
    <s v="No aplica"/>
    <x v="1"/>
    <n v="1"/>
    <n v="1"/>
    <n v="0"/>
    <n v="1"/>
    <d v="2025-05-27T00:00:00"/>
    <d v="2025-05-27T00:00:00"/>
    <d v="2025-12-12T00:00:00"/>
    <d v="2025-12-22T00:00:00"/>
    <d v="2026-02-11T00:00:00"/>
    <d v="2026-02-19T00:00:00"/>
    <d v="2026-03-27T00:00:00"/>
    <n v="140"/>
    <n v="1"/>
    <n v="200"/>
    <m/>
    <x v="1"/>
    <n v="0"/>
    <n v="140"/>
    <n v="0"/>
    <n v="1120"/>
    <n v="0"/>
    <x v="4"/>
    <x v="0"/>
    <m/>
    <x v="0"/>
    <m/>
  </r>
  <r>
    <s v="M0926"/>
    <n v="2656"/>
    <x v="0"/>
    <s v="2025-T0213"/>
    <s v="2025-M0207"/>
    <s v="Extraer información relacionada a maestra de empleados - Dirección siguiendo el diseño propuesto en el presente documento"/>
    <m/>
    <x v="5"/>
    <s v="Administración de Personal"/>
    <s v="Registro de Personal"/>
    <d v="2025-02-28T00:00:00"/>
    <s v="MEMORANDO N° 00000004 - 2025-BN/2320"/>
    <s v="BNDA-Data Analítica BN"/>
    <s v="Big Data"/>
    <x v="1"/>
    <s v="No Aplica"/>
    <s v="No aplica"/>
    <x v="0"/>
    <m/>
    <m/>
    <m/>
    <m/>
    <m/>
    <m/>
    <m/>
    <s v="Normal"/>
    <d v="2025-03-31T00:00:00"/>
    <s v="Sistemas Administrativos"/>
    <s v="FS-Olssa"/>
    <s v="Luis Enrique Almeyda Pachas"/>
    <s v="Juan Carlos Zavaleta"/>
    <x v="1"/>
    <x v="1"/>
    <x v="0"/>
    <d v="2025-03-05T00:00:00"/>
    <m/>
    <d v="2025-05-27T00:00:00"/>
    <d v="2025-12-12T00:00:00"/>
    <m/>
    <d v="2025-12-22T00:00:00"/>
    <d v="2026-02-11T00:00:00"/>
    <d v="2026-03-01T14:24:00"/>
    <d v="2026-03-18T00:00:00"/>
    <d v="2026-03-23T00:00:00"/>
    <d v="2026-03-08T14:24:00"/>
    <s v="23/03/26: Según CQ, actualizó el estado a 08. Producción Finalizada_x000a_19/03/26: Según CQ, actualizó el estado a 07. En Despliegue_x000a_12/02/26: Según CQ, actualizó el estado a 06. Calidad Finalizado_x000a_30/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2"/>
    <x v="2"/>
    <s v="2026-03"/>
    <m/>
    <m/>
    <m/>
    <m/>
    <m/>
    <s v="2025-I"/>
    <n v="300"/>
    <n v="10"/>
    <s v="QC-403"/>
    <s v="Finalizada"/>
    <x v="1"/>
    <d v="2026-03-23T10:59:56"/>
    <x v="0"/>
    <m/>
    <m/>
    <s v="Culminado"/>
    <s v="BackOffice"/>
    <s v="Otros Requerimientos"/>
    <s v="Pordefinir"/>
    <m/>
    <m/>
    <d v="2026-03-23T00:00:00"/>
    <s v="Culminado"/>
    <s v="Mar 2026"/>
    <m/>
    <x v="1"/>
    <m/>
    <n v="1"/>
    <s v="PRE"/>
    <s v="NO"/>
    <s v="03. En Desarrollo"/>
    <s v="No aplica"/>
    <x v="1"/>
    <n v="1"/>
    <n v="1"/>
    <n v="0"/>
    <n v="1"/>
    <d v="2025-05-27T00:00:00"/>
    <d v="2025-05-27T00:00:00"/>
    <d v="2025-12-12T00:00:00"/>
    <d v="2025-12-22T00:00:00"/>
    <d v="2026-02-11T00:00:00"/>
    <d v="2026-02-19T00:00:00"/>
    <d v="2026-03-27T00:00:00"/>
    <n v="140"/>
    <n v="1"/>
    <n v="200"/>
    <m/>
    <x v="1"/>
    <n v="0"/>
    <n v="140"/>
    <n v="0"/>
    <n v="1120"/>
    <n v="0"/>
    <x v="4"/>
    <x v="0"/>
    <m/>
    <x v="0"/>
    <m/>
  </r>
  <r>
    <s v="M0927"/>
    <n v="2657"/>
    <x v="0"/>
    <s v="2025-T0214"/>
    <s v="2025-M0186"/>
    <s v="Extraer información relacionada a maestra de empleados - Dependientes siguiendo el diseño propuesto en el presente documento"/>
    <m/>
    <x v="5"/>
    <s v="Administración de Personal"/>
    <s v="Registro de Personal"/>
    <d v="2025-02-28T00:00:00"/>
    <s v="MEMORANDO N° 00000004 - 2025-BN/2320"/>
    <s v="BNDA-Data Analítica BN"/>
    <s v="Big Data"/>
    <x v="1"/>
    <s v="No Aplica"/>
    <s v="No aplica"/>
    <x v="0"/>
    <m/>
    <m/>
    <m/>
    <m/>
    <m/>
    <m/>
    <m/>
    <s v="Normal"/>
    <d v="2025-03-31T00:00:00"/>
    <s v="Sistemas Administrativos"/>
    <s v="FS-Olssa"/>
    <s v="Luis Enrique Almeyda Pachas"/>
    <s v="Juan Carlos Zavaleta"/>
    <x v="1"/>
    <x v="1"/>
    <x v="0"/>
    <d v="2025-03-05T00:00:00"/>
    <m/>
    <d v="2025-03-05T00:00:00"/>
    <d v="2025-12-12T00:00:00"/>
    <m/>
    <d v="2025-12-22T00:00:00"/>
    <d v="2026-02-11T00:00:00"/>
    <d v="2026-04-03T19:12:00"/>
    <d v="2026-03-18T00:00:00"/>
    <d v="2026-03-23T00:00:00"/>
    <d v="2026-04-10T19:12:00"/>
    <s v="23/03/26: Según CQ, actualizó el estado a 08. Producción Finalizada_x000a_19/03/26: Según CQ, actualizó el estado a 07. En Despliegue_x000a_12/02/26: Según CQ, actualizó el estado a 06. Calidad Finalizado_x000a_28/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01/04/25: Según CQ, actualizó el estado a 03. En Desarrollo_x000a_05/03/2025: Se registró en el Backlog y se creó trámite."/>
    <s v="RRHH"/>
    <s v="AdministraciónPersonal"/>
    <s v="2025-02"/>
    <s v="2025-03"/>
    <s v="2025-12"/>
    <x v="2"/>
    <s v="2026-04"/>
    <s v="Rechazado"/>
    <m/>
    <m/>
    <m/>
    <m/>
    <s v="2025-I"/>
    <n v="383"/>
    <n v="12.766666666666667"/>
    <s v="QC-403"/>
    <s v="Finalizada"/>
    <x v="1"/>
    <d v="2026-03-23T10:58:50"/>
    <x v="0"/>
    <m/>
    <m/>
    <s v="Culminado"/>
    <s v="BackOffice"/>
    <s v="Otros Requerimientos"/>
    <s v="Pordefinir"/>
    <m/>
    <m/>
    <d v="2026-03-23T00:00:00"/>
    <s v="Culminado"/>
    <s v="Mar 2026"/>
    <m/>
    <x v="1"/>
    <m/>
    <n v="1"/>
    <s v="PRE"/>
    <s v="NO"/>
    <s v="03. En Desarrollo"/>
    <s v="No aplica"/>
    <x v="1"/>
    <n v="1"/>
    <n v="1"/>
    <n v="0"/>
    <n v="1"/>
    <d v="2025-03-05T00:00:00"/>
    <d v="2025-03-05T00:00:00"/>
    <d v="2025-12-12T00:00:00"/>
    <d v="2025-12-22T00:00:00"/>
    <d v="2026-02-11T00:00:00"/>
    <d v="2026-02-19T00:00:00"/>
    <d v="2026-03-27T00:00:00"/>
    <n v="198"/>
    <n v="1"/>
    <n v="200"/>
    <m/>
    <x v="1"/>
    <n v="0"/>
    <n v="198"/>
    <n v="0"/>
    <n v="1584"/>
    <n v="0"/>
    <x v="4"/>
    <x v="0"/>
    <m/>
    <x v="0"/>
    <m/>
  </r>
  <r>
    <s v="M0944"/>
    <n v="2598"/>
    <x v="0"/>
    <s v="2025-T0332"/>
    <s v="2025-M0618"/>
    <s v="IMPLEMENTACIÓN DEL PRE-CALENDARIO (CRONOGRAMA) DE PAGOS Y EL PRE REGISTRO DE DESEMBOLSO EN EL CRMY"/>
    <s v="Este desarrollo tiene como objetivo minimizar el riesgo de errores manuales en los procesos asociados a la línea de crédito para Instituciones Financieras Intermediarias (IFIs)."/>
    <x v="1"/>
    <s v="Inclusión Financiera"/>
    <s v="Banca Privada"/>
    <d v="2025-02-03T00:00:00"/>
    <s v="MEMORANDO N° 00000005 - 2025-BN/8412"/>
    <s v="CRLA-Créditos – Líneas Aprobadas"/>
    <m/>
    <x v="1"/>
    <s v="Préstamos Institucionales"/>
    <s v="No aplica"/>
    <x v="0"/>
    <m/>
    <m/>
    <m/>
    <m/>
    <m/>
    <m/>
    <m/>
    <s v="Normal"/>
    <d v="2025-04-30T00:00:00"/>
    <s v="Sistemas Bancarios"/>
    <m/>
    <s v="Pedro Jose Encalada Huertas"/>
    <s v="Milagros Huamani"/>
    <x v="3"/>
    <x v="3"/>
    <x v="1"/>
    <d v="2025-04-04T00:00:00"/>
    <m/>
    <d v="2025-09-12T00:00:00"/>
    <m/>
    <m/>
    <m/>
    <m/>
    <s v=""/>
    <m/>
    <m/>
    <s v=""/>
    <s v="23/03/26: Pospuesto por Construcción  por no contar con Recurso TI disponible._x000a_15/12/25: Según CQ, actualizó el estado a 10. Paralizado_x000a_15/09/25: Según CQ, actualizó el estado a 03. En Desarrollo_x000a_04/04/25: Se creó trámite en CQ y se priorizó."/>
    <s v="Productos"/>
    <s v="InclusiónFinanciera"/>
    <s v="2025-02"/>
    <s v="2025-04"/>
    <s v="No definido"/>
    <x v="0"/>
    <s v="No definido"/>
    <m/>
    <m/>
    <m/>
    <m/>
    <m/>
    <s v="2025-II"/>
    <s v="Sin Fecha Fin Producción"/>
    <s v="No Aplica"/>
    <s v="QC-326"/>
    <s v="Pospuesta"/>
    <x v="3"/>
    <d v="2025-12-12T10:22:57"/>
    <x v="0"/>
    <m/>
    <m/>
    <s v="Sin Fecha"/>
    <s v="Sin Aplicativo"/>
    <s v="Sin Aplicativo"/>
    <s v="Pordefinir"/>
    <m/>
    <m/>
    <s v=""/>
    <s v="Sin Fecha"/>
    <s v="No definido"/>
    <m/>
    <x v="2"/>
    <m/>
    <n v="0.12"/>
    <s v="PRE"/>
    <s v="NO"/>
    <s v="03. En Desarrollo"/>
    <s v="No aplica"/>
    <x v="3"/>
    <s v=""/>
    <n v="0.12"/>
    <s v=""/>
    <s v=""/>
    <m/>
    <m/>
    <m/>
    <m/>
    <m/>
    <m/>
    <d v="2026-08-31T00:00:00"/>
    <n v="25"/>
    <n v="0.1"/>
    <n v="200"/>
    <m/>
    <x v="3"/>
    <n v="0.9"/>
    <n v="1"/>
    <n v="24"/>
    <n v="8"/>
    <n v="192"/>
    <x v="5"/>
    <x v="0"/>
    <m/>
    <x v="0"/>
    <m/>
  </r>
  <r>
    <s v="M0949"/>
    <n v="2713"/>
    <x v="0"/>
    <s v="2025-T0339"/>
    <s v="2025-M0312"/>
    <s v="MEJORAS EN EL CANAL DE PÁGALO Y INCORPORACIÓN DE OSINERGMIN Y CONAFOVICER - Incorporación de nuevas entidades públicas en el canal Págalo.pe - DISEÑO"/>
    <s v="Actualmente existen trámites que solo se recaudan a través de las agencias del BN, lo que obliga a los ciudadanos acercarse a las oficinas de manera presencial a realizar sus pagos, generando pérdida de tiempo y dinero al trasladarse."/>
    <x v="2"/>
    <s v="Canales Alternos"/>
    <s v="Canales Virtuales"/>
    <d v="2025-03-25T00:00:00"/>
    <s v="MEMORANDO N° 00000154 - 2025-BN/3252"/>
    <s v="SOMP – SISTEMA DE OPERACIONES MULTIPAGOS"/>
    <m/>
    <x v="8"/>
    <s v="No Aplica"/>
    <s v="Pagos "/>
    <x v="0"/>
    <m/>
    <m/>
    <m/>
    <m/>
    <m/>
    <m/>
    <m/>
    <s v="Normal"/>
    <d v="2025-04-30T00:00:00"/>
    <s v="Sistemas Bancarios"/>
    <s v="FS-Indra"/>
    <s v="Angela Rocio Risco Vega/Adolfo Martin Escobar Bustamante/Jorge Lucio Ruedas Fernandez"/>
    <s v="Omar Sarmiento"/>
    <x v="0"/>
    <x v="0"/>
    <x v="0"/>
    <d v="2025-04-07T00:00:00"/>
    <m/>
    <d v="2025-04-16T00:00:00"/>
    <m/>
    <d v="2025-06-23T00:00:00"/>
    <m/>
    <m/>
    <d v="2025-07-20T04:48:00"/>
    <m/>
    <m/>
    <d v="2025-07-27T04:48:00"/>
    <s v="26/02/2026 El req. fue atendido por la FS llegando hasta el diseño. Se ha creado el mantenimiento 2026- M0008 en la cartera de operaciones donde se culminará la tención._x000a_30/12/2025: Cartera reasignada a Omar Sarmiento_x000a_21/04/25: Según CQ, actualizó el estado a 03. En Desarrollo_x000a_07/04/25: Se creó trámite en CQ_x000a_25/03/25: Se registró en el Backlog."/>
    <s v="B.Digital"/>
    <s v="CanalesAlternos"/>
    <s v="2025-03"/>
    <s v="2025-04"/>
    <s v="No definido"/>
    <x v="0"/>
    <s v="2025-07"/>
    <s v="Entregado"/>
    <d v="2025-04-30T00:00:00"/>
    <d v="2025-06-23T00:00:00"/>
    <d v="2025-06-23T00:00:00"/>
    <m/>
    <s v="2025-II"/>
    <s v="Sin Fecha Fin Producción"/>
    <s v="No Aplica"/>
    <s v="QC-434"/>
    <s v="Finalizada,Finalizada,Finalizada"/>
    <x v="5"/>
    <d v="2026-03-02T09:15:08"/>
    <x v="0"/>
    <m/>
    <m/>
    <s v="Vencida"/>
    <s v="Pagalo.pe"/>
    <s v="Canales Virtuales"/>
    <d v="2025-08-01T00:00:00"/>
    <d v="2025-08-01T00:00:00"/>
    <m/>
    <d v="2025-08-31T00:00:00"/>
    <s v="Vencida"/>
    <s v="Ago 2025"/>
    <m/>
    <x v="0"/>
    <s v="Págalo"/>
    <n v="-0.01"/>
    <s v="PRE"/>
    <s v="NO"/>
    <s v="03. En Desarrollo"/>
    <s v="No aplica"/>
    <x v="0"/>
    <s v=""/>
    <n v="-0.01"/>
    <s v=""/>
    <s v=""/>
    <m/>
    <m/>
    <m/>
    <m/>
    <m/>
    <m/>
    <m/>
    <n v="25"/>
    <n v="0.1"/>
    <n v="200"/>
    <s v="BD"/>
    <x v="0"/>
    <n v="0.9"/>
    <n v="1"/>
    <n v="24"/>
    <n v="12"/>
    <n v="288"/>
    <x v="0"/>
    <x v="0"/>
    <m/>
    <x v="0"/>
    <m/>
  </r>
  <r>
    <s v="M0969"/>
    <n v="2750"/>
    <x v="0"/>
    <s v="2025-T0372"/>
    <s v="2025-M0322"/>
    <s v="Apertura de Cuenta de Detracciones en Línea Persona Jurídica"/>
    <m/>
    <x v="0"/>
    <s v="Captaciones y Pagaduría"/>
    <s v="Administración de Cuentas y Pagaduría"/>
    <d v="2024-07-05T00:00:00"/>
    <s v="MEMORANDO N° 00000369 - 2024-BN/3111"/>
    <s v="SIUC-Sistema de Información Unica de Clientes"/>
    <m/>
    <x v="1"/>
    <s v="Cuenta Corriente "/>
    <s v="No aplica"/>
    <x v="0"/>
    <m/>
    <m/>
    <m/>
    <s v="No Aplica"/>
    <s v="No Aplica"/>
    <s v="No Aplica"/>
    <s v="No Aplica"/>
    <s v="Normal"/>
    <d v="2025-04-30T00:00:00"/>
    <s v="Sistemas Bancarios"/>
    <s v="FS-Indra"/>
    <s v="Angela Rocio Risco Vega"/>
    <s v="Junior Quicaño"/>
    <x v="5"/>
    <x v="4"/>
    <x v="0"/>
    <d v="2025-04-16T00:00:00"/>
    <m/>
    <m/>
    <m/>
    <d v="2025-06-20T00:00:00"/>
    <m/>
    <m/>
    <s v=""/>
    <m/>
    <m/>
    <s v=""/>
    <s v="23/03/26: Según CQ, actualizó el estado a 03. En Desarrollo_x000a_19/03/26: Según CQ, actualizó el estado a 05. En Calidad_x000a_15/01/26: Según CQ, actualizó el estado a 07. En Despliegue_x000a_21/08/25: Según CQ, actualizó el estado a 06. Calidad Finalizado_x000a_18/08/25: Según CQ, actualizó el estado a 05. En Calidad_x000a_11/08/25: Según CQ, actualizó el estado a 04. Desarrollo Finalizado_x000a_23/04/25: Según CQ, actualizó el estado a 03. En Desarrollo_x000a_16/04/2025: Se registró en el Backlog y se generó trámite"/>
    <s v="Operac."/>
    <s v="CaptacionesPagaduría"/>
    <s v="2024-07"/>
    <s v="2025-04"/>
    <s v="No definido"/>
    <x v="0"/>
    <s v="No definido"/>
    <s v="Entregado"/>
    <d v="2025-05-02T00:00:00"/>
    <d v="2025-06-20T00:00:00"/>
    <d v="2025-06-20T00:00:00"/>
    <m/>
    <s v="2025-II"/>
    <s v="Sin Fechas"/>
    <s v="No Aplica"/>
    <m/>
    <s v="Finalizada"/>
    <x v="9"/>
    <d v="2026-03-20T11:44:32"/>
    <x v="0"/>
    <m/>
    <m/>
    <s v="Sin Fecha"/>
    <s v="Clientes (BDUC)"/>
    <s v="Canales Presenciales"/>
    <s v="Pordefinir"/>
    <m/>
    <m/>
    <s v=""/>
    <s v="Sin Fecha"/>
    <s v="No definido"/>
    <m/>
    <x v="2"/>
    <m/>
    <n v="0.45"/>
    <s v="PRE"/>
    <s v="NO"/>
    <s v="06. Calidad Finalizado"/>
    <s v="SI"/>
    <x v="2"/>
    <n v="1"/>
    <n v="0.45"/>
    <n v="0.55000000000000004"/>
    <n v="0.45"/>
    <d v="2025-04-22T00:00:00"/>
    <d v="2025-04-22T00:00:00"/>
    <d v="2025-08-08T00:00:00"/>
    <d v="2025-08-15T00:00:00"/>
    <d v="2025-08-20T00:00:00"/>
    <d v="2026-01-14T00:00:00"/>
    <d v="2026-04-27T00:00:00"/>
    <n v="76"/>
    <n v="1"/>
    <n v="152"/>
    <m/>
    <x v="2"/>
    <n v="0"/>
    <n v="76"/>
    <n v="0"/>
    <n v="152"/>
    <n v="0"/>
    <x v="1"/>
    <x v="0"/>
    <m/>
    <x v="0"/>
    <m/>
  </r>
  <r>
    <s v="M0971"/>
    <n v="2726"/>
    <x v="0"/>
    <s v="2025-T0314"/>
    <s v="2025-M0653"/>
    <s v="Proceso para la eliminación automática de firmas Saraweb Branch – MEF_x000a_(Batch/Mainframe)"/>
    <m/>
    <x v="0"/>
    <s v="Captaciones y Pagaduría"/>
    <s v="Apertura de Cuentas"/>
    <d v="2024-09-20T00:00:00"/>
    <s v="MEMORANDO N° 00000571 -2024-BN/3111"/>
    <s v="SIGN- Registro de Firmas"/>
    <m/>
    <x v="10"/>
    <s v="Cuenta Corriente "/>
    <s v="No aplica"/>
    <x v="0"/>
    <m/>
    <s v="No Aplica"/>
    <s v="No Aplica"/>
    <s v="No Aplica"/>
    <s v="No Aplica"/>
    <s v="No Aplica"/>
    <s v="No Aplica"/>
    <s v="Normal"/>
    <d v="2025-04-30T00:00:00"/>
    <s v="Sistemas Bancarios"/>
    <s v="FS-Olssa"/>
    <s v="Rossana Rojas Alvaro"/>
    <s v="Junior Quicaño"/>
    <x v="5"/>
    <x v="4"/>
    <x v="0"/>
    <d v="2025-04-01T00:00:00"/>
    <d v="2025-11-03T00:00:00"/>
    <d v="2025-09-30T00:00:00"/>
    <d v="2025-12-22T00:00:00"/>
    <d v="2025-12-31T00:00:00"/>
    <d v="2026-01-19T00:00:00"/>
    <d v="2026-01-27T00:00:00"/>
    <d v="2026-02-05T19:12:00"/>
    <d v="2026-01-28T00:00:00"/>
    <m/>
    <d v="2026-02-12T19:12:00"/>
    <s v="02/02/26: Según CQ, actualizó el estado a 03. En Desarrollo_x000a_30/01/26: Según CQ, actualizó el estado a 07. En Despliegue_x000a_28/01/26: Según CQ, actualizó el estado a 06. Calidad Finalizado_x000a_05/01/26: Según CQ, actualizó el estado a 05. En Calidad_x000a_24/12/25: Según CQ, actualizó el estado a 04. Desarrollo Finalizado_x000a_01/10/25: Según CQ, actualizó el estado a 03. En Desarrollo_x000a_01/04/2025: Se registró en el Backlog y se generó trámite"/>
    <s v="Operac."/>
    <s v="CaptacionesPagaduría"/>
    <s v="2024-09"/>
    <s v="2025-04"/>
    <s v="2025-12"/>
    <x v="0"/>
    <s v="2026-02"/>
    <m/>
    <m/>
    <m/>
    <m/>
    <m/>
    <s v="2025-II"/>
    <s v="Sin Fecha Fin Producción"/>
    <s v="No Aplica"/>
    <s v="QC-250"/>
    <s v="Finalizada"/>
    <x v="5"/>
    <d v="2026-04-14T10:59:19"/>
    <x v="0"/>
    <m/>
    <m/>
    <s v="Vencida"/>
    <s v="Sin Aplicativo"/>
    <s v="Sin Aplicativo"/>
    <s v="Pordefinir"/>
    <m/>
    <m/>
    <s v=""/>
    <s v="Sin Fecha"/>
    <s v="No definido"/>
    <m/>
    <x v="2"/>
    <m/>
    <n v="0.15"/>
    <s v="PRE"/>
    <s v="NO"/>
    <s v="03. En Desarrollo"/>
    <s v="SI"/>
    <x v="5"/>
    <n v="0.15"/>
    <n v="0.15"/>
    <n v="0"/>
    <n v="1"/>
    <d v="2025-09-30T00:00:00"/>
    <d v="2026-03-02T00:00:00"/>
    <d v="2026-06-30T00:00:00"/>
    <d v="2026-07-01T00:00:00"/>
    <d v="2026-07-31T00:00:00"/>
    <d v="2026-08-03T00:00:00"/>
    <d v="2026-08-07T00:00:00"/>
    <n v="85"/>
    <n v="0.65517241379310343"/>
    <n v="170"/>
    <m/>
    <x v="2"/>
    <n v="0.34482758620689657"/>
    <n v="56"/>
    <n v="29"/>
    <n v="112"/>
    <n v="58"/>
    <x v="5"/>
    <x v="0"/>
    <m/>
    <x v="0"/>
    <m/>
  </r>
  <r>
    <s v="M0972"/>
    <n v="2746"/>
    <x v="0"/>
    <s v="2025-T0364"/>
    <s v="2025-M0298"/>
    <s v="Desactivación del servicio BIM relacionado a la Cuenta DNI"/>
    <s v="La desactivación del servicio BIM relacionado a la Cuenta DNI, por estar en trámite la resolución de contrato con el proveedor del servicio."/>
    <x v="2"/>
    <s v="Canales Alternos"/>
    <s v="Canales Virtuales"/>
    <d v="2025-04-10T00:00:00"/>
    <s v="MEMORANDO N° 00000042 - 2025-BN/7901"/>
    <s v="PCDI-Proyecto Cuenta DNI"/>
    <m/>
    <x v="1"/>
    <s v="No Aplica"/>
    <s v="No aplica"/>
    <x v="0"/>
    <m/>
    <m/>
    <m/>
    <m/>
    <m/>
    <m/>
    <m/>
    <s v="Normal"/>
    <d v="2025-04-30T00:00:00"/>
    <s v="Sistemas Bancarios"/>
    <s v="Analista-BN"/>
    <s v="Angela Rocio Risco Vega"/>
    <s v="Omar Sarmiento"/>
    <x v="1"/>
    <x v="1"/>
    <x v="0"/>
    <d v="2025-04-10T00:00:00"/>
    <m/>
    <d v="2025-04-10T00:00:00"/>
    <m/>
    <m/>
    <m/>
    <m/>
    <s v=""/>
    <d v="2025-04-16T00:00:00"/>
    <d v="2026-01-13T00:00:00"/>
    <s v=""/>
    <s v="14/01/26: Según CQ, actualizó el estado a 08. Producción Finalizada_x000a_30/12/2025: Cartera reasignada a Omar Sarmiento_x000a_23/04/25: Según CQ, actualizó el estado a 07. En Despliegue_x000a_10/04/2025: Se registró en el Backlog y se generó trámite"/>
    <s v="B.Digital"/>
    <s v="CanalesAlternos"/>
    <s v="2025-04"/>
    <s v="2025-04"/>
    <s v="No definido"/>
    <x v="4"/>
    <s v="No definido"/>
    <m/>
    <m/>
    <m/>
    <m/>
    <m/>
    <s v="2025-II"/>
    <n v="278"/>
    <n v="9.2666666666666675"/>
    <s v="QC-95"/>
    <s v="Finalizada"/>
    <x v="6"/>
    <d v="2026-01-13T16:34:59"/>
    <x v="0"/>
    <m/>
    <m/>
    <s v="Culminado"/>
    <s v="Cuenta DNI"/>
    <s v="Canales Virtuales"/>
    <s v="Pordefinir"/>
    <m/>
    <m/>
    <d v="2026-01-13T00:00:00"/>
    <s v="Culminado"/>
    <s v="Ene 2026"/>
    <m/>
    <x v="1"/>
    <m/>
    <n v="1"/>
    <s v="PRE"/>
    <s v="NO"/>
    <s v="07. En Despliegue"/>
    <s v="No aplica"/>
    <x v="1"/>
    <n v="1"/>
    <n v="1"/>
    <n v="0"/>
    <n v="1"/>
    <d v="2025-04-10T00:00:00"/>
    <d v="2025-04-10T00:00:00"/>
    <s v=""/>
    <s v=""/>
    <s v=""/>
    <d v="2025-04-16T00:00:00"/>
    <d v="2026-01-13T00:00:00"/>
    <n v="25"/>
    <n v="0.1"/>
    <n v="200"/>
    <m/>
    <x v="1"/>
    <n v="0.9"/>
    <n v="1"/>
    <n v="24"/>
    <n v="8"/>
    <n v="192"/>
    <x v="9"/>
    <x v="0"/>
    <m/>
    <x v="0"/>
    <m/>
  </r>
  <r>
    <s v="M1018"/>
    <n v="2768"/>
    <x v="0"/>
    <s v="2025-T0306"/>
    <s v="2025-M0268"/>
    <s v="CORRECCION DE LA DESCRIPCION QUE CONTIENE EL CAMPO CENTRO DE LABORES"/>
    <m/>
    <x v="0"/>
    <s v="Captaciones y Pagaduría"/>
    <s v="Apertura de Cuentas"/>
    <m/>
    <s v="Correo s/n"/>
    <s v="SIUC-Sistema de Información Unica de Clientes"/>
    <m/>
    <x v="1"/>
    <s v="No Aplica"/>
    <s v="No aplica"/>
    <x v="1"/>
    <m/>
    <m/>
    <m/>
    <m/>
    <m/>
    <m/>
    <m/>
    <s v="Regularizado"/>
    <d v="2025-04-30T00:00:00"/>
    <s v="Sistemas Bancarios"/>
    <s v="FS-Indra"/>
    <s v="Johnny Luis Rocca Surco"/>
    <s v="Junior Quicaño"/>
    <x v="1"/>
    <x v="1"/>
    <x v="0"/>
    <d v="2025-03-27T00:00:00"/>
    <m/>
    <d v="2025-03-27T00:00:00"/>
    <d v="2025-07-25T00:00:00"/>
    <d v="2025-07-31T00:00:00"/>
    <d v="2025-07-28T00:00:00"/>
    <d v="2025-08-08T00:00:00"/>
    <d v="2025-09-19T09:36:00"/>
    <d v="2025-09-05T00:00:00"/>
    <d v="2026-03-10T00:00:00"/>
    <d v="2025-09-26T09:36:00"/>
    <s v="11/03/26: Según CQ, actualizó el estado a 08. Producción Finalizada_x000a_03/03/26: Según CQ, actualizó el estado a 07. En Despliegue_x000a_08/09/25: Según CQ, actualizó el estado a 07. En Despliegue_x000a_07/05/25: Según CQ, actualizó el estado a 03. En Desarrollo_x000a_29/04/2025: Se regularizó requerimiento en el Backlog."/>
    <s v="Operac."/>
    <s v="CaptacionesPagaduría"/>
    <s v="No definido"/>
    <s v="2025-04"/>
    <s v="2025-07"/>
    <x v="2"/>
    <s v="2025-09"/>
    <s v="Entregado"/>
    <d v="2025-04-15T00:00:00"/>
    <d v="2025-07-31T00:00:00"/>
    <d v="2025-07-31T00:00:00"/>
    <m/>
    <s v="2025-II"/>
    <n v="348"/>
    <n v="11.6"/>
    <m/>
    <s v="Finalizada"/>
    <x v="6"/>
    <d v="2026-03-10T17:42:50"/>
    <x v="0"/>
    <m/>
    <m/>
    <s v="Culminado"/>
    <s v="Clientes (BDUC)"/>
    <s v="Canales Presenciales"/>
    <s v="Pordefinir"/>
    <m/>
    <m/>
    <d v="2026-03-10T00:00:00"/>
    <s v="Culminado"/>
    <s v="Mar 2026"/>
    <m/>
    <x v="1"/>
    <m/>
    <n v="1"/>
    <s v="PRE"/>
    <s v="NO"/>
    <s v="07. En Despliegue"/>
    <s v="No aplica"/>
    <x v="1"/>
    <n v="1"/>
    <n v="1"/>
    <n v="0"/>
    <n v="1"/>
    <d v="2025-03-27T00:00:00"/>
    <d v="2025-03-27T00:00:00"/>
    <d v="2025-07-25T00:00:00"/>
    <d v="2025-07-28T00:00:00"/>
    <d v="2025-08-08T00:00:00"/>
    <d v="2025-09-05T00:00:00"/>
    <d v="2026-03-27T00:00:00"/>
    <n v="86"/>
    <n v="1"/>
    <n v="200"/>
    <m/>
    <x v="1"/>
    <n v="0"/>
    <n v="86"/>
    <n v="0"/>
    <n v="688"/>
    <n v="0"/>
    <x v="4"/>
    <x v="0"/>
    <m/>
    <x v="0"/>
    <m/>
  </r>
  <r>
    <s v="M1020"/>
    <n v="2770"/>
    <x v="0"/>
    <s v="2025-T0290"/>
    <s v="2025-M0255"/>
    <s v="Optimización de accesos y procesos de SIGA"/>
    <m/>
    <x v="0"/>
    <s v="Caja y Valores"/>
    <s v="Caja y Valores en Custodia"/>
    <m/>
    <m/>
    <s v="TMIN-Tarjeta Multired Interfaces"/>
    <m/>
    <x v="1"/>
    <s v="No Aplica"/>
    <s v="No aplica"/>
    <x v="0"/>
    <m/>
    <s v="No Aplica"/>
    <s v="No Aplica"/>
    <s v="No Aplica"/>
    <s v="No Aplica"/>
    <s v="No Aplica"/>
    <s v="No Aplica"/>
    <s v="Regularizado"/>
    <d v="2025-04-30T00:00:00"/>
    <s v="Sistemas Bancarios"/>
    <s v="Analista-BN"/>
    <s v="Eduardo Saul Cardenas Manrique"/>
    <s v="Junior Quicaño"/>
    <x v="4"/>
    <x v="4"/>
    <x v="0"/>
    <d v="2025-03-25T00:00:00"/>
    <d v="2025-11-03T00:00:00"/>
    <d v="2025-03-25T00:00:00"/>
    <m/>
    <d v="2026-01-30T00:00:00"/>
    <m/>
    <m/>
    <d v="2026-06-03T09:36:00"/>
    <d v="2026-04-14T00:00:00"/>
    <m/>
    <d v="2026-06-10T09:36:00"/>
    <s v="15/04/26: Según CQ, actualizó el estado a 07. En Despliegue_x000a_07/05/25: Según CQ, actualizó el estado a 03. En Desarrollo_x000a_29/04/2025: Se regularizó requerimiento en el Backlog."/>
    <s v="Operac."/>
    <s v="CajaValores"/>
    <s v="No definido"/>
    <s v="2025-04"/>
    <s v="No definido"/>
    <x v="0"/>
    <s v="2026-06"/>
    <m/>
    <m/>
    <m/>
    <m/>
    <m/>
    <s v="2025-II"/>
    <s v="Sin Fecha Fin Producción"/>
    <s v="No Aplica"/>
    <m/>
    <s v="Finalizada"/>
    <x v="8"/>
    <d v="2026-04-14T15:00:56"/>
    <x v="0"/>
    <m/>
    <m/>
    <s v="2026-Q2"/>
    <s v="ATM-Agentes-VISA"/>
    <s v="Canales Presenciales"/>
    <s v="Pordefinir"/>
    <m/>
    <m/>
    <d v="2026-06-10T09:36:00"/>
    <s v="2026-2"/>
    <s v="Jun 2026"/>
    <m/>
    <x v="2"/>
    <m/>
    <n v="0.9"/>
    <s v="PRE"/>
    <s v="NO"/>
    <s v="03. En Desarrollo"/>
    <s v="SI"/>
    <x v="2"/>
    <n v="1"/>
    <n v="0.9"/>
    <n v="9.9999999999999978E-2"/>
    <n v="0.9"/>
    <d v="2025-11-03T00:00:00"/>
    <d v="2026-03-02T00:00:00"/>
    <d v="2026-03-09T00:00:00"/>
    <d v="2026-03-11T00:00:00"/>
    <d v="2026-04-06T00:00:00"/>
    <d v="2026-04-07T00:00:00"/>
    <d v="2026-04-13T00:00:00"/>
    <n v="6"/>
    <n v="1"/>
    <n v="200"/>
    <m/>
    <x v="4"/>
    <n v="0"/>
    <n v="6"/>
    <n v="0"/>
    <n v="48"/>
    <n v="0"/>
    <x v="1"/>
    <x v="0"/>
    <m/>
    <x v="2"/>
    <m/>
  </r>
  <r>
    <s v="M1021"/>
    <n v="2772"/>
    <x v="0"/>
    <s v="2025-T0345"/>
    <s v="2025-M0293"/>
    <s v="MC: BN y  SEDAPAL, adecuar los digitos de referencia de 7 Digitos, para facilitar los datos en el archivo conciliatorio y continuar con la cobranza"/>
    <m/>
    <x v="0"/>
    <s v="Servicios Bancarios y Recaudación"/>
    <s v="Recaudación y Corresponsalía"/>
    <m/>
    <m/>
    <s v="RECA-Recaudacion"/>
    <m/>
    <x v="2"/>
    <s v="No Aplica"/>
    <s v="Servicios Bancarios Diversos "/>
    <x v="0"/>
    <m/>
    <m/>
    <m/>
    <m/>
    <m/>
    <m/>
    <m/>
    <s v="Regularizado"/>
    <d v="2025-04-30T00:00:00"/>
    <s v="Sistemas Bancarios"/>
    <s v="Analista-BN"/>
    <s v="Jorge Lucio Ruedas Fernandez"/>
    <s v="Junior Quicaño"/>
    <x v="1"/>
    <x v="1"/>
    <x v="0"/>
    <d v="2025-04-08T00:00:00"/>
    <m/>
    <d v="2025-04-09T00:00:00"/>
    <d v="2025-04-10T00:00:00"/>
    <m/>
    <m/>
    <m/>
    <d v="2025-04-10T09:36:00"/>
    <d v="2025-04-10T00:00:00"/>
    <d v="2026-01-13T00:00:00"/>
    <d v="2025-04-17T09:36:00"/>
    <s v="14/01/26: Según CQ, actualizó el estado a 08. Producción Finalizada_x000a_07/05/25: Según CQ, actualizó el estado a 07. En Despliegue_x000a_29/04/2025: Se regularizó requerimiento en el Backlog."/>
    <s v="Operac."/>
    <s v="BancariosRecaudación"/>
    <s v="No definido"/>
    <s v="2025-04"/>
    <s v="2025-04"/>
    <x v="4"/>
    <s v="2025-04"/>
    <m/>
    <m/>
    <m/>
    <m/>
    <m/>
    <s v="2025-II"/>
    <n v="279"/>
    <n v="9.3000000000000007"/>
    <m/>
    <s v="Finalizada"/>
    <x v="6"/>
    <d v="2026-01-13T17:17:35"/>
    <x v="0"/>
    <m/>
    <m/>
    <s v="Culminado"/>
    <s v="BackOffice"/>
    <s v="Otros Requerimientos"/>
    <s v="Pordefinir"/>
    <m/>
    <m/>
    <d v="2026-01-13T00:00:00"/>
    <s v="Culminado"/>
    <s v="Ene 2026"/>
    <m/>
    <x v="1"/>
    <m/>
    <n v="1"/>
    <s v="PRE"/>
    <s v="NO"/>
    <s v="07. En Despliegue"/>
    <s v="No aplica"/>
    <x v="1"/>
    <n v="1"/>
    <n v="1"/>
    <n v="0"/>
    <n v="1"/>
    <d v="2025-04-09T00:00:00"/>
    <d v="2025-04-09T00:00:00"/>
    <d v="2025-08-08T00:00:00"/>
    <s v=""/>
    <s v=""/>
    <d v="2025-04-10T00:00:00"/>
    <d v="2026-01-13T00:00:00"/>
    <n v="85"/>
    <n v="1"/>
    <n v="200"/>
    <m/>
    <x v="1"/>
    <n v="0"/>
    <n v="85"/>
    <n v="0"/>
    <n v="680"/>
    <n v="0"/>
    <x v="9"/>
    <x v="0"/>
    <m/>
    <x v="0"/>
    <m/>
  </r>
  <r>
    <s v="M1023"/>
    <n v="2774"/>
    <x v="0"/>
    <s v="2025-T0367"/>
    <s v="2025-M0301"/>
    <s v="ME: ATENCION DE FUNCIONALIDADES QUE FUERON RE - PRIORIZADOS COBN LA FINALIDAD DE CULMINAR EL PRODUCTO MINIMO VIABLE (MVP) DE LA APLICACION SAHE HORAS EXTRAS"/>
    <m/>
    <x v="5"/>
    <s v="Compensaciones"/>
    <s v="Aplicación y Control de Planillas"/>
    <m/>
    <s v="Correo s/n"/>
    <s v="SAHE-Sistema de Administracion Horas Extras"/>
    <m/>
    <x v="1"/>
    <s v="No Aplica"/>
    <s v="No aplica"/>
    <x v="0"/>
    <m/>
    <m/>
    <m/>
    <m/>
    <m/>
    <m/>
    <m/>
    <s v="Regularizado"/>
    <d v="2025-04-30T00:00:00"/>
    <s v="Sistemas Administrativos"/>
    <s v="Analista-BN"/>
    <s v="Darwin Ander Valenzuela Ñiquen"/>
    <s v="Juan Carlos Zavaleta"/>
    <x v="5"/>
    <x v="4"/>
    <x v="1"/>
    <d v="2025-04-10T00:00:00"/>
    <m/>
    <d v="2026-05-04T00:00:00"/>
    <d v="2025-11-21T00:00:00"/>
    <m/>
    <d v="2025-11-25T00:00:00"/>
    <m/>
    <d v="2025-09-16T09:36:00"/>
    <m/>
    <m/>
    <d v="2025-09-23T09:36:00"/>
    <s v="05/05/26: Según CQ, actualizó el estado a 03. En Desarrollo_x000a_27/02/26: Según CQ, actualizó el estado a 10. Paralizado_x000a_15/01/26: Según CQ, actualizó el estado a 03. En Desarrollo_x000a_26/11/25: Según CQ, actualizó el estado a 05. En Calidad_x000a_24/11/25: Según CQ, actualizó el estado a 04. Desarrollo Finalizado_x000a_15/07/25: Según CQ, actualizó el estado a 03. En Desarrollo_x000a_17/06/2025: Se cambia de gestor de TI de Omar S. a Juan Carlos Z._x000a_29/04/2025: Se regularizó requerimiento en el Backlog."/>
    <s v="RRHH"/>
    <s v="Compensaciones"/>
    <s v="No definido"/>
    <s v="2025-04"/>
    <s v="2025-11"/>
    <x v="0"/>
    <s v="2025-09"/>
    <m/>
    <m/>
    <m/>
    <m/>
    <m/>
    <s v="2025-II"/>
    <s v="Sin Fecha Fin Producción"/>
    <s v="No Aplica"/>
    <m/>
    <s v="Finalizada"/>
    <x v="5"/>
    <d v="2026-05-04T14:42:16"/>
    <x v="0"/>
    <m/>
    <m/>
    <s v="Vencida"/>
    <s v="BackOffice"/>
    <s v="Otros Requerimientos"/>
    <s v="Pordefinir"/>
    <m/>
    <m/>
    <s v=""/>
    <s v="Sin Fecha"/>
    <s v="No definido"/>
    <m/>
    <x v="2"/>
    <m/>
    <n v="0.15"/>
    <s v="PRE"/>
    <s v="NO"/>
    <s v="03. En Desarrollo"/>
    <s v="SI"/>
    <x v="2"/>
    <n v="0.77922077922077926"/>
    <n v="0.15"/>
    <n v="0.62922077922077924"/>
    <n v="0.19249999999999998"/>
    <m/>
    <d v="2026-02-25T00:00:00"/>
    <d v="2026-05-08T00:00:00"/>
    <d v="2026-05-09T00:00:00"/>
    <d v="2026-06-05T00:00:00"/>
    <d v="2026-06-06T00:00:00"/>
    <d v="2026-06-12T00:00:00"/>
    <n v="52"/>
    <n v="1"/>
    <n v="416"/>
    <m/>
    <x v="2"/>
    <n v="0"/>
    <n v="52"/>
    <n v="0"/>
    <n v="416"/>
    <n v="0"/>
    <x v="6"/>
    <x v="0"/>
    <m/>
    <x v="0"/>
    <m/>
  </r>
  <r>
    <s v="M1024"/>
    <n v="2775"/>
    <x v="0"/>
    <s v="2025-T0323"/>
    <s v="2025-M0282"/>
    <s v="REPORTE DIARIO EN OPERACIONES EN CUENTAS CORRIENTES"/>
    <m/>
    <x v="0"/>
    <s v="Captaciones y Pagaduría"/>
    <s v="Apertura de Cuentas"/>
    <m/>
    <s v="Correo s/n"/>
    <s v="SICT-Sistema de Informacón de Cuentas Corrientes"/>
    <m/>
    <x v="1"/>
    <s v="Cuenta Corriente "/>
    <s v="No aplica"/>
    <x v="1"/>
    <m/>
    <s v="No Aplica"/>
    <s v="No Aplica"/>
    <s v="No Aplica"/>
    <s v="No Aplica"/>
    <s v="No Aplica"/>
    <s v="No Aplica"/>
    <s v="Regularizado"/>
    <d v="2025-04-30T00:00:00"/>
    <s v="Sistemas Bancarios"/>
    <s v="FS-Olssa"/>
    <s v="Eduardo Saul Cardenas Manrique"/>
    <s v="Junior Quicaño"/>
    <x v="5"/>
    <x v="4"/>
    <x v="0"/>
    <d v="2025-04-03T00:00:00"/>
    <d v="2025-11-03T00:00:00"/>
    <d v="2025-04-03T00:00:00"/>
    <m/>
    <d v="2025-12-31T00:00:00"/>
    <m/>
    <m/>
    <d v="2026-04-18T19:12:00"/>
    <m/>
    <m/>
    <d v="2026-04-25T19:12:00"/>
    <s v="07/05/25: Según CQ, actualizó el estado a 03. En Desarrollo_x000a_29/04/2025: Se regularizó requerimiento en el Backlog."/>
    <s v="Operac."/>
    <s v="CaptacionesPagaduría"/>
    <s v="No definido"/>
    <s v="2025-04"/>
    <s v="No definido"/>
    <x v="0"/>
    <s v="2026-04"/>
    <m/>
    <m/>
    <m/>
    <m/>
    <m/>
    <s v="2025-II"/>
    <s v="Sin Fecha Fin Producción"/>
    <s v="No Aplica"/>
    <s v="QC-317"/>
    <s v="Finalizada"/>
    <x v="5"/>
    <d v="2026-03-24T15:24:20"/>
    <x v="0"/>
    <m/>
    <m/>
    <s v="Vencida"/>
    <s v="BackOffice"/>
    <s v="Otros Requerimientos"/>
    <s v="Pordefinir"/>
    <m/>
    <m/>
    <s v=""/>
    <s v="Sin Fecha"/>
    <s v="No definido"/>
    <m/>
    <x v="2"/>
    <m/>
    <n v="0.15"/>
    <s v="PRE"/>
    <s v="NO"/>
    <s v="03. En Desarrollo"/>
    <s v="SI"/>
    <x v="2"/>
    <n v="1"/>
    <n v="0.15"/>
    <n v="0.85"/>
    <n v="0.15"/>
    <d v="2025-11-03T00:00:00"/>
    <d v="2026-03-02T00:00:00"/>
    <d v="2026-03-09T00:00:00"/>
    <d v="2026-03-11T00:00:00"/>
    <d v="2026-04-10T00:00:00"/>
    <d v="2026-04-13T00:00:00"/>
    <d v="2026-04-17T00:00:00"/>
    <n v="6"/>
    <n v="1"/>
    <n v="6.8571428571428568"/>
    <m/>
    <x v="2"/>
    <n v="0"/>
    <n v="6"/>
    <n v="0"/>
    <n v="6.8571428571428568"/>
    <n v="0"/>
    <x v="1"/>
    <x v="0"/>
    <m/>
    <x v="0"/>
    <m/>
  </r>
  <r>
    <s v="M1025"/>
    <n v="2776"/>
    <x v="0"/>
    <s v="2025-T0365"/>
    <s v="2025-M0299"/>
    <s v="ACTUALIZAR LAS CARPETAS DE ENTRADA DIFERIDAS."/>
    <m/>
    <x v="8"/>
    <s v="Construcción de Aplicaciones"/>
    <s v="Sistemas Bancarios"/>
    <m/>
    <m/>
    <s v="PCDI-Proyecto Cuenta DNI"/>
    <m/>
    <x v="1"/>
    <s v="No Aplica"/>
    <s v="No aplica"/>
    <x v="0"/>
    <m/>
    <m/>
    <m/>
    <m/>
    <m/>
    <m/>
    <m/>
    <s v="Regularizado"/>
    <d v="2025-04-30T00:00:00"/>
    <s v="Sistemas Bancarios"/>
    <s v="Analista-BN"/>
    <s v="Angela Rocio Risco Vega"/>
    <s v="Tomas Calvera"/>
    <x v="4"/>
    <x v="4"/>
    <x v="0"/>
    <d v="2025-04-10T00:00:00"/>
    <m/>
    <d v="2025-04-10T00:00:00"/>
    <d v="2025-04-13T00:00:00"/>
    <m/>
    <d v="2025-04-14T00:00:00"/>
    <d v="2025-04-15T00:00:00"/>
    <d v="2025-04-14T04:48:00"/>
    <d v="2025-04-16T00:00:00"/>
    <m/>
    <d v="2025-04-21T04:48:00"/>
    <s v="04/02/2026: Cartera reasignada a Tomas Calvera_x000a_05/09/2025: Cartera reasignada a Omar Sarmiento_x000a_11/08/2025: Cartera reasignada a Percy Silva_x000a_07/05/25: Según CQ, actualizó el estado a 07. En Despliegue_x000a_29/04/2025: Se regularizó requerimiento en el Backlog."/>
    <s v="TI"/>
    <s v="ConstrucciónAplicaciones"/>
    <s v="No definido"/>
    <s v="2025-04"/>
    <s v="2025-04"/>
    <x v="0"/>
    <s v="2025-04"/>
    <m/>
    <m/>
    <m/>
    <m/>
    <m/>
    <s v="2025-II"/>
    <s v="Sin Fecha Fin Producción"/>
    <s v="No Aplica"/>
    <m/>
    <s v="Finalizada"/>
    <x v="8"/>
    <d v="2025-04-16T08:22:13"/>
    <x v="0"/>
    <m/>
    <m/>
    <s v="Vencida"/>
    <s v="Cuenta DNI"/>
    <s v="Canales Virtuales"/>
    <s v="Pordefinir"/>
    <m/>
    <m/>
    <s v=""/>
    <s v="Sin Fecha"/>
    <s v="No definido"/>
    <m/>
    <x v="2"/>
    <m/>
    <n v="0.9"/>
    <s v="PRE"/>
    <s v="NO"/>
    <s v="07. En Despliegue"/>
    <s v="SI"/>
    <x v="2"/>
    <n v="1"/>
    <n v="0.9"/>
    <n v="9.9999999999999978E-2"/>
    <n v="0.9"/>
    <d v="2025-04-10T00:00:00"/>
    <d v="2025-04-10T00:00:00"/>
    <d v="2025-04-13T00:00:00"/>
    <d v="2025-04-14T00:00:00"/>
    <d v="2025-04-15T00:00:00"/>
    <d v="2025-04-16T00:00:00"/>
    <d v="2026-03-27T00:00:00"/>
    <n v="2"/>
    <n v="1"/>
    <n v="200"/>
    <m/>
    <x v="4"/>
    <n v="0"/>
    <n v="2"/>
    <n v="0"/>
    <n v="16"/>
    <n v="0"/>
    <x v="4"/>
    <x v="0"/>
    <s v="17/03/26: Se expuso, pero aún no se pasa a producción. Se está coordinando con Luis Almeyrda (Analista calidad), para q diga en que momento pasarlo a ordenado. (Seguro en el comité de 18/03/2026)"/>
    <x v="2"/>
    <m/>
  </r>
  <r>
    <s v="M1030"/>
    <n v="2782"/>
    <x v="0"/>
    <s v="2025-T0388"/>
    <s v="2025-M0328"/>
    <s v="ME: MIGRACION Y MEJORA DEL APLICATIVO WEB POAD ADMINISTRACION PORTAL DEL EMPLEADO - FASE II"/>
    <m/>
    <x v="5"/>
    <s v="Desarrollo del Talento"/>
    <s v="Cultura Organizacional"/>
    <m/>
    <s v="Correo s/n"/>
    <s v="POAD_Administración_Portal_Empleado"/>
    <m/>
    <x v="1"/>
    <s v="No Aplica"/>
    <s v="Oficinas Compartidas "/>
    <x v="1"/>
    <m/>
    <m/>
    <m/>
    <m/>
    <m/>
    <m/>
    <m/>
    <s v="Regularizado"/>
    <d v="2025-04-30T00:00:00"/>
    <s v="Sistemas Administrativos"/>
    <m/>
    <s v="Paul Alminagorta Cabezas"/>
    <s v="Juan Carlos Zavaleta"/>
    <x v="5"/>
    <x v="4"/>
    <x v="0"/>
    <d v="2025-04-24T00:00:00"/>
    <m/>
    <d v="2025-11-26T00:00:00"/>
    <d v="2025-08-22T00:00:00"/>
    <m/>
    <d v="2025-10-02T00:00:00"/>
    <m/>
    <d v="2025-07-14T14:24:00"/>
    <m/>
    <m/>
    <d v="2025-07-21T14:24:00"/>
    <s v="03/10/25: Según CQ, actualizó el estado a 03. En Desarrollo_x000a_25/08/25: Según CQ, actualizó el estado a 05. En Calidad_x000a_14/08/25: Según CQ, actualizó el estado a 03. En Desarrollo_x000a_17/06/2025: Se cambia de gestor de TI de Omar S. a Juan Carlos Z._x000a_29/04/2025: Se regularizó requerimiento en el Backlog."/>
    <s v="RRHH"/>
    <s v="DesarrolloTalento"/>
    <s v="No definido"/>
    <s v="2025-04"/>
    <s v="2025-08"/>
    <x v="0"/>
    <s v="2025-07"/>
    <m/>
    <m/>
    <m/>
    <m/>
    <m/>
    <s v="2025-II"/>
    <s v="Sin Fecha Fin Producción"/>
    <s v="No Aplica"/>
    <m/>
    <s v="Finalizada"/>
    <x v="5"/>
    <d v="2025-12-23T10:45:04"/>
    <x v="0"/>
    <m/>
    <m/>
    <s v="Vencida"/>
    <s v="BackOffice"/>
    <s v="Otros Requerimientos"/>
    <s v="Pordefinir"/>
    <m/>
    <m/>
    <s v=""/>
    <s v="Sin Fecha"/>
    <s v="No definido"/>
    <m/>
    <x v="2"/>
    <m/>
    <n v="0.15"/>
    <s v="PRE"/>
    <s v="NO"/>
    <s v="03. En Desarrollo"/>
    <s v="SI"/>
    <x v="5"/>
    <n v="3.8461538461538464E-2"/>
    <n v="0.15"/>
    <n v="-0.11153846153846153"/>
    <n v="1.2"/>
    <d v="2026-05-18T00:00:00"/>
    <d v="2026-05-18T00:00:00"/>
    <d v="2026-07-31T00:00:00"/>
    <d v="2026-08-01T00:00:00"/>
    <d v="2026-08-20T00:00:00"/>
    <d v="2026-09-01T00:00:00"/>
    <d v="2026-09-07T00:00:00"/>
    <n v="52"/>
    <n v="3.6363636363636362E-2"/>
    <n v="83.2"/>
    <m/>
    <x v="2"/>
    <n v="0.96363636363636362"/>
    <n v="2"/>
    <n v="50"/>
    <n v="3.2"/>
    <n v="80"/>
    <x v="2"/>
    <x v="0"/>
    <m/>
    <x v="0"/>
    <m/>
  </r>
  <r>
    <s v="M1031"/>
    <n v="2783"/>
    <x v="0"/>
    <s v="2025-T0302"/>
    <s v="2025-M0266"/>
    <s v="MC: Migración del servicio de transmisión en linea de Host a ambiente distribuido - PAGALO.PE"/>
    <m/>
    <x v="8"/>
    <s v="Construcción de Aplicaciones"/>
    <s v="Sistemas Bancarios"/>
    <m/>
    <m/>
    <s v="SOMP – SISTEMA DE OPERACIONES MULTIPAGOS"/>
    <m/>
    <x v="8"/>
    <s v="No Aplica"/>
    <s v="Cobranzas "/>
    <x v="0"/>
    <m/>
    <m/>
    <m/>
    <m/>
    <m/>
    <m/>
    <m/>
    <s v="Regularizado"/>
    <d v="2025-04-30T00:00:00"/>
    <s v="Sistemas Bancarios"/>
    <s v="FS-Olssa"/>
    <s v="Angela Rocio Risco Vega/Jorge Lucio Ruedas Fernandez"/>
    <s v="Tomas Calvera"/>
    <x v="7"/>
    <x v="4"/>
    <x v="0"/>
    <d v="2025-03-26T00:00:00"/>
    <m/>
    <d v="2026-04-23T00:00:00"/>
    <d v="2026-04-29T00:00:00"/>
    <m/>
    <d v="2026-05-08T00:00:00"/>
    <m/>
    <d v="2026-05-01T09:36:00"/>
    <m/>
    <m/>
    <d v="2026-05-08T09:36:00"/>
    <s v="12/05/26: Según CQ, actualizó el estado a 05. En Calidad_x000a_04/05/26: Según CQ, actualizó el estado a 04. Desarrollo Finalizado_x000a_20/04/26: Según CQ, actualizó el estado a 03. En Desarrollo_x000a_04/02/2026: Cartera reasignada a Tomas Calvera_x000a_30/01/26: Según CQ, actualizó el estado a 05. En Calidad_x000a_12/01/26: Según CQ, actualizó el estado a 04. Desarrollo Finalizado_x000a_26/11/25: Según CQ, actualizó el estado a 03. En Desarrollo_x000a_24/11/25: Según CQ, actualizó el estado a 05. En Calidad_x000a_19/11/25: Según CQ, actualizó el estado a 04. Desarrollo Finalizado_x000a_05/09/2025: Cartera reasignada a Omar Sarmiento_x000a_11/08/2025: Cartera reasignada a Percy Silva_x000a_07/05/25: Según CQ, actualizó el estado a 03. En Desarrollo_x000a_29/04/2025: Se regularizó requerimiento en el Backlog."/>
    <s v="TI"/>
    <s v="ConstrucciónAplicaciones"/>
    <s v="No definido"/>
    <s v="2025-04"/>
    <s v="2026-04"/>
    <x v="0"/>
    <s v="2026-05"/>
    <m/>
    <m/>
    <m/>
    <m/>
    <m/>
    <s v="2025-II"/>
    <s v="Sin Fecha Fin Producción"/>
    <s v="No Aplica"/>
    <m/>
    <s v="Finalizada,Finalizada"/>
    <x v="11"/>
    <d v="2026-05-08T17:32:38"/>
    <x v="0"/>
    <m/>
    <m/>
    <s v="Vencida"/>
    <s v="Pagalo.pe"/>
    <s v="Canales Virtuales"/>
    <s v="Pordefinir"/>
    <m/>
    <m/>
    <s v=""/>
    <s v="Sin Fecha"/>
    <s v="No definido"/>
    <m/>
    <x v="2"/>
    <s v="Págalo"/>
    <n v="0.7"/>
    <s v="PRE"/>
    <s v="NO"/>
    <s v="03. En Desarrollo"/>
    <s v="SI"/>
    <x v="2"/>
    <n v="1"/>
    <n v="0.7"/>
    <n v="0.30000000000000004"/>
    <n v="0.7"/>
    <d v="2026-01-08T00:00:00"/>
    <d v="2026-01-08T00:00:00"/>
    <d v="2026-01-09T00:00:00"/>
    <d v="2026-01-29T00:00:00"/>
    <d v="2026-02-27T00:00:00"/>
    <d v="2026-03-02T00:00:00"/>
    <d v="2026-04-27T00:00:00"/>
    <n v="2"/>
    <n v="1"/>
    <n v="200"/>
    <m/>
    <x v="5"/>
    <n v="0"/>
    <n v="2"/>
    <n v="0"/>
    <n v="16"/>
    <n v="0"/>
    <x v="1"/>
    <x v="0"/>
    <m/>
    <x v="0"/>
    <m/>
  </r>
  <r>
    <s v="M1038"/>
    <n v="2793"/>
    <x v="0"/>
    <s v="2025-T0425"/>
    <s v="2025-M0364"/>
    <s v="Transferencias Interbancarias Inmediatas  entrantes ME   -  Movil Android"/>
    <m/>
    <x v="0"/>
    <s v="Captaciones y Pagaduría"/>
    <s v="Sistema de Pagos"/>
    <d v="2024-12-02T00:00:00"/>
    <s v="MEMORANDO N° 00000188 - 2024-BN/3116"/>
    <s v="SABM - Sistema Atencion Banca Movil"/>
    <m/>
    <x v="11"/>
    <s v="No Aplica"/>
    <s v="No aplica"/>
    <x v="0"/>
    <m/>
    <s v="No Aplica"/>
    <s v="No Aplica"/>
    <s v="No Aplica"/>
    <s v="No Aplica"/>
    <s v="No Aplica"/>
    <s v="No Aplica"/>
    <s v="Normal"/>
    <d v="2025-05-29T00:00:00"/>
    <s v="Soluciones Digitales"/>
    <s v="Analista-BN"/>
    <s v="Marilu Cordova Quispe"/>
    <s v="Junior Quicaño"/>
    <x v="3"/>
    <x v="3"/>
    <x v="3"/>
    <d v="2025-05-08T00:00:00"/>
    <d v="2025-11-03T00:00:00"/>
    <d v="2025-05-08T00:00:00"/>
    <m/>
    <m/>
    <m/>
    <m/>
    <s v=""/>
    <m/>
    <m/>
    <s v=""/>
    <s v="24/03/2026 Requerimiento no priorizado por el usuario._x000a_05/12/25: Según CQ, actualizó el estado a 10. Paralizado_x000a_12/05/25: Según CQ, actualizó el estado a 03. En Desarrollo_x000a_08/05/25: Se registró en el Backlog y se generó trámite"/>
    <s v="Operac."/>
    <s v="CaptacionesPagaduría"/>
    <s v="2024-12"/>
    <s v="2025-05"/>
    <s v="No definido"/>
    <x v="0"/>
    <s v="No definido"/>
    <m/>
    <m/>
    <m/>
    <m/>
    <m/>
    <s v="2025-II"/>
    <s v="Sin Fecha Fin Producción"/>
    <s v="No Aplica"/>
    <s v="QC-333"/>
    <s v="Iniciada"/>
    <x v="3"/>
    <d v="2025-12-04T17:43:08"/>
    <x v="0"/>
    <m/>
    <m/>
    <s v="Sin Fecha"/>
    <s v="Banca Movil"/>
    <s v="Canales Virtuales"/>
    <s v="Pordefinir"/>
    <m/>
    <m/>
    <s v=""/>
    <s v="Sin Fecha"/>
    <s v="No definido"/>
    <m/>
    <x v="2"/>
    <s v="APP/Web"/>
    <n v="0.12"/>
    <s v="PRE"/>
    <s v="NO"/>
    <s v="03. En Desarrollo"/>
    <s v="No aplica"/>
    <x v="3"/>
    <s v=""/>
    <n v="0.12"/>
    <s v=""/>
    <s v=""/>
    <m/>
    <m/>
    <m/>
    <m/>
    <m/>
    <m/>
    <m/>
    <n v="25"/>
    <n v="0.1"/>
    <n v="200"/>
    <m/>
    <x v="3"/>
    <n v="0.9"/>
    <n v="1"/>
    <n v="24"/>
    <n v="8"/>
    <n v="192"/>
    <x v="0"/>
    <x v="0"/>
    <m/>
    <x v="0"/>
    <m/>
  </r>
  <r>
    <s v="M1039"/>
    <n v="2794"/>
    <x v="0"/>
    <s v="2025-T0424"/>
    <s v="2025-M0363"/>
    <s v="Transferencias Interbancarias Inmediatas  entrantes ME   -  Movil IOS"/>
    <m/>
    <x v="0"/>
    <s v="Captaciones y Pagaduría"/>
    <s v="Sistema de Pagos"/>
    <d v="2024-12-02T00:00:00"/>
    <s v="MEMORANDO N° 00000188 - 2024-BN/3116"/>
    <s v="SABM - Sistema Atencion Banca Movil"/>
    <m/>
    <x v="11"/>
    <s v="No Aplica"/>
    <s v="No aplica"/>
    <x v="0"/>
    <m/>
    <s v="No Aplica"/>
    <s v="No Aplica"/>
    <s v="No Aplica"/>
    <s v="No Aplica"/>
    <s v="No Aplica"/>
    <s v="No Aplica"/>
    <s v="Normal"/>
    <d v="2025-05-29T00:00:00"/>
    <s v="Soluciones Digitales"/>
    <s v="Analista-BN"/>
    <s v="Marilu Cordova Quispe"/>
    <s v="Junior Quicaño"/>
    <x v="3"/>
    <x v="3"/>
    <x v="3"/>
    <d v="2025-05-08T00:00:00"/>
    <d v="2025-11-03T00:00:00"/>
    <d v="2025-05-08T00:00:00"/>
    <m/>
    <m/>
    <m/>
    <m/>
    <s v=""/>
    <m/>
    <m/>
    <s v=""/>
    <s v="24/03/2026 Requerimiento no priorizado por el usuario._x000a_05/12/25: Según CQ, actualizó el estado a 10. Paralizado_x000a_12/05/25: Según CQ, actualizó el estado a 03. En Desarrollo_x000a_08/05/25: Se registró en el Backlog y se generó trámite"/>
    <s v="Operac."/>
    <s v="CaptacionesPagaduría"/>
    <s v="2024-12"/>
    <s v="2025-05"/>
    <s v="No definido"/>
    <x v="0"/>
    <s v="No definido"/>
    <m/>
    <m/>
    <m/>
    <m/>
    <m/>
    <s v="2025-II"/>
    <s v="Sin Fecha Fin Producción"/>
    <s v="No Aplica"/>
    <s v="QC-333"/>
    <s v="Iniciada"/>
    <x v="3"/>
    <d v="2025-12-04T17:43:32"/>
    <x v="0"/>
    <m/>
    <m/>
    <s v="Sin Fecha"/>
    <s v="Banca Movil"/>
    <s v="Canales Virtuales"/>
    <s v="Pordefinir"/>
    <m/>
    <m/>
    <s v=""/>
    <s v="Sin Fecha"/>
    <s v="No definido"/>
    <m/>
    <x v="2"/>
    <s v="APP/Web"/>
    <n v="0.12"/>
    <s v="PRE"/>
    <s v="NO"/>
    <s v="03. En Desarrollo"/>
    <s v="No aplica"/>
    <x v="3"/>
    <s v=""/>
    <n v="0.12"/>
    <s v=""/>
    <s v=""/>
    <m/>
    <m/>
    <m/>
    <m/>
    <m/>
    <m/>
    <m/>
    <n v="25"/>
    <n v="0.1"/>
    <n v="200"/>
    <m/>
    <x v="3"/>
    <n v="0.9"/>
    <n v="1"/>
    <n v="24"/>
    <n v="8"/>
    <n v="192"/>
    <x v="0"/>
    <x v="0"/>
    <m/>
    <x v="0"/>
    <m/>
  </r>
  <r>
    <s v="M1043"/>
    <n v="2802"/>
    <x v="0"/>
    <s v="2025-T0444"/>
    <s v="2025-M0379"/>
    <s v="Inscripción de Nuevos Centros de Captura Saraweb Sing"/>
    <m/>
    <x v="0"/>
    <s v="Captaciones y Pagaduría"/>
    <s v="Apertura de Cuentas"/>
    <d v="2025-05-16T00:00:00"/>
    <s v="MEMORANDO N° 00000270 -2025-BN/3111"/>
    <s v="SIGN- Registro de Firmas"/>
    <m/>
    <x v="2"/>
    <s v="Cuenta Corriente "/>
    <s v="No aplica"/>
    <x v="0"/>
    <m/>
    <m/>
    <m/>
    <m/>
    <m/>
    <m/>
    <m/>
    <s v="Normal"/>
    <d v="2025-05-29T00:00:00"/>
    <s v="Sistemas Bancarios"/>
    <s v="Analista-BN"/>
    <s v="Rossana Rojas Alvaro"/>
    <s v="Junior Quicaño"/>
    <x v="4"/>
    <x v="4"/>
    <x v="0"/>
    <d v="2025-05-19T00:00:00"/>
    <m/>
    <d v="2025-05-19T00:00:00"/>
    <d v="2025-05-24T00:00:00"/>
    <m/>
    <d v="2025-05-25T00:00:00"/>
    <d v="2025-05-28T00:00:00"/>
    <d v="2025-05-26T00:00:00"/>
    <d v="2025-05-30T00:00:00"/>
    <m/>
    <d v="2025-06-02T00:00:00"/>
    <s v="02/06/25: Según CQ, actualizó el estado a 07. En Despliegue_x000a_20/05/25: Según CQ, actualizó el estado a 03. En Desarrollo_x000a_19/05/25: Se registró en el Backlog y se generó trámite"/>
    <s v="Operac."/>
    <s v="CaptacionesPagaduría"/>
    <s v="2025-05"/>
    <s v="2025-05"/>
    <s v="2025-05"/>
    <x v="0"/>
    <s v="2025-06"/>
    <m/>
    <m/>
    <m/>
    <m/>
    <m/>
    <s v="2025-II"/>
    <s v="Sin Fecha Fin Producción"/>
    <s v="No Aplica"/>
    <s v="QC-132"/>
    <s v="Finalizada"/>
    <x v="8"/>
    <d v="2025-05-30T16:59:06"/>
    <x v="0"/>
    <m/>
    <m/>
    <s v="Vencida"/>
    <s v="Sin Aplicativo"/>
    <s v="Sin Aplicativo"/>
    <s v="Pordefinir"/>
    <m/>
    <m/>
    <s v=""/>
    <s v="Sin Fecha"/>
    <s v="No definido"/>
    <m/>
    <x v="2"/>
    <m/>
    <n v="0.9"/>
    <s v="PRE"/>
    <s v="NO"/>
    <s v="07. En Despliegue"/>
    <s v="SI"/>
    <x v="2"/>
    <n v="1"/>
    <n v="0.9"/>
    <n v="9.9999999999999978E-2"/>
    <n v="0.9"/>
    <d v="2025-05-19T00:00:00"/>
    <d v="2025-05-19T00:00:00"/>
    <d v="2025-05-24T00:00:00"/>
    <d v="2025-05-25T00:00:00"/>
    <d v="2025-05-28T00:00:00"/>
    <d v="2025-05-30T00:00:00"/>
    <d v="2026-03-27T00:00:00"/>
    <n v="5"/>
    <n v="1"/>
    <n v="200"/>
    <m/>
    <x v="4"/>
    <n v="0"/>
    <n v="5"/>
    <n v="0"/>
    <n v="40"/>
    <n v="0"/>
    <x v="4"/>
    <x v="0"/>
    <m/>
    <x v="2"/>
    <m/>
  </r>
  <r>
    <s v="M1049"/>
    <n v="2809"/>
    <x v="0"/>
    <s v="2025-T0458"/>
    <s v="2025-M0465"/>
    <s v="Adicionar los nombres completos y el DNI del depositante en el reporte SICT4178 cuando son abonos en Cta Cte por el agente Globokas 0990"/>
    <m/>
    <x v="0"/>
    <s v="Captaciones y Pagaduría"/>
    <s v="Administración de Cuentas y Pagaduría"/>
    <d v="2025-04-11T00:00:00"/>
    <s v="MEMORANDO N° 00000408 -2025-BN/3191"/>
    <s v="SICT-Sistema de Informacón de Cuentas Corrientes"/>
    <m/>
    <x v="12"/>
    <s v="Cuenta Corriente "/>
    <s v="No aplica"/>
    <x v="0"/>
    <m/>
    <s v="No Aplica"/>
    <s v="No Aplica"/>
    <s v="No Aplica"/>
    <s v="No Aplica"/>
    <s v="No Aplica"/>
    <s v="No Aplica"/>
    <s v="Normal"/>
    <m/>
    <s v="Sistemas Bancarios"/>
    <s v="Analista-BN"/>
    <s v="Eduardo Saul Cardenas Manrique"/>
    <s v="Junior Quicaño"/>
    <x v="8"/>
    <x v="4"/>
    <x v="0"/>
    <d v="2025-05-22T00:00:00"/>
    <d v="2025-11-03T00:00:00"/>
    <d v="2026-05-08T00:00:00"/>
    <d v="2025-06-30T00:00:00"/>
    <m/>
    <d v="2025-07-08T00:00:00"/>
    <m/>
    <d v="2025-02-25T04:48:00"/>
    <m/>
    <m/>
    <d v="2025-03-04T04:48:00"/>
    <s v="19/05/26: Según CQ, actualizó el estado a 04. Desarrollo Finalizado_x000a_15/07/25: Según CQ, actualizó el estado a 03. En Desarrollo_x000a_09/07/25: Según CQ, actualizó el estado a 05. En Calidad_x000a_02/07/25: Según CQ, actualizó el estado a 04. Desarrollo Finalizado_x000a_20/06/25: Según CQ, actualizó el estado a 03. En Desarrollo_x000a_22/05/25: Se registró en el Backlog y se creó trámite."/>
    <s v="Operac."/>
    <s v="CaptacionesPagaduría"/>
    <s v="2025-04"/>
    <s v="No definido"/>
    <s v="2025-06"/>
    <x v="0"/>
    <s v="2025-03"/>
    <m/>
    <m/>
    <m/>
    <m/>
    <m/>
    <s v="2025-II"/>
    <s v="Sin Fecha Fin Producción"/>
    <s v="No Aplica"/>
    <s v="QC-439"/>
    <s v="Finalizada"/>
    <x v="12"/>
    <d v="2026-05-19T08:27:10"/>
    <x v="0"/>
    <m/>
    <m/>
    <s v="Vencida"/>
    <s v="BackOffice"/>
    <s v="Otros Requerimientos"/>
    <s v="Pordefinir"/>
    <m/>
    <m/>
    <s v=""/>
    <s v="Sin Fecha"/>
    <s v="No definido"/>
    <m/>
    <x v="2"/>
    <m/>
    <n v="0.5"/>
    <s v="PRE"/>
    <s v="NO"/>
    <s v="03. En Desarrollo"/>
    <s v="SI"/>
    <x v="2"/>
    <n v="1"/>
    <n v="0.5"/>
    <n v="0.5"/>
    <n v="0.5"/>
    <d v="2025-11-03T00:00:00"/>
    <d v="2026-03-02T00:00:00"/>
    <d v="2026-03-30T00:00:00"/>
    <d v="2026-04-01T00:00:00"/>
    <d v="2026-04-30T00:00:00"/>
    <d v="2026-05-06T00:00:00"/>
    <d v="2026-05-10T00:00:00"/>
    <n v="21"/>
    <n v="1"/>
    <n v="24"/>
    <m/>
    <x v="5"/>
    <n v="0"/>
    <n v="21"/>
    <n v="0"/>
    <n v="24"/>
    <n v="0"/>
    <x v="8"/>
    <x v="0"/>
    <m/>
    <x v="0"/>
    <m/>
  </r>
  <r>
    <s v="M1052"/>
    <n v="2806"/>
    <x v="0"/>
    <s v="2025-T0473"/>
    <s v="2025-M0659"/>
    <s v="INCORPORACIÓN FUNCIONALIDADES APLICACIÓN EMULACIÓN CTAS. MONETARIAS"/>
    <s v="Mejora del proceso de actualización y sectorización que debe realizarse de manera diaria"/>
    <x v="4"/>
    <s v="Estudios Económicos y Financieros"/>
    <s v="Estadísticas y Estudios Económicos"/>
    <d v="2025-05-06T00:00:00"/>
    <s v="MEMORANDO N° 0000007 - 2025-BN3444"/>
    <s v="FICM-Finanzas Cuentas Monetarias"/>
    <m/>
    <x v="1"/>
    <s v="No Aplica"/>
    <s v="No aplica"/>
    <x v="0"/>
    <m/>
    <m/>
    <m/>
    <m/>
    <m/>
    <m/>
    <m/>
    <s v="Normal"/>
    <d v="2025-05-29T00:00:00"/>
    <s v="Sistemas Administrativos"/>
    <m/>
    <s v="Valery Aldo Versategui Malpica"/>
    <s v="Juan Carlos Zavaleta"/>
    <x v="1"/>
    <x v="1"/>
    <x v="0"/>
    <d v="2025-05-26T00:00:00"/>
    <m/>
    <d v="2025-10-02T00:00:00"/>
    <d v="2025-11-27T00:00:00"/>
    <m/>
    <d v="2025-12-05T00:00:00"/>
    <d v="2026-01-13T00:00:00"/>
    <d v="2025-12-19T09:36:00"/>
    <d v="2026-01-23T00:00:00"/>
    <d v="2026-01-28T00:00:00"/>
    <d v="2025-12-26T09:36:00"/>
    <s v="30/01/26: Según CQ, actualizó el estado a 08. Producción Finalizada_x000a_26/01/26: Según CQ, actualizó el estado a 07. En Despliegue_x000a_14/01/26: Según CQ, actualizó el estado a 06. Calidad Finalizado_x000a_05/12/25: Según CQ, actualizó el estado a 05. En Calidad_x000a_01/12/25: Según CQ, actualizó el estado a 04. Desarrollo Finalizado_x000a_03/10/25: Según CQ, actualizó el estado a 03. En Desarrollo_x000a_17/06/2025: Se cambia de gestor de TI de Omar S. a Juan Carlos Z."/>
    <s v="Finanzas"/>
    <s v="EconómicosFinancieros"/>
    <s v="2025-05"/>
    <s v="2025-05"/>
    <s v="2025-11"/>
    <x v="4"/>
    <s v="2025-12"/>
    <m/>
    <m/>
    <m/>
    <m/>
    <m/>
    <s v="2025-II"/>
    <n v="118"/>
    <n v="3.9333333333333331"/>
    <s v="QC-100"/>
    <s v="Finalizada"/>
    <x v="1"/>
    <d v="2026-02-20T10:03:39"/>
    <x v="0"/>
    <m/>
    <m/>
    <s v="Culminado"/>
    <s v="Sin Aplicativo"/>
    <s v="Sin Aplicativo"/>
    <s v="Pordefinir"/>
    <m/>
    <m/>
    <d v="2026-01-28T00:00:00"/>
    <s v="Culminado"/>
    <s v="Ene 2026"/>
    <m/>
    <x v="1"/>
    <m/>
    <n v="1"/>
    <s v="PRE"/>
    <s v="NO"/>
    <s v="03. En Desarrollo"/>
    <s v="No aplica"/>
    <x v="1"/>
    <n v="1"/>
    <n v="1"/>
    <n v="0"/>
    <n v="1"/>
    <d v="2025-10-02T00:00:00"/>
    <d v="2025-10-02T00:00:00"/>
    <d v="2025-11-27T00:00:00"/>
    <d v="2025-12-05T00:00:00"/>
    <d v="2026-01-13T00:00:00"/>
    <d v="2026-01-23T00:00:00"/>
    <d v="2026-02-05T00:00:00"/>
    <n v="40"/>
    <n v="1"/>
    <n v="200"/>
    <m/>
    <x v="1"/>
    <n v="0"/>
    <n v="40"/>
    <n v="0"/>
    <n v="320"/>
    <n v="0"/>
    <x v="11"/>
    <x v="0"/>
    <m/>
    <x v="0"/>
    <m/>
  </r>
  <r>
    <s v="M1053"/>
    <n v="2836"/>
    <x v="0"/>
    <s v="2025-T0474"/>
    <s v="2025-M0425"/>
    <s v="Habilitar en la transacción 1410 las Transferencias Interbancarias diferidas vía CCE con cargo a cuentas de ahorro PJ"/>
    <m/>
    <x v="0"/>
    <s v="Captaciones y Pagaduría"/>
    <s v="Sistema de Pagos"/>
    <d v="2025-05-25T00:00:00"/>
    <s v="MEMORANDO N° 00000086 -2025-BN/3116"/>
    <s v="DPAH- Deposito de Ahorros MN"/>
    <s v="Rutinarios Saraweb"/>
    <x v="13"/>
    <s v="No Aplica"/>
    <s v="No aplica"/>
    <x v="0"/>
    <m/>
    <s v="No Aplica"/>
    <s v="No Aplica"/>
    <s v="No Aplica"/>
    <s v="No Aplica"/>
    <s v="No Aplica"/>
    <s v="No Aplica"/>
    <s v="Normal"/>
    <d v="2025-05-29T00:00:00"/>
    <s v="Sistemas Bancarios"/>
    <s v="FS-Olssa"/>
    <s v="Norma Fukunaga Fuentes"/>
    <s v="Junior Quicaño"/>
    <x v="5"/>
    <x v="4"/>
    <x v="0"/>
    <m/>
    <d v="2025-11-03T00:00:00"/>
    <d v="2025-06-04T00:00:00"/>
    <m/>
    <d v="2025-12-31T00:00:00"/>
    <m/>
    <m/>
    <d v="2026-03-25T00:00:00"/>
    <m/>
    <m/>
    <d v="2026-04-01T00:00:00"/>
    <s v="05/06/25: Según CQ, actualizó el estado a 03. En Desarrollo_x000a_"/>
    <s v="Operac."/>
    <s v="CaptacionesPagaduría"/>
    <s v="2025-05"/>
    <s v="2025-05"/>
    <s v="No definido"/>
    <x v="0"/>
    <s v="2026-04"/>
    <m/>
    <m/>
    <m/>
    <m/>
    <m/>
    <s v="2025-II"/>
    <s v="Sin Fecha Fin Producción"/>
    <s v="No Aplica"/>
    <m/>
    <s v="Iniciada"/>
    <x v="5"/>
    <d v="2025-06-04T15:13:28"/>
    <x v="0"/>
    <m/>
    <m/>
    <s v="Vencida"/>
    <s v="BackOffice"/>
    <s v="Otros Requerimientos"/>
    <s v="Pordefinir"/>
    <m/>
    <m/>
    <s v=""/>
    <s v="Sin Fecha"/>
    <s v="No definido"/>
    <m/>
    <x v="2"/>
    <m/>
    <n v="0.25"/>
    <s v="PRE"/>
    <s v="NO"/>
    <s v="03. En Desarrollo"/>
    <s v="SI"/>
    <x v="2"/>
    <n v="1"/>
    <n v="0.25"/>
    <n v="0.75"/>
    <n v="0.25"/>
    <d v="2025-11-03T00:00:00"/>
    <d v="2026-03-02T00:00:00"/>
    <d v="2026-03-30T00:00:00"/>
    <d v="2026-04-01T00:00:00"/>
    <d v="2026-04-30T00:00:00"/>
    <d v="2026-05-04T00:00:00"/>
    <d v="2026-05-08T00:00:00"/>
    <n v="21"/>
    <n v="1"/>
    <n v="56"/>
    <m/>
    <x v="2"/>
    <n v="0"/>
    <n v="21"/>
    <n v="0"/>
    <n v="56"/>
    <n v="0"/>
    <x v="8"/>
    <x v="0"/>
    <m/>
    <x v="0"/>
    <m/>
  </r>
  <r>
    <s v="M1058"/>
    <n v="2812"/>
    <x v="0"/>
    <s v="2025-T0484"/>
    <s v="2025-M0422"/>
    <s v="Clientes no aceptados por actividad económica en BDUC."/>
    <m/>
    <x v="3"/>
    <s v="Prevención"/>
    <s v="Prevención"/>
    <d v="2025-05-18T00:00:00"/>
    <s v="MEMORANDO N° 00000030 - 2025-BN/1202"/>
    <s v="SIUC-Sistema de Información Unica de Clientes"/>
    <m/>
    <x v="2"/>
    <s v="Cuenta de Ahorros"/>
    <s v="No aplica"/>
    <x v="0"/>
    <m/>
    <m/>
    <m/>
    <m/>
    <m/>
    <m/>
    <m/>
    <s v="Normal"/>
    <d v="2025-05-29T00:00:00"/>
    <s v="Sistemas Bancarios"/>
    <s v="FS-Olssa"/>
    <s v="Pedro Jose Encalada Huertas"/>
    <s v="Juan Carlos Zavaleta"/>
    <x v="4"/>
    <x v="4"/>
    <x v="0"/>
    <d v="2025-05-28T00:00:00"/>
    <m/>
    <d v="2025-05-29T00:00:00"/>
    <d v="2025-09-15T00:00:00"/>
    <m/>
    <d v="2025-09-18T00:00:00"/>
    <d v="2025-10-10T00:00:00"/>
    <d v="2025-10-28T14:24:00"/>
    <d v="2025-11-06T00:00:00"/>
    <m/>
    <d v="2025-11-04T14:24:00"/>
    <s v="07/11/25: Según CQ, actualizó el estado a 07. En Despliegue_x000a_09/10/25: Según CQ, actualizó el estado a 05. En Calidad_x000a_03/10/25: Según CQ, actualizó el estado a 04. Desarrollo Finalizado_x000a_05/09/2025: Cartera reasignada a Juan Carlos Zavaleta_x000a_11/08/2025: Cartera reasignada a Percy Silva_x000a_05/06/25: Según CQ, actualizó el estado a 03. En Desarrollo_x000a_28/25/25: Se registró en el Backlog y se creó trámite "/>
    <s v="PLAFT"/>
    <s v="Prevención"/>
    <s v="2025-05"/>
    <s v="2025-05"/>
    <s v="2025-09"/>
    <x v="0"/>
    <s v="2025-11"/>
    <m/>
    <m/>
    <m/>
    <m/>
    <m/>
    <s v="2025-II"/>
    <s v="Sin Fecha Fin Producción"/>
    <s v="No Aplica"/>
    <s v="QC-136"/>
    <s v="Finalizada"/>
    <x v="8"/>
    <d v="2025-11-06T17:10:37"/>
    <x v="0"/>
    <m/>
    <m/>
    <s v="Vencida"/>
    <s v="Clientes (BDUC)"/>
    <s v="Canales Presenciales"/>
    <s v="Pordefinir"/>
    <m/>
    <m/>
    <s v=""/>
    <s v="Sin Fecha"/>
    <s v="No definido"/>
    <m/>
    <x v="2"/>
    <m/>
    <n v="0.9"/>
    <s v="PRE"/>
    <s v="NO"/>
    <s v="05. En Calidad"/>
    <s v="SI"/>
    <x v="2"/>
    <n v="1"/>
    <n v="0.9"/>
    <n v="9.9999999999999978E-2"/>
    <n v="0.9"/>
    <d v="2025-05-29T00:00:00"/>
    <d v="2025-05-29T00:00:00"/>
    <d v="2025-09-15T00:00:00"/>
    <d v="2025-09-18T00:00:00"/>
    <d v="2025-10-10T00:00:00"/>
    <d v="2025-11-06T00:00:00"/>
    <d v="2026-03-27T00:00:00"/>
    <n v="76"/>
    <n v="1"/>
    <n v="200"/>
    <m/>
    <x v="4"/>
    <n v="0"/>
    <n v="76"/>
    <n v="0"/>
    <n v="608"/>
    <n v="0"/>
    <x v="4"/>
    <x v="0"/>
    <m/>
    <x v="2"/>
    <m/>
  </r>
  <r>
    <s v="M1063"/>
    <n v="2497"/>
    <x v="0"/>
    <s v="2025-T0439"/>
    <s v="2025-M0431"/>
    <s v="INCLUSIÓN DE TASAS DE DNI ELECTRÓNICO DE RENIEC Y PASAPORTE BIOMÉTRICO DE MIGRACIONES Y ACTUALIZACIÓN DE DEPENDENCIAS Y DISTRITOS JUDICIALES PARA EL PAGO DE TASAS DEL PODER JUDICIAL EN EL CANAL AGENTE BN"/>
    <m/>
    <x v="2"/>
    <s v="Canales Alternos"/>
    <s v="Canales Presenciales"/>
    <d v="2024-11-20T00:00:00"/>
    <s v="MEMORANDO N° 00000464 - 2024-BN/3251"/>
    <s v="TMIN-Tarjeta Multired Interfaces"/>
    <m/>
    <x v="1"/>
    <s v="No Aplica"/>
    <s v="No aplica"/>
    <x v="0"/>
    <m/>
    <m/>
    <m/>
    <m/>
    <m/>
    <m/>
    <m/>
    <s v="Normal"/>
    <d v="2025-05-29T00:00:00"/>
    <s v="Sistemas Bancarios"/>
    <s v="Analista-BN"/>
    <s v="Vladimir Ronald Cajavilca Cajavilca"/>
    <s v="Omar Sarmiento"/>
    <x v="5"/>
    <x v="4"/>
    <x v="0"/>
    <m/>
    <m/>
    <d v="2025-06-05T00:00:00"/>
    <m/>
    <m/>
    <m/>
    <m/>
    <s v=""/>
    <m/>
    <m/>
    <s v=""/>
    <s v="26/02/2026 El final de desarrollo (julio) está condicionado a que la nueva FS inicie su atención en abril_x000a_30/12/2025: Cartera reasignada a Omar Sarmiento_x000a_09/06/25: Según CQ, actualizó el estado a 03. En Desarrollo_x000a_25/11/2024: Se registró en el Backlog"/>
    <s v="B.Digital"/>
    <s v="CanalesAlternos"/>
    <s v="2024-11"/>
    <s v="2025-05"/>
    <s v="No definido"/>
    <x v="0"/>
    <s v="No definido"/>
    <m/>
    <m/>
    <m/>
    <m/>
    <m/>
    <s v="2025-II"/>
    <s v="Sin Fecha Fin Producción"/>
    <s v="No Aplica"/>
    <m/>
    <s v="Iniciada"/>
    <x v="5"/>
    <d v="2025-06-05T16:00:19"/>
    <x v="0"/>
    <m/>
    <m/>
    <s v="Sin Fecha"/>
    <s v="ATM-Agentes-VISA"/>
    <s v="Canales Presenciales"/>
    <s v="Pordefinir"/>
    <m/>
    <m/>
    <s v=""/>
    <s v="Sin Fecha"/>
    <s v="No definido"/>
    <m/>
    <x v="2"/>
    <m/>
    <n v="0.25"/>
    <s v="PRE"/>
    <s v="NO"/>
    <s v="03. En Desarrollo"/>
    <s v="SI"/>
    <x v="4"/>
    <n v="0.4351145038167939"/>
    <n v="0.25"/>
    <n v="0.1851145038167939"/>
    <n v="0.57456140350877194"/>
    <d v="2025-11-10T00:00:00"/>
    <d v="2026-03-02T00:00:00"/>
    <d v="2026-07-30T00:00:00"/>
    <d v="2026-08-03T00:00:00"/>
    <d v="2026-08-31T00:00:00"/>
    <d v="2026-09-01T00:00:00"/>
    <d v="2026-09-04T00:00:00"/>
    <n v="105"/>
    <n v="0.52293577981651373"/>
    <n v="76.36363636363636"/>
    <s v="BD"/>
    <x v="2"/>
    <n v="0.47706422018348627"/>
    <n v="56"/>
    <n v="49"/>
    <n v="40.727272727272727"/>
    <n v="35.63636363636364"/>
    <x v="2"/>
    <x v="0"/>
    <m/>
    <x v="0"/>
    <m/>
  </r>
  <r>
    <s v="M1082"/>
    <n v="2834"/>
    <x v="0"/>
    <s v="2025-T0433"/>
    <s v="2025-M0370"/>
    <s v="MN: Actualización de las tablas de alineamiento contable correspondiente al producto TC"/>
    <m/>
    <x v="1"/>
    <s v="Banca Personal"/>
    <s v="Tarjeta de Crédito"/>
    <m/>
    <m/>
    <s v="SITC – Tarjeta de Crédito"/>
    <m/>
    <x v="1"/>
    <s v="Tarjeta de Crédito "/>
    <s v="No aplica"/>
    <x v="3"/>
    <s v="Recomendación"/>
    <s v="AUDITORIA INTERNA"/>
    <s v="P-005-2019-BN/1400"/>
    <s v="Evaluación Cuatrimestral de la Clasificación de la Cartera de Créditos al III Cuatrimestre 2018"/>
    <n v="4"/>
    <s v="4.b"/>
    <d v="2024-03-16T00:00:00"/>
    <s v="Regularizado"/>
    <d v="2025-05-29T00:00:00"/>
    <s v="Sistemas Bancarios"/>
    <s v="Analista-BN"/>
    <s v="Javier Baltazar Urquiaga Salazar"/>
    <s v="Milagros Huamani"/>
    <x v="4"/>
    <x v="4"/>
    <x v="0"/>
    <m/>
    <m/>
    <d v="2025-05-12T00:00:00"/>
    <d v="2025-05-24T00:00:00"/>
    <m/>
    <d v="2025-05-26T00:00:00"/>
    <d v="2025-06-02T00:00:00"/>
    <d v="2025-05-28T19:12:00"/>
    <d v="2025-06-05T00:00:00"/>
    <m/>
    <d v="2025-06-04T19:12:00"/>
    <s v="09/06/25: Según CQ, actualizó el estado a 07. En Despliegue_x000a_30/05/25: Según CQ, actualizó el estado a 03. En Desarrollo_x000a_28/05/2025: Se regularizó requerimiento en el Backlog."/>
    <s v="Productos"/>
    <s v="BancaPersonal"/>
    <s v="No definido"/>
    <s v="2025-05"/>
    <s v="2025-05"/>
    <x v="0"/>
    <s v="2025-06"/>
    <m/>
    <m/>
    <m/>
    <m/>
    <m/>
    <s v="2025-II"/>
    <s v="Sin Fecha Fin Producción"/>
    <s v="No Aplica"/>
    <m/>
    <s v="Finalizada"/>
    <x v="8"/>
    <d v="2025-06-06T14:52:47"/>
    <x v="1"/>
    <s v="226"/>
    <m/>
    <s v="Vencida"/>
    <s v="Tarjeta Tesoro"/>
    <s v="Productos"/>
    <s v="Pordefinir"/>
    <m/>
    <m/>
    <s v=""/>
    <s v="Sin Fecha"/>
    <s v="No definido"/>
    <m/>
    <x v="2"/>
    <m/>
    <n v="0.9"/>
    <s v="PRE"/>
    <s v="NO"/>
    <s v="07. En Despliegue"/>
    <s v="SI"/>
    <x v="2"/>
    <n v="1"/>
    <n v="0.9"/>
    <n v="9.9999999999999978E-2"/>
    <n v="0.9"/>
    <d v="2025-05-12T00:00:00"/>
    <d v="2025-05-12T00:00:00"/>
    <d v="2025-05-24T00:00:00"/>
    <d v="2025-05-26T00:00:00"/>
    <d v="2025-06-02T00:00:00"/>
    <d v="2025-06-05T00:00:00"/>
    <d v="2026-03-27T00:00:00"/>
    <n v="10"/>
    <n v="1"/>
    <n v="200"/>
    <m/>
    <x v="4"/>
    <n v="0"/>
    <n v="10"/>
    <n v="0"/>
    <n v="80"/>
    <n v="0"/>
    <x v="4"/>
    <x v="0"/>
    <m/>
    <x v="2"/>
    <m/>
  </r>
  <r>
    <s v="M1083"/>
    <n v="2835"/>
    <x v="0"/>
    <s v="2025-T0398"/>
    <s v="2025-M0337"/>
    <s v="ME: AUTOMATIZACION DE LOS PROCESOS DE ARCHIVOS DE DOCUMENTOS(SGAC)"/>
    <m/>
    <x v="6"/>
    <s v="Servicios"/>
    <s v="Archivo Central"/>
    <m/>
    <m/>
    <s v="SGAC-Sistema de Gestión Archivo Central"/>
    <m/>
    <x v="1"/>
    <s v="Cuenta Corriente "/>
    <s v="No aplica"/>
    <x v="0"/>
    <m/>
    <m/>
    <m/>
    <m/>
    <m/>
    <m/>
    <m/>
    <s v="Regularizado"/>
    <d v="2025-05-29T00:00:00"/>
    <s v="Sistemas Administrativos"/>
    <s v="Analista-BN"/>
    <s v="Jorge Mora Ruelas"/>
    <s v="Omar Sarmiento"/>
    <x v="1"/>
    <x v="1"/>
    <x v="0"/>
    <m/>
    <m/>
    <d v="2025-07-21T00:00:00"/>
    <d v="2025-07-31T00:00:00"/>
    <m/>
    <d v="2025-09-08T00:00:00"/>
    <d v="2025-09-25T00:00:00"/>
    <d v="2025-08-04T00:00:00"/>
    <d v="2025-11-13T00:00:00"/>
    <d v="2026-01-15T00:00:00"/>
    <d v="2025-08-11T00:00:00"/>
    <s v="16/01/26: Según CQ, actualizó el estado a 08. Producción Finalizada_x000a_14/11/25: Según CQ, actualizó el estado a 07. En Despliegue_x000a_29/09/25: Según CQ, actualizó el estado a 06. Calidad Finalizado_x000a_05/09/2025: Cartera reasignada a Omar Sarmiento_x000a_04/08/25: Según CQ, actualizó el estado a 05. En Calidad_x000a_01/08/25: Según CQ, actualizó el estado a 04. Desarrollo Finalizado_x000a_24/07/25: Según CQ, actualizó el estado a 03. En Desarrollo_x000a_28/05/2025: Se regularizó requerimiento en el Backlog."/>
    <s v="Logística"/>
    <s v="Servicios"/>
    <s v="No definido"/>
    <s v="2025-05"/>
    <s v="2025-07"/>
    <x v="4"/>
    <s v="2025-08"/>
    <m/>
    <m/>
    <m/>
    <m/>
    <m/>
    <s v="2025-II"/>
    <n v="178"/>
    <n v="5.9333333333333336"/>
    <m/>
    <s v="Finalizada"/>
    <x v="1"/>
    <d v="2026-01-15T15:36:13"/>
    <x v="0"/>
    <m/>
    <m/>
    <s v="Culminado"/>
    <s v="BackOffice"/>
    <s v="Otros Requerimientos"/>
    <s v="Pordefinir"/>
    <m/>
    <m/>
    <d v="2026-01-15T00:00:00"/>
    <s v="Culminado"/>
    <s v="Ene 2026"/>
    <m/>
    <x v="1"/>
    <m/>
    <n v="1"/>
    <s v="PRE"/>
    <s v="NO"/>
    <s v="06. Calidad Finalizado"/>
    <s v="No aplica"/>
    <x v="1"/>
    <n v="1"/>
    <n v="1"/>
    <n v="0"/>
    <n v="1"/>
    <d v="2025-07-21T00:00:00"/>
    <d v="2025-07-21T00:00:00"/>
    <d v="2025-07-31T00:00:00"/>
    <d v="2025-09-08T00:00:00"/>
    <d v="2025-09-25T00:00:00"/>
    <d v="2025-11-13T00:00:00"/>
    <d v="2026-01-15T00:00:00"/>
    <n v="7"/>
    <n v="1"/>
    <n v="200"/>
    <m/>
    <x v="1"/>
    <n v="0"/>
    <n v="7"/>
    <n v="0"/>
    <n v="56"/>
    <n v="0"/>
    <x v="9"/>
    <x v="0"/>
    <m/>
    <x v="0"/>
    <m/>
  </r>
  <r>
    <s v="M1088"/>
    <n v="2846"/>
    <x v="0"/>
    <s v="2025-T0476"/>
    <s v="2025-M0404"/>
    <s v="ME: Implementación de Servicio en Línea y sin Base de Datos - Osinergmin -Hub de integración_x000a_"/>
    <m/>
    <x v="0"/>
    <s v="Servicios Bancarios y Recaudación"/>
    <s v="Recaudación y Corresponsalía"/>
    <m/>
    <m/>
    <s v="SHUB_Hub de Integración"/>
    <m/>
    <x v="2"/>
    <s v="No Aplica"/>
    <s v="Servicios Bancarios Diversos "/>
    <x v="0"/>
    <m/>
    <m/>
    <m/>
    <m/>
    <m/>
    <m/>
    <m/>
    <s v="Regularizado"/>
    <d v="2025-05-29T00:00:00"/>
    <s v="Sistemas Bancarios"/>
    <s v="FS-Olssa"/>
    <s v="Fiorella Emma Galvan Soto"/>
    <s v="Junior Quicaño"/>
    <x v="1"/>
    <x v="1"/>
    <x v="0"/>
    <m/>
    <m/>
    <d v="2025-05-27T00:00:00"/>
    <d v="2025-08-04T00:00:00"/>
    <m/>
    <d v="2025-10-17T00:00:00"/>
    <d v="2025-10-31T00:00:00"/>
    <d v="2025-08-31T14:24:00"/>
    <d v="2025-11-13T00:00:00"/>
    <d v="2026-03-10T00:00:00"/>
    <d v="2025-09-07T14:24:00"/>
    <s v="10/03/26: Según CQ, actualizó el estado a 08. Producción Finalizada_x000a_14/11/25: Según CQ, actualizó el estado a 07. En Despliegue_x000a_03/11/25: Según CQ, actualizó el estado a 06. Calidad Finalizado_x000a_18/08/25: Según CQ, actualizó el estado a 05. En Calidad_x000a_05/08/25: Según CQ, actualizó el estado a 04. Desarrollo Finalizado_x000a_30/05/25: Según CQ, actualizó el estado a 03. En Desarrollo_x000a_28/05/2025: Se regularizó requerimiento en el Backlog."/>
    <s v="Operac."/>
    <s v="BancariosRecaudación"/>
    <s v="No definido"/>
    <s v="2025-05"/>
    <s v="2025-08"/>
    <x v="2"/>
    <s v="2025-09"/>
    <m/>
    <m/>
    <m/>
    <m/>
    <m/>
    <s v="2025-II"/>
    <n v="287"/>
    <n v="9.5666666666666664"/>
    <m/>
    <s v="Finalizada"/>
    <x v="1"/>
    <d v="2026-03-10T16:04:54"/>
    <x v="0"/>
    <m/>
    <m/>
    <s v="Culminado"/>
    <s v="BackOffice"/>
    <s v="Otros Requerimientos"/>
    <s v="Pordefinir"/>
    <m/>
    <m/>
    <d v="2026-03-10T00:00:00"/>
    <s v="Culminado"/>
    <s v="Mar 2026"/>
    <m/>
    <x v="1"/>
    <m/>
    <n v="1"/>
    <s v="PRE"/>
    <s v="NO"/>
    <s v="05. En Calidad"/>
    <s v="No aplica"/>
    <x v="1"/>
    <n v="1"/>
    <n v="1"/>
    <n v="0"/>
    <n v="1"/>
    <d v="2025-05-27T00:00:00"/>
    <d v="2025-05-27T00:00:00"/>
    <d v="2025-08-04T00:00:00"/>
    <d v="2025-10-17T00:00:00"/>
    <d v="2025-10-31T00:00:00"/>
    <d v="2025-11-13T00:00:00"/>
    <d v="2026-03-27T00:00:00"/>
    <n v="48"/>
    <n v="1"/>
    <n v="200"/>
    <m/>
    <x v="1"/>
    <n v="0"/>
    <n v="48"/>
    <n v="0"/>
    <n v="384"/>
    <n v="0"/>
    <x v="4"/>
    <x v="0"/>
    <m/>
    <x v="0"/>
    <m/>
  </r>
  <r>
    <s v="M1097"/>
    <n v="2854"/>
    <x v="0"/>
    <s v="2025-T0505"/>
    <s v="2025-M0426"/>
    <s v="Generación Clave Internet y Afiliación  CDD en Banca Móvil por Biometria – Capa Front Android"/>
    <m/>
    <x v="2"/>
    <s v="Canales Alternos"/>
    <s v="Canales Presenciales"/>
    <d v="2024-01-18T00:00:00"/>
    <s v="MEMORANDO N° 00000052 - 2024-BN/3252"/>
    <s v="SABM - Sistema Atencion Banca Movil"/>
    <m/>
    <x v="8"/>
    <s v="Cuenta de Ahorros"/>
    <s v="No aplica"/>
    <x v="0"/>
    <m/>
    <m/>
    <m/>
    <m/>
    <m/>
    <m/>
    <m/>
    <s v="Normal"/>
    <d v="2025-06-27T00:00:00"/>
    <s v="Soluciones Digitales"/>
    <s v="Analista-BN"/>
    <s v="Marilu Cordova Quispe"/>
    <s v="Omar Sarmiento"/>
    <x v="6"/>
    <x v="4"/>
    <x v="0"/>
    <m/>
    <m/>
    <d v="2025-06-04T00:00:00"/>
    <d v="2025-08-14T00:00:00"/>
    <m/>
    <d v="2025-08-19T00:00:00"/>
    <d v="2025-10-28T00:00:00"/>
    <d v="2025-09-11T09:36:00"/>
    <m/>
    <m/>
    <d v="2025-09-18T09:36:00"/>
    <s v="18/03/26: Según CQ, actualizó el estado a 06. Calidad Finalizado_x000a_12/01/26: Según CQ, actualizó el estado a 05. En Calidad_x000a_05/01/26: Según CQ, actualizó el estado a 04. Desarrollo Finalizado_x000a_30/12/2025: Cartera reasignada a Omar Sarmiento_x000a_01/12/25: Según CQ, actualizó el estado a 03. En Desarrollo_x000a_30/10/25: Según CQ, actualizó el estado a 06. Calidad Finalizado_x000a_20/08/25: Según CQ, actualizó el estado a 05. En Calidad_x000a_15/08/25: Según CQ, actualizó el estado a 04. Desarrollo Finalizado_x000a_27/06/25: Según CQ, actualizó el estado a 03. En Desarrollo_x000a_04/06/25: Se registró en el Backlog y se creó trámite."/>
    <s v="B.Digital"/>
    <s v="CanalesAlternos"/>
    <s v="2024-01"/>
    <s v="2025-06"/>
    <s v="2025-08"/>
    <x v="0"/>
    <s v="2025-09"/>
    <m/>
    <m/>
    <m/>
    <m/>
    <m/>
    <s v="2025-II"/>
    <s v="Sin Fecha Fin Producción"/>
    <s v="No Aplica"/>
    <m/>
    <s v="Finalizada"/>
    <x v="7"/>
    <d v="2026-03-17T18:03:59"/>
    <x v="0"/>
    <m/>
    <m/>
    <s v="Vencida"/>
    <s v="Banca Movil"/>
    <s v="Canales Virtuales"/>
    <s v="Pordefinir"/>
    <m/>
    <m/>
    <s v=""/>
    <s v="Sin Fecha"/>
    <s v="No definido"/>
    <m/>
    <x v="2"/>
    <s v="APP/Web"/>
    <n v="0.85"/>
    <s v="PRE"/>
    <s v="NO"/>
    <s v="05. En Calidad"/>
    <s v="SI"/>
    <x v="2"/>
    <n v="1"/>
    <n v="0.85"/>
    <n v="0.15000000000000002"/>
    <n v="0.85"/>
    <d v="2025-06-04T00:00:00"/>
    <d v="2025-06-04T00:00:00"/>
    <d v="2025-08-14T00:00:00"/>
    <d v="2025-08-19T00:00:00"/>
    <d v="2026-03-13T00:00:00"/>
    <d v="2026-03-16T00:00:00"/>
    <d v="2026-03-27T00:00:00"/>
    <n v="50"/>
    <n v="1"/>
    <n v="200"/>
    <s v="BD"/>
    <x v="5"/>
    <n v="0"/>
    <n v="50"/>
    <n v="0"/>
    <n v="400"/>
    <n v="0"/>
    <x v="4"/>
    <x v="0"/>
    <s v="Relacionado al mantenimiento 2024-M0146"/>
    <x v="1"/>
    <m/>
  </r>
  <r>
    <s v="M1098"/>
    <n v="2855"/>
    <x v="0"/>
    <s v="2025-T0506"/>
    <s v="2025-M0427"/>
    <s v="Generación Clave Internet y Afiliación  CDD en Banca Móvil por Biometria – Capa Front IOS"/>
    <m/>
    <x v="2"/>
    <s v="Canales Alternos"/>
    <s v="Canales Virtuales"/>
    <d v="2024-01-18T00:00:00"/>
    <s v="MEMORANDO N° 00000052 - 2024-BN/3252"/>
    <s v="SABM - Sistema Atencion Banca Movil"/>
    <m/>
    <x v="8"/>
    <s v="Cuenta de Ahorros"/>
    <s v="No aplica"/>
    <x v="0"/>
    <m/>
    <m/>
    <m/>
    <m/>
    <m/>
    <m/>
    <m/>
    <s v="Normal"/>
    <d v="2025-06-27T00:00:00"/>
    <s v="Soluciones Digitales"/>
    <s v="Analista-BN"/>
    <s v="Marilu Cordova Quispe"/>
    <s v="Omar Sarmiento"/>
    <x v="6"/>
    <x v="4"/>
    <x v="0"/>
    <m/>
    <m/>
    <d v="2025-06-04T00:00:00"/>
    <d v="2025-08-14T00:00:00"/>
    <m/>
    <d v="2025-08-19T00:00:00"/>
    <d v="2025-10-28T00:00:00"/>
    <d v="2025-09-11T09:36:00"/>
    <m/>
    <m/>
    <d v="2025-09-18T09:36:00"/>
    <s v="18/03/26: Según CQ, actualizó el estado a 06. Calidad Finalizado_x000a_12/01/26: Según CQ, actualizó el estado a 05. En Calidad_x000a_12/01/26: Según CQ, actualizó el estado a 04. Desarrollo Finalizado_x000a_08/01/26: Según CQ, actualizó el estado a 05. En Calidad_x000a_05/01/26: Según CQ, actualizó el estado a 04. Desarrollo Finalizado_x000a_30/12/2025: Cartera reasignada a Omar Sarmiento_x000a_01/12/25: Según CQ, actualizó el estado a 03. En Desarrollo_x000a_30/10/25: Según CQ, actualizó el estado a 06. Calidad Finalizado_x000a_20/08/25: Según CQ, actualizó el estado a 05. En Calidad_x000a_15/08/25: Según CQ, actualizó el estado a 04. Desarrollo Finalizado_x000a_27/06/25: Según CQ, actualizó el estado a 03. En Desarrollo_x000a_04/06/25: Se registró en el Backlog y se creó trámite."/>
    <s v="B.Digital"/>
    <s v="CanalesAlternos"/>
    <s v="2024-01"/>
    <s v="2025-06"/>
    <s v="2025-08"/>
    <x v="0"/>
    <s v="2025-09"/>
    <m/>
    <m/>
    <m/>
    <m/>
    <m/>
    <s v="2025-II"/>
    <s v="Sin Fecha Fin Producción"/>
    <s v="No Aplica"/>
    <m/>
    <s v="Finalizada"/>
    <x v="7"/>
    <d v="2026-03-17T18:19:41"/>
    <x v="0"/>
    <m/>
    <m/>
    <s v="Vencida"/>
    <s v="Banca Movil"/>
    <s v="Canales Virtuales"/>
    <s v="Pordefinir"/>
    <m/>
    <m/>
    <s v=""/>
    <s v="Sin Fecha"/>
    <s v="No definido"/>
    <m/>
    <x v="2"/>
    <s v="APP/Web"/>
    <n v="0.85"/>
    <s v="PRE"/>
    <s v="NO"/>
    <s v="05. En Calidad"/>
    <s v="SI"/>
    <x v="2"/>
    <n v="1"/>
    <n v="0.85"/>
    <n v="0.15000000000000002"/>
    <n v="0.85"/>
    <d v="2025-06-04T00:00:00"/>
    <d v="2025-06-04T00:00:00"/>
    <d v="2025-08-14T00:00:00"/>
    <d v="2025-08-19T00:00:00"/>
    <d v="2026-03-17T00:00:00"/>
    <d v="2026-03-18T00:00:00"/>
    <d v="2026-03-30T00:00:00"/>
    <n v="50"/>
    <n v="1"/>
    <n v="200"/>
    <s v="BD"/>
    <x v="5"/>
    <n v="0"/>
    <n v="50"/>
    <n v="0"/>
    <n v="400"/>
    <n v="0"/>
    <x v="4"/>
    <x v="0"/>
    <s v="Relacionado al mantenimiento 2024-M0146"/>
    <x v="1"/>
    <m/>
  </r>
  <r>
    <s v="M1104"/>
    <n v="2867"/>
    <x v="0"/>
    <s v="2025-T0563"/>
    <s v="2025-M0570"/>
    <s v="CARGA DE TABLAS BNDJF11, BNDJF12, BNDJ13 EN REPOSITORIO DE BIGDATA PARA LA GENERACIÓN DE REPORTES DEJA"/>
    <s v="Transferir de forma diaria los datos de las tablas BNDJF11, BNDJF12, BNDJ13 que corresponden a la base 060, al repositorio de BIGDATA para el acceso de los usuarios de la Sección Depósitos Judiciales y Administrativos"/>
    <x v="0"/>
    <s v="Servicios Bancarios y Recaudación"/>
    <s v="Depósitos Judiciales y Administrativos"/>
    <d v="2025-05-14T00:00:00"/>
    <s v="MEMORANDO N° 00000049 - 2025-BN/3212"/>
    <s v="DEJA-Depositos judiciales y administrativos"/>
    <s v="Big Data"/>
    <x v="1"/>
    <s v="Depósitos Judiciales y Administrativos"/>
    <s v="Servicios Bancarios Diversos "/>
    <x v="0"/>
    <m/>
    <m/>
    <m/>
    <m/>
    <m/>
    <m/>
    <s v="No Aplica"/>
    <s v="Normal"/>
    <d v="2025-06-27T00:00:00"/>
    <s v="Sistemas Administrativos"/>
    <s v="Analista-BN"/>
    <s v="Luis Enrique Almeyda Pachas"/>
    <s v="Juan Carlos Zavaleta"/>
    <x v="5"/>
    <x v="4"/>
    <x v="3"/>
    <m/>
    <m/>
    <d v="2025-11-06T00:00:00"/>
    <m/>
    <m/>
    <m/>
    <m/>
    <s v=""/>
    <m/>
    <m/>
    <s v=""/>
    <s v="29/04/26: Según CQ, actualizó el estado a 03. En Desarrollo_x000a_02/03/26: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6/11/25: Según CQ, actualizó el estado a 09. Descartado_x000a_18/06/25: Se registró en el Backlog. "/>
    <s v="Operac."/>
    <s v="BancariosRecaudación"/>
    <s v="2025-05"/>
    <s v="2025-06"/>
    <s v="No definido"/>
    <x v="0"/>
    <s v="No definido"/>
    <m/>
    <m/>
    <m/>
    <m/>
    <m/>
    <s v="2025-II"/>
    <s v="Sin Fecha Fin Producción"/>
    <s v="No Aplica"/>
    <m/>
    <s v="Iniciada"/>
    <x v="5"/>
    <d v="2026-05-18T10:33:50"/>
    <x v="0"/>
    <m/>
    <m/>
    <s v="Sin Fecha"/>
    <s v="BackOffice"/>
    <s v="Otros Requerimientos"/>
    <s v="Pordefinir"/>
    <m/>
    <m/>
    <s v=""/>
    <s v="Sin Fecha"/>
    <s v="No definido"/>
    <m/>
    <x v="2"/>
    <m/>
    <n v="0.25"/>
    <s v="POST"/>
    <s v="REACTIVADO"/>
    <s v="Reactivo"/>
    <s v="SI"/>
    <x v="5"/>
    <n v="0"/>
    <n v="0.25"/>
    <n v="-0.25"/>
    <s v=""/>
    <m/>
    <d v="2026-07-16T00:00:00"/>
    <d v="2026-08-31T00:00:00"/>
    <d v="2026-09-01T00:00:00"/>
    <d v="2026-09-30T00:00:00"/>
    <d v="2026-10-01T00:00:00"/>
    <d v="2026-10-10T00:00:00"/>
    <n v="31"/>
    <n v="0"/>
    <n v="82.666666666666657"/>
    <m/>
    <x v="2"/>
    <n v="1"/>
    <n v="0"/>
    <n v="31"/>
    <n v="0"/>
    <n v="82.666666666666657"/>
    <x v="7"/>
    <x v="0"/>
    <m/>
    <x v="0"/>
    <m/>
  </r>
  <r>
    <s v="M1105"/>
    <n v="2868"/>
    <x v="0"/>
    <s v="2025-T0540"/>
    <s v="2025-M0641"/>
    <s v="Biometría Dactilar para la Transacción 0550  "/>
    <m/>
    <x v="0"/>
    <s v="Servicios Bancarios y Recaudación"/>
    <s v="Recaudación y Corresponsalía"/>
    <d v="2025-06-07T00:00:00"/>
    <s v="MEMORANDO N° 00000141 - 2025-BN/3243"/>
    <s v="PRCA- Prestamos Corresponsalia Agro"/>
    <s v="Saraweb"/>
    <x v="13"/>
    <s v="No Aplica"/>
    <s v="No aplica"/>
    <x v="0"/>
    <m/>
    <m/>
    <m/>
    <m/>
    <s v="No Aplica"/>
    <s v="No Aplica"/>
    <s v="No Aplica"/>
    <s v="Normal"/>
    <d v="2025-06-27T00:00:00"/>
    <s v="Sistemas Bancarios"/>
    <s v="Analista-BN"/>
    <s v="María Eva Alfaro Apaza"/>
    <s v="Junior Quicaño"/>
    <x v="1"/>
    <x v="1"/>
    <x v="0"/>
    <m/>
    <m/>
    <d v="2025-12-01T00:00:00"/>
    <d v="2025-12-01T00:00:00"/>
    <m/>
    <d v="2025-12-01T00:00:00"/>
    <d v="2025-12-11T00:00:00"/>
    <d v="2025-12-01T00:00:00"/>
    <d v="2026-01-07T00:00:00"/>
    <d v="2026-01-13T00:00:00"/>
    <d v="2025-12-08T00:00:00"/>
    <s v="14/01/26: Según CQ, actualizó el estado a 08. Producción Finalizada_x000a_12/01/26: Según CQ, actualizó el estado a 07. En Despliegue_x000a_12/01/26: Según CQ, actualizó el estado a 06. Calidad Finalizado_x000a_08/01/26: Según CQ, actualizó el estado a 07. En Despliegue_x000a_15/12/25: Según CQ, actualizó el estado a 06. Calidad Finalizado_x000a_02/12/25: Según CQ, actualizó el estado a 05. En Calidad_x000a_01/12/25: Según CQ, actualizó el estado a 03. En Desarrollo_x000a_27/11/25: Según CQ, actualizó el estado a 07. En Despliegue_x000a_21/11/25: Según CQ, actualizó el estado a 06. Calidad Finalizado_x000a_22/10/25: Según CQ, actualizó el estado a 05. En Calidad_x000a_20/10/25: Según CQ, actualizó el estado a 04. Desarrollo Finalizado_x000a_01/10/25: Según CQ, actualizó el estado a 03. En Desarrollo_x000a_18/06/25: Se registró en el Backlog y se generó trámite"/>
    <s v="Operac."/>
    <s v="BancariosRecaudación"/>
    <s v="2025-06"/>
    <s v="2025-06"/>
    <s v="2025-12"/>
    <x v="4"/>
    <s v="2025-12"/>
    <m/>
    <m/>
    <m/>
    <m/>
    <m/>
    <s v="2025-II"/>
    <n v="43"/>
    <n v="1.4333333333333333"/>
    <m/>
    <s v="Finalizada"/>
    <x v="1"/>
    <d v="2026-01-13T17:42:31"/>
    <x v="0"/>
    <m/>
    <m/>
    <s v="Culminado"/>
    <s v="BackOffice"/>
    <s v="Otros Requerimientos"/>
    <s v="Pordefinir"/>
    <m/>
    <m/>
    <d v="2026-01-13T00:00:00"/>
    <s v="Culminado"/>
    <s v="Ene 2026"/>
    <m/>
    <x v="1"/>
    <m/>
    <n v="1"/>
    <s v="PRE"/>
    <s v="NO"/>
    <s v="05. En Calidad"/>
    <s v="No aplica"/>
    <x v="1"/>
    <n v="1"/>
    <n v="1"/>
    <n v="0"/>
    <n v="1"/>
    <d v="2025-12-01T00:00:00"/>
    <d v="2025-12-01T00:00:00"/>
    <d v="2025-12-01T00:00:00"/>
    <d v="2025-12-01T00:00:00"/>
    <d v="2025-12-11T00:00:00"/>
    <d v="2026-01-07T00:00:00"/>
    <d v="2026-01-16T00:00:00"/>
    <n v="1"/>
    <n v="1"/>
    <n v="200"/>
    <m/>
    <x v="1"/>
    <n v="0"/>
    <n v="1"/>
    <n v="0"/>
    <n v="8"/>
    <n v="0"/>
    <x v="9"/>
    <x v="0"/>
    <m/>
    <x v="0"/>
    <m/>
  </r>
  <r>
    <s v="M1109"/>
    <n v="2873"/>
    <x v="0"/>
    <s v="2025-T0565"/>
    <s v="2025-M0518"/>
    <s v="REGISTRO DE FAMILIARES EN EL POEM INCLUYENDO EL SEGURO  VIDA LEY"/>
    <s v="Contar con los datos de familiares de primer grado de afinidad y segundo grado de consanguinidad, a fin de que sean utilizados en los procesos del Seguro de Vida Ley"/>
    <x v="5"/>
    <s v="Desarrollo del Talento"/>
    <s v="Asistencia y Bienestar"/>
    <d v="2025-06-18T00:00:00"/>
    <s v="MEMORANDO N° 00000630 -2025-BN/4113"/>
    <s v="POEM_Portal del Empleado"/>
    <m/>
    <x v="1"/>
    <s v="No Aplica"/>
    <s v="Cobranzas "/>
    <x v="2"/>
    <s v="Normativo"/>
    <s v="OTROS"/>
    <s v="Decreto Legislativo N° 688 Ley de consolidación de Beneficios Sociales y sus normas modificatorias, complementarias y reglaentarias"/>
    <m/>
    <m/>
    <m/>
    <m/>
    <s v="Normal"/>
    <d v="2025-06-27T00:00:00"/>
    <s v="Sistemas Administrativos"/>
    <m/>
    <m/>
    <s v="Juan Carlos Zavaleta"/>
    <x v="3"/>
    <x v="3"/>
    <x v="2"/>
    <m/>
    <m/>
    <m/>
    <m/>
    <m/>
    <m/>
    <m/>
    <s v=""/>
    <m/>
    <m/>
    <s v=""/>
    <s v="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07/25: Según CQ, actualizó el estado a 10. Paralizado_x000a_18/06/25: Se registró en el Backlog. "/>
    <s v="RRHH"/>
    <s v="DesarrolloTalento"/>
    <s v="2025-06"/>
    <s v="2025-06"/>
    <s v="No definido"/>
    <x v="0"/>
    <s v="No definido"/>
    <m/>
    <m/>
    <m/>
    <m/>
    <m/>
    <s v="2025-II"/>
    <s v="Sin Fechas"/>
    <s v="No Aplica"/>
    <m/>
    <m/>
    <x v="3"/>
    <d v="2025-12-19T18:13:53"/>
    <x v="0"/>
    <m/>
    <m/>
    <s v="Sin Fecha"/>
    <s v="BackOffice"/>
    <s v="Otros Requerimientos"/>
    <s v="Pordefinir"/>
    <m/>
    <m/>
    <s v=""/>
    <s v="Sin Fecha"/>
    <s v="No definido"/>
    <m/>
    <x v="2"/>
    <m/>
    <n v="0.12"/>
    <s v="POST"/>
    <s v="REACTIVADO"/>
    <s v="Reactivo"/>
    <s v="No aplica"/>
    <x v="3"/>
    <n v="0"/>
    <n v="0.12"/>
    <n v="-0.12"/>
    <s v=""/>
    <m/>
    <d v="2026-07-01T00:00:00"/>
    <d v="2026-08-30T00:00:00"/>
    <d v="2026-09-01T00:00:00"/>
    <d v="2026-09-30T00:00:00"/>
    <d v="2026-10-01T00:00:00"/>
    <d v="2026-10-05T00:00:00"/>
    <n v="41"/>
    <n v="0"/>
    <n v="200"/>
    <m/>
    <x v="3"/>
    <n v="1"/>
    <n v="0"/>
    <n v="41"/>
    <n v="0"/>
    <n v="328"/>
    <x v="7"/>
    <x v="0"/>
    <m/>
    <x v="0"/>
    <m/>
  </r>
  <r>
    <s v="M1111"/>
    <n v="2877"/>
    <x v="0"/>
    <s v="2025-T0502"/>
    <s v="2025-M0419"/>
    <s v="Mejora Reporte  Reprogramaciones – Crédito de consumo e Hipotecario"/>
    <s v="Generar un reporte  mensual por producto – Crédito reprogramado_x000a_Generar un proceso  para actualizar el campo P76_TREPROGRA"/>
    <x v="1"/>
    <s v="Banca Personal"/>
    <s v="Préstamo Multired"/>
    <d v="2025-06-09T00:00:00"/>
    <s v="MEMORANDO N° 00000145 - 2025-BN/3347"/>
    <s v="PRAH - Prestamos Multired"/>
    <m/>
    <x v="1"/>
    <s v="Préstamos Multired "/>
    <s v="No aplica"/>
    <x v="3"/>
    <s v="Recomendación"/>
    <s v="AUDITORIA INTERNA"/>
    <s v="P-009-2024-BN/1400"/>
    <s v="Revisión del adecuado cumplimiento de las disposiciones regulatorias sobre los créditos reprogramados en el marco de oficios emitidos por la SBS"/>
    <s v="N° 4"/>
    <s v="4.b"/>
    <d v="2026-03-02T00:00:00"/>
    <s v="Normal"/>
    <d v="2025-06-27T00:00:00"/>
    <s v="Sistemas Bancarios"/>
    <s v="FS-Olssa"/>
    <s v="Pedro Jose Encalada Huertas"/>
    <s v="Milagros Huamani"/>
    <x v="3"/>
    <x v="3"/>
    <x v="3"/>
    <m/>
    <m/>
    <d v="2025-11-24T00:00:00"/>
    <d v="2025-09-03T00:00:00"/>
    <m/>
    <d v="2025-09-11T00:00:00"/>
    <m/>
    <d v="2025-08-01T04:48:00"/>
    <m/>
    <m/>
    <d v="2025-08-08T04:48:00"/>
    <s v="23/03/26: Pospuesto por el usuario Omar Cribillero, por prioridad de otros mantenimiento en calidad, cabe indicar que el desarrollo esta culminado._x000a_15/12/25: Según CQ, actualizó el estado a 10. Paralizado_x000a_15/09/25: Según CQ, actualizó el estado a 03. En Desarrollo_x000a_04/04/25: Se creó trámite en CQ y se priorizó._x000a_15/12/25: Según CQ, actualizó el estado a 10. Paralizado_x000a_15/09/25: Según CQ, actualizó el estado a 03. En Desarrollo_x000a_04/04/25: Se creó trámite en CQ y se priorizó._x000a_27/02/26: Según CQ, actualizó el estado a 10. Paralizado_x000a_12/09/25: Según CQ, actualizó el estado a 03. En Desarrollo_x000a_08/09/25: Según CQ, actualizó el estado a 05. En Calidad_x000a_04/09/25: Según CQ, actualizó el estado a 04. Desarrollo Finalizado_x000a_27/06/25: Según CQ, actualizó el estado a 03. En Desarrollo_x000a_24/06/25: Se registró en el Backlog. "/>
    <s v="Productos"/>
    <s v="BancaPersonal"/>
    <s v="2025-06"/>
    <s v="2025-06"/>
    <s v="2025-09"/>
    <x v="0"/>
    <s v="2025-08"/>
    <m/>
    <m/>
    <m/>
    <m/>
    <m/>
    <s v="2025-II"/>
    <s v="Sin Fecha Fin Producción"/>
    <s v="No Aplica"/>
    <m/>
    <s v="Finalizada"/>
    <x v="3"/>
    <d v="2026-02-26T11:16:58"/>
    <x v="4"/>
    <s v="2740"/>
    <m/>
    <s v="Vencida"/>
    <s v="Préstamos Multired"/>
    <s v="Productos"/>
    <s v="Pordefinir"/>
    <m/>
    <m/>
    <s v=""/>
    <s v="Sin Fecha"/>
    <s v="No definido"/>
    <m/>
    <x v="2"/>
    <m/>
    <n v="0.12"/>
    <s v="PRE"/>
    <s v="NO"/>
    <s v="03. En Desarrollo"/>
    <s v="No aplica"/>
    <x v="3"/>
    <s v=""/>
    <n v="0.12"/>
    <s v=""/>
    <s v=""/>
    <m/>
    <m/>
    <m/>
    <m/>
    <m/>
    <m/>
    <d v="2026-11-30T00:00:00"/>
    <n v="25"/>
    <n v="0.1"/>
    <n v="200"/>
    <m/>
    <x v="3"/>
    <n v="0.9"/>
    <n v="1"/>
    <n v="24"/>
    <n v="8"/>
    <n v="192"/>
    <x v="13"/>
    <x v="0"/>
    <m/>
    <x v="0"/>
    <m/>
  </r>
  <r>
    <s v="M1112"/>
    <n v="2878"/>
    <x v="0"/>
    <s v="2025-T0485"/>
    <s v="2025-M0406"/>
    <s v="DESARROLLO DE PROYECTOS DE MIGRACION, OPTIMIZACION Y MANTENIMIENTO DE APLICACIONES : BDUC Y SACH"/>
    <m/>
    <x v="8"/>
    <s v="Construcción de Aplicaciones"/>
    <s v="Sistemas Bancarios"/>
    <m/>
    <m/>
    <s v="SIUC-Sistema de Información Unica de Clientes"/>
    <m/>
    <x v="1"/>
    <s v="No Aplica"/>
    <s v="No aplica"/>
    <x v="0"/>
    <m/>
    <m/>
    <m/>
    <m/>
    <m/>
    <m/>
    <m/>
    <s v="Regularizado"/>
    <d v="2025-06-27T00:00:00"/>
    <s v="Sistemas Bancarios"/>
    <s v="FS-Olssa"/>
    <s v="Johnny Luis Rocca Surco"/>
    <s v="Tomas Calvera"/>
    <x v="5"/>
    <x v="4"/>
    <x v="0"/>
    <m/>
    <m/>
    <d v="2025-06-23T00:00:00"/>
    <m/>
    <m/>
    <m/>
    <m/>
    <s v=""/>
    <m/>
    <m/>
    <s v=""/>
    <s v="04/02/2026: Cartera reasignada a Tomas Calvera_x000a_05/09/2025: Cartera reasignada a Omar Sarmiento_x000a_11/08/2025: Cartera reasignada a Percy Silva_x000a_27/06/25: Según CQ, actualizó el estado a 03. En Desarrollo_x000a_25/06/2025: Se regularizó requerimiento en el Backlog."/>
    <s v="TI"/>
    <s v="ConstrucciónAplicaciones"/>
    <s v="No definido"/>
    <s v="2025-06"/>
    <s v="No definido"/>
    <x v="0"/>
    <s v="No definido"/>
    <m/>
    <m/>
    <m/>
    <m/>
    <m/>
    <s v="2025-II"/>
    <s v="Sin Fecha Fin Producción"/>
    <s v="No Aplica"/>
    <m/>
    <s v="Iniciada"/>
    <x v="5"/>
    <d v="2025-09-30T14:54:50"/>
    <x v="0"/>
    <m/>
    <m/>
    <s v="Sin Fecha"/>
    <s v="Clientes (BDUC)"/>
    <s v="Canales Presenciales"/>
    <s v="Pordefinir"/>
    <m/>
    <m/>
    <s v=""/>
    <s v="Sin Fecha"/>
    <s v="No definido"/>
    <m/>
    <x v="2"/>
    <m/>
    <n v="0.25"/>
    <s v="PRE"/>
    <s v="NO"/>
    <s v="03. En Desarrollo"/>
    <s v="SI"/>
    <x v="4"/>
    <n v="0.6785714285714286"/>
    <n v="0.55000000000000004"/>
    <n v="0.12857142857142856"/>
    <n v="0.81052631578947376"/>
    <d v="2025-11-03T00:00:00"/>
    <d v="2026-03-02T00:00:00"/>
    <d v="2026-03-11T00:00:00"/>
    <d v="2026-05-18T00:00:00"/>
    <d v="2026-06-19T00:00:00"/>
    <d v="2026-06-22T00:00:00"/>
    <d v="2026-06-26T00:00:00"/>
    <n v="8"/>
    <n v="1"/>
    <n v="9.1428571428571423"/>
    <m/>
    <x v="2"/>
    <n v="0"/>
    <n v="8"/>
    <n v="0"/>
    <n v="9.1428571428571423"/>
    <n v="0"/>
    <x v="6"/>
    <x v="0"/>
    <m/>
    <x v="0"/>
    <m/>
  </r>
  <r>
    <s v="M1114"/>
    <n v="2880"/>
    <x v="0"/>
    <s v="2025-T0510"/>
    <s v="2025-M0433"/>
    <s v="ME :INCLUSIÓN DE TASAS DE DNI ELECTRÓNICO DE RENIEC Y PASAPORTE BIOMÉTRICO DE MIGRACIONES"/>
    <m/>
    <x v="2"/>
    <s v="Canales Alternos"/>
    <s v="Canales Presenciales"/>
    <m/>
    <m/>
    <s v="TMIN-Tarjeta Multired Interfaces"/>
    <m/>
    <x v="1"/>
    <s v="No Aplica"/>
    <s v="No aplica"/>
    <x v="0"/>
    <m/>
    <m/>
    <m/>
    <m/>
    <m/>
    <m/>
    <m/>
    <s v="Regularizado"/>
    <d v="2025-06-27T00:00:00"/>
    <s v="Sistemas Bancarios"/>
    <s v="Analista-BN"/>
    <s v="Vladimir Ronald Cajavilca Cajavilca"/>
    <s v="Omar Sarmiento"/>
    <x v="5"/>
    <x v="4"/>
    <x v="0"/>
    <m/>
    <m/>
    <d v="2025-06-05T00:00:00"/>
    <m/>
    <m/>
    <m/>
    <m/>
    <s v=""/>
    <m/>
    <m/>
    <s v=""/>
    <s v="26/02/2026 El final de desarrollo (julio) está condicionado a que la nueva FS inicie su atención en abril_x000a_30/12/2025: Cartera reasignada a Omar Sarmiento_x000a_27/06/25: Según CQ, actualizó el estado a 03. En Desarrollo_x000a_25/06/2025: Se regularizó requerimiento en el Backlog."/>
    <s v="B.Digital"/>
    <s v="CanalesAlternos"/>
    <s v="No definido"/>
    <s v="2025-06"/>
    <s v="No definido"/>
    <x v="0"/>
    <s v="No definido"/>
    <m/>
    <m/>
    <m/>
    <m/>
    <m/>
    <s v="2025-II"/>
    <s v="Sin Fecha Fin Producción"/>
    <s v="No Aplica"/>
    <m/>
    <s v="Iniciada"/>
    <x v="5"/>
    <d v="2025-06-05T15:56:53"/>
    <x v="0"/>
    <m/>
    <m/>
    <s v="Sin Fecha"/>
    <s v="ATM-Agentes-VISA"/>
    <s v="Canales Presenciales"/>
    <s v="Pordefinir"/>
    <m/>
    <m/>
    <s v=""/>
    <s v="Sin Fecha"/>
    <s v="No definido"/>
    <m/>
    <x v="2"/>
    <m/>
    <n v="0.25"/>
    <s v="PRE"/>
    <s v="NO"/>
    <s v="03. En Desarrollo"/>
    <s v="SI"/>
    <x v="4"/>
    <n v="0.4351145038167939"/>
    <n v="0.25"/>
    <n v="0.1851145038167939"/>
    <n v="0.57456140350877194"/>
    <d v="2025-11-10T00:00:00"/>
    <d v="2026-03-02T00:00:00"/>
    <d v="2026-07-30T00:00:00"/>
    <d v="2026-08-03T00:00:00"/>
    <d v="2026-08-31T00:00:00"/>
    <d v="2026-09-01T00:00:00"/>
    <d v="2026-09-04T00:00:00"/>
    <n v="105"/>
    <n v="0.52293577981651373"/>
    <n v="76.36363636363636"/>
    <s v="BD"/>
    <x v="2"/>
    <n v="0.47706422018348627"/>
    <n v="56"/>
    <n v="49"/>
    <n v="40.727272727272727"/>
    <n v="35.63636363636364"/>
    <x v="2"/>
    <x v="0"/>
    <m/>
    <x v="0"/>
    <m/>
  </r>
  <r>
    <s v="M1115"/>
    <n v="2881"/>
    <x v="0"/>
    <s v="2025-T0511"/>
    <s v="2025-M0434"/>
    <s v="ACTUALIZACIÓN DE DEPENDENCIAS Y DISTRITOS JUDICIALES PARA EL PAGO DE TASAS DEL PODER JUDICIAL EN EL CANAL AG"/>
    <m/>
    <x v="2"/>
    <s v="Canales Alternos"/>
    <s v="Canales Presenciales"/>
    <m/>
    <m/>
    <s v="TMIN-Tarjeta Multired Interfaces"/>
    <m/>
    <x v="1"/>
    <s v="No Aplica"/>
    <s v="No aplica"/>
    <x v="0"/>
    <m/>
    <m/>
    <m/>
    <m/>
    <m/>
    <m/>
    <m/>
    <s v="Regularizado"/>
    <d v="2025-06-27T00:00:00"/>
    <s v="Sistemas Bancarios"/>
    <s v="Analista-BN"/>
    <s v="Vladimir Ronald Cajavilca Cajavilca"/>
    <s v="Omar Sarmiento"/>
    <x v="5"/>
    <x v="4"/>
    <x v="0"/>
    <m/>
    <m/>
    <d v="2025-06-05T00:00:00"/>
    <m/>
    <m/>
    <m/>
    <m/>
    <s v=""/>
    <m/>
    <m/>
    <s v=""/>
    <s v="26/02/2026 El final de desarrollo (julio) está condicionado a que la nueva FS inicie su atención en abril_x000a_30/12/2025: Cartera reasignada a Omar Sarmiento_x000a_27/06/25: Según CQ, actualizó el estado a 03. En Desarrollo_x000a_25/06/2025: Se regularizó requerimiento en el Backlog."/>
    <s v="B.Digital"/>
    <s v="CanalesAlternos"/>
    <s v="No definido"/>
    <s v="2025-06"/>
    <s v="No definido"/>
    <x v="0"/>
    <s v="No definido"/>
    <m/>
    <m/>
    <m/>
    <m/>
    <m/>
    <s v="2025-II"/>
    <s v="Sin Fecha Fin Producción"/>
    <s v="No Aplica"/>
    <m/>
    <s v="Iniciada"/>
    <x v="5"/>
    <d v="2025-06-05T15:58:35"/>
    <x v="0"/>
    <m/>
    <m/>
    <s v="Sin Fecha"/>
    <s v="ATM-Agentes-VISA"/>
    <s v="Canales Presenciales"/>
    <s v="Pordefinir"/>
    <m/>
    <m/>
    <s v=""/>
    <s v="Sin Fecha"/>
    <s v="No definido"/>
    <m/>
    <x v="2"/>
    <m/>
    <n v="0.25"/>
    <s v="PRE"/>
    <s v="NO"/>
    <s v="03. En Desarrollo"/>
    <s v="SI"/>
    <x v="4"/>
    <n v="0.4351145038167939"/>
    <n v="0.25"/>
    <n v="0.1851145038167939"/>
    <n v="0.57456140350877194"/>
    <d v="2025-11-10T00:00:00"/>
    <d v="2026-03-02T00:00:00"/>
    <d v="2026-07-30T00:00:00"/>
    <d v="2026-08-03T00:00:00"/>
    <d v="2026-08-31T00:00:00"/>
    <d v="2026-09-01T00:00:00"/>
    <d v="2026-09-04T00:00:00"/>
    <n v="105"/>
    <n v="0.52293577981651373"/>
    <n v="76.36363636363636"/>
    <s v="BD"/>
    <x v="2"/>
    <n v="0.47706422018348627"/>
    <n v="56"/>
    <n v="49"/>
    <n v="40.727272727272727"/>
    <n v="35.63636363636364"/>
    <x v="2"/>
    <x v="0"/>
    <m/>
    <x v="0"/>
    <m/>
  </r>
  <r>
    <s v="M1120"/>
    <n v="2896"/>
    <x v="0"/>
    <s v="2025-T0573"/>
    <s v="2025-M0517"/>
    <s v="MEJORA EN LOS PROCESOS EVALUACIÓN DEL SISTEMA SIEP - EVALUACIÓN DE COMPETENCIAS LABORALES"/>
    <s v="La implementación de los nuevos lineamientos de la Guía Pictográfica Gestión del Desempeño del corporativo FONAFE, subsanar las incidencias presentadas en el último proceso de evaluación de competencias y optimizar la experiencia del usuario para un mejor posicionamiento de la herramienta y del proceso en el Banco"/>
    <x v="5"/>
    <s v="Desarrollo del Talento"/>
    <s v="Desarrollo Profesional"/>
    <d v="2025-06-26T00:00:00"/>
    <s v="MEMORANDO N° 00000035 -2025-BN/4111"/>
    <s v="SIEP - Sistema Integral de Evaluacion de Personal"/>
    <m/>
    <x v="1"/>
    <s v="No Aplica"/>
    <s v="No aplica"/>
    <x v="0"/>
    <m/>
    <m/>
    <m/>
    <m/>
    <m/>
    <m/>
    <m/>
    <s v="Normal"/>
    <d v="2025-06-27T00:00:00"/>
    <s v="Sistemas Administrativos"/>
    <s v="Analista-BN"/>
    <s v="Jorge Mora Ruelas"/>
    <s v="Juan Carlos Zavaleta"/>
    <x v="1"/>
    <x v="1"/>
    <x v="0"/>
    <m/>
    <m/>
    <d v="2025-07-17T00:00:00"/>
    <d v="2025-12-05T00:00:00"/>
    <d v="2025-11-14T00:00:00"/>
    <d v="2025-12-05T00:00:00"/>
    <d v="2026-01-09T00:00:00"/>
    <d v="2026-01-01T00:00:00"/>
    <d v="2026-01-09T00:00:00"/>
    <d v="2026-01-13T00:00:00"/>
    <d v="2026-01-08T00:00:00"/>
    <s v="14/01/26: Según CQ, actualizó el estado a 08. Producción Finalizada_x000a_12/01/26: Según CQ, actualizó el estado a 07. En Despliegue_x000a_10/12/25: Según CQ, actualizó el estado a 05. En Calidad_x000a_05/12/25: Según CQ, actualizó el estado a 04. Desarrollo Finalizado_x000a_24/07/25: Según CQ, actualizó el estado a 03. En Desarrollo_x000a_26/06/2025: Se registró requerimiento en el Backlog."/>
    <s v="RRHH"/>
    <s v="DesarrolloTalento"/>
    <s v="2025-06"/>
    <s v="2025-06"/>
    <s v="2025-12"/>
    <x v="4"/>
    <s v="2026-01"/>
    <m/>
    <m/>
    <m/>
    <m/>
    <m/>
    <s v="2025-II"/>
    <n v="180"/>
    <n v="6"/>
    <m/>
    <s v="Finalizada"/>
    <x v="1"/>
    <d v="2026-01-13T16:37:58"/>
    <x v="0"/>
    <m/>
    <m/>
    <s v="Culminado"/>
    <s v="BackOffice"/>
    <s v="Otros Requerimientos"/>
    <s v="Pordefinir"/>
    <m/>
    <m/>
    <d v="2026-01-13T00:00:00"/>
    <s v="Culminado"/>
    <s v="Ene 2026"/>
    <m/>
    <x v="1"/>
    <m/>
    <n v="1"/>
    <s v="PRE"/>
    <s v="NO"/>
    <s v="03. En Desarrollo"/>
    <s v="No aplica"/>
    <x v="1"/>
    <n v="1"/>
    <n v="1"/>
    <n v="0"/>
    <n v="1"/>
    <d v="2025-07-17T00:00:00"/>
    <d v="2025-07-17T00:00:00"/>
    <d v="2025-12-05T00:00:00"/>
    <d v="2025-12-05T00:00:00"/>
    <d v="2026-01-09T00:00:00"/>
    <d v="2026-01-09T00:00:00"/>
    <d v="2026-01-28T00:00:00"/>
    <n v="99"/>
    <n v="1"/>
    <n v="200"/>
    <m/>
    <x v="1"/>
    <n v="0"/>
    <n v="99"/>
    <n v="0"/>
    <n v="792"/>
    <n v="0"/>
    <x v="9"/>
    <x v="0"/>
    <m/>
    <x v="0"/>
    <m/>
  </r>
  <r>
    <s v="M1134"/>
    <n v="2344"/>
    <x v="0"/>
    <s v="2025-T0627"/>
    <s v="2025-M0521"/>
    <s v="Restricción Abonos Encargos Reversión"/>
    <s v="Restricción de Abonos SARA WEB y Host para cuentas de tipo 16 encargos SIAF"/>
    <x v="0"/>
    <s v="Captaciones y Pagaduría"/>
    <s v="Administración de Cuentas y Pagaduría"/>
    <d v="2024-07-22T00:00:00"/>
    <s v="MEMORANDO N° 00000779 - 2024-BN/3191"/>
    <s v="SICT-Sistema de Informacón de Cuentas Corrientes"/>
    <m/>
    <x v="14"/>
    <s v="Cuenta Corriente "/>
    <s v="No aplica"/>
    <x v="1"/>
    <m/>
    <s v="No Aplica"/>
    <s v="No Aplica"/>
    <s v="No Aplica"/>
    <s v="No Aplica"/>
    <s v="No Aplica"/>
    <s v="No Aplica"/>
    <s v="Normal"/>
    <d v="2025-07-30T00:00:00"/>
    <s v="Sistemas Bancarios"/>
    <s v="FS-Olssa"/>
    <s v="Eduardo Saul Cardenas Manrique"/>
    <s v="Junior Quicaño"/>
    <x v="1"/>
    <x v="1"/>
    <x v="0"/>
    <m/>
    <d v="2025-11-03T00:00:00"/>
    <d v="2025-07-18T00:00:00"/>
    <d v="2025-11-18T00:00:00"/>
    <d v="2025-12-31T00:00:00"/>
    <d v="2025-12-12T00:00:00"/>
    <d v="2025-12-17T00:00:00"/>
    <d v="2026-03-07T09:36:00"/>
    <d v="2026-01-14T00:00:00"/>
    <d v="2026-01-15T00:00:00"/>
    <d v="2026-03-14T09:36:00"/>
    <s v="15/01/26: Según CQ, actualizó el estado a 08. Producción Finalizada_x000a_18/12/25: Según CQ, actualizó el estado a 06. Calidad Finalizado_x000a_26/11/25: Según CQ, actualizó el estado a 05. En Calidad_x000a_19/11/25: Según CQ, actualizó el estado a 04. Desarrollo Finalizado_x000a_25/07/25: Según CQ, actualizó el estado a 03. En Desarrollo_x000a_05/08/2024:  Se registró en el Backlog de requerimientos."/>
    <s v="Operac."/>
    <s v="CaptacionesPagaduría"/>
    <s v="2024-07"/>
    <s v="2025-07"/>
    <s v="2025-11"/>
    <x v="4"/>
    <s v="2026-03"/>
    <m/>
    <m/>
    <m/>
    <m/>
    <m/>
    <s v="2025-III"/>
    <n v="181"/>
    <n v="6.0333333333333332"/>
    <m/>
    <s v="Finalizada"/>
    <x v="1"/>
    <d v="2026-01-15T07:36:35"/>
    <x v="0"/>
    <m/>
    <m/>
    <s v="Culminado"/>
    <s v="BackOffice"/>
    <s v="Otros Requerimientos"/>
    <s v="Pordefinir"/>
    <m/>
    <m/>
    <d v="2026-01-15T00:00:00"/>
    <s v="Culminado"/>
    <s v="Ene 2026"/>
    <m/>
    <x v="1"/>
    <m/>
    <n v="1"/>
    <s v="PRE"/>
    <s v="NO"/>
    <s v="03. En Desarrollo"/>
    <s v="No aplica"/>
    <x v="1"/>
    <n v="1"/>
    <n v="1"/>
    <n v="0"/>
    <n v="1"/>
    <d v="2025-07-18T00:00:00"/>
    <d v="2025-07-18T00:00:00"/>
    <d v="2025-11-18T00:00:00"/>
    <d v="2025-12-12T00:00:00"/>
    <d v="2025-12-17T00:00:00"/>
    <d v="2026-01-14T00:00:00"/>
    <d v="2026-02-19T00:00:00"/>
    <n v="85"/>
    <n v="1"/>
    <n v="200"/>
    <m/>
    <x v="1"/>
    <n v="0"/>
    <n v="85"/>
    <n v="0"/>
    <n v="680"/>
    <n v="0"/>
    <x v="11"/>
    <x v="0"/>
    <m/>
    <x v="0"/>
    <m/>
  </r>
  <r>
    <s v="M1143"/>
    <n v="2913"/>
    <x v="0"/>
    <s v="2025-T0605"/>
    <s v="2025-M0494"/>
    <s v="Tarjeta de Crédito sin seguro de desgravamen"/>
    <s v="Tarjeta de Crédito sin seguro de desgravamen"/>
    <x v="1"/>
    <s v="Banca Personal"/>
    <s v="Tarjeta de Crédito"/>
    <d v="2025-07-15T00:00:00"/>
    <s v="MEMORANDO N° 00000058 - 2025-BN/3345 "/>
    <s v="SITC – Tarjeta de Crédito"/>
    <m/>
    <x v="2"/>
    <s v="Tarjeta de Crédito "/>
    <s v="No aplica"/>
    <x v="2"/>
    <s v="Normativo"/>
    <s v="SBS"/>
    <m/>
    <m/>
    <m/>
    <m/>
    <d v="2025-09-01T00:00:00"/>
    <s v="Normal"/>
    <d v="2025-07-30T00:00:00"/>
    <s v="Sistemas Bancarios"/>
    <s v="Analista-BN"/>
    <s v="Pedro Jose Encalada Huertas"/>
    <s v="Milagros Huamani"/>
    <x v="1"/>
    <x v="1"/>
    <x v="0"/>
    <m/>
    <m/>
    <d v="2025-07-07T00:00:00"/>
    <d v="2025-11-05T00:00:00"/>
    <m/>
    <d v="2025-11-06T00:00:00"/>
    <d v="2026-04-06T00:00:00"/>
    <d v="2025-12-23T09:36:00"/>
    <d v="2026-04-08T00:00:00"/>
    <d v="2026-04-14T00:00:00"/>
    <d v="2025-12-30T09:36:00"/>
    <s v="15/04/26: Según CQ, actualizó el estado a 08. Producción Finalizada_x000a_10/04/26: Según CQ, actualizó el estado a 07. En Despliegue_x000a_07/11/25: Según CQ, actualizó el estado a 05. En Calidad_x000a_06/11/25: Según CQ, actualizó el estado a 04. Desarrollo Finalizado_x000a_25/07/25: Según CQ, actualizó el estado a 03. En Desarrollo_x000a_07/07/2025: Se registró en el Backlog y se creó trámite"/>
    <s v="Productos"/>
    <s v="BancaPersonal"/>
    <s v="2025-07"/>
    <s v="2025-07"/>
    <s v="2025-11"/>
    <x v="1"/>
    <s v="2025-12"/>
    <m/>
    <m/>
    <m/>
    <m/>
    <m/>
    <s v="2025-III"/>
    <n v="281"/>
    <n v="9.3666666666666671"/>
    <m/>
    <s v="Finalizada"/>
    <x v="1"/>
    <d v="2026-04-14T09:10:44"/>
    <x v="0"/>
    <m/>
    <m/>
    <s v="Culminado"/>
    <s v="Tarjeta Tesoro"/>
    <s v="Productos"/>
    <s v="Pordefinir"/>
    <m/>
    <m/>
    <d v="2026-04-14T00:00:00"/>
    <s v="Culminado"/>
    <s v="Abr 2026"/>
    <m/>
    <x v="1"/>
    <m/>
    <n v="1"/>
    <s v="PRE"/>
    <s v="NO"/>
    <s v="03. En Desarrollo"/>
    <s v="No aplica"/>
    <x v="1"/>
    <n v="1"/>
    <n v="1"/>
    <n v="0"/>
    <n v="1"/>
    <d v="2025-07-07T00:00:00"/>
    <d v="2025-07-07T00:00:00"/>
    <d v="2025-11-05T00:00:00"/>
    <d v="2025-11-06T00:00:00"/>
    <d v="2026-03-16T00:00:00"/>
    <d v="2026-03-17T00:00:00"/>
    <d v="2026-04-27T00:00:00"/>
    <n v="85"/>
    <n v="1"/>
    <n v="200"/>
    <m/>
    <x v="1"/>
    <n v="0"/>
    <n v="85"/>
    <n v="0"/>
    <n v="680"/>
    <n v="0"/>
    <x v="1"/>
    <x v="0"/>
    <m/>
    <x v="0"/>
    <m/>
  </r>
  <r>
    <s v="M1145"/>
    <n v="2918"/>
    <x v="0"/>
    <s v="2025-T0606"/>
    <s v="2025-M0503"/>
    <s v="Pago en Dólares de Servicios Digitales para no Domiciliados"/>
    <m/>
    <x v="0"/>
    <s v="Servicios Bancarios y Recaudación"/>
    <s v="Recaudación y Corresponsalía"/>
    <d v="2025-07-01T00:00:00"/>
    <s v="MEMORANDO N° 00000167 -2025-BN/3243"/>
    <s v="SUTE-Sunat Pago Facil"/>
    <s v="SUNAT"/>
    <x v="1"/>
    <s v="No Aplica"/>
    <s v="Pagos "/>
    <x v="0"/>
    <m/>
    <m/>
    <m/>
    <m/>
    <m/>
    <m/>
    <m/>
    <s v="Normal"/>
    <d v="2025-07-30T00:00:00"/>
    <s v="Sistemas Bancarios"/>
    <s v="Analista-BN"/>
    <s v="Fiorella Emma Galvan Soto"/>
    <s v="Junior Quicaño"/>
    <x v="4"/>
    <x v="4"/>
    <x v="0"/>
    <m/>
    <m/>
    <d v="2025-07-10T00:00:00"/>
    <d v="2025-10-06T00:00:00"/>
    <m/>
    <d v="2025-10-11T00:00:00"/>
    <d v="2026-01-23T00:00:00"/>
    <d v="2025-11-10T04:48:00"/>
    <d v="2026-03-12T00:00:00"/>
    <m/>
    <d v="2025-11-17T04:48:00"/>
    <s v="16/03/26: Según CQ, actualizó el estado a 07. En Despliegue_x000a_26/01/26: Según CQ, actualizó el estado a 06. Calidad Finalizado_x000a_13/10/25: Según CQ, actualizó el estado a 05. En Calidad_x000a_07/10/25: Según CQ, actualizó el estado a 04. Desarrollo Finalizado_x000a_25/07/25: Según CQ, actualizó el estado a 03. En Desarrollo_x000a_07/07/2025: Se registró en el Backlog"/>
    <s v="Operac."/>
    <s v="BancariosRecaudación"/>
    <s v="2025-07"/>
    <s v="2025-07"/>
    <s v="2025-10"/>
    <x v="0"/>
    <s v="2025-11"/>
    <m/>
    <m/>
    <m/>
    <m/>
    <m/>
    <s v="2025-III"/>
    <s v="Sin Fecha Fin Producción"/>
    <s v="No Aplica"/>
    <m/>
    <s v="Finalizada"/>
    <x v="4"/>
    <d v="2026-05-10T22:40:56"/>
    <x v="0"/>
    <m/>
    <m/>
    <s v="Vencida"/>
    <s v="Sin Aplicativo"/>
    <s v="Sin Aplicativo"/>
    <s v="Pordefinir"/>
    <m/>
    <m/>
    <s v=""/>
    <s v="Sin Fecha"/>
    <s v="No definido"/>
    <m/>
    <x v="2"/>
    <m/>
    <n v="0.9"/>
    <s v="PRE"/>
    <s v="NO"/>
    <s v="05. En Calidad"/>
    <s v="SI"/>
    <x v="2"/>
    <n v="1"/>
    <n v="0.9"/>
    <n v="9.9999999999999978E-2"/>
    <n v="0.9"/>
    <d v="2025-07-10T00:00:00"/>
    <d v="2025-07-10T00:00:00"/>
    <d v="2025-10-06T00:00:00"/>
    <d v="2025-10-11T00:00:00"/>
    <d v="2026-01-23T00:00:00"/>
    <d v="2026-02-19T00:00:00"/>
    <d v="2026-03-27T00:00:00"/>
    <n v="61"/>
    <n v="1"/>
    <n v="200"/>
    <m/>
    <x v="4"/>
    <n v="0"/>
    <n v="61"/>
    <n v="0"/>
    <n v="488"/>
    <n v="0"/>
    <x v="4"/>
    <x v="0"/>
    <s v="17/03/26: Recién se ha expuesto, está en proceso de despligue, están en el tiempo adecuado."/>
    <x v="2"/>
    <m/>
  </r>
  <r>
    <s v="M1148"/>
    <n v="2926"/>
    <x v="0"/>
    <s v="2025-T0612"/>
    <s v="2025-M0502"/>
    <s v="REQUERIMIENTO DE INFORMACIÓN PARA EL PLAN ESTRATÉGICO DE SEGURIDAD DE INFORMACIÓN"/>
    <m/>
    <x v="0"/>
    <s v="Captaciones y Pagaduría"/>
    <s v="Apertura de Cuentas"/>
    <d v="2025-06-08T00:00:00"/>
    <s v="MEMORANDO N° 00000229 -2025-BN/3111"/>
    <s v="SIUC-Sistema de Información Unica de Clientes"/>
    <s v="Big Data"/>
    <x v="1"/>
    <s v="No Aplica"/>
    <s v="No aplica"/>
    <x v="0"/>
    <m/>
    <s v="No Aplica"/>
    <s v="No Aplica"/>
    <s v="No Aplica"/>
    <s v="No Aplica"/>
    <s v="No Aplica"/>
    <s v="No Aplica"/>
    <s v="Normal"/>
    <d v="2025-07-30T00:00:00"/>
    <s v="Sistemas Bancarios"/>
    <s v="FS-Olssa"/>
    <s v="Johnny Luis Rocca Surco"/>
    <s v="Junior Quicaño"/>
    <x v="5"/>
    <x v="4"/>
    <x v="0"/>
    <m/>
    <d v="2025-11-03T00:00:00"/>
    <m/>
    <m/>
    <d v="2025-11-15T00:00:00"/>
    <m/>
    <m/>
    <s v=""/>
    <m/>
    <m/>
    <s v=""/>
    <s v="20/04/26: Según CQ, actualizó el estado a 03. En Desarrollo_x000a_15/04/26: Según CQ, actualizó el estado a 05. En Calidad_x000a_09/03/26: Según CQ, actualizó el estado a 07. En Despliegue_x000a_23/02/26: Según CQ, actualizó el estado a 06. Calidad Finalizado_x000a_03/02/26: Según CQ, actualizó el estado a 05. En Calidad_x000a_12/01/26: Según CQ, actualizó el estado a 04. Desarrollo Finalizado_x000a_08/01/26: Según CQ, actualizó el estado a 03. En Desarrollo por Dependencia con otros mantenimientos._x000a_29/12/25: Según CQ, actualizó el estado a 04. Desarrollo Finalizado_x000a_25/07/25: Según CQ, actualizó el estado a 03. En Desarrollo_x000a_09/07/2025: Se registró en el Backlog"/>
    <s v="Operac."/>
    <s v="CaptacionesPagaduría"/>
    <s v="2025-06"/>
    <s v="2025-07"/>
    <s v="No definido"/>
    <x v="0"/>
    <s v="No definido"/>
    <m/>
    <m/>
    <m/>
    <m/>
    <m/>
    <s v="2025-III"/>
    <s v="Sin Fechas"/>
    <s v="No Aplica"/>
    <m/>
    <s v="Finalizada"/>
    <x v="9"/>
    <d v="2026-05-06T17:55:43"/>
    <x v="0"/>
    <m/>
    <m/>
    <s v="Sin Fecha"/>
    <s v="Clientes (BDUC)"/>
    <s v="Canales Presenciales"/>
    <s v="Pordefinir"/>
    <m/>
    <m/>
    <s v=""/>
    <s v="Sin Fecha"/>
    <s v="No definido"/>
    <m/>
    <x v="2"/>
    <m/>
    <n v="0.45"/>
    <s v="PRE"/>
    <s v="NO"/>
    <s v="03. En Desarrollo"/>
    <s v="SI"/>
    <x v="5"/>
    <n v="0"/>
    <n v="0.45"/>
    <n v="-0.45"/>
    <s v=""/>
    <d v="2025-07-09T00:00:00"/>
    <d v="2026-09-01T00:00:00"/>
    <d v="2026-11-13T00:00:00"/>
    <d v="2026-11-16T00:00:00"/>
    <d v="2026-12-31T00:00:00"/>
    <d v="2027-01-04T00:00:00"/>
    <d v="2027-01-08T00:00:00"/>
    <n v="53"/>
    <n v="0"/>
    <n v="60.571428571428569"/>
    <m/>
    <x v="2"/>
    <n v="1"/>
    <n v="0"/>
    <n v="53"/>
    <n v="0"/>
    <n v="60.571428571428569"/>
    <x v="12"/>
    <x v="0"/>
    <m/>
    <x v="0"/>
    <m/>
  </r>
  <r>
    <s v="M1149"/>
    <n v="2928"/>
    <x v="0"/>
    <s v="2025-T0622"/>
    <s v="2025-M0511"/>
    <s v="Mejora de proceso para la generación y validación de la Base de Datos Crediticias"/>
    <m/>
    <x v="1"/>
    <s v="Banca Personal"/>
    <s v="Préstamo Multired"/>
    <d v="2025-07-11T00:00:00"/>
    <s v="MEMORANDO N° 00000034 - 2025-BN/3340"/>
    <s v="CRHP-Sistema Creditos Hipotecarios"/>
    <m/>
    <x v="1"/>
    <s v="Préstamos Multired "/>
    <s v="No aplica"/>
    <x v="3"/>
    <s v="Recomendación"/>
    <s v="SBS"/>
    <s v="04-2024-DSBE"/>
    <s v="Informe de Inspección N° 00004 - 2024 - DSBE"/>
    <s v="N°19"/>
    <s v="19.a, 19.d"/>
    <d v="2025-08-31T00:00:00"/>
    <s v="Normal"/>
    <d v="2025-07-30T00:00:00"/>
    <s v="Sistemas Bancarios"/>
    <s v="Analista-BN"/>
    <s v="Javier Baltazar Urquiaga Salazar"/>
    <s v="Milagros Huamani"/>
    <x v="3"/>
    <x v="3"/>
    <x v="1"/>
    <m/>
    <m/>
    <d v="2025-07-14T00:00:00"/>
    <m/>
    <m/>
    <m/>
    <m/>
    <s v=""/>
    <m/>
    <m/>
    <s v=""/>
    <s v="23/03/26: Pospuesto por Construcción  por no contar con Recurso TI disponible._x000a_15/12/25: Según CQ, actualizó el estado a 10. Paralizado_x000a_15/09/25: Según CQ, actualizó el estado a 03. En Desarrollo_x000a_04/04/25: Se creó trámite en CQ y se priorizó._x000a_27/02/26: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5/07/25: Según CQ, actualizó el estado a 03. En Desarrollo_x000a_14/07/2025: Se registró en el Backlog y se creó trámite"/>
    <s v="Productos"/>
    <s v="BancaPersonal"/>
    <s v="2025-07"/>
    <s v="2025-07"/>
    <s v="No definido"/>
    <x v="0"/>
    <s v="No definido"/>
    <m/>
    <m/>
    <m/>
    <m/>
    <m/>
    <s v="2025-III"/>
    <s v="Sin Fecha Fin Producción"/>
    <s v="No Aplica"/>
    <m/>
    <s v="Pospuesta"/>
    <x v="3"/>
    <d v="2026-02-26T15:29:27"/>
    <x v="5"/>
    <s v="1. 3000_x000a_2. 3003"/>
    <m/>
    <s v="Sin Fecha"/>
    <s v="Créditos Hipotecarios"/>
    <s v="Productos"/>
    <s v="Pordefinir"/>
    <m/>
    <m/>
    <s v=""/>
    <s v="Sin Fecha"/>
    <s v="No definido"/>
    <m/>
    <x v="2"/>
    <m/>
    <n v="0.12"/>
    <s v="POST"/>
    <s v="REACTIVADO"/>
    <s v="Reactivo"/>
    <s v="No aplica"/>
    <x v="3"/>
    <s v=""/>
    <n v="0.12"/>
    <s v=""/>
    <s v=""/>
    <m/>
    <m/>
    <m/>
    <m/>
    <m/>
    <m/>
    <d v="2026-11-30T00:00:00"/>
    <n v="25"/>
    <n v="0.1"/>
    <n v="200"/>
    <m/>
    <x v="3"/>
    <n v="0.9"/>
    <n v="1"/>
    <n v="24"/>
    <n v="8"/>
    <n v="192"/>
    <x v="13"/>
    <x v="0"/>
    <m/>
    <x v="0"/>
    <m/>
  </r>
  <r>
    <s v="M1151"/>
    <n v="2930"/>
    <x v="0"/>
    <s v="2025-T0629"/>
    <s v="2025-M0638"/>
    <s v="Reporte CDJA solicitado por OCI poder Judicial"/>
    <m/>
    <x v="0"/>
    <s v="Servicios Bancarios y Recaudación"/>
    <s v="Depósitos Judiciales y Administrativos"/>
    <d v="2025-07-10T00:00:00"/>
    <s v="MEMORANDO N° 00000156 - 2025-BN/3212"/>
    <s v="DEJA-Depositos judiciales y administrativos"/>
    <m/>
    <x v="1"/>
    <s v="Depósitos Judiciales y Administrativos"/>
    <s v="Servicios Bancarios Diversos "/>
    <x v="0"/>
    <m/>
    <s v="No Aplica"/>
    <s v="No Aplica"/>
    <s v="No Aplica"/>
    <s v="No Aplica"/>
    <s v="No Aplica"/>
    <s v="No Aplica"/>
    <s v="Normal"/>
    <d v="2025-07-30T00:00:00"/>
    <s v="Sistemas Administrativos"/>
    <s v="Analista-BN"/>
    <s v="Valery Aldo Versategui Malpica"/>
    <s v="Junior Quicaño"/>
    <x v="1"/>
    <x v="1"/>
    <x v="0"/>
    <m/>
    <d v="2025-11-03T00:00:00"/>
    <d v="2025-09-22T00:00:00"/>
    <d v="2025-11-18T00:00:00"/>
    <d v="2025-11-15T00:00:00"/>
    <d v="2025-11-19T00:00:00"/>
    <d v="2026-02-27T00:00:00"/>
    <d v="2025-12-06T14:24:00"/>
    <d v="2026-03-09T00:00:00"/>
    <d v="2026-03-09T00:00:00"/>
    <d v="2025-12-13T14:24:00"/>
    <s v="09/03/26: Según CQ, actualizó el estado a 08. Producción Finalizada_x000a_02/03/26: Según CQ, actualizó el estado a 06. Calidad Finalizado_x000a_25/02/26: Según CQ, actualizó el estado a 05. En Calidad_x000a_19/02/26: Según CQ, actualizó el estado a 04. Desarrollo Finalizado_x000a_12/01/26: Según CQ, actualizó el estado a 03. En Desarrollo_x000a_12/01/26: Según CQ, actualizó el estado a 05. En Calidad_x000a_06/01/26: Según CQ, actualizó el estado a 03. En Desarrollo_x000a_21/11/25: Según CQ, actualizó el estado a 05. En Calidad_x000a_19/11/25: Según CQ, actualizó el estado a 04. Desarrollo Finalizado_x000a_23/09/25: Según CQ, actualizó el estado a 03. En Desarrollo_x000a_18/07/2025: Se registró en el Backlog y se creó trámite"/>
    <s v="Operac."/>
    <s v="BancariosRecaudación"/>
    <s v="2025-07"/>
    <s v="2025-07"/>
    <s v="2025-11"/>
    <x v="2"/>
    <s v="2025-12"/>
    <m/>
    <m/>
    <m/>
    <m/>
    <m/>
    <s v="2025-III"/>
    <n v="168"/>
    <n v="5.6"/>
    <m/>
    <s v="Finalizada"/>
    <x v="1"/>
    <d v="2026-04-15T10:13:17"/>
    <x v="0"/>
    <m/>
    <m/>
    <s v="Culminado"/>
    <s v="BackOffice"/>
    <s v="Otros Requerimientos"/>
    <s v="Pordefinir"/>
    <m/>
    <m/>
    <d v="2026-03-09T00:00:00"/>
    <s v="Culminado"/>
    <s v="Mar 2026"/>
    <m/>
    <x v="1"/>
    <m/>
    <n v="1"/>
    <s v="PRE"/>
    <s v="NO"/>
    <s v="03. En Desarrollo"/>
    <s v="No aplica"/>
    <x v="1"/>
    <n v="1"/>
    <n v="1"/>
    <n v="0"/>
    <n v="1"/>
    <d v="2025-09-22T00:00:00"/>
    <d v="2025-09-22T00:00:00"/>
    <d v="2025-11-18T00:00:00"/>
    <d v="2026-03-02T00:00:00"/>
    <d v="2026-03-13T00:00:00"/>
    <d v="2026-04-20T00:00:00"/>
    <d v="2026-04-24T00:00:00"/>
    <n v="41"/>
    <n v="1"/>
    <n v="200"/>
    <m/>
    <x v="1"/>
    <n v="0"/>
    <n v="41"/>
    <n v="0"/>
    <n v="328"/>
    <n v="0"/>
    <x v="1"/>
    <x v="0"/>
    <m/>
    <x v="0"/>
    <m/>
  </r>
  <r>
    <s v="M1158"/>
    <n v="2946"/>
    <x v="0"/>
    <s v="2025-T0591"/>
    <s v="2025-M0483"/>
    <s v="Mejoras en los procesos de Tarjetas de Créditos (Personal y Tarjeta Tesoro)."/>
    <m/>
    <x v="8"/>
    <s v="Construcción de Aplicaciones"/>
    <s v="Sistemas Bancarios"/>
    <m/>
    <s v="Correo s/n"/>
    <s v="SITC – Tarjeta de Crédito"/>
    <m/>
    <x v="2"/>
    <s v="Tarjeta de Crédito "/>
    <s v="No aplica"/>
    <x v="1"/>
    <m/>
    <m/>
    <m/>
    <m/>
    <m/>
    <m/>
    <m/>
    <s v="Regularizado"/>
    <d v="2025-07-30T00:00:00"/>
    <s v="Sistemas Bancarios"/>
    <s v="Analista-BN"/>
    <s v="Pedro Jose Encalada Huertas"/>
    <s v="Junior Quicaño"/>
    <x v="5"/>
    <x v="4"/>
    <x v="0"/>
    <m/>
    <m/>
    <d v="2025-07-02T00:00:00"/>
    <m/>
    <m/>
    <m/>
    <m/>
    <s v=""/>
    <m/>
    <m/>
    <s v=""/>
    <s v="04/02/2026: Cartera reasignada a Tomas Calvera_x000a_05/09/2025: Cartera reasignada a Omar Sarmiento_x000a_11/08/2025: Cartera reasignada a Percy Silva_x000a_25/07/25: Según CQ, actualizó el estado a 03. En Desarrollo_x000a_25/07/2025: Se registró en el Backlog como regularizado."/>
    <s v="TI"/>
    <s v="ConstrucciónAplicaciones"/>
    <s v="No definido"/>
    <s v="2025-07"/>
    <s v="No definido"/>
    <x v="0"/>
    <s v="No definido"/>
    <m/>
    <m/>
    <m/>
    <m/>
    <m/>
    <s v="2025-III"/>
    <s v="Sin Fecha Fin Producción"/>
    <s v="No Aplica"/>
    <m/>
    <s v="Iniciada"/>
    <x v="5"/>
    <d v="2025-07-02T09:15:40"/>
    <x v="0"/>
    <m/>
    <m/>
    <s v="Sin Fecha"/>
    <s v="Tarjeta Tesoro"/>
    <s v="Productos"/>
    <s v="Pordefinir"/>
    <m/>
    <m/>
    <s v=""/>
    <s v="Sin Fecha"/>
    <s v="No definido"/>
    <m/>
    <x v="2"/>
    <m/>
    <n v="0.25"/>
    <s v="PRE"/>
    <s v="NO"/>
    <s v="03. En Desarrollo"/>
    <s v="SI"/>
    <x v="2"/>
    <n v="1"/>
    <n v="0.25"/>
    <n v="0.75"/>
    <n v="0.25"/>
    <d v="2025-11-03T00:00:00"/>
    <d v="2026-03-02T00:00:00"/>
    <d v="2026-03-27T00:00:00"/>
    <d v="2026-04-01T00:00:00"/>
    <d v="2026-04-30T00:00:00"/>
    <d v="2026-05-01T00:00:00"/>
    <d v="2026-05-05T00:00:00"/>
    <n v="20"/>
    <n v="1"/>
    <n v="32"/>
    <m/>
    <x v="2"/>
    <n v="0"/>
    <n v="20"/>
    <n v="0"/>
    <n v="32"/>
    <n v="0"/>
    <x v="8"/>
    <x v="0"/>
    <m/>
    <x v="0"/>
    <m/>
  </r>
  <r>
    <s v="M1159"/>
    <n v="2947"/>
    <x v="0"/>
    <s v="2025-T0602"/>
    <s v="2025-M0491"/>
    <s v="PM Sin Seguro de Desgravamen – Factibilidad y Aprobación"/>
    <m/>
    <x v="1"/>
    <s v="Banca Personal"/>
    <s v="Préstamo Multired"/>
    <m/>
    <s v="Correo s/n"/>
    <s v="PRAH - Prestamos Multired"/>
    <m/>
    <x v="2"/>
    <s v="Préstamos Multired "/>
    <s v="No aplica"/>
    <x v="2"/>
    <s v="Normativo"/>
    <s v="SBS"/>
    <s v="Resolución SBS N° 0890-2025"/>
    <m/>
    <m/>
    <m/>
    <m/>
    <s v="Regularizado"/>
    <d v="2025-07-30T00:00:00"/>
    <s v="Sistemas Bancarios"/>
    <s v="Analista-BN"/>
    <s v="Pedro Jose Encalada Huertas"/>
    <s v="Milagros Huamani"/>
    <x v="1"/>
    <x v="1"/>
    <x v="0"/>
    <m/>
    <m/>
    <d v="2025-10-07T00:00:00"/>
    <d v="2025-10-07T00:00:00"/>
    <m/>
    <d v="2025-10-22T00:00:00"/>
    <d v="2025-11-24T00:00:00"/>
    <d v="2025-10-07T00:00:00"/>
    <d v="2026-01-21T00:00:00"/>
    <d v="2026-01-21T00:00:00"/>
    <d v="2025-10-14T00:00:00"/>
    <s v="26/01/26: Según CQ, actualizó el estado a 08. Producción Finalizada_x000a_26/11/25: Según CQ, actualizó el estado a 06. Calidad Finalizado_x000a_10/10/25: Según CQ, actualizó el estado a 05. En Calidad_x000a_09/10/25: Según CQ, actualizó el estado a 04. Desarrollo Finalizado_x000a_19/09/25: Según CQ, actualizó el estado a 03. En Desarrollo_x000a_02/09/25: Según CQ, actualizó el estado a 05. En Calidad_x000a_01/09/25: Según CQ, actualizó el estado a 04. Desarrollo Finalizado_x000a_25/07/25: Según CQ, actualizó el estado a 03. En Desarrollo_x000a_25/07/2025: Se registró en el Backlog como regularizado."/>
    <s v="Productos"/>
    <s v="BancaPersonal"/>
    <s v="No definido"/>
    <s v="2025-07"/>
    <s v="2025-10"/>
    <x v="4"/>
    <s v="2025-10"/>
    <m/>
    <m/>
    <m/>
    <m/>
    <m/>
    <s v="2025-III"/>
    <n v="106"/>
    <n v="3.5333333333333332"/>
    <m/>
    <s v="Finalizada"/>
    <x v="1"/>
    <d v="2026-01-21T11:50:15"/>
    <x v="0"/>
    <m/>
    <m/>
    <s v="Culminado"/>
    <s v="Préstamos Multired"/>
    <s v="Productos"/>
    <s v="Pordefinir"/>
    <m/>
    <m/>
    <d v="2026-01-21T00:00:00"/>
    <s v="Culminado"/>
    <s v="Ene 2026"/>
    <m/>
    <x v="1"/>
    <m/>
    <n v="1"/>
    <s v="PRE"/>
    <s v="NO"/>
    <s v="05. En Calidad"/>
    <s v="No aplica"/>
    <x v="1"/>
    <n v="1"/>
    <n v="1"/>
    <n v="0"/>
    <n v="1"/>
    <d v="2025-10-07T00:00:00"/>
    <d v="2025-10-07T00:00:00"/>
    <d v="2025-10-07T00:00:00"/>
    <d v="2025-10-22T00:00:00"/>
    <d v="2025-11-24T00:00:00"/>
    <d v="2026-01-21T00:00:00"/>
    <d v="2026-01-21T00:00:00"/>
    <n v="1"/>
    <n v="1"/>
    <n v="200"/>
    <m/>
    <x v="1"/>
    <n v="0"/>
    <n v="1"/>
    <n v="0"/>
    <n v="8"/>
    <n v="0"/>
    <x v="9"/>
    <x v="0"/>
    <m/>
    <x v="0"/>
    <m/>
  </r>
  <r>
    <s v="M1163"/>
    <n v="2620"/>
    <x v="0"/>
    <s v="2025-T0037"/>
    <s v="2025-M0036"/>
    <s v="Soporte para el Proceso Batch del producto Tarjeta Tesoro MEF"/>
    <s v="Garantizar la construcción de los procesos batch del Sistema Tarjeta Tesoro, que permitan generar los reportes operativos y contables requerido por las áreas usuarias del BN. "/>
    <x v="8"/>
    <s v="Construcción de Aplicaciones"/>
    <s v="Sistemas Bancarios"/>
    <m/>
    <m/>
    <s v="SITC – Tarjeta de Crédito"/>
    <m/>
    <x v="1"/>
    <s v="Tarjeta de Crédito "/>
    <s v="Cuenta Corriente "/>
    <x v="0"/>
    <m/>
    <m/>
    <m/>
    <m/>
    <m/>
    <m/>
    <m/>
    <s v="Regularizado"/>
    <d v="2025-02-18T00:00:00"/>
    <s v="Sistemas Bancarios"/>
    <s v="FS-Indra"/>
    <s v="Pedro Jose Encalada Huertas"/>
    <s v="Junior Quicaño"/>
    <x v="5"/>
    <x v="4"/>
    <x v="0"/>
    <m/>
    <m/>
    <d v="2025-01-16T00:00:00"/>
    <m/>
    <d v="2025-07-03T00:00:00"/>
    <m/>
    <m/>
    <d v="2025-09-08T04:48:00"/>
    <m/>
    <m/>
    <d v="2025-09-15T04:48:00"/>
    <s v="04/02/2026: Cartera reasignada a Tomas Calvera_x000a_05/09/2025: Cartera reasignada a Omar Sarmiento_x000a_11/08/2025: Cartera reasignada a Percy Silva_x000a_25/07/25: Según CQ, actualizó el estado a 03. En Desarrollo_x000a_17/02/2025: Se registró en el Backlog como trámite Rugularizado._x000a_19/02/2025: Se priorizó en el Portafolio de Demanda Estratégica."/>
    <s v="TI"/>
    <s v="ConstrucciónAplicaciones"/>
    <s v="No definido"/>
    <s v="2025-02"/>
    <s v="No definido"/>
    <x v="0"/>
    <s v="2025-09"/>
    <s v="Finalizado"/>
    <d v="2025-02-17T00:00:00"/>
    <d v="2025-07-03T00:00:00"/>
    <d v="2025-07-03T00:00:00"/>
    <m/>
    <s v="2025-III"/>
    <s v="Sin Fecha Fin Producción"/>
    <s v="No Aplica"/>
    <m/>
    <s v="Iniciada"/>
    <x v="5"/>
    <d v="2025-08-07T18:36:34"/>
    <x v="0"/>
    <m/>
    <m/>
    <s v="Vencida"/>
    <s v="Tarjeta Tesoro"/>
    <s v="Productos"/>
    <s v="Pordefinir"/>
    <m/>
    <m/>
    <s v=""/>
    <s v="Sin Fecha"/>
    <s v="No definido"/>
    <m/>
    <x v="2"/>
    <m/>
    <n v="0.25"/>
    <s v="PRE"/>
    <s v="NO"/>
    <s v="03. En Desarrollo"/>
    <s v="SI"/>
    <x v="2"/>
    <n v="1"/>
    <n v="0.25"/>
    <n v="0.75"/>
    <n v="0.25"/>
    <d v="2025-11-03T00:00:00"/>
    <d v="2026-03-02T00:00:00"/>
    <d v="2026-03-27T00:00:00"/>
    <d v="2026-04-01T00:00:00"/>
    <d v="2026-04-30T00:00:00"/>
    <d v="2026-05-01T00:00:00"/>
    <d v="2026-05-05T00:00:00"/>
    <n v="20"/>
    <n v="1"/>
    <n v="32"/>
    <m/>
    <x v="2"/>
    <n v="0"/>
    <n v="20"/>
    <n v="0"/>
    <n v="32"/>
    <n v="0"/>
    <x v="8"/>
    <x v="0"/>
    <m/>
    <x v="0"/>
    <m/>
  </r>
  <r>
    <s v="M1164"/>
    <n v="2631"/>
    <x v="0"/>
    <s v="2025-T0088"/>
    <s v="2025-M0079"/>
    <s v="INCLUIR EN EL MODULO DE GESTION LA OPCION DE REGISTRO, ACTUALIZACION Y CONSULTA DE LOS ATRIBUTOS DE LA TARJETA DE CREDITO Y TARJETAS DE TESORO."/>
    <s v="Se requiere incluir en el módulo de gestión la opción de registro, modificación y consulta de los atributos de la tarjeta de crédito y tarjeta tesoro, actualización de correo electrónico y celular."/>
    <x v="1"/>
    <s v="Banca Personal"/>
    <s v="Tarjeta de Crédito"/>
    <m/>
    <m/>
    <s v="SITC – Tarjeta de Crédito"/>
    <m/>
    <x v="1"/>
    <s v="Tarjeta de Crédito "/>
    <s v="No aplica"/>
    <x v="0"/>
    <m/>
    <m/>
    <m/>
    <m/>
    <m/>
    <m/>
    <m/>
    <s v="Regularizado"/>
    <d v="2025-02-18T00:00:00"/>
    <s v="Sistemas Bancarios"/>
    <s v="FS-Olssa"/>
    <s v="Fiorella Emma Galvan Soto"/>
    <s v="Milagros Huamani"/>
    <x v="1"/>
    <x v="1"/>
    <x v="0"/>
    <m/>
    <m/>
    <d v="2025-01-31T00:00:00"/>
    <d v="2025-06-16T00:00:00"/>
    <m/>
    <d v="2025-06-30T00:00:00"/>
    <d v="2025-07-22T00:00:00"/>
    <d v="2025-08-09T09:36:00"/>
    <d v="2025-11-13T00:00:00"/>
    <d v="2026-01-07T00:00:00"/>
    <d v="2025-08-16T09:36:00"/>
    <s v="12/01/26: Según CQ, actualizó el estado a 08. Producción Finalizada_x000a_12/01/26: Según CQ, actualizó el estado a 07. En Despliegue_x000a_08/01/26: Según CQ, actualizó el estado a 08. Producción Finalizada_x000a_14/11/25: Según CQ, actualizó el estado a 07. En Despliegue_x000a_25/07/25: Según CQ, actualizó el estado a 06. Calidad Finalizado_x000a_26/03/2025: Se registró en el Portafolio de Proyectos bajo el requerimiento hijo del proyecto Tarjeta Tesoro ID 2314._x000a_17/02/2025: Se registró en el Backlog como trámite Rugularizado"/>
    <s v="Productos"/>
    <s v="BancaPersonal"/>
    <s v="No definido"/>
    <s v="2025-02"/>
    <s v="2025-06"/>
    <x v="4"/>
    <s v="2025-08"/>
    <m/>
    <m/>
    <m/>
    <m/>
    <m/>
    <s v="2025-III"/>
    <n v="341"/>
    <n v="11.366666666666667"/>
    <m/>
    <s v="Finalizada"/>
    <x v="1"/>
    <d v="2026-04-10T09:53:15"/>
    <x v="0"/>
    <m/>
    <m/>
    <s v="Culminado"/>
    <s v="Tarjeta Tesoro"/>
    <s v="Productos"/>
    <s v="Pordefinir"/>
    <m/>
    <m/>
    <d v="2026-01-07T00:00:00"/>
    <s v="Culminado"/>
    <s v="Ene 2026"/>
    <m/>
    <x v="1"/>
    <m/>
    <n v="1"/>
    <s v="PRE"/>
    <s v="NO"/>
    <s v="06. Calidad Finalizado"/>
    <s v="No aplica"/>
    <x v="1"/>
    <n v="1"/>
    <n v="1"/>
    <n v="0"/>
    <n v="1"/>
    <d v="2025-01-31T00:00:00"/>
    <d v="2025-01-31T00:00:00"/>
    <d v="2025-06-16T00:00:00"/>
    <d v="2025-06-30T00:00:00"/>
    <d v="2025-07-22T00:00:00"/>
    <d v="2025-11-13T00:00:00"/>
    <d v="2026-01-07T00:00:00"/>
    <n v="96"/>
    <n v="1"/>
    <n v="200"/>
    <m/>
    <x v="1"/>
    <n v="0"/>
    <n v="96"/>
    <n v="0"/>
    <n v="768"/>
    <n v="0"/>
    <x v="9"/>
    <x v="0"/>
    <m/>
    <x v="0"/>
    <m/>
  </r>
  <r>
    <s v="M1165"/>
    <n v="2703"/>
    <x v="0"/>
    <s v="2025-T0164"/>
    <s v="2025-M0143"/>
    <s v="IMPLEMENTAR PROCESO  AUTOMATICO CONTABLE"/>
    <m/>
    <x v="2"/>
    <s v="Canales Alternos"/>
    <s v="Canales Presenciales"/>
    <m/>
    <s v="Correo s/n"/>
    <s v="SITC – Tarjeta de Crédito"/>
    <m/>
    <x v="1"/>
    <s v="No Aplica"/>
    <s v="No aplica"/>
    <x v="1"/>
    <m/>
    <m/>
    <m/>
    <m/>
    <m/>
    <m/>
    <m/>
    <s v="Regularizado"/>
    <d v="2025-03-31T00:00:00"/>
    <s v="Sistemas Bancarios"/>
    <s v="Analista-BN"/>
    <s v="Vladimir Ronald Cajavilca Cajavilca"/>
    <s v="Omar Sarmiento"/>
    <x v="3"/>
    <x v="3"/>
    <x v="1"/>
    <m/>
    <m/>
    <d v="2025-02-20T00:00:00"/>
    <m/>
    <m/>
    <m/>
    <m/>
    <s v=""/>
    <m/>
    <m/>
    <s v=""/>
    <s v="27/02/26: Según CQ, actualizó el estado a 10. Paralizado_x000a_04/02/2026: Cartera reasignada a Omar Sarmient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5/07/25: Según CQ, actualizó el estado a 03. En Desarrollo_x000a_12/05/2025: Se registró en el Portafolio de Proyecto de Demanda Estratégica._x000a_24/03/25: Se regularizó registro en Backlog. Requerimiento asociado a tarjeta tesoro"/>
    <s v="B.Digital"/>
    <s v="CanalesAlternos"/>
    <s v="No definido"/>
    <s v="2025-03"/>
    <s v="No definido"/>
    <x v="0"/>
    <s v="No definido"/>
    <m/>
    <m/>
    <m/>
    <m/>
    <m/>
    <s v="2025-III"/>
    <s v="Sin Fecha Fin Producción"/>
    <s v="No Aplica"/>
    <m/>
    <s v="Asignada"/>
    <x v="3"/>
    <d v="2026-02-26T17:34:50"/>
    <x v="0"/>
    <m/>
    <m/>
    <s v="Sin Fecha"/>
    <s v="Tarjeta Tesoro"/>
    <s v="Productos"/>
    <s v="Pordefinir"/>
    <m/>
    <m/>
    <s v=""/>
    <s v="Sin Fecha"/>
    <s v="No definido"/>
    <m/>
    <x v="2"/>
    <m/>
    <n v="0.12"/>
    <s v="POST"/>
    <s v="REACTIVADO"/>
    <s v="Reactivo"/>
    <s v="No aplica"/>
    <x v="3"/>
    <s v=""/>
    <n v="0.12"/>
    <s v=""/>
    <s v=""/>
    <m/>
    <m/>
    <m/>
    <m/>
    <m/>
    <m/>
    <d v="2027-03-31T00:00:00"/>
    <n v="25"/>
    <n v="0.1"/>
    <n v="200"/>
    <m/>
    <x v="3"/>
    <n v="0.9"/>
    <n v="1"/>
    <n v="24"/>
    <n v="8"/>
    <n v="192"/>
    <x v="3"/>
    <x v="0"/>
    <m/>
    <x v="0"/>
    <m/>
  </r>
  <r>
    <s v="M1167"/>
    <n v="2902"/>
    <x v="0"/>
    <s v="2025-T0649"/>
    <s v="2025-M0574"/>
    <s v="SIRE REGISTRO DE VENTAS"/>
    <s v="Actualmente los citados registros se generan desde el Módulo de Cuentas por Pagar y FAH FE Administrador del Sistema Oracle Financial. Sin embargo, conforme a las nuevas disposiciones, se requiere la creación o modificación del Registro de Ventas e Ingresos y Registro de Compras"/>
    <x v="4"/>
    <s v="Contabilidad"/>
    <s v="Tributación"/>
    <d v="2025-06-27T00:00:00"/>
    <s v="MEMORANDO N° 00000040 - 2025-BN/2501"/>
    <s v="OSAI -: Oracle Sistema Administrativo Integrado"/>
    <m/>
    <x v="1"/>
    <s v="No Aplica"/>
    <s v="No aplica"/>
    <x v="2"/>
    <s v="Normativo"/>
    <s v="SUNAT"/>
    <s v="R.S 112-2021/SUNAT"/>
    <m/>
    <m/>
    <m/>
    <m/>
    <s v="Normal"/>
    <d v="2025-07-30T00:00:00"/>
    <s v="Sistemas Administrativos"/>
    <m/>
    <s v="Emerson Quecara Choquetico"/>
    <s v="Juan Carlos Zavaleta"/>
    <x v="7"/>
    <x v="4"/>
    <x v="0"/>
    <m/>
    <m/>
    <d v="2025-08-27T00:00:00"/>
    <d v="2026-04-14T00:00:00"/>
    <m/>
    <d v="2026-04-15T00:00:00"/>
    <m/>
    <d v="2026-07-15T00:00:00"/>
    <m/>
    <m/>
    <d v="2026-07-22T00:00:00"/>
    <s v="20/04/26: Según CQ, actualizó el estado a 05. En Calidad_x000a_15/04/26: Según CQ, actualizó el estado a 04. Desarrollo Finalizado_x000a_13/04/2026 En desarrollo y se proyecta pasar a Calidad en los próximos días_x000a_28/08/25: Según CQ, actualizó el estado a 03. En Desarrollo_x000a_02/07/2025: Se registró requerimiento en el Backlog. RQ forma parte de Facturación Electrónica."/>
    <s v="Finanzas"/>
    <s v="Contabilidad"/>
    <s v="2025-06"/>
    <s v="2025-07"/>
    <s v="2026-04"/>
    <x v="0"/>
    <s v="2026-07"/>
    <m/>
    <m/>
    <m/>
    <m/>
    <m/>
    <s v="2025-III"/>
    <s v="Sin Fecha Fin Producción"/>
    <s v="No Aplica"/>
    <m/>
    <s v="Finalizada"/>
    <x v="11"/>
    <d v="2026-04-15T19:08:34"/>
    <x v="0"/>
    <m/>
    <m/>
    <s v="2026-Q3"/>
    <s v="Oracle"/>
    <s v="Otros Requerimientos"/>
    <s v="Pordefinir"/>
    <m/>
    <m/>
    <d v="2026-07-22T00:00:00"/>
    <s v="2026-3"/>
    <s v="Jul 2026"/>
    <m/>
    <x v="2"/>
    <m/>
    <n v="0.7"/>
    <s v="PRE"/>
    <s v="NO"/>
    <s v="03. En Desarrollo"/>
    <s v="SI"/>
    <x v="2"/>
    <n v="1"/>
    <n v="0.7"/>
    <n v="0.30000000000000004"/>
    <n v="0.7"/>
    <d v="2025-11-03T00:00:00"/>
    <d v="2026-03-02T00:00:00"/>
    <d v="2026-04-17T00:00:00"/>
    <d v="2026-04-18T00:00:00"/>
    <d v="2026-05-11T00:00:00"/>
    <d v="2026-05-12T00:00:00"/>
    <d v="2026-05-17T00:00:00"/>
    <n v="35"/>
    <n v="1"/>
    <n v="200"/>
    <m/>
    <x v="5"/>
    <n v="0"/>
    <n v="35"/>
    <n v="0"/>
    <n v="280"/>
    <n v="0"/>
    <x v="8"/>
    <x v="0"/>
    <m/>
    <x v="0"/>
    <m/>
  </r>
  <r>
    <s v="M1169"/>
    <n v="2936"/>
    <x v="0"/>
    <s v="2025-T0651"/>
    <s v="2025-M0770"/>
    <s v="Identificación de riesgos cambiario crediticio para los clientes minoristas "/>
    <s v="Identificación de riesgos cambiario crediticio para los clientes minoristas bajo los criterios consignados en la Resolución SBS Nº 00774-2025 Y creación de BD de clientes minoristas expuestos a riesgo cambiario crediticio."/>
    <x v="7"/>
    <s v="Riesgos Crediticios y Financieros"/>
    <s v="Evaluación de Cartera de Créditos"/>
    <d v="2025-07-03T00:00:00"/>
    <s v="MEMORANDO N° 00000030 - 2025-BN/2191"/>
    <s v="COBD-Contabilidad-RCD"/>
    <m/>
    <x v="1"/>
    <s v="Crédito Hipotecario"/>
    <s v="No aplica"/>
    <x v="2"/>
    <s v="Normativo"/>
    <s v="SBS"/>
    <s v="Resolución SBS N° 00774-2025"/>
    <m/>
    <m/>
    <m/>
    <m/>
    <s v="Normal"/>
    <d v="2025-07-30T00:00:00"/>
    <s v="Sistemas Bancarios"/>
    <m/>
    <s v="Pedro Jose Encalada Huertas"/>
    <s v="Maria Barboza"/>
    <x v="7"/>
    <x v="4"/>
    <x v="0"/>
    <m/>
    <m/>
    <d v="2025-12-16T00:00:00"/>
    <d v="2026-03-19T00:00:00"/>
    <m/>
    <d v="2026-03-30T00:00:00"/>
    <m/>
    <d v="2026-04-25T04:48:00"/>
    <m/>
    <m/>
    <d v="2026-05-02T04:48:00"/>
    <s v="06/04/26: Según CQ, actualizó el estado a 05. En Calidad_x000a_23/03/26: Según CQ, actualizó el estado a 04. Desarrollo Finalizado_x000a_19/01/2025: Cartera reasignada a Maria Barboza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Milagros Huamani_x000a_11/08/2025: Cartera reasignada a Percy Silva_x000a_22/07/2025: Se registró en el Backlog"/>
    <s v="Riesgos"/>
    <s v="CrediticiosFinancieros"/>
    <s v="2025-07"/>
    <s v="2025-07"/>
    <s v="2026-03"/>
    <x v="0"/>
    <s v="2026-05"/>
    <m/>
    <m/>
    <m/>
    <m/>
    <m/>
    <s v="2025-III"/>
    <s v="Sin Fecha Fin Producción"/>
    <s v="No Aplica"/>
    <m/>
    <s v="Finalizada"/>
    <x v="11"/>
    <d v="2026-03-30T12:49:06"/>
    <x v="0"/>
    <m/>
    <m/>
    <s v="Vencida"/>
    <s v="BackOffice"/>
    <s v="Otros Requerimientos"/>
    <s v="Pordefinir"/>
    <m/>
    <m/>
    <s v=""/>
    <s v="Sin Fecha"/>
    <s v="No definido"/>
    <m/>
    <x v="2"/>
    <m/>
    <n v="0.7"/>
    <s v="POST"/>
    <s v="REACTIVADO"/>
    <s v="Reactivo"/>
    <s v="SI"/>
    <x v="2"/>
    <n v="0.9"/>
    <n v="0.7"/>
    <n v="0.20000000000000007"/>
    <n v="0.77777777777777768"/>
    <d v="2025-12-16T00:00:00"/>
    <d v="2026-03-02T00:00:00"/>
    <d v="2026-03-19T00:00:00"/>
    <d v="2026-03-19T00:00:00"/>
    <d v="2026-04-15T00:00:00"/>
    <d v="2026-04-15T00:00:00"/>
    <d v="2026-04-30T00:00:00"/>
    <n v="14"/>
    <n v="1"/>
    <n v="200"/>
    <m/>
    <x v="5"/>
    <n v="0"/>
    <n v="14"/>
    <n v="0"/>
    <n v="112"/>
    <n v="0"/>
    <x v="1"/>
    <x v="0"/>
    <s v="El Usuario realizo observaciones en calidad y se estan validando para su correción"/>
    <x v="0"/>
    <m/>
  </r>
  <r>
    <s v="M1172"/>
    <n v="2958"/>
    <x v="0"/>
    <s v="2025-T0653"/>
    <s v="2025-M0598"/>
    <s v="Cambio Plataforma IZIPAY para el canal Pagalo.pe"/>
    <m/>
    <x v="2"/>
    <s v="Canales Alternos"/>
    <s v="Canales Virtuales"/>
    <d v="2025-07-22T00:00:00"/>
    <s v="MEMORANDO N° 00000330 - 2025-BN/3252"/>
    <s v="SOMP – SISTEMA DE OPERACIONES MULTIPAGOS"/>
    <m/>
    <x v="1"/>
    <s v="No Aplica"/>
    <s v="No aplica"/>
    <x v="0"/>
    <m/>
    <m/>
    <m/>
    <m/>
    <m/>
    <m/>
    <m/>
    <s v="Normal"/>
    <d v="2025-08-29T00:00:00"/>
    <s v="Sistemas Bancarios"/>
    <m/>
    <s v="Angela Rocio Risco Vega"/>
    <s v="Omar Sarmiento"/>
    <x v="4"/>
    <x v="4"/>
    <x v="2"/>
    <m/>
    <m/>
    <d v="2025-09-01T00:00:00"/>
    <d v="2026-01-08T00:00:00"/>
    <m/>
    <d v="2026-01-28T00:00:00"/>
    <d v="2026-04-28T00:00:00"/>
    <d v="2026-02-28T14:24:00"/>
    <d v="2026-05-07T00:00:00"/>
    <m/>
    <d v="2026-03-07T14:24:00"/>
    <s v="08/05/26: Según CQ, actualizó el estado a 07. En Despliegue_x000a_29/04/26: Según CQ, actualizó el estado a 06. Calidad Finalizado_x000a_30/01/26: Según CQ, actualizó el estado a 05. En Calidad_x000a_12/01/26: Según CQ, actualizó el estado a 04. Desarrollo Finalizado_x000a_12/01/26: Según CQ, actualizó el estado a 03. En Desarrollo_x000a_30/12/2025: Cartera reasignada a Omar Sarmiento_x000a_02/09/25: Según CQ, actualizó el estado a 03. En Desarrollo_x000a_"/>
    <s v="B.Digital"/>
    <s v="CanalesAlternos"/>
    <s v="2025-07"/>
    <s v="2025-08"/>
    <s v="2026-01"/>
    <x v="0"/>
    <s v="2026-03"/>
    <m/>
    <m/>
    <m/>
    <m/>
    <m/>
    <s v="2025-III"/>
    <s v="Sin Fecha Fin Producción"/>
    <s v="No Aplica"/>
    <m/>
    <s v="Finalizada"/>
    <x v="4"/>
    <d v="2026-05-07T15:26:56"/>
    <x v="0"/>
    <m/>
    <m/>
    <s v="Vencida"/>
    <s v="Pagalo.pe"/>
    <s v="Canales Virtuales"/>
    <s v="Pordefinir"/>
    <m/>
    <m/>
    <s v=""/>
    <s v="Sin Fecha"/>
    <s v="No definido"/>
    <m/>
    <x v="2"/>
    <s v="Págalo"/>
    <n v="0.9"/>
    <s v="PRE"/>
    <s v="NO"/>
    <s v="03. En Desarrollo"/>
    <s v="SI"/>
    <x v="2"/>
    <n v="1"/>
    <n v="0.9"/>
    <n v="9.9999999999999978E-2"/>
    <n v="0.9"/>
    <d v="2025-09-01T00:00:00"/>
    <d v="2025-09-01T00:00:00"/>
    <d v="2026-01-08T00:00:00"/>
    <d v="2026-01-28T00:00:00"/>
    <d v="2026-03-17T00:00:00"/>
    <d v="2026-03-18T00:00:00"/>
    <d v="2026-04-30T00:00:00"/>
    <n v="88"/>
    <n v="1"/>
    <n v="200"/>
    <s v="BD"/>
    <x v="4"/>
    <n v="0"/>
    <n v="88"/>
    <n v="0"/>
    <n v="704"/>
    <n v="0"/>
    <x v="1"/>
    <x v="0"/>
    <m/>
    <x v="0"/>
    <m/>
  </r>
  <r>
    <s v="M1177"/>
    <n v="2971"/>
    <x v="0"/>
    <s v="2025-T0676"/>
    <s v="2025-M0556"/>
    <s v="Actualización de Factores en las bases de datos de los reportes ARCHNIV_F y REPORTNIV_F"/>
    <m/>
    <x v="7"/>
    <s v="Riesgos Crediticios y Financieros"/>
    <s v="Evaluación de Cartera de Créditos"/>
    <d v="2025-08-14T00:00:00"/>
    <s v="MEMORANDO N° 00000034 - 2025-BN/2191"/>
    <s v="COBD-Contabilidad-RCD"/>
    <m/>
    <x v="1"/>
    <s v="Crédito Hipotecario"/>
    <s v="No aplica"/>
    <x v="3"/>
    <m/>
    <s v="AUDITORIA INTERNA"/>
    <s v="P-028-2024-BN/1400"/>
    <s v="Evaluación del Riesgo de sobreendeudamiento"/>
    <s v="N°1"/>
    <s v="1.a, 1.b"/>
    <s v="1. 31/12/2025_x000a_2. 31/07/2026"/>
    <s v="Normal"/>
    <d v="2025-08-29T00:00:00"/>
    <s v="Sistemas Bancarios"/>
    <m/>
    <s v="Andrés Quiñones Gonzales"/>
    <s v="Milagros Huamani"/>
    <x v="1"/>
    <x v="1"/>
    <x v="0"/>
    <m/>
    <m/>
    <d v="2025-08-14T00:00:00"/>
    <d v="2025-11-07T00:00:00"/>
    <m/>
    <d v="2025-11-11T00:00:00"/>
    <d v="2025-12-03T00:00:00"/>
    <d v="2025-12-11T00:00:00"/>
    <d v="2026-01-07T00:00:00"/>
    <d v="2026-01-13T00:00:00"/>
    <d v="2025-12-18T00:00:00"/>
    <s v="14/01/26: Según CQ, actualizó el estado a 08. Producción Finalizada_x000a_12/01/26: Según CQ, actualizó el estado a 07. En Despliegue_x000a_12/01/26: Según CQ, actualizó el estado a 06. Calidad Finalizado_x000a_08/01/26: Según CQ, actualizó el estado a 07. En Despliegue_x000a_04/12/25: Según CQ, actualizó el estado a 06. Calidad Finalizado_x000a_13/11/25: Según CQ, actualizó el estado a 05. En Calidad_x000a_07/11/25: Según CQ, actualizó el estado a 04. Desarrollo Finalizado_x000a_05/09/2025: Cartera reasignada a Milagros Huamani_x000a_25/08/25: Según CQ, actualizó el estado a 03. En Desarrollo_x000a_"/>
    <s v="Riesgos"/>
    <s v="CrediticiosFinancieros"/>
    <s v="2025-08"/>
    <s v="2025-08"/>
    <s v="2025-11"/>
    <x v="4"/>
    <s v="2025-12"/>
    <m/>
    <m/>
    <m/>
    <m/>
    <m/>
    <s v="2025-III"/>
    <n v="152"/>
    <n v="5.0666666666666664"/>
    <m/>
    <s v="Finalizada"/>
    <x v="1"/>
    <d v="2026-01-13T23:36:34"/>
    <x v="6"/>
    <s v="1. 3167_x000a_2. 3168"/>
    <m/>
    <s v="Culminado"/>
    <s v="BackOffice"/>
    <s v="Otros Requerimientos"/>
    <s v="Pordefinir"/>
    <m/>
    <m/>
    <d v="2026-01-13T00:00:00"/>
    <s v="Culminado"/>
    <s v="Ene 2026"/>
    <m/>
    <x v="1"/>
    <m/>
    <n v="1"/>
    <s v="PRE"/>
    <s v="NO"/>
    <s v="03. En Desarrollo"/>
    <s v="No aplica"/>
    <x v="1"/>
    <n v="1"/>
    <n v="1"/>
    <n v="0"/>
    <n v="1"/>
    <d v="2025-08-14T00:00:00"/>
    <d v="2025-08-14T00:00:00"/>
    <d v="2025-11-07T00:00:00"/>
    <d v="2025-11-11T00:00:00"/>
    <d v="2025-12-03T00:00:00"/>
    <d v="2026-01-07T00:00:00"/>
    <d v="2026-02-04T00:00:00"/>
    <n v="61"/>
    <n v="1"/>
    <n v="200"/>
    <m/>
    <x v="1"/>
    <n v="0"/>
    <n v="61"/>
    <n v="0"/>
    <n v="488"/>
    <n v="0"/>
    <x v="11"/>
    <x v="0"/>
    <m/>
    <x v="0"/>
    <m/>
  </r>
  <r>
    <s v="M1183"/>
    <n v="2978"/>
    <x v="0"/>
    <s v="2025-T0687"/>
    <s v="2025-M0575"/>
    <s v="Enrolamiento en línea – 2da parte:  Migración bd y reportería"/>
    <m/>
    <x v="2"/>
    <s v="Canales Alternos"/>
    <s v="Canales Virtuales"/>
    <d v="2023-11-06T00:00:00"/>
    <s v="MEMORANDO N° 00000134 -2023-BN/3252"/>
    <s v="SIAT - Sistema de Atributos"/>
    <m/>
    <x v="2"/>
    <s v="No Aplica"/>
    <s v="No aplica"/>
    <x v="2"/>
    <s v="Normativo"/>
    <m/>
    <m/>
    <m/>
    <m/>
    <m/>
    <m/>
    <s v="Normal"/>
    <d v="2025-08-29T00:00:00"/>
    <s v="Soluciones Digitales"/>
    <m/>
    <s v="Monica del Pilar Garcia Campana"/>
    <s v="Omar Sarmiento"/>
    <x v="5"/>
    <x v="4"/>
    <x v="0"/>
    <m/>
    <m/>
    <d v="2025-08-21T00:00:00"/>
    <m/>
    <m/>
    <m/>
    <m/>
    <s v=""/>
    <m/>
    <m/>
    <s v=""/>
    <s v="26/02/2025 Primero debe pasar  2026-M0046 en el canal saraweb estimado para el 27 de febrero. Luego se retomará su atencion. Nivel de avance 60%_x000a_30/12/2025: Cartera reasignada a Omar Sarmiento_x000a_25/08/25: Según CQ, actualizó el estado a 03. En Desarrollo_x000a_"/>
    <s v="B.Digital"/>
    <s v="CanalesAlternos"/>
    <s v="2023-11"/>
    <s v="2025-08"/>
    <s v="No definido"/>
    <x v="0"/>
    <s v="No definido"/>
    <m/>
    <m/>
    <m/>
    <m/>
    <m/>
    <s v="2025-III"/>
    <s v="Sin Fecha Fin Producción"/>
    <s v="No Aplica"/>
    <m/>
    <s v="Iniciada"/>
    <x v="5"/>
    <d v="2025-08-21T14:36:19"/>
    <x v="0"/>
    <m/>
    <m/>
    <s v="Sin Fecha"/>
    <s v="BackOffice"/>
    <s v="Otros Requerimientos"/>
    <s v="Pordefinir"/>
    <m/>
    <m/>
    <s v=""/>
    <s v="Sin Fecha"/>
    <s v="No definido"/>
    <m/>
    <x v="2"/>
    <s v="Agencias"/>
    <n v="0.25"/>
    <s v="PRE"/>
    <s v="NO"/>
    <s v="03. En Desarrollo"/>
    <s v="SI"/>
    <x v="2"/>
    <n v="0.96610169491525422"/>
    <n v="0.25"/>
    <n v="0.71610169491525422"/>
    <n v="0.25877192982456143"/>
    <d v="2025-11-03T00:00:00"/>
    <d v="2026-03-02T00:00:00"/>
    <d v="2026-03-31T00:00:00"/>
    <d v="2026-04-01T00:00:00"/>
    <d v="2026-05-08T00:00:00"/>
    <d v="2026-05-11T00:00:00"/>
    <d v="2026-05-22T00:00:00"/>
    <n v="22"/>
    <n v="1"/>
    <n v="58.666666666666664"/>
    <s v="BD"/>
    <x v="2"/>
    <n v="0"/>
    <n v="22"/>
    <n v="0"/>
    <n v="58.666666666666664"/>
    <n v="0"/>
    <x v="8"/>
    <x v="0"/>
    <m/>
    <x v="0"/>
    <m/>
  </r>
  <r>
    <s v="M1184"/>
    <n v="2979"/>
    <x v="0"/>
    <s v="2025-T0688"/>
    <s v="2025-M0579"/>
    <s v="Implementación de API 35 y Gestión de Certificados de Seguridad Cuenta DNI _x000a_"/>
    <s v="Implementación de API 35 y Gestión de Certificados de Seguridad Cuenta DNI"/>
    <x v="2"/>
    <s v="Canales Alternos"/>
    <s v="Canales Virtuales"/>
    <d v="2025-08-21T00:00:00"/>
    <s v="MEMORANDO N° 00000058 - 2025-BN/7901"/>
    <s v="PCDI-Proyecto Cuenta DNI"/>
    <m/>
    <x v="1"/>
    <s v="No Aplica"/>
    <s v="No aplica"/>
    <x v="1"/>
    <m/>
    <m/>
    <m/>
    <m/>
    <m/>
    <m/>
    <m/>
    <s v="Normal"/>
    <d v="2025-08-29T00:00:00"/>
    <s v="Sistemas Bancarios"/>
    <m/>
    <s v="Angela Rocio Risco Vega"/>
    <s v="Omar Sarmiento"/>
    <x v="1"/>
    <x v="1"/>
    <x v="0"/>
    <m/>
    <m/>
    <d v="2025-08-22T00:00:00"/>
    <m/>
    <m/>
    <m/>
    <m/>
    <s v=""/>
    <d v="2025-09-22T00:00:00"/>
    <d v="2026-01-13T00:00:00"/>
    <s v=""/>
    <s v="14/01/26: Según CQ, actualizó el estado a 08. Producción Finalizada_x000a_30/12/2025: Cartera reasignada a Omar Sarmiento_x000a_23/09/25: Según CQ, actualizó el estado a 07. En Despliegue_x000a_25/08/25: Según CQ, actualizó el estado a 03. En Desarrollo_x000a_"/>
    <s v="B.Digital"/>
    <s v="CanalesAlternos"/>
    <s v="2025-08"/>
    <s v="2025-08"/>
    <s v="No definido"/>
    <x v="4"/>
    <s v="No definido"/>
    <m/>
    <m/>
    <m/>
    <m/>
    <m/>
    <s v="2025-III"/>
    <n v="144"/>
    <n v="4.8"/>
    <m/>
    <s v="Finalizada"/>
    <x v="6"/>
    <d v="2026-01-13T16:35:43"/>
    <x v="0"/>
    <m/>
    <m/>
    <s v="Culminado"/>
    <s v="Cuenta DNI"/>
    <s v="Canales Virtuales"/>
    <s v="Pordefinir"/>
    <m/>
    <m/>
    <d v="2026-01-13T00:00:00"/>
    <s v="Culminado"/>
    <s v="Ene 2026"/>
    <m/>
    <x v="1"/>
    <m/>
    <n v="1"/>
    <s v="PRE"/>
    <s v="NO"/>
    <s v="07. En Despliegue"/>
    <s v="No aplica"/>
    <x v="1"/>
    <n v="1"/>
    <n v="1"/>
    <n v="0"/>
    <n v="1"/>
    <d v="2025-08-22T00:00:00"/>
    <d v="2025-08-22T00:00:00"/>
    <s v=""/>
    <s v=""/>
    <s v=""/>
    <d v="2025-09-22T00:00:00"/>
    <d v="2026-01-13T00:00:00"/>
    <n v="25"/>
    <n v="0.1"/>
    <n v="200"/>
    <m/>
    <x v="1"/>
    <n v="0.9"/>
    <n v="1"/>
    <n v="24"/>
    <n v="8"/>
    <n v="192"/>
    <x v="9"/>
    <x v="0"/>
    <m/>
    <x v="0"/>
    <m/>
  </r>
  <r>
    <s v="M1192"/>
    <n v="2939"/>
    <x v="0"/>
    <s v="2025-T0711"/>
    <s v="2026-M0002"/>
    <s v="Controles para el proceso de Cobranza Automática de Préstamo Multired"/>
    <s v="Controles para el proceso de Cobranza Automática de Préstamo Multired"/>
    <x v="1"/>
    <s v="Banca Personal"/>
    <s v="Préstamo Multired"/>
    <d v="2025-07-04T00:00:00"/>
    <s v="MEMORANDO N° 00000165 - 2025-BN/3347"/>
    <s v="PRAH - Prestamos Multired"/>
    <m/>
    <x v="1"/>
    <s v="Préstamos Multired "/>
    <s v="No aplica"/>
    <x v="0"/>
    <m/>
    <m/>
    <m/>
    <m/>
    <m/>
    <m/>
    <m/>
    <s v="Normal"/>
    <d v="2025-08-29T00:00:00"/>
    <s v="Sistemas Bancarios"/>
    <m/>
    <s v="Pedro Jose Encalada Huertas"/>
    <s v="Milagros Huamani"/>
    <x v="1"/>
    <x v="1"/>
    <x v="0"/>
    <m/>
    <m/>
    <d v="2026-01-05T00:00:00"/>
    <d v="2026-02-02T00:00:00"/>
    <m/>
    <d v="2026-02-17T00:00:00"/>
    <d v="2026-02-26T00:00:00"/>
    <d v="2026-02-13T04:48:00"/>
    <d v="2026-03-19T00:00:00"/>
    <d v="2026-04-14T00:00:00"/>
    <d v="2026-02-20T04:48:00"/>
    <s v="15/04/26: Según CQ, actualizó el estado a 08. Producción Finalizada_x000a_23/03/26: Según CQ, actualizó el estado a 07. En Despliegue_x000a_27/02/26: Según CQ, actualizó el estado a 06. Calidad Finalizado_x000a_19/02/26: Según CQ, actualizó el estado a 05. En Calidad_x000a_03/02/26: Según CQ, actualizó el estado a 04. Desarrollo Finalizado_x000a_09/01/2026: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07/2025: Se registró en el Backlog"/>
    <s v="Productos"/>
    <s v="BancaPersonal"/>
    <s v="2025-07"/>
    <s v="2025-08"/>
    <s v="2026-02"/>
    <x v="1"/>
    <s v="2026-02"/>
    <m/>
    <m/>
    <m/>
    <m/>
    <m/>
    <s v="2025-III"/>
    <n v="99"/>
    <n v="3.3"/>
    <m/>
    <s v="Finalizada"/>
    <x v="1"/>
    <d v="2026-04-14T08:38:57"/>
    <x v="0"/>
    <m/>
    <m/>
    <s v="Culminado"/>
    <s v="Préstamos Multired"/>
    <s v="Productos"/>
    <m/>
    <m/>
    <m/>
    <d v="2026-04-14T00:00:00"/>
    <s v="Culminado"/>
    <s v="Abr 2026"/>
    <m/>
    <x v="1"/>
    <m/>
    <n v="1"/>
    <s v="POST"/>
    <s v="REACTIVADO 26"/>
    <s v="Reactivo"/>
    <s v="No aplica"/>
    <x v="1"/>
    <n v="1"/>
    <n v="1"/>
    <n v="0"/>
    <n v="1"/>
    <d v="2026-01-05T00:00:00"/>
    <d v="2026-01-05T00:00:00"/>
    <d v="2026-02-02T00:00:00"/>
    <d v="2026-02-17T00:00:00"/>
    <d v="2026-04-13T00:00:00"/>
    <d v="2026-04-14T00:00:00"/>
    <d v="2026-04-28T00:00:00"/>
    <n v="21"/>
    <n v="1"/>
    <n v="200"/>
    <m/>
    <x v="1"/>
    <n v="0"/>
    <n v="21"/>
    <n v="0"/>
    <n v="168"/>
    <n v="0"/>
    <x v="1"/>
    <x v="0"/>
    <m/>
    <x v="0"/>
    <m/>
  </r>
  <r>
    <s v="M1197"/>
    <n v="2984"/>
    <x v="0"/>
    <s v="2025-T0699"/>
    <s v="2025-M0589"/>
    <s v="Generación de Base de Datos (Maestro) de Rutas Foráneas e Inclusión de rutas foráneas en secuencias FISA del proceso de Traslado de Fondos a nivel nacional (OPCF)"/>
    <m/>
    <x v="0"/>
    <s v="Caja y Valores"/>
    <s v="Programación y Distribución de Fondos"/>
    <d v="2025-07-25T00:00:00"/>
    <s v="MEMORANDO N° 00000030 - 2025-BN/3135"/>
    <s v="FISA-Finanzas Saldos"/>
    <m/>
    <x v="1"/>
    <s v="No Aplica"/>
    <s v="No aplica"/>
    <x v="0"/>
    <m/>
    <m/>
    <m/>
    <m/>
    <m/>
    <m/>
    <m/>
    <s v="Normal"/>
    <d v="2025-08-29T00:00:00"/>
    <s v="Sistemas Administrativos"/>
    <s v="Analista-BN"/>
    <s v="Ricardo Cuba Mora"/>
    <s v="Junior Quicaño"/>
    <x v="1"/>
    <x v="1"/>
    <x v="0"/>
    <m/>
    <m/>
    <d v="2025-09-23T00:00:00"/>
    <d v="2025-11-03T00:00:00"/>
    <m/>
    <d v="2025-11-06T00:00:00"/>
    <d v="2025-11-26T00:00:00"/>
    <d v="2025-11-19T09:36:00"/>
    <d v="2025-11-26T00:00:00"/>
    <d v="2026-01-12T00:00:00"/>
    <d v="2025-11-26T09:36:00"/>
    <s v="13/01/26: Según CQ, actualizó el estado a 08. Producción Finalizada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4/11/25: Según CQ, actualizó el estado a 05. En Calidad_x000a_25/09/25: Según CQ, actualizó el estado a 03. En Desarrollo_x000a_27/08/25: Se registró en el Backlog y se creó trámite."/>
    <s v="Operac."/>
    <s v="CajaValores"/>
    <s v="2025-07"/>
    <s v="2025-08"/>
    <s v="2025-11"/>
    <x v="4"/>
    <s v="2025-11"/>
    <m/>
    <m/>
    <m/>
    <m/>
    <m/>
    <s v="2025-III"/>
    <n v="111"/>
    <n v="3.7"/>
    <m/>
    <s v="Finalizada"/>
    <x v="1"/>
    <d v="2026-01-12T16:19:00"/>
    <x v="0"/>
    <m/>
    <m/>
    <s v="Culminado"/>
    <s v="BackOffice"/>
    <s v="Otros Requerimientos"/>
    <s v="Pordefinir"/>
    <m/>
    <m/>
    <d v="2026-01-12T00:00:00"/>
    <s v="Culminado"/>
    <s v="Ene 2026"/>
    <m/>
    <x v="1"/>
    <m/>
    <n v="1"/>
    <s v="POST"/>
    <s v="REACTIVADO"/>
    <s v="Reactivo"/>
    <s v="No aplica"/>
    <x v="1"/>
    <n v="1"/>
    <n v="1"/>
    <n v="0"/>
    <n v="1"/>
    <d v="2025-09-23T00:00:00"/>
    <d v="2025-09-23T00:00:00"/>
    <d v="2025-11-03T00:00:00"/>
    <d v="2025-11-06T00:00:00"/>
    <d v="2025-11-26T00:00:00"/>
    <d v="2025-11-26T00:00:00"/>
    <d v="2026-01-15T00:00:00"/>
    <n v="29"/>
    <n v="1"/>
    <n v="200"/>
    <m/>
    <x v="1"/>
    <n v="0"/>
    <n v="29"/>
    <n v="0"/>
    <n v="232"/>
    <n v="0"/>
    <x v="9"/>
    <x v="0"/>
    <m/>
    <x v="0"/>
    <m/>
  </r>
  <r>
    <s v="M1198"/>
    <n v="2987"/>
    <x v="0"/>
    <s v="2025-T0658"/>
    <s v="2025-M0540"/>
    <s v="MC: Inclusión de nuevo BIN:Tarjeta de crédito"/>
    <m/>
    <x v="8"/>
    <s v="Construcción de Aplicaciones"/>
    <s v="Sistemas Bancarios"/>
    <m/>
    <s v="Correo s/n"/>
    <s v="SITC – Tarjeta de Crédito"/>
    <m/>
    <x v="2"/>
    <s v="Tarjeta de Crédito "/>
    <s v="No aplica"/>
    <x v="1"/>
    <m/>
    <m/>
    <m/>
    <m/>
    <m/>
    <m/>
    <m/>
    <s v="Regularizado"/>
    <d v="2025-08-29T00:00:00"/>
    <s v="Sistemas Bancarios"/>
    <m/>
    <s v="Pedro Jose Encalada Huertas"/>
    <s v="Tomas Calvera"/>
    <x v="5"/>
    <x v="4"/>
    <x v="0"/>
    <m/>
    <m/>
    <d v="2025-08-05T00:00:00"/>
    <m/>
    <m/>
    <m/>
    <m/>
    <s v=""/>
    <m/>
    <m/>
    <s v=""/>
    <s v="04/02/2026: Cartera reasignada a Tomas Calvera_x000a_05/09/2025: Cartera reasignada a Omar Sarmiento_x000a_01/09/25: Según CQ, actualizó el estado a 03. En Desarrollo_x000a_28/08/25: Se regularizó su registró en el Backlog."/>
    <s v="TI"/>
    <s v="ConstrucciónAplicaciones"/>
    <s v="No definido"/>
    <s v="2025-08"/>
    <s v="No definido"/>
    <x v="0"/>
    <s v="No definido"/>
    <m/>
    <m/>
    <m/>
    <m/>
    <m/>
    <s v="2025-III"/>
    <s v="Sin Fecha Fin Producción"/>
    <s v="No Aplica"/>
    <m/>
    <s v="Iniciada"/>
    <x v="5"/>
    <d v="2025-08-05T14:41:42"/>
    <x v="0"/>
    <m/>
    <m/>
    <s v="Sin Fecha"/>
    <s v="Tarjeta Tesoro"/>
    <s v="Productos"/>
    <s v="Pordefinir"/>
    <m/>
    <m/>
    <s v=""/>
    <s v="Sin Fecha"/>
    <s v="No definido"/>
    <m/>
    <x v="2"/>
    <m/>
    <n v="0.25"/>
    <s v="PRE"/>
    <s v="NO"/>
    <s v="03. En Desarrollo"/>
    <s v="SI"/>
    <x v="2"/>
    <n v="1"/>
    <n v="0.25"/>
    <n v="0.75"/>
    <n v="0.25"/>
    <d v="2025-11-03T00:00:00"/>
    <d v="2026-03-02T00:00:00"/>
    <d v="2026-03-10T00:00:00"/>
    <d v="2026-03-12T00:00:00"/>
    <d v="2026-04-12T00:00:00"/>
    <d v="2026-04-13T00:00:00"/>
    <d v="2026-04-17T00:00:00"/>
    <n v="7"/>
    <n v="1"/>
    <n v="11.200000000000001"/>
    <m/>
    <x v="2"/>
    <n v="0"/>
    <n v="7"/>
    <n v="0"/>
    <n v="11.200000000000001"/>
    <n v="0"/>
    <x v="1"/>
    <x v="0"/>
    <m/>
    <x v="0"/>
    <m/>
  </r>
  <r>
    <s v="M1199"/>
    <n v="2988"/>
    <x v="0"/>
    <s v="2025-T0654"/>
    <s v="2025-M0535"/>
    <s v="Bibloteca -Modulos de Administración y Buscador"/>
    <m/>
    <x v="5"/>
    <s v="Desarrollo del Talento"/>
    <s v="Capacitación"/>
    <m/>
    <s v="Correo s/n"/>
    <s v="BIBL-Gestión y Consulta de Biblioteca-BN"/>
    <m/>
    <x v="1"/>
    <s v="No Aplica"/>
    <s v="No aplica"/>
    <x v="0"/>
    <m/>
    <m/>
    <m/>
    <m/>
    <m/>
    <m/>
    <m/>
    <s v="Regularizado"/>
    <d v="2025-08-29T00:00:00"/>
    <s v="Sistemas Administrativos"/>
    <m/>
    <s v="Paul Alminagorta Cabezas"/>
    <s v="Juan Carlos Zavaleta"/>
    <x v="5"/>
    <x v="4"/>
    <x v="0"/>
    <m/>
    <m/>
    <d v="2025-08-01T00:00:00"/>
    <m/>
    <m/>
    <m/>
    <m/>
    <s v=""/>
    <m/>
    <m/>
    <s v=""/>
    <s v="01/09/25: Según CQ, actualizó el estado a 03. En Desarrollo_x000a_28/08/25: Se regularizó su registró en el Backlog."/>
    <s v="RRHH"/>
    <s v="DesarrolloTalento"/>
    <s v="No definido"/>
    <s v="2025-08"/>
    <s v="No definido"/>
    <x v="0"/>
    <s v="No definido"/>
    <m/>
    <m/>
    <m/>
    <m/>
    <m/>
    <s v="2025-III"/>
    <s v="Sin Fecha Fin Producción"/>
    <s v="No Aplica"/>
    <m/>
    <s v="Finalizada"/>
    <x v="5"/>
    <d v="2025-09-23T18:35:15"/>
    <x v="0"/>
    <m/>
    <m/>
    <s v="Sin Fecha"/>
    <s v="BackOffice"/>
    <s v="Otros Requerimientos"/>
    <s v="Pordefinir"/>
    <m/>
    <m/>
    <s v=""/>
    <s v="Sin Fecha"/>
    <s v="No definido"/>
    <m/>
    <x v="2"/>
    <m/>
    <n v="0.15"/>
    <s v="PRE"/>
    <s v="NO"/>
    <s v="03. En Desarrollo"/>
    <s v="SI"/>
    <x v="5"/>
    <n v="0"/>
    <n v="0.15"/>
    <n v="-0.15"/>
    <s v=""/>
    <d v="2026-06-01T00:00:00"/>
    <d v="2026-06-01T00:00:00"/>
    <d v="2026-07-31T00:00:00"/>
    <d v="2026-08-01T00:00:00"/>
    <d v="2026-08-20T00:00:00"/>
    <d v="2026-09-01T00:00:00"/>
    <d v="2026-09-07T00:00:00"/>
    <n v="42"/>
    <n v="0"/>
    <n v="67.2"/>
    <m/>
    <x v="2"/>
    <n v="1"/>
    <n v="0"/>
    <n v="42"/>
    <n v="0"/>
    <n v="67.2"/>
    <x v="2"/>
    <x v="0"/>
    <m/>
    <x v="0"/>
    <m/>
  </r>
  <r>
    <s v="M1200"/>
    <n v="2989"/>
    <x v="0"/>
    <s v="2025-T0655"/>
    <s v="2025-M0536"/>
    <s v="Optimizacion SARE intranet, reducir errores en el registro y nuevas funcionalidades"/>
    <m/>
    <x v="9"/>
    <s v="Experiencia de Cliente y Reclamos"/>
    <s v="Reclamos"/>
    <m/>
    <s v="Correo s/n"/>
    <s v="SARE_Atención de Reclamos"/>
    <m/>
    <x v="1"/>
    <s v="No Aplica"/>
    <s v="No aplica"/>
    <x v="0"/>
    <m/>
    <m/>
    <m/>
    <m/>
    <m/>
    <m/>
    <m/>
    <s v="Regularizado"/>
    <d v="2025-08-29T00:00:00"/>
    <s v="Sistemas Administrativos"/>
    <m/>
    <s v="Dayna Evelin Ribbeck Rivera"/>
    <s v="Maria Barboza"/>
    <x v="3"/>
    <x v="3"/>
    <x v="0"/>
    <m/>
    <m/>
    <d v="2025-11-13T00:00:00"/>
    <d v="2025-10-28T00:00:00"/>
    <m/>
    <m/>
    <m/>
    <d v="2025-10-21T14:24:00"/>
    <m/>
    <m/>
    <d v="2025-10-28T14:24:00"/>
    <s v="27/04/26: Según CQ, actualizó el estado a 10. Paralizado_x000a_19/01/2025: Cartera reasignada a Maria Barboza_x000a_04/11/25: Según CQ, actualizó el estado a 03. En Desarrollo_x000a_30/10/25: Según CQ, actualizó el estado a 04. Desarrollo Finalizado_x000a_01/09/25: Según CQ, actualizó el estado a 03. En Desarrollo_x000a_28/08/25: Se regularizó su registró en el Backlog."/>
    <s v="GerenciaGral."/>
    <s v="ClienteReclamos"/>
    <s v="No definido"/>
    <s v="2025-08"/>
    <s v="2025-10"/>
    <x v="0"/>
    <s v="2025-10"/>
    <m/>
    <m/>
    <m/>
    <m/>
    <m/>
    <s v="2025-III"/>
    <s v="Sin Fecha Fin Producción"/>
    <s v="No Aplica"/>
    <m/>
    <s v="Finalizada"/>
    <x v="3"/>
    <d v="2026-04-27T12:33:07"/>
    <x v="0"/>
    <m/>
    <m/>
    <s v="Vencida"/>
    <s v="BackOffice"/>
    <s v="Otros Requerimientos"/>
    <s v="Pordefinir"/>
    <m/>
    <m/>
    <s v=""/>
    <s v="Sin Fecha"/>
    <s v="No definido"/>
    <m/>
    <x v="2"/>
    <m/>
    <n v="0.12"/>
    <s v="PRE"/>
    <s v="NO"/>
    <s v="03. En Desarrollo"/>
    <s v="No aplica"/>
    <x v="3"/>
    <n v="0.27941176470588236"/>
    <n v="0.12"/>
    <n v="0.15941176470588236"/>
    <n v="0.42947368421052629"/>
    <d v="2025-11-13T00:00:00"/>
    <d v="2026-03-02T00:00:00"/>
    <d v="2026-11-06T00:00:00"/>
    <d v="2026-11-06T00:00:00"/>
    <d v="2026-11-30T00:00:00"/>
    <d v="2026-11-30T00:00:00"/>
    <d v="2026-12-18T00:00:00"/>
    <n v="175"/>
    <n v="0.31666666666666665"/>
    <n v="200"/>
    <m/>
    <x v="3"/>
    <n v="0.68333333333333335"/>
    <n v="56"/>
    <n v="119"/>
    <n v="448"/>
    <n v="952"/>
    <x v="14"/>
    <x v="0"/>
    <m/>
    <x v="0"/>
    <m/>
  </r>
  <r>
    <s v="M1203"/>
    <n v="2993"/>
    <x v="0"/>
    <s v="2025-T0694"/>
    <s v="2025-M0584"/>
    <s v="MC: Extorno AFT"/>
    <m/>
    <x v="8"/>
    <s v="Construcción de Aplicaciones"/>
    <s v="Sistemas Bancarios"/>
    <m/>
    <s v="Correo s/n"/>
    <s v="TMIN-Tarjeta Multired Interfaces"/>
    <m/>
    <x v="7"/>
    <s v="No Aplica"/>
    <s v="No aplica"/>
    <x v="1"/>
    <m/>
    <m/>
    <m/>
    <m/>
    <m/>
    <m/>
    <m/>
    <s v="Regularizado"/>
    <d v="2025-08-29T00:00:00"/>
    <s v="Sistemas Bancarios"/>
    <m/>
    <s v="Vladimir Ronald Cajavilca Cajavilca"/>
    <s v="Tomas Calvera"/>
    <x v="5"/>
    <x v="4"/>
    <x v="0"/>
    <m/>
    <m/>
    <m/>
    <m/>
    <m/>
    <m/>
    <m/>
    <s v=""/>
    <m/>
    <m/>
    <s v=""/>
    <s v="04/02/2026: Cartera reasignada a Tomas Calvera_x000a_22/10/25: Según CQ, actualizó el estado a 03. En Desarrollo_x000a_05/09/2025: Cartera reasignada a Omar Sarmiento_x000a_01/09/25: Según CQ, actualizó el estado a 04. Desarrollo Finalizado_x000a_28/08/25: Se regularizó su registró en el Backlog."/>
    <s v="TI"/>
    <s v="ConstrucciónAplicaciones"/>
    <s v="No definido"/>
    <s v="2025-08"/>
    <s v="No definido"/>
    <x v="0"/>
    <s v="No definido"/>
    <m/>
    <m/>
    <m/>
    <m/>
    <m/>
    <s v="2025-III"/>
    <s v="Sin Fechas"/>
    <s v="No Aplica"/>
    <m/>
    <s v="Finalizada"/>
    <x v="9"/>
    <d v="2025-10-21T12:49:57"/>
    <x v="0"/>
    <m/>
    <m/>
    <s v="Sin Fecha"/>
    <s v="ATM-Agentes-VISA"/>
    <s v="Canales Presenciales"/>
    <s v="Pordefinir"/>
    <m/>
    <m/>
    <s v=""/>
    <s v="Sin Fecha"/>
    <s v="No definido"/>
    <m/>
    <x v="2"/>
    <m/>
    <n v="0.45"/>
    <s v="PRE"/>
    <s v="NO"/>
    <s v="03. En Desarrollo"/>
    <s v="SI"/>
    <x v="2"/>
    <n v="1"/>
    <n v="0.45"/>
    <n v="0.55000000000000004"/>
    <n v="0.45"/>
    <d v="2025-11-03T00:00:00"/>
    <d v="2026-03-02T00:00:00"/>
    <d v="2026-03-28T00:00:00"/>
    <d v="2026-03-27T00:00:00"/>
    <d v="2026-04-02T00:00:00"/>
    <d v="2026-04-06T00:00:00"/>
    <d v="2026-04-10T00:00:00"/>
    <n v="20"/>
    <n v="1"/>
    <n v="14.545454545454547"/>
    <m/>
    <x v="2"/>
    <n v="0"/>
    <n v="20"/>
    <n v="0"/>
    <n v="14.545454545454547"/>
    <n v="0"/>
    <x v="1"/>
    <x v="0"/>
    <m/>
    <x v="0"/>
    <m/>
  </r>
  <r>
    <s v="M1205"/>
    <n v="2996"/>
    <x v="0"/>
    <s v="2025-T0681"/>
    <s v="2025-M0562"/>
    <s v="Proceso de envio de información – interfaces nuevo Sistema de Pagaduría MEF"/>
    <m/>
    <x v="8"/>
    <s v="Construcción de Aplicaciones"/>
    <s v="Sistemas Bancarios"/>
    <m/>
    <s v="Correo s/n"/>
    <s v="SICT-Sistema de Informacón de Cuentas Corrientes"/>
    <m/>
    <x v="1"/>
    <s v="No Aplica"/>
    <s v="No aplica"/>
    <x v="0"/>
    <m/>
    <m/>
    <m/>
    <m/>
    <m/>
    <m/>
    <m/>
    <s v="Regularizado"/>
    <d v="2025-08-29T00:00:00"/>
    <s v="Sistemas Bancarios"/>
    <m/>
    <s v="Eduardo Saul Cardenas Manrique"/>
    <s v="Tomas Calvera"/>
    <x v="5"/>
    <x v="4"/>
    <x v="0"/>
    <m/>
    <m/>
    <d v="2025-11-24T00:00:00"/>
    <d v="2025-10-30T00:00:00"/>
    <m/>
    <m/>
    <m/>
    <d v="2025-10-20T00:00:00"/>
    <m/>
    <m/>
    <d v="2025-10-27T00:00:00"/>
    <s v="04/02/2026: Cartera reasignada a Tomas Calvera_x000a_13/11/25: Según CQ, actualizó el estado a 03. En Desarrollo_x000a_31/10/25: Según CQ, actualizó el estado a 04. Desarrollo Finalizado_x000a_05/09/2025: Cartera reasignada a Omar Sarmiento_x000a_01/09/25: Según CQ, actualizó el estado a 03. En Desarrollo_x000a_28/08/25: Se regularizó su registró en el Backlog."/>
    <s v="TI"/>
    <s v="ConstrucciónAplicaciones"/>
    <s v="No definido"/>
    <s v="2025-08"/>
    <s v="2025-10"/>
    <x v="0"/>
    <s v="2025-10"/>
    <m/>
    <m/>
    <m/>
    <m/>
    <m/>
    <s v="2025-III"/>
    <s v="Sin Fecha Fin Producción"/>
    <s v="No Aplica"/>
    <m/>
    <s v="Finalizada"/>
    <x v="5"/>
    <d v="2026-05-13T11:16:40"/>
    <x v="0"/>
    <m/>
    <m/>
    <s v="Vencida"/>
    <s v="BackOffice"/>
    <s v="Otros Requerimientos"/>
    <s v="Pordefinir"/>
    <m/>
    <m/>
    <s v=""/>
    <s v="Sin Fecha"/>
    <s v="No definido"/>
    <m/>
    <x v="2"/>
    <m/>
    <n v="0.15"/>
    <s v="PRE"/>
    <s v="NO"/>
    <s v="03. En Desarrollo"/>
    <s v="SI"/>
    <x v="2"/>
    <n v="1"/>
    <n v="0.15"/>
    <n v="0.85"/>
    <n v="0.15"/>
    <d v="2025-11-24T00:00:00"/>
    <d v="2026-03-02T00:00:00"/>
    <d v="2026-03-23T00:00:00"/>
    <d v="2026-03-25T00:00:00"/>
    <d v="2026-04-01T00:00:00"/>
    <d v="2026-04-05T00:00:00"/>
    <d v="2026-04-15T00:00:00"/>
    <n v="16"/>
    <n v="1"/>
    <n v="18.285714285714285"/>
    <m/>
    <x v="2"/>
    <n v="0"/>
    <n v="16"/>
    <n v="0"/>
    <n v="18.285714285714285"/>
    <n v="0"/>
    <x v="1"/>
    <x v="0"/>
    <m/>
    <x v="0"/>
    <m/>
  </r>
  <r>
    <s v="M1206"/>
    <n v="2997"/>
    <x v="0"/>
    <s v="2025-T0674"/>
    <s v="2025-M0563"/>
    <s v="Proceso de conciliación contable en nuevo Sistema de Pagaduría MEF"/>
    <m/>
    <x v="8"/>
    <s v="Construcción de Aplicaciones"/>
    <s v="Sistemas Bancarios"/>
    <m/>
    <s v="Correo s/n"/>
    <s v="SICT-Sistema de Informacón de Cuentas Corrientes"/>
    <m/>
    <x v="1"/>
    <s v="No Aplica"/>
    <s v="No aplica"/>
    <x v="0"/>
    <m/>
    <m/>
    <m/>
    <m/>
    <m/>
    <m/>
    <m/>
    <s v="Regularizado"/>
    <d v="2025-08-29T00:00:00"/>
    <s v="Sistemas Bancarios"/>
    <m/>
    <s v="Eduardo Saul Cardenas Manrique"/>
    <s v="Tomas Calvera"/>
    <x v="5"/>
    <x v="4"/>
    <x v="0"/>
    <m/>
    <m/>
    <d v="2025-08-27T00:00:00"/>
    <m/>
    <m/>
    <m/>
    <m/>
    <s v=""/>
    <m/>
    <m/>
    <s v=""/>
    <s v="04/02/2026: Cartera reasignada a Tomas Calvera_x000a_05/09/2025: Cartera reasignada a Omar Sarmiento_x000a_01/09/25: Según CQ, actualizó el estado a 03. En Desarrollo_x000a_28/08/25: Se regularizó su registró en el Backlog."/>
    <s v="TI"/>
    <s v="ConstrucciónAplicaciones"/>
    <s v="No definido"/>
    <s v="2025-08"/>
    <s v="No definido"/>
    <x v="0"/>
    <s v="No definido"/>
    <m/>
    <m/>
    <m/>
    <m/>
    <m/>
    <s v="2025-III"/>
    <s v="Sin Fecha Fin Producción"/>
    <s v="No Aplica"/>
    <m/>
    <s v="Iniciada"/>
    <x v="5"/>
    <d v="2025-08-27T14:55:08"/>
    <x v="0"/>
    <m/>
    <m/>
    <s v="Sin Fecha"/>
    <s v="BackOffice"/>
    <s v="Otros Requerimientos"/>
    <s v="Pordefinir"/>
    <m/>
    <m/>
    <s v=""/>
    <s v="Sin Fecha"/>
    <s v="No definido"/>
    <m/>
    <x v="2"/>
    <m/>
    <n v="0.25"/>
    <s v="PRE"/>
    <s v="NO"/>
    <s v="03. En Desarrollo"/>
    <s v="SI"/>
    <x v="2"/>
    <n v="1"/>
    <n v="0.25"/>
    <n v="0.75"/>
    <n v="0.25"/>
    <d v="2025-11-03T00:00:00"/>
    <d v="2026-03-02T00:00:00"/>
    <d v="2026-03-23T00:00:00"/>
    <d v="2026-03-25T00:00:00"/>
    <d v="2026-04-01T00:00:00"/>
    <d v="2026-04-06T00:00:00"/>
    <d v="2026-04-15T00:00:00"/>
    <n v="16"/>
    <n v="1"/>
    <n v="18.285714285714285"/>
    <m/>
    <x v="2"/>
    <n v="0"/>
    <n v="16"/>
    <n v="0"/>
    <n v="18.285714285714285"/>
    <n v="0"/>
    <x v="1"/>
    <x v="0"/>
    <m/>
    <x v="0"/>
    <m/>
  </r>
  <r>
    <s v="M1208"/>
    <n v="3000"/>
    <x v="0"/>
    <s v="2025-T0704"/>
    <s v="2025-M0596"/>
    <s v="Proyecto Hub de Integración - Entidad FINANCIERA CONFIANZA"/>
    <m/>
    <x v="0"/>
    <s v="Servicios Bancarios y Recaudación"/>
    <s v="Recaudación y Corresponsalía"/>
    <d v="2025-08-29T00:00:00"/>
    <s v="HOJA DE ENVIO N° 00000005 - 2025-BN-2550"/>
    <s v="SHUB_Hub de Integración"/>
    <m/>
    <x v="2"/>
    <s v="No Aplica"/>
    <s v="Pagos "/>
    <x v="0"/>
    <m/>
    <m/>
    <m/>
    <m/>
    <m/>
    <m/>
    <m/>
    <s v="Normal"/>
    <d v="2025-08-29T00:00:00"/>
    <s v="Sistemas Bancarios"/>
    <s v="Analista-BN"/>
    <s v="Jorge Lucio Ruedas Fernandez"/>
    <s v="Junior Quicaño"/>
    <x v="4"/>
    <x v="4"/>
    <x v="0"/>
    <m/>
    <m/>
    <d v="2025-09-01T00:00:00"/>
    <d v="2025-09-02T00:00:00"/>
    <m/>
    <d v="2025-09-08T00:00:00"/>
    <d v="2025-09-08T00:00:00"/>
    <d v="2025-09-02T09:36:00"/>
    <d v="2025-11-13T00:00:00"/>
    <m/>
    <d v="2025-09-09T09:36:00"/>
    <s v="14/11/25: Según CQ, actualizó el estado a 07. En Despliegue_x000a_09/09/25: Según CQ, actualizó el estado a 06. Calidad Finalizado_x000a_08/09/25: Según CQ, actualizó el estado a 05. En Calidad_x000a_02/09/25: Según CQ, actualizó el estado a 04. Desarrollo Finalizado_x000a_29/08/25: Se registró en el Backlog y se creó trámite."/>
    <s v="Operac."/>
    <s v="BancariosRecaudación"/>
    <s v="2025-08"/>
    <s v="2025-08"/>
    <s v="2025-09"/>
    <x v="0"/>
    <s v="2025-09"/>
    <m/>
    <m/>
    <m/>
    <m/>
    <m/>
    <s v="2025-III"/>
    <s v="Sin Fecha Fin Producción"/>
    <s v="No Aplica"/>
    <m/>
    <s v="Finalizada"/>
    <x v="4"/>
    <d v="2026-05-06T17:49:34"/>
    <x v="0"/>
    <m/>
    <m/>
    <s v="Vencida"/>
    <s v="BackOffice"/>
    <s v="Otros Requerimientos"/>
    <s v="Pordefinir"/>
    <m/>
    <m/>
    <s v=""/>
    <s v="Sin Fecha"/>
    <s v="No definido"/>
    <m/>
    <x v="2"/>
    <m/>
    <n v="0.9"/>
    <s v="PRE"/>
    <s v="NO"/>
    <s v="06. Calidad Finalizado"/>
    <s v="SI"/>
    <x v="2"/>
    <n v="1"/>
    <n v="0.9"/>
    <n v="9.9999999999999978E-2"/>
    <n v="0.9"/>
    <d v="2025-09-01T00:00:00"/>
    <d v="2025-09-01T00:00:00"/>
    <d v="2025-09-02T00:00:00"/>
    <d v="2025-09-08T00:00:00"/>
    <d v="2025-09-08T00:00:00"/>
    <d v="2025-11-13T00:00:00"/>
    <d v="2026-03-27T00:00:00"/>
    <n v="2"/>
    <n v="1"/>
    <n v="200"/>
    <m/>
    <x v="4"/>
    <n v="0"/>
    <n v="2"/>
    <n v="0"/>
    <n v="16"/>
    <n v="0"/>
    <x v="4"/>
    <x v="0"/>
    <s v="17/03/26: Es proyecto. Habían varios programas, faltan 2 programas, producción envió correo; para que esté 100% terminado."/>
    <x v="2"/>
    <m/>
  </r>
  <r>
    <s v="M1211"/>
    <n v="3015"/>
    <x v="0"/>
    <s v="2025-T0722"/>
    <s v="2025-M0603"/>
    <s v="Opción de Módulo de Impresiones - Tarjeta de Crédito"/>
    <m/>
    <x v="1"/>
    <s v="Banca Personal"/>
    <s v="Tarjeta de Crédito"/>
    <d v="2025-09-04T00:00:00"/>
    <s v="Correo s/n"/>
    <s v="SITC – Tarjeta de Crédito"/>
    <m/>
    <x v="2"/>
    <s v="Tarjeta de Crédito "/>
    <s v="No aplica"/>
    <x v="2"/>
    <s v="Normativo"/>
    <s v="SBS"/>
    <m/>
    <m/>
    <m/>
    <m/>
    <d v="2025-09-30T00:00:00"/>
    <s v="Normal"/>
    <d v="2025-10-01T00:00:00"/>
    <s v="Sistemas Bancarios"/>
    <m/>
    <s v="Fiorella Emma Galvan Soto"/>
    <s v="Milagros Huamani"/>
    <x v="6"/>
    <x v="4"/>
    <x v="0"/>
    <m/>
    <m/>
    <d v="2025-09-04T00:00:00"/>
    <d v="2026-01-06T00:00:00"/>
    <m/>
    <d v="2026-01-15T00:00:00"/>
    <d v="2026-02-26T00:00:00"/>
    <d v="2026-02-24T14:24:00"/>
    <m/>
    <m/>
    <d v="2026-03-03T14:24:00"/>
    <s v="27/02/26: Según CQ, actualizó el estado a 06. Calidad Finalizado_x000a_16/01/26: Según CQ, actualizó el estado a 05. En Calidad_x000a_12/01/26: Según CQ, actualizó el estado a 04. Desarrollo Finalizado_x000a_12/01/26: Según CQ, actualizó el estado a 03. En Desarrollo_x000a_06/01/26: Según CQ, actualizó el estado a 04. Desarrollo Finalizado_x000a_04/09/25: Según CQ, actualizó el estado a 03. En Desarrollo_x000a_04/09/25: Se registró en el Backlog y se creó trámite."/>
    <s v="Productos"/>
    <s v="BancaPersonal"/>
    <s v="2025-09"/>
    <s v="2025-10"/>
    <s v="2026-01"/>
    <x v="0"/>
    <s v="2026-03"/>
    <m/>
    <m/>
    <m/>
    <m/>
    <m/>
    <s v="2025-IV"/>
    <s v="Sin Fecha Fin Producción"/>
    <s v="No Aplica"/>
    <m/>
    <s v="Finalizada"/>
    <x v="7"/>
    <d v="2026-02-26T15:46:50"/>
    <x v="0"/>
    <m/>
    <m/>
    <s v="Vencida"/>
    <s v="Tarjeta Tesoro"/>
    <s v="Productos"/>
    <m/>
    <m/>
    <m/>
    <s v=""/>
    <s v="Sin Fecha"/>
    <s v="No definido"/>
    <m/>
    <x v="2"/>
    <m/>
    <n v="0.85"/>
    <s v="PRE"/>
    <s v="NO"/>
    <s v="03. En Desarrollo"/>
    <s v="SI"/>
    <x v="2"/>
    <n v="1"/>
    <n v="0.85"/>
    <n v="0.15000000000000002"/>
    <n v="0.85"/>
    <d v="2025-09-04T00:00:00"/>
    <d v="2025-09-04T00:00:00"/>
    <d v="2026-01-06T00:00:00"/>
    <d v="2026-01-15T00:00:00"/>
    <d v="2026-03-17T00:00:00"/>
    <d v="2026-03-18T00:00:00"/>
    <d v="2026-03-30T00:00:00"/>
    <n v="83"/>
    <n v="1"/>
    <n v="200"/>
    <m/>
    <x v="5"/>
    <n v="0"/>
    <n v="83"/>
    <n v="0"/>
    <n v="664"/>
    <n v="0"/>
    <x v="4"/>
    <x v="0"/>
    <s v="18/03: Pendiente de coordinar la fecha de pase con el usuario"/>
    <x v="4"/>
    <m/>
  </r>
  <r>
    <s v="M1219"/>
    <n v="3020"/>
    <x v="0"/>
    <s v="2025-T0727"/>
    <s v="2025-M0606"/>
    <s v="Actualización de nombre para Entidad Financiera 0043: Santander Consumer Bank. Transferencias Interbancarias INMEDIATAS y DIFERIDAS en los canales App Banca Móvil y Multired Virtual "/>
    <m/>
    <x v="0"/>
    <s v="Captaciones y Pagaduría"/>
    <s v="Sistema de Pagos"/>
    <d v="2025-08-27T00:00:00"/>
    <s v="MEMORANDO N° 00000146 - 2025-BN/3116"/>
    <s v="SABM - Sistema Atencion Banca Movil"/>
    <m/>
    <x v="8"/>
    <s v="Cuenta de Ahorros"/>
    <s v="Transferencias de recursos "/>
    <x v="0"/>
    <m/>
    <s v="No Aplica"/>
    <s v="No Aplica"/>
    <s v="No Aplica"/>
    <s v="No Aplica"/>
    <s v="No Aplica"/>
    <s v="No Aplica"/>
    <s v="Normal"/>
    <d v="2025-10-01T00:00:00"/>
    <s v="Soluciones Digitales"/>
    <s v="Analista-BN"/>
    <s v="Monica del Pilar Garcia Campana/Juan Carlos Cordova Inga"/>
    <s v="Junior Quicaño"/>
    <x v="3"/>
    <x v="3"/>
    <x v="2"/>
    <m/>
    <d v="2025-11-03T00:00:00"/>
    <d v="2025-09-05T00:00:00"/>
    <m/>
    <m/>
    <m/>
    <m/>
    <s v=""/>
    <m/>
    <m/>
    <s v=""/>
    <s v="24/03/2026 Requerimiento tiene dependencia del mantenimiento 2024-M0146_x000a_02/03/26: Según CQ, actualizó el estado a 10. Paralizado_x000a_15/09/25: Según CQ, actualizó el estado a 03. En Desarrollo_x000a_05/09/25: Se registró en el Backlog y se creó trámite."/>
    <s v="Operac."/>
    <s v="CaptacionesPagaduría"/>
    <s v="2025-08"/>
    <s v="2025-10"/>
    <s v="No definido"/>
    <x v="0"/>
    <s v="No definido"/>
    <m/>
    <m/>
    <m/>
    <m/>
    <m/>
    <s v="2025-IV"/>
    <s v="Sin Fecha Fin Producción"/>
    <s v="No Aplica"/>
    <m/>
    <s v="Iniciada,Iniciada"/>
    <x v="3"/>
    <d v="2026-02-27T10:59:42"/>
    <x v="0"/>
    <m/>
    <m/>
    <s v="Sin Fecha"/>
    <s v="Banca Movil"/>
    <s v="Canales Virtuales"/>
    <m/>
    <m/>
    <m/>
    <s v=""/>
    <s v="Sin Fecha"/>
    <s v="No definido"/>
    <m/>
    <x v="2"/>
    <s v="APP/Web"/>
    <n v="0.12"/>
    <s v="PRE"/>
    <s v="NO"/>
    <s v="03. En Desarrollo"/>
    <s v="No aplica"/>
    <x v="3"/>
    <s v=""/>
    <n v="0.12"/>
    <s v=""/>
    <s v=""/>
    <m/>
    <m/>
    <m/>
    <m/>
    <m/>
    <m/>
    <m/>
    <n v="25"/>
    <n v="0.1"/>
    <n v="200"/>
    <m/>
    <x v="3"/>
    <n v="0.9"/>
    <n v="1"/>
    <n v="24"/>
    <n v="8"/>
    <n v="192"/>
    <x v="0"/>
    <x v="0"/>
    <m/>
    <x v="0"/>
    <m/>
  </r>
  <r>
    <s v="M1220"/>
    <n v="3021"/>
    <x v="0"/>
    <s v="2025-T0728"/>
    <s v="2025-M0616"/>
    <s v="Implementación de las nuevas estructuras en los mensajes Swift en el sistema BankTrade (BNKT)"/>
    <m/>
    <x v="0"/>
    <s v="Internacional"/>
    <s v="Comercio Exterior"/>
    <d v="2025-09-04T00:00:00"/>
    <s v="MEMORANDO N° 00000034 - 2025-BN/3223"/>
    <s v="BNKT - Sistema de Comercio Exterior"/>
    <m/>
    <x v="1"/>
    <s v="No Aplica"/>
    <s v="Transferencias de recursos "/>
    <x v="1"/>
    <m/>
    <m/>
    <m/>
    <m/>
    <m/>
    <m/>
    <m/>
    <s v="Normal"/>
    <d v="2025-10-01T00:00:00"/>
    <s v="Sistemas Bancarios"/>
    <m/>
    <s v="Maribel Marlene Medina Molina"/>
    <s v="Junior Quicaño"/>
    <x v="1"/>
    <x v="1"/>
    <x v="0"/>
    <m/>
    <m/>
    <d v="2025-09-12T00:00:00"/>
    <d v="2025-11-03T00:00:00"/>
    <m/>
    <d v="2025-11-04T00:00:00"/>
    <d v="2025-11-28T00:00:00"/>
    <d v="2025-11-23T19:12:00"/>
    <d v="2026-01-07T00:00:00"/>
    <d v="2026-01-12T00:00:00"/>
    <d v="2025-11-30T19:12:00"/>
    <s v="13/01/26: Según CQ, actualizó el estado a 08. Producción Finalizada_x000a_12/01/26: Según CQ, actualizó el estado a 07. En Despliegue_x000a_12/01/26: Según CQ, actualizó el estado a 06. Calidad Finalizado_x000a_08/01/26: Según CQ, actualizó el estado a 07. En Despliegue_x000a_01/12/25: Según CQ, actualizó el estado a 06. Calidad Finalizado_x000a_04/11/25: Según CQ, actualizó el estado a 05. En Calidad_x000a_15/09/25: Según CQ, actualizó el estado a 03. En Desarrollo_x000a_05/09/25: Se registró en el Backlog y se creó trámite."/>
    <s v="Operac."/>
    <s v="Internacional"/>
    <s v="2025-09"/>
    <s v="2025-10"/>
    <s v="2025-11"/>
    <x v="4"/>
    <s v="2025-11"/>
    <m/>
    <m/>
    <m/>
    <m/>
    <m/>
    <s v="2025-IV"/>
    <n v="122"/>
    <n v="4.0666666666666664"/>
    <m/>
    <s v="Finalizada"/>
    <x v="1"/>
    <d v="2026-01-12T16:29:40"/>
    <x v="0"/>
    <m/>
    <m/>
    <s v="Culminado"/>
    <s v="BackOffice"/>
    <s v="Otros Requerimientos"/>
    <m/>
    <m/>
    <m/>
    <d v="2026-01-12T00:00:00"/>
    <s v="Culminado"/>
    <s v="Ene 2026"/>
    <m/>
    <x v="1"/>
    <m/>
    <n v="1"/>
    <s v="PRE"/>
    <s v="NO"/>
    <s v="03. En Desarrollo"/>
    <s v="No aplica"/>
    <x v="1"/>
    <n v="1"/>
    <n v="1"/>
    <n v="0"/>
    <n v="1"/>
    <d v="2025-09-12T00:00:00"/>
    <d v="2025-09-12T00:00:00"/>
    <d v="2025-11-03T00:00:00"/>
    <d v="2025-11-04T00:00:00"/>
    <d v="2025-11-28T00:00:00"/>
    <d v="2026-01-07T00:00:00"/>
    <d v="2026-01-16T00:00:00"/>
    <n v="36"/>
    <n v="1"/>
    <n v="200"/>
    <m/>
    <x v="1"/>
    <n v="0"/>
    <n v="36"/>
    <n v="0"/>
    <n v="288"/>
    <n v="0"/>
    <x v="9"/>
    <x v="0"/>
    <m/>
    <x v="0"/>
    <m/>
  </r>
  <r>
    <s v="M1221"/>
    <n v="3022"/>
    <x v="0"/>
    <s v="2025-T0730"/>
    <s v="2025-M0614"/>
    <s v="Gestion y Adecuacion del trratamiento de operaciones rechazadas con codigo 05 – “Do  Not Honor”"/>
    <m/>
    <x v="2"/>
    <s v="Canales Alternos"/>
    <s v="Canales Virtuales"/>
    <d v="2025-09-05T00:00:00"/>
    <s v="MEMORANDO N° 00000420 - 2025-BN/3252"/>
    <s v="INCA - Interfaz Cajeros automaticos"/>
    <m/>
    <x v="1"/>
    <s v="No Aplica"/>
    <s v="No aplica"/>
    <x v="2"/>
    <m/>
    <s v="SBS"/>
    <s v="Resolución SBS N° 6523 - 2013"/>
    <m/>
    <m/>
    <m/>
    <d v="2014-04-01T00:00:00"/>
    <s v="Normal"/>
    <d v="2025-10-01T00:00:00"/>
    <s v="Sistemas Bancarios"/>
    <m/>
    <s v="Vladimir Ronald Cajavilca Cajavilca"/>
    <s v="Junior Quicaño"/>
    <x v="1"/>
    <x v="1"/>
    <x v="0"/>
    <m/>
    <m/>
    <d v="2025-09-10T00:00:00"/>
    <m/>
    <m/>
    <m/>
    <m/>
    <s v=""/>
    <d v="2025-09-23T00:00:00"/>
    <d v="2026-01-13T00:00:00"/>
    <s v=""/>
    <s v="14/01/26: Según CQ, actualizó el estado a 08. Producción Finalizada_x000a_25/09/25: Según CQ, actualizó el estado a 07. En Despliegue_x000a_15/09/25: Según CQ, actualizó el estado a 03. En Desarrollo_x000a_08/09/25: Se registró en el Backlog y se creo tramite"/>
    <s v="B.Digital"/>
    <s v="CanalesAlternos"/>
    <s v="2025-09"/>
    <s v="2025-10"/>
    <s v="No definido"/>
    <x v="4"/>
    <s v="No definido"/>
    <m/>
    <m/>
    <m/>
    <m/>
    <m/>
    <s v="2025-IV"/>
    <n v="125"/>
    <n v="4.166666666666667"/>
    <m/>
    <s v="Finalizada"/>
    <x v="6"/>
    <d v="2026-04-15T14:04:13"/>
    <x v="0"/>
    <m/>
    <m/>
    <s v="Culminado"/>
    <s v="ATM-Agentes-VISA"/>
    <s v="Canales Presenciales"/>
    <m/>
    <m/>
    <m/>
    <d v="2026-01-13T00:00:00"/>
    <s v="Culminado"/>
    <s v="Ene 2026"/>
    <m/>
    <x v="1"/>
    <m/>
    <n v="1"/>
    <s v="PRE"/>
    <s v="NO"/>
    <s v="07. En Despliegue"/>
    <s v="No aplica"/>
    <x v="1"/>
    <n v="1"/>
    <n v="1"/>
    <n v="0"/>
    <n v="1"/>
    <d v="2025-09-10T00:00:00"/>
    <d v="2025-09-10T00:00:00"/>
    <s v=""/>
    <s v=""/>
    <s v=""/>
    <d v="2025-09-23T00:00:00"/>
    <d v="2026-01-13T00:00:00"/>
    <n v="25"/>
    <n v="0.1"/>
    <n v="200"/>
    <m/>
    <x v="1"/>
    <n v="0.9"/>
    <n v="1"/>
    <n v="24"/>
    <n v="8"/>
    <n v="192"/>
    <x v="9"/>
    <x v="0"/>
    <m/>
    <x v="0"/>
    <m/>
  </r>
  <r>
    <s v="M1226"/>
    <n v="3030"/>
    <x v="0"/>
    <s v="2025-T0739"/>
    <s v="2025-M0623"/>
    <s v="Pruebas validación CCI- DNI Pago de Proveedores  "/>
    <m/>
    <x v="0"/>
    <s v="Captaciones y Pagaduría"/>
    <s v="Sistema de Pagos"/>
    <d v="2025-02-27T00:00:00"/>
    <s v="MEMORANDO N° 00000031 -2025-BN/3116"/>
    <s v="DPAH- Deposito de Ahorros MN"/>
    <m/>
    <x v="1"/>
    <s v="Cuenta de Ahorros"/>
    <s v="No aplica"/>
    <x v="0"/>
    <m/>
    <s v="No Aplica"/>
    <s v="No Aplica"/>
    <s v="No Aplica"/>
    <s v="No Aplica"/>
    <s v="No Aplica"/>
    <s v="No Aplica"/>
    <s v="Normal"/>
    <d v="2025-10-01T00:00:00"/>
    <s v="Sistemas Bancarios"/>
    <s v="FS-Olssa"/>
    <s v="Norma Fukunaga Fuentes"/>
    <s v="Junior Quicaño"/>
    <x v="6"/>
    <x v="4"/>
    <x v="0"/>
    <m/>
    <d v="2025-11-03T00:00:00"/>
    <d v="2025-09-15T00:00:00"/>
    <d v="2025-12-01T00:00:00"/>
    <d v="2025-12-31T00:00:00"/>
    <d v="2025-12-15T00:00:00"/>
    <d v="2026-02-02T00:00:00"/>
    <d v="2026-02-11T19:12:00"/>
    <m/>
    <m/>
    <d v="2026-02-18T19:12:00"/>
    <s v="03/02/26: Según CQ, actualizó el estado a 06. Calidad Finalizado_x000a_16/12/25: Según CQ, actualizó el estado a 05. En Calidad_x000a_02/12/25: Según CQ, actualizó el estado a 04. Desarrollo Finalizado_x000a_16/09/25: Según CQ, actualizó el estado a 03. En Desarrollo_x000a_12/09/25: Se registró en el Backlog"/>
    <s v="Operac."/>
    <s v="CaptacionesPagaduría"/>
    <s v="2025-02"/>
    <s v="2025-10"/>
    <s v="2025-12"/>
    <x v="0"/>
    <s v="2026-02"/>
    <m/>
    <m/>
    <m/>
    <m/>
    <m/>
    <s v="2025-IV"/>
    <s v="Sin Fecha Fin Producción"/>
    <s v="No Aplica"/>
    <m/>
    <s v="Finalizada"/>
    <x v="7"/>
    <d v="2026-03-25T17:18:12"/>
    <x v="0"/>
    <m/>
    <m/>
    <s v="Vencida"/>
    <s v="BackOffice"/>
    <s v="Otros Requerimientos"/>
    <m/>
    <m/>
    <m/>
    <s v=""/>
    <s v="Sin Fecha"/>
    <s v="No definido"/>
    <m/>
    <x v="2"/>
    <m/>
    <n v="0.85"/>
    <s v="PRE"/>
    <s v="NO"/>
    <s v="03. En Desarrollo"/>
    <s v="SI"/>
    <x v="2"/>
    <n v="1"/>
    <n v="0.85"/>
    <n v="0.15000000000000002"/>
    <n v="0.85"/>
    <d v="2025-09-15T00:00:00"/>
    <d v="2025-09-15T00:00:00"/>
    <d v="2025-12-01T00:00:00"/>
    <d v="2025-12-15T00:00:00"/>
    <d v="2026-02-02T00:00:00"/>
    <d v="2026-02-19T00:00:00"/>
    <d v="2026-03-27T00:00:00"/>
    <n v="55"/>
    <n v="1"/>
    <n v="200"/>
    <m/>
    <x v="5"/>
    <n v="0"/>
    <n v="55"/>
    <n v="0"/>
    <n v="440"/>
    <n v="0"/>
    <x v="4"/>
    <x v="0"/>
    <s v="-25/03/2026: Se adjunta correo de usuario (24/03/2026) donde indica se encuentra a la espera de respuesta por parte del MEF._x000a_24/03: Se envió correo al usuario con fecha límite para mañana 25/03._x000a_'18/03: Pendiente de respuesta de usuario."/>
    <x v="4"/>
    <m/>
  </r>
  <r>
    <s v="M1228"/>
    <n v="3032"/>
    <x v="0"/>
    <s v="2025-T0745"/>
    <s v="2025-M0626"/>
    <s v="Alojamiento recaudación y cobros de comisión Notas de Abono Ministerio de Trabajo"/>
    <m/>
    <x v="0"/>
    <s v="Servicios Bancarios y Recaudación"/>
    <s v="Recaudación y Corresponsalía"/>
    <d v="2025-09-15T00:00:00"/>
    <s v="MEMORANDO N° 00000215 -2025-BN/3243"/>
    <s v="REPA- Recaudacion Proceso Batch"/>
    <m/>
    <x v="1"/>
    <s v="No Aplica"/>
    <s v="Servicios Bancarios Diversos "/>
    <x v="0"/>
    <m/>
    <s v="No Aplica"/>
    <s v="No Aplica"/>
    <s v="No Aplica"/>
    <s v="No Aplica"/>
    <s v="No Aplica"/>
    <s v="No Aplica"/>
    <s v="Normal"/>
    <d v="2025-10-01T00:00:00"/>
    <s v="Sistemas Bancarios"/>
    <s v="Analista-BN"/>
    <s v="Jorge Lucio Ruedas Fernandez"/>
    <s v="Junior Quicaño"/>
    <x v="0"/>
    <x v="0"/>
    <x v="0"/>
    <m/>
    <d v="2025-11-03T00:00:00"/>
    <d v="2026-01-09T00:00:00"/>
    <d v="2026-01-09T00:00:00"/>
    <d v="2025-12-31T00:00:00"/>
    <m/>
    <m/>
    <d v="2025-12-27T09:36:00"/>
    <m/>
    <m/>
    <d v="2026-01-03T09:36:00"/>
    <s v="12/01/26: Según CQ, actualizó el estado a 09. Descartado_x000a_18/09/25: Según CQ, actualizó el estado a 03. En Desarrollo_x000a_16/09/25: Se registró en el Backlog_x000a_16/09/25: Se creo Tramite"/>
    <s v="Operac."/>
    <s v="BancariosRecaudación"/>
    <s v="2025-09"/>
    <s v="2025-10"/>
    <s v="2026-01"/>
    <x v="0"/>
    <s v="2026-01"/>
    <m/>
    <m/>
    <m/>
    <m/>
    <m/>
    <s v="2025-IV"/>
    <s v="Sin Fecha Fin Producción"/>
    <s v="No Aplica"/>
    <m/>
    <s v="Finalizada"/>
    <x v="0"/>
    <d v="2026-01-09T12:09:44"/>
    <x v="0"/>
    <m/>
    <m/>
    <s v="Vencida"/>
    <s v="BackOffice"/>
    <s v="Otros Requerimientos"/>
    <m/>
    <m/>
    <m/>
    <s v=""/>
    <s v="Sin Fecha"/>
    <s v="No definido"/>
    <m/>
    <x v="0"/>
    <m/>
    <n v="-0.01"/>
    <s v="PRE"/>
    <s v="NO"/>
    <s v="03. En Desarrollo"/>
    <s v="No aplica"/>
    <x v="0"/>
    <s v=""/>
    <n v="-0.01"/>
    <s v=""/>
    <s v=""/>
    <m/>
    <m/>
    <m/>
    <m/>
    <m/>
    <m/>
    <m/>
    <n v="25"/>
    <n v="0.1"/>
    <n v="200"/>
    <m/>
    <x v="0"/>
    <n v="0.9"/>
    <n v="1"/>
    <n v="24"/>
    <n v="8"/>
    <n v="192"/>
    <x v="0"/>
    <x v="0"/>
    <m/>
    <x v="0"/>
    <m/>
  </r>
  <r>
    <s v="M1232"/>
    <n v="3036"/>
    <x v="0"/>
    <s v="2025-T0750"/>
    <s v="2025-M0629"/>
    <s v="Migración de Jornal histórico de servidores EJM a servidores"/>
    <m/>
    <x v="2"/>
    <s v="Canales Alternos"/>
    <s v="Canales Presenciales"/>
    <m/>
    <s v="MEMORANDO N° 00000345 - 2025-BN/3251"/>
    <s v="STRA - Proyecto de Stratus"/>
    <m/>
    <x v="5"/>
    <s v="No Aplica"/>
    <s v="No aplica"/>
    <x v="1"/>
    <m/>
    <m/>
    <m/>
    <m/>
    <m/>
    <m/>
    <m/>
    <s v="Normal"/>
    <d v="2025-10-01T00:00:00"/>
    <s v="Sistemas Bancarios"/>
    <m/>
    <s v="Vladimir Ronald Cajavilca Cajavilca"/>
    <s v="Omar Sarmiento"/>
    <x v="5"/>
    <x v="4"/>
    <x v="0"/>
    <m/>
    <m/>
    <d v="2025-09-17T00:00:00"/>
    <m/>
    <m/>
    <m/>
    <m/>
    <s v=""/>
    <m/>
    <m/>
    <s v=""/>
    <s v="30/12/2025: Cartera reasignada a Omar Sarmiento_x000a_19/09/25: Según CQ, actualizó el estado a 03. En Desarrollo_x000a_17/09/25: Se registro en Backlog_x000a_17/09/25: Se creo Trámite"/>
    <s v="B.Digital"/>
    <s v="CanalesAlternos"/>
    <s v="No definido"/>
    <s v="2025-10"/>
    <s v="No definido"/>
    <x v="0"/>
    <s v="No definido"/>
    <m/>
    <m/>
    <m/>
    <m/>
    <m/>
    <s v="2025-IV"/>
    <s v="Sin Fecha Fin Producción"/>
    <s v="No Aplica"/>
    <m/>
    <s v="Iniciada"/>
    <x v="5"/>
    <d v="2025-09-17T15:10:11"/>
    <x v="0"/>
    <m/>
    <m/>
    <s v="Sin Fecha"/>
    <s v="ATM-Agentes-VISA"/>
    <s v="Canales Presenciales"/>
    <m/>
    <m/>
    <m/>
    <s v=""/>
    <s v="Sin Fecha"/>
    <s v="No definido"/>
    <m/>
    <x v="2"/>
    <s v="ATM"/>
    <n v="0.25"/>
    <s v="PRE"/>
    <s v="NO"/>
    <s v="03. En Desarrollo"/>
    <s v="SI"/>
    <x v="2"/>
    <n v="1"/>
    <n v="0.25"/>
    <n v="0.75"/>
    <n v="0.25"/>
    <d v="2025-11-03T00:00:00"/>
    <d v="2026-03-02T00:00:00"/>
    <d v="2026-03-28T00:00:00"/>
    <d v="2026-03-27T00:00:00"/>
    <d v="2026-04-02T00:00:00"/>
    <d v="2026-04-06T00:00:00"/>
    <d v="2026-04-10T00:00:00"/>
    <n v="20"/>
    <n v="1"/>
    <n v="14.545454545454547"/>
    <s v="BD"/>
    <x v="2"/>
    <n v="0"/>
    <n v="20"/>
    <n v="0"/>
    <n v="14.545454545454547"/>
    <n v="0"/>
    <x v="1"/>
    <x v="0"/>
    <m/>
    <x v="0"/>
    <m/>
  </r>
  <r>
    <s v="M1239"/>
    <n v="3042"/>
    <x v="0"/>
    <s v="2025-T0761"/>
    <s v="2025-M0640"/>
    <s v="Generación masiva de Estados de Cuenta Alimentista"/>
    <m/>
    <x v="0"/>
    <s v="Servicios Bancarios y Recaudación"/>
    <s v="Depósitos Judiciales y Administrativos"/>
    <d v="2025-09-15T00:00:00"/>
    <s v="MEMORANDO N° 00000206 -2025-BN/3212"/>
    <s v="ECAI_Estado de Cuentas de Ahorro Intranet"/>
    <m/>
    <x v="1"/>
    <s v="Depósitos Judiciales y Administrativos"/>
    <s v="No aplica"/>
    <x v="0"/>
    <m/>
    <s v="No Aplica"/>
    <s v="No Aplica"/>
    <s v="No Aplica"/>
    <s v="No Aplica"/>
    <s v="No Aplica"/>
    <s v="No Aplica"/>
    <s v="Normal"/>
    <d v="2025-10-01T00:00:00"/>
    <s v="Sistemas Bancarios"/>
    <s v="Analista-BN"/>
    <s v="Norma Fukunaga Fuentes/Luis Enrique Almeyda Pachas"/>
    <s v="Junior Quicaño"/>
    <x v="0"/>
    <x v="0"/>
    <x v="0"/>
    <m/>
    <d v="2025-11-03T00:00:00"/>
    <d v="2025-09-23T00:00:00"/>
    <m/>
    <d v="2026-01-30T00:00:00"/>
    <m/>
    <m/>
    <d v="2026-03-22T14:24:00"/>
    <m/>
    <m/>
    <d v="2026-03-29T14:24:00"/>
    <s v="06/02/26: Según CQ, actualizó el estado a 09. Descartado_x000a_02/10/25: Según CQ, actualizó el estado a 03. En Desarrollo_x000a_22/09/25: Se registró en Backlog_x000a_22/09/25: Se creo tiramite"/>
    <s v="Operac."/>
    <s v="BancariosRecaudación"/>
    <s v="2025-09"/>
    <s v="2025-10"/>
    <s v="No definido"/>
    <x v="0"/>
    <s v="2026-03"/>
    <m/>
    <m/>
    <m/>
    <m/>
    <m/>
    <s v="2025-IV"/>
    <s v="Sin Fecha Fin Producción"/>
    <s v="No Aplica"/>
    <m/>
    <s v="Descartada,Descartada"/>
    <x v="0"/>
    <d v="2026-02-05T09:40:15"/>
    <x v="0"/>
    <m/>
    <m/>
    <s v="Vencida"/>
    <s v="BackOffice"/>
    <s v="Otros Requerimientos"/>
    <m/>
    <m/>
    <m/>
    <s v=""/>
    <s v="Sin Fecha"/>
    <s v="No definido"/>
    <m/>
    <x v="0"/>
    <m/>
    <n v="-0.01"/>
    <s v="PRE"/>
    <s v="NO"/>
    <s v="03. En Desarrollo"/>
    <s v="No aplica"/>
    <x v="0"/>
    <s v=""/>
    <n v="-0.01"/>
    <s v=""/>
    <s v=""/>
    <m/>
    <m/>
    <m/>
    <m/>
    <m/>
    <m/>
    <m/>
    <n v="25"/>
    <n v="0.1"/>
    <n v="200"/>
    <m/>
    <x v="0"/>
    <n v="0.9"/>
    <n v="1"/>
    <n v="24"/>
    <n v="8"/>
    <n v="192"/>
    <x v="0"/>
    <x v="0"/>
    <m/>
    <x v="0"/>
    <m/>
  </r>
  <r>
    <s v="M1241"/>
    <n v="3052"/>
    <x v="0"/>
    <s v="2025-T0766"/>
    <s v="2025-M0646"/>
    <s v="Elaboración de reportes con información de los aportes privados cuenta recaudadora tipo 54"/>
    <m/>
    <x v="0"/>
    <s v="Captaciones y Pagaduría"/>
    <s v="Administración de Cuentas y Pagaduría"/>
    <d v="2025-06-11T00:00:00"/>
    <s v="MEMORANDO N° 00000017 -2025-BN/3190"/>
    <s v="SICT-Sistema de Informacón de Cuentas Corrientes"/>
    <m/>
    <x v="0"/>
    <s v="Cuenta Corriente "/>
    <s v="No aplica"/>
    <x v="0"/>
    <m/>
    <m/>
    <m/>
    <m/>
    <m/>
    <m/>
    <m/>
    <s v="Normal"/>
    <d v="2025-10-01T00:00:00"/>
    <s v="Sistemas Bancarios"/>
    <s v="Analista-BN"/>
    <s v="Eduardo Saul Cardenas Manrique"/>
    <s v="Junior Quicaño"/>
    <x v="1"/>
    <x v="1"/>
    <x v="0"/>
    <m/>
    <m/>
    <d v="2025-09-26T00:00:00"/>
    <d v="2025-12-17T00:00:00"/>
    <m/>
    <d v="2025-12-22T00:00:00"/>
    <d v="2026-01-09T00:00:00"/>
    <d v="2026-01-18T19:12:00"/>
    <d v="2026-01-14T00:00:00"/>
    <d v="2026-01-21T00:00:00"/>
    <d v="2026-01-25T19:12:00"/>
    <s v="26/01/26: Según CQ, actualizó el estado a 08. Producción Finalizada_x000a_15/01/26: Según CQ, actualizó el estado a 07. En Despliegue_x000a_12/01/26: Según CQ, actualizó el estado a 06. Calidad Finalizado_x000a_24/12/25: Según CQ, actualizó el estado a 05. En Calidad_x000a_18/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2/10/25: Según CQ, actualizó el estado a 03. En Desarrollo_x000a_25/09/25: Se registró en Backlog_x000a_25/09/25: Se creo tramite_x000a_Se han concordado emitir los reportes, sin hacer ninguna variación de los programas, que originan los datos a ser impresos en los reportes solicitados._x000a_"/>
    <s v="Operac."/>
    <s v="CaptacionesPagaduría"/>
    <s v="2025-06"/>
    <s v="2025-10"/>
    <s v="2025-12"/>
    <x v="4"/>
    <s v="2026-01"/>
    <m/>
    <m/>
    <m/>
    <m/>
    <m/>
    <s v="2025-IV"/>
    <n v="117"/>
    <n v="3.9"/>
    <m/>
    <s v="Finalizada"/>
    <x v="1"/>
    <d v="2026-01-21T11:35:42"/>
    <x v="0"/>
    <m/>
    <m/>
    <s v="Culminado"/>
    <s v="BackOffice"/>
    <s v="Otros Requerimientos"/>
    <m/>
    <m/>
    <m/>
    <d v="2026-01-21T00:00:00"/>
    <s v="Culminado"/>
    <s v="Ene 2026"/>
    <m/>
    <x v="1"/>
    <m/>
    <n v="1"/>
    <s v="POST"/>
    <s v="REACTIVADO"/>
    <s v="Reactivo"/>
    <s v="No aplica"/>
    <x v="1"/>
    <n v="1"/>
    <n v="1"/>
    <n v="0"/>
    <n v="1"/>
    <d v="2025-09-26T00:00:00"/>
    <d v="2025-09-26T00:00:00"/>
    <d v="2025-12-17T00:00:00"/>
    <d v="2025-12-22T00:00:00"/>
    <d v="2026-01-09T00:00:00"/>
    <d v="2026-01-14T00:00:00"/>
    <d v="2026-02-06T00:00:00"/>
    <n v="57"/>
    <n v="1"/>
    <n v="200"/>
    <m/>
    <x v="1"/>
    <n v="0"/>
    <n v="57"/>
    <n v="0"/>
    <n v="456"/>
    <n v="0"/>
    <x v="11"/>
    <x v="0"/>
    <m/>
    <x v="0"/>
    <m/>
  </r>
  <r>
    <s v="M1243"/>
    <n v="3059"/>
    <x v="0"/>
    <s v="2025-T0770"/>
    <s v="2025-M0649"/>
    <s v="CODIFICACION DE PROGRAMAS EXTRACTORES POR PEDIDO  ADICIONAL DE OPLAFT"/>
    <m/>
    <x v="8"/>
    <s v="Construcción de Aplicaciones"/>
    <s v="Sistemas Bancarios"/>
    <m/>
    <m/>
    <s v="TPCT-Sistema Transaccional TP"/>
    <m/>
    <x v="1"/>
    <s v="No Aplica"/>
    <s v="No aplica"/>
    <x v="0"/>
    <m/>
    <m/>
    <m/>
    <m/>
    <m/>
    <m/>
    <m/>
    <s v="Regularizado"/>
    <d v="2025-10-01T00:00:00"/>
    <s v="Sistemas Bancarios"/>
    <m/>
    <s v="Jorge Enrique Ruiz Torres"/>
    <s v="Tomas Calvera"/>
    <x v="4"/>
    <x v="4"/>
    <x v="0"/>
    <m/>
    <m/>
    <d v="2025-09-29T00:00:00"/>
    <d v="2025-11-30T00:00:00"/>
    <m/>
    <d v="2025-12-03T00:00:00"/>
    <d v="2025-12-20T00:00:00"/>
    <d v="2025-12-24T19:12:00"/>
    <d v="2026-01-14T00:00:00"/>
    <m/>
    <d v="2025-12-31T19:12:00"/>
    <s v="04/02/2026: Cartera reasignada a Tomas Calvera_x000a_16/01/26: Según CQ, actualizó el estado a 07. En Despliegue_x000a_16/01/2026: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2/10/25: Según CQ, actualizó el estado a 03. En Desarrollo_x000a_01/10/25: Se regularizó su registró en el Backlog."/>
    <s v="TI"/>
    <s v="ConstrucciónAplicaciones"/>
    <s v="No definido"/>
    <s v="2025-10"/>
    <s v="2025-11"/>
    <x v="0"/>
    <s v="2025-12"/>
    <m/>
    <m/>
    <m/>
    <m/>
    <m/>
    <s v="2025-IV"/>
    <s v="Sin Fecha Fin Producción"/>
    <s v="No Aplica"/>
    <m/>
    <s v="Finalizada"/>
    <x v="8"/>
    <d v="2026-01-14T17:55:47"/>
    <x v="0"/>
    <m/>
    <m/>
    <s v="Vencida"/>
    <s v="Sin Aplicativo"/>
    <s v="Sin Aplicativo"/>
    <m/>
    <m/>
    <m/>
    <s v=""/>
    <s v="Sin Fecha"/>
    <s v="No definido"/>
    <m/>
    <x v="2"/>
    <m/>
    <n v="0.9"/>
    <s v="POST"/>
    <s v="REACTIVADO 26"/>
    <s v="Reactivo"/>
    <s v="SI"/>
    <x v="2"/>
    <n v="1"/>
    <n v="0.9"/>
    <n v="9.9999999999999978E-2"/>
    <n v="0.9"/>
    <d v="2025-09-29T00:00:00"/>
    <d v="2025-09-29T00:00:00"/>
    <d v="2025-11-30T00:00:00"/>
    <d v="2025-12-03T00:00:00"/>
    <d v="2025-12-20T00:00:00"/>
    <d v="2026-01-14T00:00:00"/>
    <d v="2026-03-27T00:00:00"/>
    <n v="44"/>
    <n v="1"/>
    <n v="200"/>
    <m/>
    <x v="4"/>
    <n v="0"/>
    <n v="44"/>
    <n v="0"/>
    <n v="352"/>
    <n v="0"/>
    <x v="4"/>
    <x v="0"/>
    <s v="17/03/26: Se pidió que pasara a procesado el 17/03/26, pero aún no se hace. Armando ya le pidió a Miriam que lo haga."/>
    <x v="2"/>
    <m/>
  </r>
  <r>
    <s v="M1246"/>
    <n v="3062"/>
    <x v="0"/>
    <s v="2025-T0774"/>
    <s v="2025-M0652"/>
    <s v="Facturacion Electronica .- Creacion de una interfase ( constituida por 3 archivos textos) desde el aplicativo de GIROS  hacia el respositorio de comprobantes de pagos -complementario"/>
    <m/>
    <x v="0"/>
    <s v="Servicios Bancarios y Recaudación"/>
    <s v="Recaudación y Corresponsalía"/>
    <m/>
    <m/>
    <s v="GTGI-Giros y Transferencias Moneda Nacional"/>
    <s v="Facturación Electrónica - I"/>
    <x v="2"/>
    <s v="No Aplica"/>
    <s v="Giros "/>
    <x v="2"/>
    <m/>
    <s v="SUNAT"/>
    <s v="R.S. N° 193-2020/SUNAT"/>
    <m/>
    <m/>
    <m/>
    <d v="2023-12-31T00:00:00"/>
    <s v="Regularizado"/>
    <d v="2025-10-01T00:00:00"/>
    <s v="Sistemas Bancarios"/>
    <m/>
    <s v="Waldo Antonio Basurto Valverde"/>
    <s v="Juan Carlos Zavaleta"/>
    <x v="1"/>
    <x v="1"/>
    <x v="0"/>
    <m/>
    <m/>
    <d v="2025-09-29T00:00:00"/>
    <d v="2025-10-03T00:00:00"/>
    <m/>
    <d v="2025-10-09T00:00:00"/>
    <d v="2026-01-19T00:00:00"/>
    <d v="2025-10-04T14:24:00"/>
    <d v="2026-02-17T00:00:00"/>
    <d v="2026-03-25T00:00:00"/>
    <d v="2025-10-11T14:24:00"/>
    <s v="27/03/26: Según CQ, actualizó el estado a 08. Producción Finalizada_x000a_19/02/26: Según CQ, actualizó el estado a 07. En Despliegue_x000a_21/01/26: Según CQ, actualizó el estado a 06. Calidad Finalizado_x000a_15/01/26: Según CQ, actualizó el estado a 04. Desarrollo Finalizado_x000a_05/01/26: Según CQ, actualizó el estado a 03. En Desarrollo_x000a_09/10/25: Según CQ, actualizó el estado a 05. En Calidad_x000a_03/10/25: Según CQ, actualizó el estado a 04. Desarrollo Finalizado_x000a_02/10/25: Según CQ, actualizó el estado a 03. En Desarrollo_x000a_01/10/25: Se regularizó su registró en el Backlog."/>
    <s v="Operac."/>
    <s v="BancariosRecaudación"/>
    <s v="No definido"/>
    <s v="2025-10"/>
    <s v="2025-10"/>
    <x v="2"/>
    <s v="2025-10"/>
    <m/>
    <m/>
    <m/>
    <m/>
    <m/>
    <s v="2025-IV"/>
    <n v="177"/>
    <n v="5.9"/>
    <m/>
    <s v="Finalizada"/>
    <x v="1"/>
    <d v="2026-04-13T10:55:30"/>
    <x v="0"/>
    <m/>
    <m/>
    <s v="Culminado"/>
    <s v="BackOffice"/>
    <s v="Otros Requerimientos"/>
    <m/>
    <m/>
    <m/>
    <d v="2026-03-25T00:00:00"/>
    <s v="Culminado"/>
    <s v="Mar 2026"/>
    <m/>
    <x v="1"/>
    <m/>
    <n v="1"/>
    <s v="PRE"/>
    <s v="NO"/>
    <s v="05. En Calidad"/>
    <s v="No aplica"/>
    <x v="1"/>
    <n v="1"/>
    <n v="1"/>
    <n v="0"/>
    <n v="1"/>
    <d v="2026-01-15T00:00:00"/>
    <d v="2026-01-15T00:00:00"/>
    <d v="2026-01-30T00:00:00"/>
    <d v="2026-02-02T00:00:00"/>
    <d v="2026-03-02T00:00:00"/>
    <d v="2026-03-03T00:00:00"/>
    <d v="2026-03-27T00:00:00"/>
    <n v="12"/>
    <n v="1"/>
    <n v="200"/>
    <m/>
    <x v="1"/>
    <n v="0"/>
    <n v="12"/>
    <n v="0"/>
    <n v="96"/>
    <n v="0"/>
    <x v="4"/>
    <x v="0"/>
    <m/>
    <x v="0"/>
    <m/>
  </r>
  <r>
    <s v="M1247"/>
    <n v="3063"/>
    <x v="0"/>
    <s v="2025-T0762"/>
    <s v="2025-M0639"/>
    <s v="MC:Factores de Seguridad Banca Empresarial - cambio de clave de 6 dígitos"/>
    <m/>
    <x v="0"/>
    <s v="Captaciones y Pagaduría"/>
    <s v="Apertura de Cuentas"/>
    <d v="2025-09-15T00:00:00"/>
    <s v="MEMORANDO N° 00000040 - 2025-BN/3190"/>
    <s v="MVPE-Multired Virtual para Empresas"/>
    <m/>
    <x v="11"/>
    <s v="Cuenta de Ahorros"/>
    <s v="No aplica"/>
    <x v="0"/>
    <m/>
    <s v="No Aplica"/>
    <s v="No Aplica"/>
    <s v="No Aplica"/>
    <s v="No Aplica"/>
    <s v="No Aplica"/>
    <s v="No Aplica"/>
    <s v="Regularizado"/>
    <d v="2025-10-01T00:00:00"/>
    <s v="Sistemas Bancarios"/>
    <s v="FS-Olssa"/>
    <s v="Eduardo Saul Cardenas Manrique"/>
    <s v="Junior Quicaño"/>
    <x v="5"/>
    <x v="4"/>
    <x v="0"/>
    <m/>
    <d v="2025-11-03T00:00:00"/>
    <d v="2025-09-22T00:00:00"/>
    <m/>
    <d v="2025-12-31T00:00:00"/>
    <m/>
    <m/>
    <d v="2026-02-09T00:00:00"/>
    <m/>
    <m/>
    <d v="2026-02-16T00:00:00"/>
    <s v="02/10/25: Según CQ, actualizó el estado a 03. En Desarrollo_x000a_01/10/25: Se regularizó su registró en el Backlog."/>
    <s v="Operac."/>
    <s v="CaptacionesPagaduría"/>
    <s v="2025-09"/>
    <s v="2025-10"/>
    <s v="No definido"/>
    <x v="0"/>
    <s v="2026-02"/>
    <m/>
    <m/>
    <m/>
    <m/>
    <m/>
    <s v="2025-IV"/>
    <s v="Sin Fecha Fin Producción"/>
    <s v="No Aplica"/>
    <m/>
    <s v="Iniciada"/>
    <x v="5"/>
    <d v="2025-09-22T18:46:59"/>
    <x v="0"/>
    <m/>
    <m/>
    <s v="Vencida"/>
    <s v="Banca Empresarial"/>
    <s v="Canales Virtuales"/>
    <m/>
    <m/>
    <m/>
    <s v=""/>
    <s v="Sin Fecha"/>
    <s v="No definido"/>
    <m/>
    <x v="2"/>
    <m/>
    <n v="0.39"/>
    <s v="PRE"/>
    <s v="NO"/>
    <s v="03. En Desarrollo"/>
    <s v="SI"/>
    <x v="4"/>
    <n v="0.45238095238095238"/>
    <n v="0.39"/>
    <n v="6.238095238095237E-2"/>
    <n v="0.86210526315789471"/>
    <d v="2025-09-22T00:00:00"/>
    <d v="2026-03-02T00:00:00"/>
    <d v="2026-05-25T00:00:00"/>
    <d v="2026-05-26T00:00:00"/>
    <d v="2026-07-31T00:00:00"/>
    <d v="2026-08-03T00:00:00"/>
    <d v="2026-08-28T00:00:00"/>
    <n v="60"/>
    <n v="0.93442622950819676"/>
    <n v="68.571428571428569"/>
    <m/>
    <x v="2"/>
    <n v="6.557377049180324E-2"/>
    <n v="56"/>
    <n v="4"/>
    <n v="64"/>
    <n v="4.5714285714285712"/>
    <x v="5"/>
    <x v="0"/>
    <m/>
    <x v="0"/>
    <m/>
  </r>
  <r>
    <s v="M1252"/>
    <n v="2966"/>
    <x v="0"/>
    <s v="2025-T0794"/>
    <s v="2025-M0675"/>
    <s v="Script para reporte de transacciones por tipo, hora y canal digital App y Multired."/>
    <m/>
    <x v="2"/>
    <s v="Canales Alternos"/>
    <s v="Canales Virtuales"/>
    <d v="2025-07-23T00:00:00"/>
    <s v="MEMORANDO N° 00000308 - 2025-BN/3252"/>
    <s v="SABM - Sistema Atencion Banca Movil"/>
    <m/>
    <x v="8"/>
    <s v="No Aplica"/>
    <s v="No aplica"/>
    <x v="0"/>
    <m/>
    <m/>
    <m/>
    <m/>
    <m/>
    <m/>
    <m/>
    <s v="Normal"/>
    <d v="2025-11-11T00:00:00"/>
    <s v="Soluciones Digitales"/>
    <m/>
    <s v="Juan Carlos Cordova Inga"/>
    <s v="Omar Sarmiento"/>
    <x v="7"/>
    <x v="4"/>
    <x v="3"/>
    <m/>
    <m/>
    <d v="2025-10-15T00:00:00"/>
    <d v="2026-04-24T00:00:00"/>
    <m/>
    <d v="2026-05-05T00:00:00"/>
    <m/>
    <d v="2026-07-09T09:36:00"/>
    <m/>
    <m/>
    <d v="2026-07-16T09:36:00"/>
    <s v="05/05/26: Según CQ, actualizó el estado a 05. En Calidad_x000a_24/04/26: Según CQ, actualizó el estado a 04. Desarrollo Finalizado_x000a_27/03/2026 Se solicito a Joan Ponce una fecha concreta para iniciar las pruebas de desarrollo._x000a_25/02/2026 Se solicitó al área usuaria dar conformidad a los scripts para culminar la etapa de desarrollo_x000a_30/12/2025: Cartera reasignada a Omar Sarmiento_x000a_30/10/25: Según CQ, actualizó el estado a 03. En Desarrollo_x000a_05/08/2025: Se registró en el Backlog_x000a_13/10/2025; Se creo Tramite"/>
    <s v="B.Digital"/>
    <s v="CanalesAlternos"/>
    <s v="2025-07"/>
    <s v="2025-11"/>
    <s v="2026-04"/>
    <x v="0"/>
    <s v="2026-07"/>
    <m/>
    <m/>
    <m/>
    <m/>
    <m/>
    <s v="2025-IV"/>
    <s v="Sin Fecha Fin Producción"/>
    <s v="No Aplica"/>
    <m/>
    <s v="Finalizada"/>
    <x v="11"/>
    <d v="2026-05-05T09:44:18"/>
    <x v="0"/>
    <m/>
    <m/>
    <s v="2026-Q3"/>
    <s v="Banca Movil"/>
    <s v="Canales Virtuales"/>
    <m/>
    <m/>
    <m/>
    <d v="2026-07-16T09:36:00"/>
    <s v="2026-3"/>
    <s v="Jul 2026"/>
    <m/>
    <x v="2"/>
    <m/>
    <n v="0.7"/>
    <s v="POST"/>
    <s v="NO"/>
    <m/>
    <s v="SI"/>
    <x v="2"/>
    <n v="0.91935483870967738"/>
    <n v="0.7"/>
    <n v="0.21935483870967742"/>
    <n v="0.76140350877192986"/>
    <d v="2025-11-03T00:00:00"/>
    <d v="2026-03-02T00:00:00"/>
    <d v="2026-03-27T00:00:00"/>
    <d v="2026-03-30T00:00:00"/>
    <d v="2026-04-29T00:00:00"/>
    <d v="2026-04-30T00:00:00"/>
    <d v="2026-05-27T00:00:00"/>
    <n v="20"/>
    <n v="1"/>
    <n v="200"/>
    <m/>
    <x v="5"/>
    <n v="0"/>
    <n v="20"/>
    <n v="0"/>
    <n v="160"/>
    <n v="0"/>
    <x v="8"/>
    <x v="0"/>
    <m/>
    <x v="0"/>
    <m/>
  </r>
  <r>
    <s v="M1258"/>
    <n v="3037"/>
    <x v="0"/>
    <s v="2025-T0752"/>
    <s v="2025-M0660"/>
    <s v="Retiro de las transacciones de Telefónica 3270-3280 Saraweb"/>
    <m/>
    <x v="0"/>
    <s v="Servicios Bancarios y Recaudación"/>
    <s v="Recaudación y Corresponsalía"/>
    <d v="2025-09-17T00:00:00"/>
    <s v="MEMORANDO N° 00000210 -2025-BN/3243"/>
    <s v="CRHP-Sistema Creditos Hipotecarios"/>
    <m/>
    <x v="2"/>
    <s v="No Aplica"/>
    <s v="No aplica"/>
    <x v="0"/>
    <m/>
    <s v="No Aplica"/>
    <s v="No Aplica"/>
    <s v="No Aplica"/>
    <s v="No Aplica"/>
    <s v="No Aplica"/>
    <s v="No Aplica"/>
    <s v="Normal"/>
    <d v="2025-11-11T00:00:00"/>
    <s v="Sistemas Bancarios"/>
    <s v="Analista-BN"/>
    <s v="Rossana Rojas Alvaro"/>
    <s v="Junior Quicaño"/>
    <x v="5"/>
    <x v="4"/>
    <x v="0"/>
    <m/>
    <d v="2025-11-03T00:00:00"/>
    <d v="2025-10-02T00:00:00"/>
    <m/>
    <d v="2025-12-31T00:00:00"/>
    <m/>
    <m/>
    <d v="2026-02-05T00:00:00"/>
    <m/>
    <m/>
    <d v="2026-02-12T00:00:00"/>
    <s v="30/10/25: Según CQ, actualizó el estado a 03. En Desarrollo_x000a_17/09/25: Se registro en Backlog_x000a_17/09/25: Se creo trámite"/>
    <s v="Operac."/>
    <s v="BancariosRecaudación"/>
    <s v="2025-09"/>
    <s v="2025-11"/>
    <s v="No definido"/>
    <x v="0"/>
    <s v="2026-02"/>
    <m/>
    <m/>
    <m/>
    <m/>
    <m/>
    <s v="2025-IV"/>
    <s v="Sin Fecha Fin Producción"/>
    <s v="No Aplica"/>
    <m/>
    <s v="Iniciada,Iniciada"/>
    <x v="5"/>
    <d v="2025-10-03T14:37:58"/>
    <x v="0"/>
    <m/>
    <m/>
    <s v="Vencida"/>
    <s v="Créditos Hipotecarios"/>
    <s v="Productos"/>
    <m/>
    <m/>
    <m/>
    <s v=""/>
    <s v="Sin Fecha"/>
    <s v="No definido"/>
    <m/>
    <x v="2"/>
    <m/>
    <n v="0.25"/>
    <s v="POST"/>
    <s v="NO"/>
    <m/>
    <s v="SI"/>
    <x v="5"/>
    <n v="0.25"/>
    <n v="0.25"/>
    <n v="0"/>
    <n v="1"/>
    <d v="2025-10-02T00:00:00"/>
    <d v="2026-03-02T00:00:00"/>
    <d v="2026-05-29T00:00:00"/>
    <d v="2026-06-01T00:00:00"/>
    <d v="2026-06-30T00:00:00"/>
    <d v="2026-07-01T00:00:00"/>
    <d v="2026-07-03T00:00:00"/>
    <n v="64"/>
    <n v="0.87692307692307692"/>
    <n v="128"/>
    <m/>
    <x v="2"/>
    <n v="0.12307692307692308"/>
    <n v="56"/>
    <n v="8"/>
    <n v="112"/>
    <n v="16"/>
    <x v="10"/>
    <x v="0"/>
    <m/>
    <x v="0"/>
    <m/>
  </r>
  <r>
    <s v="M1261"/>
    <n v="3060"/>
    <x v="0"/>
    <s v="2025-T0772"/>
    <s v="2025-M0650"/>
    <s v="Pago dólares Servicios Digitales no Domiciliados – Modulo Web Distribución Entidades Beneficiarias"/>
    <m/>
    <x v="8"/>
    <s v="Construcción de Aplicaciones"/>
    <s v="Sistemas Bancarios"/>
    <m/>
    <m/>
    <s v="MODA-Módulo de Banco Abonos Dólares"/>
    <m/>
    <x v="1"/>
    <s v="Cuenta Corriente "/>
    <s v="No aplica"/>
    <x v="0"/>
    <m/>
    <m/>
    <m/>
    <m/>
    <m/>
    <m/>
    <m/>
    <s v="Regularizado"/>
    <d v="2025-11-11T00:00:00"/>
    <s v="Sistemas Bancarios"/>
    <m/>
    <s v="Fiorella Emma Galvan Soto"/>
    <s v="Tomas Calvera"/>
    <x v="1"/>
    <x v="1"/>
    <x v="0"/>
    <m/>
    <m/>
    <d v="2025-10-17T00:00:00"/>
    <d v="2025-10-28T00:00:00"/>
    <m/>
    <d v="2025-11-03T00:00:00"/>
    <d v="2026-03-23T00:00:00"/>
    <d v="2025-11-01T09:36:00"/>
    <d v="2026-04-07T00:00:00"/>
    <d v="2026-04-16T00:00:00"/>
    <d v="2025-11-08T09:36:00"/>
    <s v="20/04/26: Según CQ, actualizó el estado a 08. Producción Finalizada_x000a_10/04/26: Según CQ, actualizó el estado a 07. En Despliegue_x000a_23/03/26: Según CQ, actualizó el estado a 06. Calidad Finalizado_x000a_10/03/26: Según CQ, actualizó el estado a 07. En Despliegue_x000a_04/02/2026: Cartera reasignada a Tomas Calvera_x000a_10/12/25: Según CQ, actualizó el estado a 06. Calidad Finalizado_x000a_04/11/25: Según CQ, actualizó el estado a 05. En Calidad_x000a_30/10/25: Según CQ, actualizó el estado a 04. Desarrollo Finalizado_x000a_01/10/25: Se regularizó su registró en el Backlog."/>
    <s v="TI"/>
    <s v="ConstrucciónAplicaciones"/>
    <s v="No definido"/>
    <s v="2025-11"/>
    <s v="2025-10"/>
    <x v="1"/>
    <s v="2025-11"/>
    <m/>
    <m/>
    <m/>
    <m/>
    <m/>
    <s v="2025-IV"/>
    <n v="181"/>
    <n v="6.0333333333333332"/>
    <m/>
    <s v="Finalizada"/>
    <x v="1"/>
    <d v="2026-04-16T08:56:34"/>
    <x v="0"/>
    <m/>
    <m/>
    <s v="Culminado"/>
    <s v="Sin Aplicativo"/>
    <s v="Sin Aplicativo"/>
    <m/>
    <m/>
    <m/>
    <d v="2026-04-16T00:00:00"/>
    <s v="Culminado"/>
    <s v="Abr 2026"/>
    <m/>
    <x v="1"/>
    <m/>
    <n v="1"/>
    <s v="POST"/>
    <s v="NO"/>
    <m/>
    <s v="No aplica"/>
    <x v="1"/>
    <n v="1"/>
    <n v="1"/>
    <n v="0"/>
    <n v="1"/>
    <d v="2025-10-17T00:00:00"/>
    <d v="2025-10-17T00:00:00"/>
    <d v="2025-10-28T00:00:00"/>
    <d v="2025-11-03T00:00:00"/>
    <d v="2025-12-05T00:00:00"/>
    <d v="2026-02-19T00:00:00"/>
    <d v="2026-03-27T00:00:00"/>
    <n v="8"/>
    <n v="1"/>
    <n v="200"/>
    <m/>
    <x v="1"/>
    <n v="0"/>
    <n v="8"/>
    <n v="0"/>
    <n v="64"/>
    <n v="0"/>
    <x v="4"/>
    <x v="0"/>
    <m/>
    <x v="0"/>
    <m/>
  </r>
  <r>
    <s v="M1262"/>
    <n v="3061"/>
    <x v="0"/>
    <s v="2025-T0773"/>
    <s v="2025-M0651"/>
    <s v="Pago dólares Servicios Digitales no Domiciliados – Afectación a Ctas.Ctes. ME Entidades Beneficiarias"/>
    <m/>
    <x v="8"/>
    <s v="Construcción de Aplicaciones"/>
    <s v="Sistemas Bancarios"/>
    <m/>
    <m/>
    <s v="SUTE-Sunat Pago Facil"/>
    <m/>
    <x v="1"/>
    <s v="Cuenta Corriente "/>
    <s v="No aplica"/>
    <x v="0"/>
    <m/>
    <m/>
    <m/>
    <m/>
    <m/>
    <m/>
    <m/>
    <s v="Regularizado"/>
    <d v="2025-11-11T00:00:00"/>
    <s v="Sistemas Bancarios"/>
    <m/>
    <s v="Jorge Lucio Ruedas Fernandez"/>
    <s v="Tomas Calvera"/>
    <x v="3"/>
    <x v="3"/>
    <x v="3"/>
    <m/>
    <m/>
    <d v="2026-02-26T00:00:00"/>
    <d v="2025-10-30T00:00:00"/>
    <m/>
    <d v="2025-11-04T00:00:00"/>
    <m/>
    <d v="2025-09-12T09:36:00"/>
    <m/>
    <m/>
    <d v="2025-09-19T09:36:00"/>
    <s v="27/02/26: Según CQ, actualizó el estado a 10. Paralizado_x000a_04/02/2026: Cartera reasignada a Tomas Calvera_x000a_26/01/26: Según CQ, actualizó el estado a 03. En Desarrollo_x000a_04/11/25: Según CQ, actualizó el estado a 05. En Calidad_x000a_30/10/25: Según CQ, actualizó el estado a 04. Desarrollo Finalizado_x000a_30/10/25: Según CQ, actualizó el estado a 03. En Desarrollo_x000a_01/10/25: Se regularizó su registró en el Backlog."/>
    <s v="TI"/>
    <s v="ConstrucciónAplicaciones"/>
    <s v="No definido"/>
    <s v="2025-11"/>
    <s v="2025-10"/>
    <x v="0"/>
    <s v="2025-09"/>
    <m/>
    <m/>
    <m/>
    <m/>
    <m/>
    <s v="2025-IV"/>
    <s v="Sin Fecha Fin Producción"/>
    <s v="No Aplica"/>
    <m/>
    <s v="Finalizada"/>
    <x v="3"/>
    <d v="2026-02-26T15:46:10"/>
    <x v="0"/>
    <m/>
    <m/>
    <s v="Vencida"/>
    <s v="Sin Aplicativo"/>
    <s v="Sin Aplicativo"/>
    <m/>
    <m/>
    <m/>
    <s v=""/>
    <s v="Sin Fecha"/>
    <s v="No definido"/>
    <m/>
    <x v="2"/>
    <m/>
    <n v="0.12"/>
    <s v="POST"/>
    <s v="NO"/>
    <m/>
    <s v="No aplica"/>
    <x v="3"/>
    <s v=""/>
    <n v="0.12"/>
    <s v=""/>
    <s v=""/>
    <m/>
    <m/>
    <m/>
    <m/>
    <m/>
    <m/>
    <d v="2026-05-31T00:00:00"/>
    <n v="25"/>
    <n v="0.1"/>
    <n v="200"/>
    <m/>
    <x v="3"/>
    <n v="0.9"/>
    <n v="1"/>
    <n v="24"/>
    <n v="8"/>
    <n v="192"/>
    <x v="8"/>
    <x v="0"/>
    <m/>
    <x v="0"/>
    <m/>
  </r>
  <r>
    <s v="M1264"/>
    <n v="3082"/>
    <x v="0"/>
    <s v="2025-T0803"/>
    <s v="2025-M0680"/>
    <s v="Emision diaria de los reportes CRPP 4601, CRPP 4602 y CRPP 4604"/>
    <m/>
    <x v="1"/>
    <s v="Banca Institucional"/>
    <s v="Banca de Gobierno Subnacional"/>
    <d v="2025-10-13T00:00:00"/>
    <s v="MEMORANDO N° 00000233 - 2025-BN/8422"/>
    <s v="CRPP- Cobranzas Municipales"/>
    <m/>
    <x v="1"/>
    <s v="Préstamos Institucionales"/>
    <s v="No aplica"/>
    <x v="0"/>
    <m/>
    <m/>
    <m/>
    <m/>
    <m/>
    <m/>
    <m/>
    <s v="Normal"/>
    <d v="2025-11-11T00:00:00"/>
    <s v="Sistemas Bancarios"/>
    <m/>
    <s v="Pedro Jose Encalada Huertas"/>
    <s v="Milagros Huamani"/>
    <x v="1"/>
    <x v="1"/>
    <x v="0"/>
    <m/>
    <m/>
    <d v="2025-10-17T00:00:00"/>
    <d v="2025-10-21T00:00:00"/>
    <m/>
    <d v="2025-10-22T00:00:00"/>
    <d v="2025-10-27T00:00:00"/>
    <d v="2025-10-22T14:24:00"/>
    <d v="2025-10-29T00:00:00"/>
    <d v="2026-02-23T00:00:00"/>
    <d v="2025-10-29T14:24:00"/>
    <s v="25/02/26: Según CQ, actualizó el estado a 08. Producción Finalizada_x000a_30/10/25: Según CQ, actualizó el estado a 07. En Despliegue_x000a_16/10/25: Se registró en Backlog. _x000a_16/10/25: Se creo Tramite"/>
    <s v="Productos"/>
    <s v="BancaInstitucional"/>
    <s v="2025-10"/>
    <s v="2025-11"/>
    <s v="2025-10"/>
    <x v="3"/>
    <s v="2025-10"/>
    <m/>
    <m/>
    <m/>
    <m/>
    <m/>
    <s v="2025-IV"/>
    <n v="129"/>
    <n v="4.3"/>
    <m/>
    <s v="Finalizada"/>
    <x v="6"/>
    <d v="2026-02-23T16:10:48"/>
    <x v="0"/>
    <m/>
    <m/>
    <s v="Culminado"/>
    <s v="BackOffice"/>
    <s v="Otros Requerimientos"/>
    <m/>
    <m/>
    <m/>
    <d v="2026-02-23T00:00:00"/>
    <s v="Culminado"/>
    <s v="Feb 2026"/>
    <m/>
    <x v="1"/>
    <m/>
    <n v="1"/>
    <s v="POST"/>
    <s v="NO"/>
    <m/>
    <s v="No aplica"/>
    <x v="1"/>
    <n v="1"/>
    <n v="1"/>
    <n v="0"/>
    <n v="1"/>
    <d v="2025-10-17T00:00:00"/>
    <d v="2025-10-17T00:00:00"/>
    <d v="2025-10-21T00:00:00"/>
    <d v="2025-10-22T00:00:00"/>
    <d v="2025-10-27T00:00:00"/>
    <d v="2025-10-29T00:00:00"/>
    <d v="2026-02-23T00:00:00"/>
    <n v="3"/>
    <n v="1"/>
    <n v="200"/>
    <m/>
    <x v="1"/>
    <n v="0"/>
    <n v="3"/>
    <n v="0"/>
    <n v="24"/>
    <n v="0"/>
    <x v="11"/>
    <x v="0"/>
    <m/>
    <x v="0"/>
    <m/>
  </r>
  <r>
    <s v="M1267"/>
    <n v="3092"/>
    <x v="0"/>
    <s v="2025-T0824"/>
    <s v="2025-M0698"/>
    <s v="Migracion de journal historico de servidores EJM DIEBOLD a servidores ATMCentre"/>
    <m/>
    <x v="2"/>
    <s v="Canales Alternos"/>
    <s v="Canales Presenciales"/>
    <d v="2025-10-30T00:00:00"/>
    <s v="MEMORANDO N° 00000411 -2025-BN/3251"/>
    <s v="STRA - Proyecto de Stratus"/>
    <m/>
    <x v="5"/>
    <s v="No Aplica"/>
    <m/>
    <x v="1"/>
    <m/>
    <m/>
    <m/>
    <m/>
    <m/>
    <m/>
    <m/>
    <s v="Normal"/>
    <d v="2025-11-11T00:00:00"/>
    <s v="Sistemas Bancarios"/>
    <m/>
    <s v="Vladimir Ronald Cajavilca Cajavilca"/>
    <s v="Omar Sarmiento"/>
    <x v="5"/>
    <x v="4"/>
    <x v="0"/>
    <m/>
    <m/>
    <d v="2025-10-31T00:00:00"/>
    <m/>
    <m/>
    <m/>
    <m/>
    <s v=""/>
    <m/>
    <m/>
    <s v=""/>
    <s v="30/12/2025: Cartera reasignada a Omar Sarmiento_x000a_30/10/25: Se registró en Backlog. _x000a_30/10/25: Se creo tramite"/>
    <s v="B.Digital"/>
    <s v="CanalesAlternos"/>
    <s v="2025-10"/>
    <s v="2025-11"/>
    <s v="No definido"/>
    <x v="0"/>
    <s v="No definido"/>
    <m/>
    <m/>
    <m/>
    <m/>
    <m/>
    <s v="2025-IV"/>
    <s v="Sin Fecha Fin Producción"/>
    <s v="No Aplica"/>
    <m/>
    <s v="Iniciada"/>
    <x v="5"/>
    <d v="2025-11-11T15:51:10"/>
    <x v="0"/>
    <m/>
    <m/>
    <s v="Sin Fecha"/>
    <s v="ATM-Agentes-VISA"/>
    <s v="Canales Presenciales"/>
    <m/>
    <m/>
    <m/>
    <s v=""/>
    <s v="Sin Fecha"/>
    <s v="No definido"/>
    <m/>
    <x v="2"/>
    <m/>
    <n v="0.25"/>
    <s v="POST"/>
    <s v="NO"/>
    <m/>
    <s v="SI"/>
    <x v="2"/>
    <n v="1"/>
    <n v="0.25"/>
    <n v="0.75"/>
    <n v="0.25"/>
    <d v="2025-11-03T00:00:00"/>
    <d v="2026-03-02T00:00:00"/>
    <d v="2026-03-28T00:00:00"/>
    <d v="2026-03-27T00:00:00"/>
    <d v="2026-04-02T00:00:00"/>
    <d v="2026-04-06T00:00:00"/>
    <d v="2026-04-10T00:00:00"/>
    <n v="20"/>
    <n v="1"/>
    <n v="14.545454545454547"/>
    <m/>
    <x v="2"/>
    <n v="0"/>
    <n v="20"/>
    <n v="0"/>
    <n v="14.545454545454547"/>
    <n v="0"/>
    <x v="1"/>
    <x v="0"/>
    <m/>
    <x v="0"/>
    <m/>
  </r>
  <r>
    <s v="M1269"/>
    <n v="3096"/>
    <x v="0"/>
    <s v="2025-T0834"/>
    <s v="2025-M0709"/>
    <s v="Implementacion de mejoras en la comercializacion del Seguro Sepelio"/>
    <m/>
    <x v="1"/>
    <s v="Banca Personal"/>
    <s v="Banca Seguros"/>
    <d v="2025-11-03T00:00:00"/>
    <s v="MEMORANDO N° 00000101 - 2025-BN/3345"/>
    <s v="PGSG-Pagos Seguros(Oncológico-Sepelio)"/>
    <m/>
    <x v="2"/>
    <s v="No Aplica"/>
    <s v="No aplica"/>
    <x v="1"/>
    <m/>
    <m/>
    <m/>
    <m/>
    <m/>
    <m/>
    <m/>
    <s v="Normal"/>
    <d v="2025-11-11T00:00:00"/>
    <s v="Sistemas Bancarios"/>
    <m/>
    <s v="Pedro Jose Encalada Huertas"/>
    <s v="Milagros Huamani"/>
    <x v="6"/>
    <x v="4"/>
    <x v="0"/>
    <m/>
    <m/>
    <d v="2025-11-06T00:00:00"/>
    <d v="2025-12-26T00:00:00"/>
    <m/>
    <d v="2026-01-08T00:00:00"/>
    <d v="2026-01-23T00:00:00"/>
    <d v="2026-01-15T00:00:00"/>
    <m/>
    <m/>
    <d v="2026-01-22T00:00:00"/>
    <s v="26/01/26: Según CQ, actualizó el estado a 06. Calidad Finalizado_x000a_12/01/26: Según CQ, actualizó el estado a 05. En Calidad_x000a_29/12/25: Según CQ, actualizó el estado a 04. Desarrollo Finalizado_x000a_6/11/25: Se registró en Backlog. _x000a_6/11/25: Se creo Tramite_x000a__x000a_Analista asignado : Pedro Encalada"/>
    <s v="Productos"/>
    <s v="BancaPersonal"/>
    <s v="2025-11"/>
    <s v="2025-11"/>
    <s v="2025-12"/>
    <x v="0"/>
    <s v="2026-01"/>
    <m/>
    <m/>
    <m/>
    <m/>
    <m/>
    <s v="2025-IV"/>
    <s v="Sin Fecha Fin Producción"/>
    <s v="No Aplica"/>
    <m/>
    <s v="Finalizada"/>
    <x v="7"/>
    <d v="2026-01-23T15:53:48"/>
    <x v="0"/>
    <m/>
    <m/>
    <s v="Vencida"/>
    <s v="BackOffice"/>
    <s v="Otros Requerimientos"/>
    <m/>
    <m/>
    <m/>
    <s v=""/>
    <s v="Sin Fecha"/>
    <s v="No definido"/>
    <m/>
    <x v="2"/>
    <m/>
    <n v="0.85"/>
    <s v="POST"/>
    <s v="NO"/>
    <m/>
    <s v="SI"/>
    <x v="2"/>
    <n v="1"/>
    <n v="0.85"/>
    <n v="0.15000000000000002"/>
    <n v="0.85"/>
    <d v="2025-11-06T00:00:00"/>
    <d v="2025-11-06T00:00:00"/>
    <d v="2025-12-26T00:00:00"/>
    <d v="2026-01-08T00:00:00"/>
    <d v="2026-01-23T00:00:00"/>
    <d v="2026-02-19T00:00:00"/>
    <d v="2026-03-27T00:00:00"/>
    <n v="34"/>
    <n v="1"/>
    <n v="200"/>
    <m/>
    <x v="5"/>
    <n v="0"/>
    <n v="34"/>
    <n v="0"/>
    <n v="272"/>
    <n v="0"/>
    <x v="4"/>
    <x v="0"/>
    <s v="18/03: Pendiente de respuesta de usuario. Se expusieron, sin embargo, pendiente de respuesta por parte de usuario."/>
    <x v="4"/>
    <m/>
  </r>
  <r>
    <s v="M1270"/>
    <n v="3066"/>
    <x v="0"/>
    <s v="2025-T0841"/>
    <s v="2025-M0714"/>
    <s v="AMPLIACIÓN AL ANEXO 2 TARJETA DE CREDITO CLÁSICA SIN SEGURO DE DESGRAVAMEN"/>
    <m/>
    <x v="1"/>
    <s v="Banca Personal"/>
    <s v="Tarjeta de Crédito"/>
    <d v="2025-09-29T00:00:00"/>
    <s v="HOJA DE ENVIO N° 00000002 - 2025-BN/3344"/>
    <s v="SITC – Tarjeta de Crédito"/>
    <m/>
    <x v="2"/>
    <s v="Tarjeta de Crédito "/>
    <s v="No aplica"/>
    <x v="2"/>
    <m/>
    <s v="SBS"/>
    <m/>
    <m/>
    <m/>
    <m/>
    <d v="2025-09-01T00:00:00"/>
    <s v="Normal"/>
    <d v="2025-11-11T00:00:00"/>
    <s v="Sistemas Bancarios"/>
    <m/>
    <s v="Pedro Jose Encalada Huertas"/>
    <s v="Milagros Huamani"/>
    <x v="3"/>
    <x v="3"/>
    <x v="2"/>
    <m/>
    <m/>
    <d v="2026-02-26T00:00:00"/>
    <d v="2025-12-26T00:00:00"/>
    <m/>
    <m/>
    <m/>
    <d v="2025-12-01T04:48:00"/>
    <m/>
    <m/>
    <d v="2025-12-08T04:48:00"/>
    <s v="23/03/26: Pospuesto por Construcción por dependencia, se atenderá cuando el mantenimiento 2025-M0494 pase a Producción._x000a_15/12/25: Según CQ, actualizó el estado a 10. Paralizado_x000a_15/09/25: Según CQ, actualizó el estado a 03. En Desarrollo_x000a_04/04/25: Se creó trámite en CQ y se priorizó._x000a_27/02/26: Según CQ, actualizó el estado a 10. Paralizado_x000a_12/01/26: Según CQ, actualizó el estado a 03. En Desarrollo_x000a_12/01/26: Según CQ, actualizó el estado a 04. Desarrollo Finalizado_x000a_08/01/26: Según CQ, actualizó el estado a 03. En Desarrollo_x000a_29/12/25: Según CQ, actualizó el estado a 04. Desarrollo Finalizado_x000a_13/11/25: Según CQ, actualizó el estado a 03. En Desarrollo_x000a_02/10/25: Se registró en Backlog. _x000a_10/11/25 Se creo Tramite_x000a__x000a_RQ hijo de ID 2913_x000a_"/>
    <s v="Productos"/>
    <s v="BancaPersonal"/>
    <s v="2025-09"/>
    <s v="2025-11"/>
    <s v="2025-12"/>
    <x v="0"/>
    <s v="2025-12"/>
    <m/>
    <m/>
    <m/>
    <m/>
    <m/>
    <s v="2025-IV"/>
    <s v="Sin Fecha Fin Producción"/>
    <s v="No Aplica"/>
    <m/>
    <s v="Finalizada"/>
    <x v="3"/>
    <d v="2026-02-26T17:50:15"/>
    <x v="0"/>
    <m/>
    <m/>
    <s v="Vencida"/>
    <s v="Tarjeta Tesoro"/>
    <s v="Productos"/>
    <m/>
    <m/>
    <m/>
    <s v=""/>
    <s v="Sin Fecha"/>
    <s v="No definido"/>
    <m/>
    <x v="2"/>
    <m/>
    <n v="0.12"/>
    <s v="POST"/>
    <s v="NO"/>
    <m/>
    <s v="No aplica"/>
    <x v="3"/>
    <s v=""/>
    <n v="0.12"/>
    <s v=""/>
    <s v=""/>
    <m/>
    <m/>
    <m/>
    <m/>
    <m/>
    <m/>
    <d v="2026-11-30T00:00:00"/>
    <n v="25"/>
    <n v="0.1"/>
    <n v="200"/>
    <m/>
    <x v="3"/>
    <n v="0.9"/>
    <n v="1"/>
    <n v="24"/>
    <n v="8"/>
    <n v="192"/>
    <x v="13"/>
    <x v="0"/>
    <m/>
    <x v="0"/>
    <m/>
  </r>
  <r>
    <s v="M1273"/>
    <n v="3103"/>
    <x v="0"/>
    <s v="2025-T0817"/>
    <s v="2025-M0691"/>
    <s v="Solución Vulnerabilidades Factibilidad WEB"/>
    <m/>
    <x v="1"/>
    <s v="Banca Personal"/>
    <s v="Préstamo Multired"/>
    <m/>
    <s v="Correo s/n"/>
    <s v="PRAH - Prestamos Multired"/>
    <m/>
    <x v="2"/>
    <s v="No Aplica"/>
    <s v="No aplica"/>
    <x v="0"/>
    <m/>
    <m/>
    <m/>
    <m/>
    <m/>
    <m/>
    <m/>
    <s v="Regularizado"/>
    <d v="2025-11-11T00:00:00"/>
    <s v="Sistemas Bancarios"/>
    <m/>
    <s v="Fiorella Emma Galvan Soto"/>
    <s v="Milagros Huamani"/>
    <x v="6"/>
    <x v="4"/>
    <x v="0"/>
    <m/>
    <m/>
    <d v="2025-10-27T00:00:00"/>
    <d v="2026-01-12T00:00:00"/>
    <m/>
    <d v="2026-01-15T00:00:00"/>
    <d v="2026-02-06T00:00:00"/>
    <d v="2026-02-11T19:12:00"/>
    <m/>
    <m/>
    <d v="2026-02-18T19:12:00"/>
    <s v="09/02/26: Según CQ, actualizó el estado a 06. Calidad Finalizado_x000a_16/01/26: Según CQ, actualizó el estado a 05. En Calidad_x000a_13/01/26: Según CQ, actualizó el estado a 04. Desarrollo Finalizado_x000a_13/11/25: Según CQ, actualizó el estado a 03. En Desarrollo_x000a_11/11/25: Se regularizó su registró en el Backlog."/>
    <s v="Productos"/>
    <s v="BancaPersonal"/>
    <s v="No definido"/>
    <s v="2025-11"/>
    <s v="2026-01"/>
    <x v="0"/>
    <s v="2026-02"/>
    <m/>
    <m/>
    <m/>
    <m/>
    <m/>
    <s v="2025-IV"/>
    <s v="Sin Fecha Fin Producción"/>
    <s v="No Aplica"/>
    <m/>
    <s v="Finalizada"/>
    <x v="7"/>
    <d v="2026-03-25T16:23:30"/>
    <x v="0"/>
    <m/>
    <m/>
    <s v="Vencida"/>
    <s v="Préstamos Multired"/>
    <s v="Productos"/>
    <m/>
    <m/>
    <m/>
    <s v=""/>
    <s v="Sin Fecha"/>
    <s v="No definido"/>
    <m/>
    <x v="2"/>
    <m/>
    <n v="0.85"/>
    <s v="POST"/>
    <s v="NO"/>
    <m/>
    <s v="SI"/>
    <x v="2"/>
    <n v="1"/>
    <n v="0.85"/>
    <n v="0.15000000000000002"/>
    <n v="0.85"/>
    <d v="2025-10-27T00:00:00"/>
    <d v="2025-10-27T00:00:00"/>
    <d v="2026-01-12T00:00:00"/>
    <d v="2026-01-15T00:00:00"/>
    <d v="2026-02-06T00:00:00"/>
    <d v="2026-02-19T00:00:00"/>
    <d v="2026-03-27T00:00:00"/>
    <n v="51"/>
    <n v="1"/>
    <n v="200"/>
    <m/>
    <x v="5"/>
    <n v="0"/>
    <n v="51"/>
    <n v="0"/>
    <n v="408"/>
    <n v="0"/>
    <x v="4"/>
    <x v="0"/>
    <s v="-Se expusieron. Usuario indicó 'por correo que no se ejecute."/>
    <x v="5"/>
    <m/>
  </r>
  <r>
    <s v="M1274"/>
    <n v="3105"/>
    <x v="0"/>
    <s v="2025-T0789"/>
    <s v="2025-M0665"/>
    <s v="CODIFICACION DE PROGRAMAS EXTRACTORES POR NUEVO PEDIDO ADICIONAL DE   OPLAFT"/>
    <m/>
    <x v="8"/>
    <s v="Construcción de Aplicaciones"/>
    <s v="Sistemas Bancarios"/>
    <m/>
    <s v="Correo s/n"/>
    <s v="SENT-Proyecto Sentinel"/>
    <m/>
    <x v="5"/>
    <s v="No Aplica"/>
    <s v="No aplica"/>
    <x v="0"/>
    <m/>
    <m/>
    <m/>
    <m/>
    <m/>
    <m/>
    <m/>
    <s v="Regularizado"/>
    <d v="2025-11-11T00:00:00"/>
    <s v="Sistemas Bancarios"/>
    <m/>
    <s v="Jorge Enrique Ruiz Torres"/>
    <s v="Tomas Calvera"/>
    <x v="5"/>
    <x v="4"/>
    <x v="0"/>
    <m/>
    <m/>
    <d v="2025-10-07T00:00:00"/>
    <m/>
    <m/>
    <m/>
    <m/>
    <s v=""/>
    <m/>
    <m/>
    <s v=""/>
    <s v="04/02/2026: Cartera reasignada a Tomas Calvera_x000a_13/11/25: Según CQ, actualizó el estado a 03. En Desarrollo_x000a_11/11/25: Se regularizó su registró en el Backlog."/>
    <s v="TI"/>
    <s v="ConstrucciónAplicaciones"/>
    <s v="No definido"/>
    <s v="2025-11"/>
    <s v="No definido"/>
    <x v="0"/>
    <s v="No definido"/>
    <m/>
    <m/>
    <m/>
    <m/>
    <m/>
    <s v="2025-IV"/>
    <s v="Sin Fecha Fin Producción"/>
    <s v="No Aplica"/>
    <m/>
    <s v="Asignada"/>
    <x v="5"/>
    <d v="2025-10-07T17:05:30"/>
    <x v="0"/>
    <m/>
    <m/>
    <s v="Sin Fecha"/>
    <s v="Extractores de Sentinel"/>
    <s v="Otros Requerimientos"/>
    <m/>
    <m/>
    <m/>
    <s v=""/>
    <s v="Sin Fecha"/>
    <s v="No definido"/>
    <m/>
    <x v="2"/>
    <m/>
    <n v="0.15"/>
    <s v="POST"/>
    <s v="NO"/>
    <m/>
    <s v="SI"/>
    <x v="2"/>
    <n v="1"/>
    <n v="0.15"/>
    <n v="0.85"/>
    <n v="0.15"/>
    <d v="2025-11-03T00:00:00"/>
    <d v="2026-03-02T00:00:00"/>
    <d v="2026-03-13T00:00:00"/>
    <d v="2026-03-16T00:00:00"/>
    <d v="2026-04-15T00:00:00"/>
    <d v="2026-04-20T00:00:00"/>
    <d v="2026-04-24T00:00:00"/>
    <n v="10"/>
    <n v="1"/>
    <n v="80"/>
    <m/>
    <x v="2"/>
    <n v="0"/>
    <n v="10"/>
    <n v="0"/>
    <n v="80"/>
    <n v="0"/>
    <x v="1"/>
    <x v="0"/>
    <m/>
    <x v="0"/>
    <m/>
  </r>
  <r>
    <s v="M1275"/>
    <n v="3106"/>
    <x v="0"/>
    <s v="2025-T0797"/>
    <s v="2025-M0672"/>
    <s v="CULMINAR CON LAS CONTABILIZACION DE LA COMISION Y EL SEGURO DE DESGRAVAMEN EN LAS CUENTAS CONTABLES."/>
    <m/>
    <x v="1"/>
    <s v="Banca Personal"/>
    <s v="Tarjeta de Crédito"/>
    <m/>
    <s v="Correo s/n"/>
    <s v="SITC – Tarjeta de Crédito"/>
    <m/>
    <x v="1"/>
    <s v="Tarjeta de Crédito "/>
    <s v="No aplica"/>
    <x v="0"/>
    <m/>
    <m/>
    <m/>
    <m/>
    <m/>
    <m/>
    <m/>
    <s v="Regularizado"/>
    <d v="2025-11-11T00:00:00"/>
    <s v="Sistemas Bancarios"/>
    <m/>
    <s v="Pedro Jose Encalada Huertas"/>
    <s v="Milagros Huamani"/>
    <x v="5"/>
    <x v="4"/>
    <x v="0"/>
    <m/>
    <m/>
    <d v="2025-10-14T00:00:00"/>
    <m/>
    <m/>
    <m/>
    <m/>
    <s v=""/>
    <m/>
    <m/>
    <s v=""/>
    <s v="13/11/25: Según CQ, actualizó el estado a 03. En Desarrollo_x000a_11/11/25: Se regularizó su registró en el Backlog."/>
    <s v="Productos"/>
    <s v="BancaPersonal"/>
    <s v="No definido"/>
    <s v="2025-11"/>
    <s v="No definido"/>
    <x v="0"/>
    <s v="No definido"/>
    <m/>
    <m/>
    <m/>
    <m/>
    <m/>
    <s v="2025-IV"/>
    <s v="Sin Fecha Fin Producción"/>
    <s v="No Aplica"/>
    <m/>
    <s v="Asignada"/>
    <x v="5"/>
    <d v="2025-10-14T10:19:00"/>
    <x v="0"/>
    <m/>
    <m/>
    <s v="Sin Fecha"/>
    <s v="Tarjeta Tesoro"/>
    <s v="Productos"/>
    <m/>
    <m/>
    <m/>
    <s v=""/>
    <s v="Sin Fecha"/>
    <s v="No definido"/>
    <m/>
    <x v="2"/>
    <m/>
    <n v="0.15"/>
    <s v="POST"/>
    <s v="NO"/>
    <m/>
    <s v="SI"/>
    <x v="2"/>
    <n v="1"/>
    <n v="0.15"/>
    <n v="0.85"/>
    <n v="0.15"/>
    <d v="2025-10-14T00:00:00"/>
    <d v="2026-03-02T00:00:00"/>
    <d v="2026-03-10T00:00:00"/>
    <d v="2026-03-12T00:00:00"/>
    <d v="2026-04-12T00:00:00"/>
    <d v="2026-04-13T00:00:00"/>
    <d v="2026-04-17T00:00:00"/>
    <n v="7"/>
    <n v="1"/>
    <n v="11.200000000000001"/>
    <m/>
    <x v="2"/>
    <n v="0"/>
    <n v="7"/>
    <n v="0"/>
    <n v="11.200000000000001"/>
    <n v="0"/>
    <x v="1"/>
    <x v="0"/>
    <m/>
    <x v="0"/>
    <m/>
  </r>
  <r>
    <s v="M1276"/>
    <n v="3107"/>
    <x v="0"/>
    <s v="2025-T0798"/>
    <s v="2025-M0673"/>
    <s v="Truncamiento Datos PAN Tarjeta – CICS y Archivos"/>
    <m/>
    <x v="8"/>
    <s v="Construcción de Aplicaciones"/>
    <s v="Sistemas Bancarios"/>
    <m/>
    <s v="Correo s/n"/>
    <s v="ATCA-Adm.Tarjetas Cajero Automático"/>
    <m/>
    <x v="1"/>
    <s v="No Aplica"/>
    <s v="No aplica"/>
    <x v="0"/>
    <m/>
    <m/>
    <m/>
    <m/>
    <m/>
    <m/>
    <m/>
    <s v="Regularizado"/>
    <d v="2025-11-11T00:00:00"/>
    <s v="Sistemas Bancarios"/>
    <m/>
    <s v="Norma Fukunaga Fuentes"/>
    <s v="Omar Sarmiento"/>
    <x v="1"/>
    <x v="1"/>
    <x v="0"/>
    <m/>
    <m/>
    <d v="2025-10-14T00:00:00"/>
    <m/>
    <m/>
    <m/>
    <m/>
    <s v=""/>
    <d v="2026-01-23T00:00:00"/>
    <d v="2026-01-29T00:00:00"/>
    <s v=""/>
    <s v="30/01/26: Según CQ, actualizó el estado a 08. Producción Finalizada_x000a_26/01/26: Según CQ, actualizó el estado a 07. En Despliegue_x000a_13/11/25: Según CQ, actualizó el estado a 03. En Desarrollo_x000a_11/11/25: Se regularizó su registró en el Backlog."/>
    <s v="TI"/>
    <s v="ConstrucciónAplicaciones"/>
    <s v="No definido"/>
    <s v="2025-11"/>
    <s v="No definido"/>
    <x v="4"/>
    <s v="No definido"/>
    <m/>
    <m/>
    <m/>
    <m/>
    <m/>
    <s v="2025-IV"/>
    <n v="107"/>
    <n v="3.5666666666666669"/>
    <m/>
    <s v="Finalizada"/>
    <x v="13"/>
    <d v="2026-01-29T16:40:57"/>
    <x v="0"/>
    <m/>
    <m/>
    <s v="Culminado"/>
    <s v="ATM-Agentes-VISA"/>
    <s v="Canales Presenciales"/>
    <m/>
    <m/>
    <m/>
    <d v="2026-01-29T00:00:00"/>
    <s v="Culminado"/>
    <s v="Ene 2026"/>
    <m/>
    <x v="1"/>
    <m/>
    <n v="1"/>
    <s v="POST"/>
    <s v="NO"/>
    <m/>
    <s v="No aplica"/>
    <x v="1"/>
    <n v="1"/>
    <n v="1"/>
    <n v="0"/>
    <n v="1"/>
    <d v="2025-10-14T00:00:00"/>
    <d v="2025-10-14T00:00:00"/>
    <s v=""/>
    <s v=""/>
    <s v=""/>
    <d v="2026-01-23T00:00:00"/>
    <d v="2026-01-29T00:00:00"/>
    <n v="25"/>
    <n v="0.1"/>
    <n v="200"/>
    <m/>
    <x v="1"/>
    <n v="0.9"/>
    <n v="1"/>
    <n v="24"/>
    <n v="8"/>
    <n v="192"/>
    <x v="9"/>
    <x v="0"/>
    <m/>
    <x v="0"/>
    <m/>
  </r>
  <r>
    <s v="M1277"/>
    <n v="3109"/>
    <x v="0"/>
    <s v="2025-T0818"/>
    <s v="2025-M0692"/>
    <s v="Solucion de Vulnerabilidades Constancia no Adeudo"/>
    <m/>
    <x v="1"/>
    <s v="Banca Personal"/>
    <s v="Préstamo Multired"/>
    <m/>
    <s v="Correo s/n"/>
    <s v="PRAH - Prestamos Multired"/>
    <m/>
    <x v="2"/>
    <s v="Préstamos Multired "/>
    <s v="No aplica"/>
    <x v="0"/>
    <m/>
    <m/>
    <m/>
    <m/>
    <m/>
    <m/>
    <m/>
    <s v="Regularizado"/>
    <d v="2025-11-11T00:00:00"/>
    <s v="Sistemas Bancarios"/>
    <m/>
    <s v="Fiorella Emma Galvan Soto"/>
    <s v="Milagros Huamani"/>
    <x v="1"/>
    <x v="1"/>
    <x v="0"/>
    <m/>
    <m/>
    <d v="2025-10-27T00:00:00"/>
    <d v="2026-01-06T00:00:00"/>
    <m/>
    <d v="2026-01-07T00:00:00"/>
    <d v="2026-02-26T00:00:00"/>
    <d v="2026-02-03T09:36:00"/>
    <d v="2026-03-09T00:00:00"/>
    <d v="2026-03-27T00:00:00"/>
    <d v="2026-02-10T09:36:00"/>
    <s v="27/03/26: Según CQ, actualizó el estado a 08. Producción Finalizada_x000a_09/03/26: Según CQ, actualizó el estado a 07. En Despliegue_x000a_27/02/26: Según CQ, actualizó el estado a 06. Calidad Finalizado_x000a_12/01/26: Según CQ, actualizó el estado a 05. En Calidad_x000a_12/01/26: Según CQ, actualizó el estado a 03. En Desarrollo_x000a_08/01/26: Según CQ, actualizó el estado a 05. En Calidad_x000a_13/11/25: Según CQ, actualizó el estado a 03. En Desarrollo_x000a_11/11/25: Se regularizó su registró en el Backlog."/>
    <s v="Productos"/>
    <s v="BancaPersonal"/>
    <s v="No definido"/>
    <s v="2025-11"/>
    <s v="2026-01"/>
    <x v="2"/>
    <s v="2026-02"/>
    <m/>
    <m/>
    <m/>
    <m/>
    <m/>
    <s v="2025-IV"/>
    <n v="151"/>
    <n v="5.0333333333333332"/>
    <m/>
    <s v="Finalizada"/>
    <x v="1"/>
    <d v="2026-03-27T10:43:35"/>
    <x v="0"/>
    <m/>
    <m/>
    <s v="Culminado"/>
    <s v="Préstamos Multired"/>
    <s v="Productos"/>
    <m/>
    <m/>
    <m/>
    <d v="2026-03-27T00:00:00"/>
    <s v="Culminado"/>
    <s v="Mar 2026"/>
    <m/>
    <x v="1"/>
    <m/>
    <n v="1"/>
    <s v="POST"/>
    <s v="NO"/>
    <m/>
    <s v="No aplica"/>
    <x v="1"/>
    <n v="1"/>
    <n v="1"/>
    <n v="0"/>
    <n v="1"/>
    <d v="2025-10-27T00:00:00"/>
    <d v="2025-10-27T00:00:00"/>
    <d v="2026-01-06T00:00:00"/>
    <d v="2026-01-07T00:00:00"/>
    <d v="2026-03-16T00:00:00"/>
    <d v="2026-03-17T00:00:00"/>
    <d v="2026-03-27T00:00:00"/>
    <n v="47"/>
    <n v="1"/>
    <n v="200"/>
    <m/>
    <x v="1"/>
    <n v="0"/>
    <n v="47"/>
    <n v="0"/>
    <n v="376"/>
    <n v="0"/>
    <x v="4"/>
    <x v="0"/>
    <m/>
    <x v="0"/>
    <m/>
  </r>
  <r>
    <s v="M1280"/>
    <n v="3115"/>
    <x v="0"/>
    <s v="2025-T0862"/>
    <s v="2025-M0742"/>
    <s v="Integración del servicio Mobile Attestation para IOS, además de la personalización de las pantallas de bloqueon y captcha (servicio Antibot) para la aplicación banca móvil del BN"/>
    <m/>
    <x v="8"/>
    <s v="Seguridad Informática"/>
    <s v="Control de Operaciones de Seguridad"/>
    <d v="2025-11-07T00:00:00"/>
    <s v="INFORME N° 00000038 - 2025-BN/2532"/>
    <s v="SABM - Sistema Atencion Banca Movil"/>
    <m/>
    <x v="8"/>
    <s v="No Aplica"/>
    <s v="No aplica"/>
    <x v="1"/>
    <m/>
    <m/>
    <m/>
    <m/>
    <m/>
    <m/>
    <m/>
    <s v="Normal"/>
    <d v="2025-12-12T00:00:00"/>
    <s v="Soluciones Digitales"/>
    <m/>
    <s v="Juan Carlos Cordova Inga"/>
    <s v="Tomas Calvera"/>
    <x v="5"/>
    <x v="4"/>
    <x v="0"/>
    <m/>
    <m/>
    <d v="2025-11-27T00:00:00"/>
    <m/>
    <m/>
    <m/>
    <m/>
    <s v=""/>
    <m/>
    <m/>
    <s v=""/>
    <s v="16/04/26: Se estan realizando pruebas para con el ATTESTATION . Entre equipo de construccion, seguridad y el proveedor RADWARE_x000a_04/02/2026: Cartera reasignada a Tomas Calvera"/>
    <s v="TI"/>
    <s v=""/>
    <s v="2025-11"/>
    <s v="2025-12"/>
    <s v="No definido"/>
    <x v="0"/>
    <s v="No definido"/>
    <m/>
    <m/>
    <m/>
    <m/>
    <m/>
    <s v="2025-IV"/>
    <s v="Sin Fecha Fin Producción"/>
    <s v="No Aplica"/>
    <m/>
    <s v="Iniciada"/>
    <x v="5"/>
    <d v="2026-05-05T16:22:28"/>
    <x v="0"/>
    <m/>
    <m/>
    <s v="Sin Fecha"/>
    <s v="Banca Movil"/>
    <s v="Canales Virtuales"/>
    <m/>
    <m/>
    <m/>
    <s v=""/>
    <s v="Sin Fecha"/>
    <s v="No definido"/>
    <m/>
    <x v="2"/>
    <m/>
    <n v="0.25"/>
    <s v="POST"/>
    <s v="NO"/>
    <m/>
    <s v="SI"/>
    <x v="2"/>
    <n v="1"/>
    <n v="0.25"/>
    <n v="0.75"/>
    <n v="0.25"/>
    <d v="2025-11-27T00:00:00"/>
    <d v="2026-03-02T00:00:00"/>
    <d v="2026-03-24T00:00:00"/>
    <d v="2026-03-26T00:00:00"/>
    <d v="2026-03-30T00:00:00"/>
    <d v="2026-04-01T00:00:00"/>
    <d v="2026-04-06T00:00:00"/>
    <n v="17"/>
    <n v="1"/>
    <n v="68"/>
    <m/>
    <x v="2"/>
    <n v="0"/>
    <n v="17"/>
    <n v="0"/>
    <n v="68"/>
    <n v="0"/>
    <x v="1"/>
    <x v="0"/>
    <m/>
    <x v="0"/>
    <m/>
  </r>
  <r>
    <s v="M1281"/>
    <n v="3116"/>
    <x v="0"/>
    <s v="2025-T0867"/>
    <s v="2025-M0738"/>
    <s v="Generación de Base de datos de Rutas Foráneas en secuencia FISA"/>
    <m/>
    <x v="0"/>
    <s v="Caja y Valores"/>
    <s v="Programación y Distribución de Fondos"/>
    <d v="2025-11-24T00:00:00"/>
    <s v="MEMORANDO N° 00000042 -2025-BN/3135"/>
    <s v="FISA-Finanzas Saldos"/>
    <m/>
    <x v="2"/>
    <s v="No Aplica"/>
    <s v="No aplica"/>
    <x v="0"/>
    <m/>
    <m/>
    <m/>
    <m/>
    <m/>
    <m/>
    <s v="No Aplica"/>
    <s v="Normal"/>
    <d v="2025-12-12T00:00:00"/>
    <s v="Sistemas Administrativos"/>
    <s v="FS-Olssa"/>
    <s v="Ricardo Cuba Mora"/>
    <s v="Junior Quicaño"/>
    <x v="1"/>
    <x v="1"/>
    <x v="0"/>
    <m/>
    <m/>
    <d v="2025-12-11T00:00:00"/>
    <d v="2026-01-12T00:00:00"/>
    <m/>
    <d v="2026-01-14T00:00:00"/>
    <d v="2026-01-28T00:00:00"/>
    <d v="2026-01-24T19:12:00"/>
    <d v="2026-02-12T00:00:00"/>
    <d v="2026-02-12T00:00:00"/>
    <d v="2026-01-31T19:12:00"/>
    <s v="13/02/26: Según CQ, actualizó el estado a 08. Producción Finalizada_x000a_30/01/26: Según CQ, actualizó el estado a 06. Calidad Finalizado_x000a_15/01/26: Según CQ, actualizó el estado a 05. En Calidad_x000a_13/01/26: Según CQ, actualizó el estado a 04. Desarrollo Finalizado_x000a_"/>
    <s v="Operac."/>
    <s v="CajaValores"/>
    <s v="2025-11"/>
    <s v="2025-12"/>
    <s v="2026-01"/>
    <x v="3"/>
    <s v="2026-01"/>
    <m/>
    <m/>
    <m/>
    <m/>
    <m/>
    <s v="2025-IV"/>
    <n v="63"/>
    <n v="2.1"/>
    <m/>
    <s v="Finalizada"/>
    <x v="1"/>
    <d v="2026-02-12T15:48:32"/>
    <x v="0"/>
    <m/>
    <m/>
    <s v="Culminado"/>
    <s v="BackOffice"/>
    <s v="Otros Requerimientos"/>
    <m/>
    <m/>
    <m/>
    <d v="2026-02-12T00:00:00"/>
    <s v="Culminado"/>
    <s v="Feb 2026"/>
    <m/>
    <x v="1"/>
    <m/>
    <n v="1"/>
    <s v="POST"/>
    <s v="NO"/>
    <m/>
    <s v="No aplica"/>
    <x v="1"/>
    <n v="1"/>
    <n v="1"/>
    <n v="0"/>
    <n v="1"/>
    <d v="2025-12-11T00:00:00"/>
    <d v="2025-12-11T00:00:00"/>
    <d v="2026-01-12T00:00:00"/>
    <d v="2026-01-14T00:00:00"/>
    <d v="2026-01-28T00:00:00"/>
    <d v="2026-02-12T00:00:00"/>
    <d v="2026-03-06T00:00:00"/>
    <n v="19"/>
    <n v="1"/>
    <n v="200"/>
    <m/>
    <x v="1"/>
    <n v="0"/>
    <n v="19"/>
    <n v="0"/>
    <n v="152"/>
    <n v="0"/>
    <x v="4"/>
    <x v="0"/>
    <m/>
    <x v="0"/>
    <m/>
  </r>
  <r>
    <s v="M1282"/>
    <n v="3118"/>
    <x v="0"/>
    <s v="2025-T0870"/>
    <s v="2025-M0743"/>
    <s v="Integración del servicio Mobile Attestation para ANDROID, además de la personalización de las pantallas de bloqueon y captcha (servicio Antibot) para la aplicación banca móvil del BN"/>
    <m/>
    <x v="8"/>
    <s v="Seguridad Informática"/>
    <s v="Control de Operaciones de Seguridad"/>
    <d v="2025-11-07T00:00:00"/>
    <s v="INFORME N° 00000038 - 2025-BN/2532"/>
    <s v="SABM - Sistema Atencion Banca Movil"/>
    <m/>
    <x v="8"/>
    <s v="No Aplica"/>
    <s v="No aplica"/>
    <x v="1"/>
    <m/>
    <m/>
    <m/>
    <m/>
    <m/>
    <m/>
    <m/>
    <s v="Normal"/>
    <d v="2025-12-12T00:00:00"/>
    <s v="Soluciones Digitales"/>
    <m/>
    <s v="Juan Carlos Cordova Inga"/>
    <s v="Tomas Calvera"/>
    <x v="5"/>
    <x v="4"/>
    <x v="0"/>
    <m/>
    <m/>
    <d v="2025-11-27T00:00:00"/>
    <m/>
    <m/>
    <m/>
    <m/>
    <s v=""/>
    <m/>
    <m/>
    <s v=""/>
    <s v="16/04/26: Se estan realizando pruebas para con el ATTESTATION . Entre equipo de construccion, seguridad y el proveedor RADWARE_x000a_04/02/2026: Cartera reasignada a Tomas Calvera"/>
    <s v="TI"/>
    <s v=""/>
    <s v="2025-11"/>
    <s v="2025-12"/>
    <s v="No definido"/>
    <x v="0"/>
    <s v="No definido"/>
    <m/>
    <m/>
    <m/>
    <m/>
    <m/>
    <s v="2025-IV"/>
    <s v="Sin Fecha Fin Producción"/>
    <s v="No Aplica"/>
    <m/>
    <s v="Iniciada"/>
    <x v="5"/>
    <d v="2026-05-05T16:23:21"/>
    <x v="0"/>
    <m/>
    <m/>
    <s v="Sin Fecha"/>
    <s v="Banca Movil"/>
    <s v="Canales Virtuales"/>
    <m/>
    <m/>
    <m/>
    <s v=""/>
    <s v="Sin Fecha"/>
    <s v="No definido"/>
    <m/>
    <x v="2"/>
    <m/>
    <n v="0.25"/>
    <s v="POST"/>
    <s v="NO"/>
    <m/>
    <s v="SI"/>
    <x v="2"/>
    <n v="1"/>
    <n v="0.25"/>
    <n v="0.75"/>
    <n v="0.25"/>
    <d v="2025-11-27T00:00:00"/>
    <d v="2026-03-02T00:00:00"/>
    <d v="2026-03-24T00:00:00"/>
    <d v="2026-03-26T00:00:00"/>
    <d v="2026-03-30T00:00:00"/>
    <d v="2026-04-01T00:00:00"/>
    <d v="2026-04-06T00:00:00"/>
    <n v="17"/>
    <n v="1"/>
    <n v="68"/>
    <m/>
    <x v="2"/>
    <n v="0"/>
    <n v="17"/>
    <n v="0"/>
    <n v="68"/>
    <n v="0"/>
    <x v="1"/>
    <x v="0"/>
    <m/>
    <x v="0"/>
    <m/>
  </r>
  <r>
    <s v="M1283"/>
    <n v="3119"/>
    <x v="0"/>
    <s v="2025-T0872"/>
    <s v="2025-M0736"/>
    <s v="SIRE REGISTRO DE COMPRAS"/>
    <m/>
    <x v="4"/>
    <s v="Contabilidad"/>
    <s v="Tributación"/>
    <d v="2025-11-25T00:00:00"/>
    <s v="MEMORANDO N° 00000040 - 2025-BN/2501"/>
    <s v="OSAI -: Oracle Sistema Administrativo Integrado"/>
    <m/>
    <x v="1"/>
    <s v="No Aplica"/>
    <s v="No aplica"/>
    <x v="2"/>
    <m/>
    <s v="SUNAT"/>
    <s v="R.S. N° 112-2021/SUNAT"/>
    <m/>
    <m/>
    <m/>
    <m/>
    <s v="Normal"/>
    <d v="2025-12-12T00:00:00"/>
    <s v="Sistemas Administrativos"/>
    <m/>
    <s v="Emerson Quecara Choquetico"/>
    <s v="Juan Carlos Zavaleta"/>
    <x v="7"/>
    <x v="4"/>
    <x v="0"/>
    <m/>
    <m/>
    <d v="2026-04-13T00:00:00"/>
    <d v="2026-04-13T00:00:00"/>
    <m/>
    <d v="2026-04-15T00:00:00"/>
    <m/>
    <d v="2026-04-13T00:00:00"/>
    <m/>
    <m/>
    <d v="2026-04-20T00:00:00"/>
    <s v="20/04/26: Según CQ, actualizó el estado a 05. En Calidad_x000a_15/04/26: Según CQ, actualizó el estado a 04. Desarrollo Finalizado_x000a_13/04/26 Acta firmada y falta autorización de JdS en CQ para su pase a Calidad_x000a_15/12/25: Según CQ, actualizó el estado a 02. En Planificación_x000a_"/>
    <s v="Finanzas"/>
    <s v="Contabilidad"/>
    <s v="2025-11"/>
    <s v="2025-12"/>
    <s v="2026-04"/>
    <x v="0"/>
    <s v="2026-04"/>
    <m/>
    <m/>
    <m/>
    <m/>
    <m/>
    <s v="2025-IV"/>
    <s v="Sin Fecha Fin Producción"/>
    <s v="No Aplica"/>
    <m/>
    <s v="Finalizada"/>
    <x v="11"/>
    <d v="2026-04-15T19:08:09"/>
    <x v="0"/>
    <m/>
    <m/>
    <s v="Vencida"/>
    <s v="Oracle"/>
    <s v="Otros Requerimientos"/>
    <m/>
    <m/>
    <m/>
    <s v=""/>
    <s v="Sin Fecha"/>
    <s v="No definido"/>
    <m/>
    <x v="2"/>
    <m/>
    <n v="0.7"/>
    <s v="POST"/>
    <s v="NO"/>
    <m/>
    <s v="SI"/>
    <x v="2"/>
    <n v="0.90654205607476634"/>
    <n v="0.7"/>
    <n v="0.20654205607476639"/>
    <n v="0.77216494845360817"/>
    <d v="2026-01-15T00:00:00"/>
    <d v="2026-01-05T00:00:00"/>
    <d v="2026-04-10T00:00:00"/>
    <d v="2026-04-11T00:00:00"/>
    <d v="2026-05-28T00:00:00"/>
    <d v="2026-05-29T00:00:00"/>
    <d v="2026-06-03T00:00:00"/>
    <n v="70"/>
    <n v="1"/>
    <n v="200"/>
    <m/>
    <x v="5"/>
    <n v="0"/>
    <n v="70"/>
    <n v="0"/>
    <n v="560"/>
    <n v="0"/>
    <x v="6"/>
    <x v="0"/>
    <m/>
    <x v="0"/>
    <m/>
  </r>
  <r>
    <s v="M1284"/>
    <n v="3121"/>
    <x v="0"/>
    <s v="2025-T0884"/>
    <s v="2025-M0751"/>
    <s v="Adecuaciones adicionales en el Sistema de Facturación Electrónica para las operaciones de Transferencias Interbancarias Diferidas"/>
    <s v="Complemento del Mant 2023-M0052 para resolver observaciones considerando las transacciones internas de los canales Saraweb y Banca Empresarial"/>
    <x v="0"/>
    <s v="Captaciones y Pagaduría"/>
    <s v="Sistema de Pagos"/>
    <d v="2025-11-07T00:00:00"/>
    <s v="MEMORANDO N° 00000157 - 2025-BN/3116"/>
    <s v="SICA-Sistema de Canje Electronico"/>
    <s v="Facturación Electrónica - I"/>
    <x v="2"/>
    <s v="Cuenta de Ahorros"/>
    <s v="Cuenta Corriente "/>
    <x v="2"/>
    <m/>
    <s v="SUNAT"/>
    <s v="R.S. N° 193-2020/SUNAT"/>
    <m/>
    <m/>
    <m/>
    <s v="No Aplica"/>
    <s v="Regularizado"/>
    <d v="2025-12-12T00:00:00"/>
    <s v="Sistemas Bancarios"/>
    <s v="FS-Olssa"/>
    <s v="Maribel Marlene Medina Molina"/>
    <s v="Juan Carlos Zavaleta"/>
    <x v="3"/>
    <x v="3"/>
    <x v="0"/>
    <m/>
    <m/>
    <d v="2026-05-04T00:00:00"/>
    <d v="2026-02-24T00:00:00"/>
    <m/>
    <d v="2026-03-02T00:00:00"/>
    <m/>
    <d v="2026-01-27T09:36:00"/>
    <m/>
    <m/>
    <d v="2026-02-03T09:36:00"/>
    <s v="04/05/26: Según CQ, actualizó el estado a 10. Paralizado_x000a_06/04/26: Según CQ, actualizó el estado a 03. En Desarrollo_x000a_02/03/26: Según CQ, actualizó el estado a 05. En Calidad_x000a_25/02/26: Según CQ, actualizó el estado a 04. Desarrollo Finalizado_x000a_"/>
    <s v="Operac."/>
    <s v="CaptacionesPagaduría"/>
    <s v="2025-11"/>
    <s v="2025-12"/>
    <s v="2026-02"/>
    <x v="0"/>
    <s v="2026-02"/>
    <m/>
    <m/>
    <m/>
    <m/>
    <m/>
    <s v="2025-IV"/>
    <s v="Sin Fecha Fin Producción"/>
    <s v="No Aplica"/>
    <m/>
    <s v="Finalizada"/>
    <x v="3"/>
    <d v="2026-05-04T10:18:02"/>
    <x v="0"/>
    <m/>
    <m/>
    <s v="Vencida"/>
    <s v="BackOffice"/>
    <s v="Otros Requerimientos"/>
    <m/>
    <m/>
    <m/>
    <s v=""/>
    <s v="Sin Fecha"/>
    <s v="No definido"/>
    <m/>
    <x v="2"/>
    <m/>
    <n v="0.12"/>
    <s v="POST"/>
    <s v="NO"/>
    <m/>
    <s v="No aplica"/>
    <x v="3"/>
    <n v="1"/>
    <n v="0.12"/>
    <n v="0.88"/>
    <n v="0.12"/>
    <d v="2025-12-01T00:00:00"/>
    <d v="2025-12-01T00:00:00"/>
    <d v="2026-02-23T00:00:00"/>
    <d v="2026-02-25T00:00:00"/>
    <d v="2026-03-26T00:00:00"/>
    <d v="2026-03-30T00:00:00"/>
    <d v="2026-04-17T00:00:00"/>
    <n v="56"/>
    <n v="1"/>
    <n v="200"/>
    <m/>
    <x v="3"/>
    <n v="0"/>
    <n v="56"/>
    <n v="0"/>
    <n v="448"/>
    <n v="0"/>
    <x v="1"/>
    <x v="0"/>
    <m/>
    <x v="0"/>
    <m/>
  </r>
  <r>
    <s v="M1285"/>
    <n v="3122"/>
    <x v="0"/>
    <s v="2025-T0850"/>
    <s v="2025-M0722"/>
    <s v="ME: DESARROLLO DE UNA APLICACION (MVP) PARA EL PRODUCTO FACTORING BN - FASE II"/>
    <m/>
    <x v="1"/>
    <s v="Desarrollo Comercial y Proyectos"/>
    <s v="Desarrollo Comercial y Proyectos"/>
    <m/>
    <m/>
    <s v="SFAC-Sistema de Factoring"/>
    <m/>
    <x v="1"/>
    <s v="No Aplica"/>
    <s v="No aplica"/>
    <x v="1"/>
    <m/>
    <m/>
    <m/>
    <m/>
    <m/>
    <m/>
    <m/>
    <s v="Regularizado"/>
    <d v="2025-12-12T00:00:00"/>
    <s v="Sistemas Administrativos"/>
    <m/>
    <s v="Jorge Mora Ruelas"/>
    <s v="Milagros Huamani"/>
    <x v="7"/>
    <x v="4"/>
    <x v="0"/>
    <m/>
    <m/>
    <d v="2026-01-27T00:00:00"/>
    <d v="2026-03-05T00:00:00"/>
    <m/>
    <d v="2026-03-06T00:00:00"/>
    <m/>
    <d v="2026-03-19T19:12:00"/>
    <m/>
    <m/>
    <d v="2026-03-26T19:12:00"/>
    <s v="09/03/26: Según CQ, actualizó el estado a 05. En Calidad_x000a_28/01/26: Según CQ, actualizó el estado a 03. En Desarrollo_x000a_15/12/25: Según CQ, actualizó el estado a 02. En Planificación_x000a_"/>
    <s v="Productos"/>
    <s v="ComercialProyectos"/>
    <s v="No definido"/>
    <s v="2025-12"/>
    <s v="2026-03"/>
    <x v="0"/>
    <s v="2026-03"/>
    <m/>
    <m/>
    <m/>
    <m/>
    <m/>
    <s v="2025-IV"/>
    <s v="Sin Fecha Fin Producción"/>
    <s v="No Aplica"/>
    <m/>
    <s v="Finalizada"/>
    <x v="11"/>
    <d v="2026-04-30T14:40:36"/>
    <x v="0"/>
    <m/>
    <m/>
    <s v="Vencida"/>
    <s v="Sin Aplicativo"/>
    <s v="Sin Aplicativo"/>
    <m/>
    <m/>
    <m/>
    <s v=""/>
    <s v="Sin Fecha"/>
    <s v="No definido"/>
    <m/>
    <x v="2"/>
    <m/>
    <n v="0.7"/>
    <s v="POST"/>
    <s v="NO"/>
    <m/>
    <s v="SI"/>
    <x v="2"/>
    <n v="0.9"/>
    <n v="0.7"/>
    <n v="0.20000000000000007"/>
    <n v="0.77777777777777768"/>
    <d v="2026-01-27T00:00:00"/>
    <d v="2026-01-27T00:00:00"/>
    <d v="2026-04-09T00:00:00"/>
    <d v="2026-04-13T00:00:00"/>
    <d v="2026-05-18T00:00:00"/>
    <d v="2026-05-19T00:00:00"/>
    <d v="2026-06-02T00:00:00"/>
    <n v="53"/>
    <n v="1"/>
    <n v="200"/>
    <m/>
    <x v="5"/>
    <n v="0"/>
    <n v="53"/>
    <n v="0"/>
    <n v="424"/>
    <n v="0"/>
    <x v="6"/>
    <x v="0"/>
    <m/>
    <x v="0"/>
    <m/>
  </r>
  <r>
    <s v="M1286"/>
    <n v="3123"/>
    <x v="0"/>
    <s v="2025-T0842"/>
    <s v="2025-M0715"/>
    <s v="ME: BDUC: Complementarios al requerimiento de OPLAFT (PEP)."/>
    <m/>
    <x v="3"/>
    <s v="Prevención"/>
    <s v="Prevención"/>
    <m/>
    <m/>
    <s v="SIUC-Sistema de Información Unica de Clientes"/>
    <m/>
    <x v="2"/>
    <s v="Cuenta de Ahorros"/>
    <s v="No aplica"/>
    <x v="0"/>
    <m/>
    <m/>
    <m/>
    <m/>
    <m/>
    <m/>
    <m/>
    <s v="Regularizado"/>
    <d v="2025-12-12T00:00:00"/>
    <s v="Sistemas Bancarios"/>
    <m/>
    <s v="Johnny Luis Rocca Surco"/>
    <s v="Juan Carlos Zavaleta"/>
    <x v="6"/>
    <x v="4"/>
    <x v="2"/>
    <m/>
    <m/>
    <d v="2026-02-26T00:00:00"/>
    <d v="2026-03-02T00:00:00"/>
    <m/>
    <d v="2026-03-04T00:00:00"/>
    <d v="2026-04-08T00:00:00"/>
    <d v="2026-03-03T14:24:00"/>
    <m/>
    <m/>
    <d v="2026-03-10T14:24:00"/>
    <s v="10/04/26: Según CQ, actualizó el estado a 06. Calidad Finalizado_x000a_05/03/26: Según CQ, actualizó el estado a 05. En Calidad_x000a_03/03/26: Según CQ, actualizó el estado a 04. Desarrollo Finalizado_x000a_19/02/26: Según CQ, actualizó el estado a 03. En Desarrollo_x000a_12/01/26: Según CQ, actualizó el estado a 05. En Calidad_x000a_12/01/26: Según CQ, actualizó el estado a 04. Desarrollo Finalizado_x000a_08/01/26: Según CQ, actualizó el estado a 05. En Calidad_x000a_05/01/26: Según CQ, actualizó el estado a 04. Desarrollo Finalizado_x000a_"/>
    <s v="PLAFT"/>
    <s v="Prevención"/>
    <s v="No definido"/>
    <s v="2025-12"/>
    <s v="2026-03"/>
    <x v="0"/>
    <s v="2026-03"/>
    <m/>
    <m/>
    <m/>
    <m/>
    <m/>
    <s v="2025-IV"/>
    <s v="Sin Fecha Fin Producción"/>
    <s v="No Aplica"/>
    <m/>
    <s v="Finalizada"/>
    <x v="7"/>
    <d v="2026-05-18T17:06:33"/>
    <x v="0"/>
    <m/>
    <m/>
    <s v="Vencida"/>
    <s v="Clientes (BDUC)"/>
    <s v="Canales Presenciales"/>
    <m/>
    <m/>
    <m/>
    <s v=""/>
    <s v="Sin Fecha"/>
    <s v="No definido"/>
    <m/>
    <x v="2"/>
    <m/>
    <n v="0.85"/>
    <s v="POST"/>
    <s v="NO"/>
    <m/>
    <s v="SI"/>
    <x v="2"/>
    <n v="1"/>
    <n v="0.9"/>
    <n v="9.9999999999999978E-2"/>
    <n v="0.9"/>
    <d v="2025-11-11T00:00:00"/>
    <d v="2025-11-11T00:00:00"/>
    <d v="2026-03-31T00:00:00"/>
    <d v="2026-04-01T00:00:00"/>
    <d v="2026-04-30T00:00:00"/>
    <d v="2026-05-15T00:00:00"/>
    <d v="2026-05-18T00:00:00"/>
    <n v="96"/>
    <n v="1"/>
    <n v="200"/>
    <m/>
    <x v="5"/>
    <n v="0"/>
    <n v="96"/>
    <n v="0"/>
    <n v="768"/>
    <n v="0"/>
    <x v="8"/>
    <x v="0"/>
    <m/>
    <x v="3"/>
    <m/>
  </r>
  <r>
    <s v="M1287"/>
    <n v="3125"/>
    <x v="0"/>
    <s v="2025-T0874"/>
    <s v="2025-M0739"/>
    <s v="CGMN - GENERAR ORDEN PARA EXTRAER INFORMACION DE CHEQUES DE GERENCIA MN PARA UN RANGO DE TIEMPO DETERMINADO"/>
    <m/>
    <x v="0"/>
    <s v="Servicios Bancarios y Recaudación"/>
    <s v="Soporte Servicios Financieros"/>
    <m/>
    <m/>
    <s v="CGMN-Cheques de Gerencia MN."/>
    <m/>
    <x v="1"/>
    <s v="No Aplica"/>
    <s v="No aplica"/>
    <x v="2"/>
    <m/>
    <s v="SBS"/>
    <m/>
    <m/>
    <m/>
    <m/>
    <s v="No Aplica"/>
    <s v="Regularizado"/>
    <d v="2025-12-12T00:00:00"/>
    <s v="Sistemas Bancarios"/>
    <s v="FS-Olssa"/>
    <s v="Pedro Jose Encalada Huertas"/>
    <s v="Junior Quicaño"/>
    <x v="1"/>
    <x v="1"/>
    <x v="0"/>
    <m/>
    <m/>
    <d v="2025-11-27T00:00:00"/>
    <d v="2026-01-07T00:00:00"/>
    <m/>
    <d v="2026-01-14T00:00:00"/>
    <d v="2026-01-27T00:00:00"/>
    <d v="2026-01-23T09:36:00"/>
    <d v="2026-01-29T00:00:00"/>
    <d v="2026-02-04T00:00:00"/>
    <d v="2026-01-30T09:36:00"/>
    <s v="04/02/26: Según CQ, actualizó el estado a 08. Producción Finalizada_x000a_30/01/26: Según CQ, actualizó el estado a 07. En Despliegue_x000a_28/01/26: Según CQ, actualizó el estado a 06. Calidad Finalizado_x000a_15/01/26: Según CQ, actualizó el estado a 05. En Calidad_x000a_12/01/26: Según CQ, actualizó el estado a 04. Desarrollo Finalizado_x000a_12/01/26: Según CQ, actualizó el estado a 03. En Desarrollo_x000a_08/01/26: Según CQ, actualizó el estado a 04. Desarrollo Finalizado_x000a_"/>
    <s v="Operac."/>
    <s v="BancariosRecaudación"/>
    <s v="No definido"/>
    <s v="2025-12"/>
    <s v="2026-01"/>
    <x v="3"/>
    <s v="2026-01"/>
    <m/>
    <m/>
    <m/>
    <m/>
    <m/>
    <s v="2025-IV"/>
    <n v="69"/>
    <n v="2.2999999999999998"/>
    <m/>
    <s v="Finalizada"/>
    <x v="1"/>
    <d v="2026-02-04T08:47:22"/>
    <x v="0"/>
    <m/>
    <m/>
    <s v="Culminado"/>
    <s v="Sin Aplicativo"/>
    <s v="Sin Aplicativo"/>
    <m/>
    <m/>
    <m/>
    <d v="2026-02-04T00:00:00"/>
    <s v="Culminado"/>
    <s v="Feb 2026"/>
    <m/>
    <x v="1"/>
    <m/>
    <n v="1"/>
    <s v="POST"/>
    <s v="NO"/>
    <m/>
    <s v="No aplica"/>
    <x v="1"/>
    <n v="1"/>
    <n v="1"/>
    <n v="0"/>
    <n v="1"/>
    <d v="2025-11-27T00:00:00"/>
    <d v="2025-11-27T00:00:00"/>
    <d v="2026-01-07T00:00:00"/>
    <d v="2026-01-14T00:00:00"/>
    <d v="2026-01-27T00:00:00"/>
    <d v="2026-01-29T00:00:00"/>
    <d v="2026-03-06T00:00:00"/>
    <n v="25"/>
    <n v="1"/>
    <n v="200"/>
    <m/>
    <x v="1"/>
    <n v="0"/>
    <n v="25"/>
    <n v="0"/>
    <n v="200"/>
    <n v="0"/>
    <x v="4"/>
    <x v="0"/>
    <m/>
    <x v="0"/>
    <m/>
  </r>
  <r>
    <s v="M1288"/>
    <n v="3126"/>
    <x v="0"/>
    <s v="2025-T0875"/>
    <s v="2025-M0740"/>
    <s v="CGME - GENERAR ORDEN PARA EXTRAER INFORMACION DE CHEQUES DE GERENCIA M.E. PARA UN RANGO DE TIEMPO DETERMINADO"/>
    <m/>
    <x v="0"/>
    <s v="Servicios Bancarios y Recaudación"/>
    <s v="Soporte Servicios Financieros"/>
    <m/>
    <m/>
    <s v="CGME-Cheques de Gerencia ME."/>
    <m/>
    <x v="1"/>
    <s v="No Aplica"/>
    <s v="No aplica"/>
    <x v="2"/>
    <m/>
    <s v="SBS"/>
    <m/>
    <m/>
    <m/>
    <m/>
    <s v="No Aplica"/>
    <s v="Regularizado"/>
    <d v="2025-12-12T00:00:00"/>
    <s v="Sistemas Bancarios"/>
    <s v="FS-Olssa"/>
    <s v="Pedro Jose Encalada Huertas"/>
    <s v="Junior Quicaño"/>
    <x v="1"/>
    <x v="1"/>
    <x v="0"/>
    <m/>
    <m/>
    <d v="2025-11-27T00:00:00"/>
    <d v="2026-01-07T00:00:00"/>
    <m/>
    <d v="2026-01-14T00:00:00"/>
    <d v="2026-01-27T00:00:00"/>
    <d v="2026-01-23T09:36:00"/>
    <d v="2026-01-29T00:00:00"/>
    <d v="2026-02-04T00:00:00"/>
    <d v="2026-01-30T09:36:00"/>
    <s v="05/02/26: Según CQ, actualizó el estado a 08. Producción Finalizada_x000a_30/01/26: Según CQ, actualizó el estado a 07. En Despliegue_x000a_28/01/26: Según CQ, actualizó el estado a 06. Calidad Finalizado_x000a_15/01/26: Según CQ, actualizó el estado a 05. En Calidad_x000a_12/01/26: Según CQ, actualizó el estado a 04. Desarrollo Finalizado_x000a_12/01/26: Según CQ, actualizó el estado a 03. En Desarrollo_x000a_08/01/26: Según CQ, actualizó el estado a 04. Desarrollo Finalizado_x000a_"/>
    <s v="Operac."/>
    <s v="BancariosRecaudación"/>
    <s v="No definido"/>
    <s v="2025-12"/>
    <s v="2026-01"/>
    <x v="3"/>
    <s v="2026-01"/>
    <m/>
    <m/>
    <m/>
    <m/>
    <m/>
    <s v="2025-IV"/>
    <n v="69"/>
    <n v="2.2999999999999998"/>
    <m/>
    <s v="Finalizada"/>
    <x v="1"/>
    <d v="2026-02-04T08:51:57"/>
    <x v="0"/>
    <m/>
    <m/>
    <s v="Culminado"/>
    <s v="BackOffice"/>
    <s v="Otros Requerimientos"/>
    <m/>
    <m/>
    <m/>
    <d v="2026-02-04T00:00:00"/>
    <s v="Culminado"/>
    <s v="Feb 2026"/>
    <m/>
    <x v="1"/>
    <m/>
    <n v="1"/>
    <s v="POST"/>
    <s v="NO"/>
    <m/>
    <s v="No aplica"/>
    <x v="1"/>
    <n v="1"/>
    <n v="1"/>
    <n v="0"/>
    <n v="1"/>
    <d v="2025-11-27T00:00:00"/>
    <d v="2025-11-27T00:00:00"/>
    <d v="2026-01-07T00:00:00"/>
    <d v="2026-01-14T00:00:00"/>
    <d v="2026-01-27T00:00:00"/>
    <d v="2026-01-29T00:00:00"/>
    <d v="2026-03-06T00:00:00"/>
    <n v="25"/>
    <n v="1"/>
    <n v="200"/>
    <m/>
    <x v="1"/>
    <n v="0"/>
    <n v="25"/>
    <n v="0"/>
    <n v="200"/>
    <n v="0"/>
    <x v="4"/>
    <x v="0"/>
    <m/>
    <x v="0"/>
    <m/>
  </r>
  <r>
    <s v="M1289"/>
    <n v="3127"/>
    <x v="0"/>
    <s v="2025-T0891"/>
    <s v="2025-M0759"/>
    <s v="Alta Disponibilidad Sistema SCIT"/>
    <m/>
    <x v="0"/>
    <s v="Caja y Valores"/>
    <s v="Soporte Mesa de Dinero"/>
    <d v="2025-12-03T00:00:00"/>
    <s v="MEMORANDO N° 00000048 -2025-BN/3216"/>
    <s v="SCIT_Sistema Cambios Inversiones Tesoreria"/>
    <m/>
    <x v="0"/>
    <s v="Renta Fija"/>
    <s v="Compra y venta de moneda"/>
    <x v="1"/>
    <m/>
    <m/>
    <m/>
    <m/>
    <m/>
    <m/>
    <m/>
    <s v="Normal"/>
    <d v="2025-12-12T00:00:00"/>
    <s v="Sistemas Administrativos"/>
    <m/>
    <s v="Jorge Mora Ruelas"/>
    <s v="Junior Quicaño"/>
    <x v="1"/>
    <x v="1"/>
    <x v="0"/>
    <m/>
    <m/>
    <d v="2025-12-04T00:00:00"/>
    <d v="2025-12-15T00:00:00"/>
    <m/>
    <d v="2025-12-22T00:00:00"/>
    <d v="2025-12-23T00:00:00"/>
    <d v="2025-12-19T09:36:00"/>
    <d v="2026-01-07T00:00:00"/>
    <d v="2026-01-14T00:00:00"/>
    <d v="2025-12-26T09:36:00"/>
    <s v="15/01/26: Según CQ, actualizó el estado a 08. Producción Finalizada_x000a_12/01/26: Según CQ, actualizó el estado a 07. En Despliegue_x000a_12/01/26: Según CQ, actualizó el estado a 06. Calidad Finalizado_x000a_08/01/26: Según CQ, actualizó el estado a 07. En Despliegue_x000a_24/12/25: Según CQ, actualizó el estado a 06. Calidad Finalizado_x000a_16/12/25: Según CQ, actualizó el estado a 04. Desarrollo Finalizado_x000a_"/>
    <s v="Operac."/>
    <s v="CajaValores"/>
    <s v="2025-12"/>
    <s v="2025-12"/>
    <s v="2025-12"/>
    <x v="4"/>
    <s v="2025-12"/>
    <m/>
    <m/>
    <m/>
    <m/>
    <m/>
    <s v="2025-IV"/>
    <n v="41"/>
    <n v="1.3666666666666667"/>
    <m/>
    <s v="Finalizada"/>
    <x v="1"/>
    <d v="2026-01-14T14:45:40"/>
    <x v="0"/>
    <m/>
    <m/>
    <s v="Culminado"/>
    <s v="Sin Aplicativo"/>
    <s v="Sin Aplicativo"/>
    <m/>
    <m/>
    <m/>
    <d v="2026-01-14T00:00:00"/>
    <s v="Culminado"/>
    <s v="Ene 2026"/>
    <m/>
    <x v="1"/>
    <m/>
    <n v="1"/>
    <s v="POST"/>
    <s v="NO"/>
    <m/>
    <s v="No aplica"/>
    <x v="1"/>
    <n v="1"/>
    <n v="1"/>
    <n v="0"/>
    <n v="1"/>
    <d v="2025-12-04T00:00:00"/>
    <d v="2025-12-04T00:00:00"/>
    <d v="2025-12-15T00:00:00"/>
    <d v="2025-12-22T00:00:00"/>
    <d v="2025-12-23T00:00:00"/>
    <d v="2026-01-07T00:00:00"/>
    <d v="2026-01-15T00:00:00"/>
    <n v="7"/>
    <n v="1"/>
    <n v="200"/>
    <m/>
    <x v="1"/>
    <n v="0"/>
    <n v="7"/>
    <n v="0"/>
    <n v="56"/>
    <n v="0"/>
    <x v="9"/>
    <x v="0"/>
    <m/>
    <x v="0"/>
    <m/>
  </r>
  <r>
    <s v="M1290"/>
    <n v="3128"/>
    <x v="0"/>
    <s v="2025-T0895"/>
    <s v="2025-M0764"/>
    <s v="Implementacion de la Casilla Unica Peru (Ex Casilla unica electronica CUE) en elSTD"/>
    <m/>
    <x v="6"/>
    <s v="Servicios"/>
    <s v="Tramité Documentario"/>
    <d v="2025-12-10T00:00:00"/>
    <s v="MEMORANDO N° 00000107 -2025-BN/2202"/>
    <s v="STD4 - Actualización del STD a la versión 4.0"/>
    <m/>
    <x v="0"/>
    <s v="No Aplica"/>
    <n v="0"/>
    <x v="2"/>
    <m/>
    <s v="OTROS"/>
    <m/>
    <m/>
    <m/>
    <m/>
    <d v="2022-04-22T00:00:00"/>
    <s v="Normal"/>
    <d v="2025-12-12T00:00:00"/>
    <s v="Sistemas Administrativos"/>
    <m/>
    <s v="Jorge Mora Ruelas"/>
    <s v="Maria Barboza"/>
    <x v="5"/>
    <x v="4"/>
    <x v="0"/>
    <m/>
    <m/>
    <d v="2025-12-10T00:00:00"/>
    <m/>
    <m/>
    <m/>
    <m/>
    <s v=""/>
    <m/>
    <m/>
    <s v=""/>
    <s v="19/01/2025: Cartera reasignada a Maria Barboza"/>
    <s v="Logística"/>
    <s v="Servicios"/>
    <s v="2025-12"/>
    <s v="2025-12"/>
    <s v="No definido"/>
    <x v="0"/>
    <s v="No definido"/>
    <m/>
    <m/>
    <m/>
    <m/>
    <m/>
    <s v="2025-IV"/>
    <s v="Sin Fecha Fin Producción"/>
    <s v="No Aplica"/>
    <m/>
    <s v="Asignada"/>
    <x v="5"/>
    <d v="2025-12-11T10:01:11"/>
    <x v="0"/>
    <m/>
    <m/>
    <s v="Sin Fecha"/>
    <s v="BackOffice"/>
    <s v="Otros Requerimientos"/>
    <m/>
    <m/>
    <m/>
    <s v=""/>
    <s v="Sin Fecha"/>
    <s v="No definido"/>
    <m/>
    <x v="2"/>
    <m/>
    <n v="0.15"/>
    <s v="POST"/>
    <s v="NO"/>
    <m/>
    <s v="SI"/>
    <x v="2"/>
    <n v="0.49137931034482757"/>
    <n v="0.15"/>
    <n v="0.3413793103448276"/>
    <n v="0.30526315789473685"/>
    <d v="2025-12-10T00:00:00"/>
    <d v="2026-03-02T00:00:00"/>
    <d v="2026-06-30T00:00:00"/>
    <d v="2026-07-01T00:00:00"/>
    <d v="2026-08-04T00:00:00"/>
    <d v="2026-08-05T00:00:00"/>
    <d v="2026-08-14T00:00:00"/>
    <n v="85"/>
    <n v="0.65517241379310343"/>
    <n v="340"/>
    <m/>
    <x v="2"/>
    <n v="0.34482758620689657"/>
    <n v="56"/>
    <n v="29"/>
    <n v="224"/>
    <n v="116"/>
    <x v="5"/>
    <x v="0"/>
    <m/>
    <x v="0"/>
    <m/>
  </r>
  <r>
    <s v="M1291"/>
    <n v="3114"/>
    <x v="0"/>
    <s v="2025-T0861"/>
    <s v="2025-M0731"/>
    <s v="Actualización por aplicación de nuevo certificado de seguridad para el dominio bancamovil.bn.com.pe (Plataforma Android)"/>
    <m/>
    <x v="8"/>
    <s v="Seguridad Informática"/>
    <s v="Control de Operaciones de Seguridad"/>
    <d v="2025-11-07T00:00:00"/>
    <s v="INFORME N° 00000038 - 2025-BN/2532"/>
    <s v="SABM - Sistema Atencion Banca Movil"/>
    <m/>
    <x v="8"/>
    <s v="No Aplica"/>
    <s v="No aplica"/>
    <x v="1"/>
    <m/>
    <m/>
    <m/>
    <m/>
    <m/>
    <m/>
    <m/>
    <s v="Normal"/>
    <d v="2025-12-12T00:00:00"/>
    <s v="Soluciones Digitales"/>
    <m/>
    <s v="Juan Carlos Cordova Inga"/>
    <s v="Omar Sarmiento"/>
    <x v="1"/>
    <x v="1"/>
    <x v="0"/>
    <m/>
    <m/>
    <d v="2025-11-24T00:00:00"/>
    <m/>
    <m/>
    <m/>
    <m/>
    <s v=""/>
    <d v="2025-11-28T00:00:00"/>
    <d v="2026-01-08T00:00:00"/>
    <s v=""/>
    <s v="12/01/26: Según CQ, actualizó el estado a 08. Producción Finalizada_x000a_16/12/25: Según CQ, actualizó el estado a 07. En Despliegue_x000a_"/>
    <s v="TI"/>
    <s v=""/>
    <s v="2025-11"/>
    <s v="2025-12"/>
    <s v="No definido"/>
    <x v="4"/>
    <s v="No definido"/>
    <m/>
    <m/>
    <m/>
    <m/>
    <m/>
    <s v="2025-IV"/>
    <n v="45"/>
    <n v="1.5"/>
    <m/>
    <s v="Finalizada"/>
    <x v="14"/>
    <d v="2026-04-13T16:06:50"/>
    <x v="0"/>
    <m/>
    <m/>
    <s v="Culminado"/>
    <s v="Banca Movil"/>
    <s v="Canales Virtuales"/>
    <m/>
    <m/>
    <m/>
    <d v="2026-01-08T00:00:00"/>
    <s v="Culminado"/>
    <s v="Ene 2026"/>
    <m/>
    <x v="1"/>
    <m/>
    <n v="1"/>
    <s v="POST"/>
    <s v="NO"/>
    <m/>
    <s v="No aplica"/>
    <x v="1"/>
    <n v="1"/>
    <n v="1"/>
    <n v="0"/>
    <n v="1"/>
    <d v="2025-11-24T00:00:00"/>
    <d v="2025-11-24T00:00:00"/>
    <s v=""/>
    <s v=""/>
    <s v=""/>
    <d v="2025-11-28T00:00:00"/>
    <d v="2026-01-08T00:00:00"/>
    <n v="25"/>
    <n v="0.1"/>
    <n v="200"/>
    <m/>
    <x v="1"/>
    <n v="0.9"/>
    <n v="1"/>
    <n v="24"/>
    <n v="8"/>
    <n v="192"/>
    <x v="9"/>
    <x v="0"/>
    <m/>
    <x v="0"/>
    <m/>
  </r>
  <r>
    <s v="M1292"/>
    <n v="3120"/>
    <x v="0"/>
    <s v="2025-T0880"/>
    <s v="2025-M0747"/>
    <s v="OCTAVO MANTENIMIENTO PREVENTIVO EN SISTEMA DE TRÁMITE DOCUMENTARIO STD"/>
    <m/>
    <x v="6"/>
    <s v="Servicios"/>
    <s v="Tramité Documentario"/>
    <d v="2025-11-28T00:00:00"/>
    <s v="MEMORANDO N° 00000108 - 2025-BN/2202"/>
    <s v="STD4 - Actualización del STD a la versión 4.0"/>
    <m/>
    <x v="2"/>
    <s v="No Aplica"/>
    <s v="No aplica"/>
    <x v="0"/>
    <m/>
    <m/>
    <m/>
    <m/>
    <m/>
    <m/>
    <m/>
    <s v="Normal"/>
    <d v="2025-12-12T00:00:00"/>
    <s v="Sistemas Administrativos"/>
    <m/>
    <s v="Pedro David Coca Rosales"/>
    <s v="Omar Sarmiento"/>
    <x v="1"/>
    <x v="1"/>
    <x v="0"/>
    <m/>
    <m/>
    <d v="2025-11-28T00:00:00"/>
    <d v="2025-11-28T00:00:00"/>
    <m/>
    <d v="2025-11-28T00:00:00"/>
    <d v="2025-11-28T00:00:00"/>
    <d v="2025-11-28T00:00:00"/>
    <d v="2026-01-07T00:00:00"/>
    <d v="2026-01-08T00:00:00"/>
    <d v="2025-12-05T00:00:00"/>
    <s v="12/01/26: Según CQ, actualizó el estado a 08. Producción Finalizada_x000a_12/01/26: Según CQ, actualizó el estado a 06. Calidad Finalizado_x000a_08/01/26: Según CQ, actualizó el estado a 07. En Despliegue_x000a_16/12/25: Según CQ, actualizó el estado a 06. Calidad Finalizado_x000a_"/>
    <s v="Logística"/>
    <s v="Servicios"/>
    <s v="2025-11"/>
    <s v="2025-12"/>
    <s v="2025-11"/>
    <x v="4"/>
    <s v="2025-12"/>
    <m/>
    <m/>
    <m/>
    <m/>
    <m/>
    <s v="2025-IV"/>
    <n v="41"/>
    <n v="1.3666666666666667"/>
    <m/>
    <s v="Finalizada"/>
    <x v="1"/>
    <d v="2026-01-08T10:11:17"/>
    <x v="0"/>
    <m/>
    <m/>
    <s v="Culminado"/>
    <s v="BackOffice"/>
    <s v="Otros Requerimientos"/>
    <m/>
    <m/>
    <m/>
    <d v="2026-01-08T00:00:00"/>
    <s v="Culminado"/>
    <s v="Ene 2026"/>
    <m/>
    <x v="1"/>
    <m/>
    <n v="1"/>
    <s v="POST"/>
    <s v="NO"/>
    <m/>
    <s v="No aplica"/>
    <x v="1"/>
    <n v="1"/>
    <n v="1"/>
    <n v="0"/>
    <n v="1"/>
    <d v="2025-11-28T00:00:00"/>
    <d v="2025-11-28T00:00:00"/>
    <d v="2025-11-28T00:00:00"/>
    <d v="2025-11-28T00:00:00"/>
    <d v="2025-11-28T00:00:00"/>
    <d v="2026-01-07T00:00:00"/>
    <d v="2026-01-08T00:00:00"/>
    <n v="1"/>
    <n v="1"/>
    <n v="200"/>
    <m/>
    <x v="1"/>
    <n v="0"/>
    <n v="1"/>
    <n v="0"/>
    <n v="8"/>
    <n v="0"/>
    <x v="9"/>
    <x v="0"/>
    <m/>
    <x v="0"/>
    <m/>
  </r>
  <r>
    <s v="M1293"/>
    <n v="1720"/>
    <x v="0"/>
    <s v="2023-T0606"/>
    <s v="2023-M0546"/>
    <s v="Journal Diebold"/>
    <m/>
    <x v="2"/>
    <s v="Canales Alternos"/>
    <s v="Canales Presenciales"/>
    <d v="2023-08-31T00:00:00"/>
    <s v="MEMORANDO N° 00000432 - 2023-BN/3251"/>
    <s v="STRA - Proyecto de Stratus"/>
    <m/>
    <x v="5"/>
    <s v="Cuenta de Ahorros"/>
    <s v="Tarjeta de Crédito Foránea"/>
    <x v="2"/>
    <m/>
    <m/>
    <m/>
    <m/>
    <m/>
    <m/>
    <m/>
    <s v="Normal"/>
    <m/>
    <s v="Sistemas Bancarios"/>
    <m/>
    <s v="Vladimir Ronald Cajavilca Cajavilca"/>
    <s v="Omar Sarmiento"/>
    <x v="5"/>
    <x v="4"/>
    <x v="0"/>
    <m/>
    <m/>
    <m/>
    <m/>
    <m/>
    <m/>
    <m/>
    <s v=""/>
    <m/>
    <m/>
    <s v=""/>
    <s v="22/04/26: Según CQ, actualizó el estado a 03. En Desarrollo_x000a_04/03/26: Según CQ, actualizó el estado a 05. En Calidad_x000a_25/02/26: Según CQ, actualizó el estado a 04. Desarrollo Finalizado_x000a_"/>
    <s v="B.Digital"/>
    <s v="CanalesAlternos"/>
    <s v="2023-08"/>
    <s v="No definido"/>
    <s v="No definido"/>
    <x v="0"/>
    <s v="No definido"/>
    <m/>
    <m/>
    <m/>
    <m/>
    <m/>
    <m/>
    <s v="Sin Fechas"/>
    <s v="No Aplica"/>
    <m/>
    <s v="Finalizada"/>
    <x v="9"/>
    <d v="2026-04-20T16:19:19"/>
    <x v="0"/>
    <m/>
    <m/>
    <s v="Sin Fecha"/>
    <s v="ATM-Agentes-VISA"/>
    <s v="Canales Presenciales"/>
    <m/>
    <m/>
    <m/>
    <s v=""/>
    <s v="Sin Fecha"/>
    <s v="No definido"/>
    <m/>
    <x v="2"/>
    <m/>
    <n v="0.45"/>
    <s v="POST"/>
    <s v="REACTIVADO 26"/>
    <s v="Reactivo"/>
    <s v="SI"/>
    <x v="2"/>
    <n v="1"/>
    <n v="0.45"/>
    <n v="0.55000000000000004"/>
    <n v="0.45"/>
    <d v="2026-02-19T00:00:00"/>
    <d v="2026-02-19T00:00:00"/>
    <d v="2026-02-23T00:00:00"/>
    <d v="2026-03-03T00:00:00"/>
    <d v="2026-04-07T00:00:00"/>
    <d v="2026-04-10T00:00:00"/>
    <d v="2026-04-15T00:00:00"/>
    <n v="3"/>
    <n v="1"/>
    <n v="2.1818181818181817"/>
    <m/>
    <x v="2"/>
    <n v="0"/>
    <n v="3"/>
    <n v="0"/>
    <n v="2.1818181818181817"/>
    <n v="0"/>
    <x v="1"/>
    <x v="0"/>
    <m/>
    <x v="0"/>
    <m/>
  </r>
  <r>
    <s v="M1294"/>
    <n v="3087"/>
    <x v="0"/>
    <s v="2025-T0812"/>
    <s v="2025-M0688"/>
    <s v="Servicio de Pagaduría SBS FSD Cooperativas (renombrar código 0087)"/>
    <m/>
    <x v="0"/>
    <s v="Servicios Bancarios y Recaudación"/>
    <s v="Recaudación y Corresponsalía"/>
    <d v="2025-10-24T00:00:00"/>
    <s v="MEMORANDO N° 00000242 - 2025-BN/3243"/>
    <s v="PRCA- Prestamos Corresponsalia Agro"/>
    <m/>
    <x v="2"/>
    <s v="No Aplica"/>
    <m/>
    <x v="0"/>
    <m/>
    <m/>
    <m/>
    <m/>
    <m/>
    <m/>
    <m/>
    <s v="Normal"/>
    <d v="2026-04-07T00:00:00"/>
    <s v="Sistemas Bancarios"/>
    <m/>
    <s v="Waldo Antonio Basurto Valverde"/>
    <s v="Junior Quicaño"/>
    <x v="1"/>
    <x v="1"/>
    <x v="0"/>
    <m/>
    <m/>
    <d v="2025-10-24T00:00:00"/>
    <d v="2026-02-26T00:00:00"/>
    <m/>
    <d v="2026-03-03T00:00:00"/>
    <d v="2026-03-12T00:00:00"/>
    <d v="2026-04-17T00:00:00"/>
    <d v="2026-03-17T00:00:00"/>
    <d v="2026-03-19T00:00:00"/>
    <d v="2026-04-24T00:00:00"/>
    <s v="13/04/26: Según CQ, actualizó el estado a 08. Producción Finalizada_x000a_24/02/2026: Se reactiva por actividad en el CQ del mantenimiento_x000a_15/01/2026: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10/25: Se registró en Backlog. _x000a_24/10/25: Se creo Tramite"/>
    <s v="Operac."/>
    <s v="BancariosRecaudación"/>
    <s v="2025-10"/>
    <s v="2026-04"/>
    <s v="2026-02"/>
    <x v="2"/>
    <s v="2026-04"/>
    <m/>
    <m/>
    <m/>
    <m/>
    <m/>
    <m/>
    <n v="146"/>
    <n v="4.8666666666666663"/>
    <m/>
    <s v="Finalizada"/>
    <x v="1"/>
    <d v="2026-05-06T11:33:12"/>
    <x v="0"/>
    <m/>
    <m/>
    <s v="Culminado"/>
    <s v="BackOffice"/>
    <s v="Otros Requerimientos"/>
    <m/>
    <m/>
    <m/>
    <d v="2026-03-19T00:00:00"/>
    <s v="Culminado"/>
    <s v="Mar 2026"/>
    <m/>
    <x v="1"/>
    <m/>
    <n v="1"/>
    <s v="POST"/>
    <m/>
    <m/>
    <s v="No aplica"/>
    <x v="1"/>
    <n v="1"/>
    <n v="1"/>
    <s v=""/>
    <s v=""/>
    <m/>
    <m/>
    <m/>
    <m/>
    <m/>
    <m/>
    <m/>
    <n v="25"/>
    <n v="0.1"/>
    <n v="200"/>
    <m/>
    <x v="1"/>
    <n v="0.9"/>
    <n v="1"/>
    <n v="24"/>
    <n v="8"/>
    <n v="192"/>
    <x v="0"/>
    <x v="1"/>
    <m/>
    <x v="0"/>
    <m/>
  </r>
  <r>
    <s v="M1295"/>
    <n v="3094"/>
    <x v="0"/>
    <s v="2026-T0130"/>
    <s v="2026-M0150"/>
    <s v="Implementación API REST - Migración de Pago de Servicios"/>
    <m/>
    <x v="8"/>
    <s v="Producción"/>
    <s v="Operaciones de la Infraestructura Tecnológica"/>
    <d v="2025-06-23T00:00:00"/>
    <s v="MEMORANDO N° 00000097 - 2025-BN/2573"/>
    <s v="PGTE-Pagos de Telefónica"/>
    <m/>
    <x v="8"/>
    <s v="No Aplica"/>
    <m/>
    <x v="0"/>
    <m/>
    <m/>
    <m/>
    <m/>
    <m/>
    <m/>
    <m/>
    <s v="Normal"/>
    <d v="2026-04-07T00:00:00"/>
    <s v="Sistemas Bancarios"/>
    <m/>
    <s v="Norma Fukunaga Fuentes"/>
    <s v="Tomas Calvera"/>
    <x v="5"/>
    <x v="4"/>
    <x v="0"/>
    <m/>
    <m/>
    <d v="2026-04-13T00:00:00"/>
    <m/>
    <m/>
    <m/>
    <m/>
    <s v=""/>
    <m/>
    <m/>
    <s v=""/>
    <s v="16/04/26: El pase aun no se da ya que dicho mantenimietno implican DCOM SERVER_x000a_3/11/25: Se registró en Backlog_x000a_23/03/26: Se registro tramite"/>
    <s v="TI"/>
    <s v="Producción"/>
    <s v="2025-06"/>
    <s v="2026-04"/>
    <s v="No definido"/>
    <x v="0"/>
    <s v="No definido"/>
    <m/>
    <m/>
    <m/>
    <m/>
    <m/>
    <m/>
    <s v="Sin Fecha Fin Producción"/>
    <s v="No Aplica"/>
    <m/>
    <s v="Iniciada"/>
    <x v="5"/>
    <d v="2026-04-13T16:52:09"/>
    <x v="0"/>
    <m/>
    <m/>
    <s v="Sin Fecha"/>
    <s v="Sin Aplicativo"/>
    <s v="Sin Aplicativo"/>
    <m/>
    <m/>
    <m/>
    <s v=""/>
    <s v="Sin Fecha"/>
    <s v="No definido"/>
    <m/>
    <x v="2"/>
    <m/>
    <n v="0.25"/>
    <s v="POST"/>
    <m/>
    <m/>
    <s v="SI"/>
    <x v="2"/>
    <n v="0.47058823529411764"/>
    <n v="0.25"/>
    <n v="0.22058823529411764"/>
    <n v="0.53125"/>
    <m/>
    <d v="2026-04-06T00:00:00"/>
    <d v="2026-05-29T00:00:00"/>
    <d v="2026-06-08T00:00:00"/>
    <d v="2026-06-26T00:00:00"/>
    <d v="2026-06-29T00:00:00"/>
    <d v="2026-07-10T00:00:00"/>
    <n v="39"/>
    <n v="0.8"/>
    <n v="104"/>
    <m/>
    <x v="2"/>
    <n v="0.19999999999999996"/>
    <n v="31"/>
    <n v="8"/>
    <n v="82.666666666666657"/>
    <n v="21.333333333333332"/>
    <x v="10"/>
    <x v="1"/>
    <m/>
    <x v="0"/>
    <m/>
  </r>
  <r>
    <s v="M1296"/>
    <n v="3129"/>
    <x v="0"/>
    <s v="2025-T0898"/>
    <s v="2025-M0767"/>
    <s v="Cambios de mandatorios de mensajes Swift"/>
    <m/>
    <x v="0"/>
    <s v="Caja y Valores"/>
    <s v="Soporte Mesa de Dinero"/>
    <d v="2025-12-03T00:00:00"/>
    <s v="MEMORANDO N° 00000048 - 2025-BN/3216"/>
    <s v="SCIT_Sistema Cambios Inversiones Tesoreria"/>
    <m/>
    <x v="0"/>
    <s v="Otros"/>
    <s v="Compra y venta de moneda"/>
    <x v="0"/>
    <m/>
    <m/>
    <m/>
    <m/>
    <m/>
    <m/>
    <m/>
    <s v="Normal"/>
    <d v="2026-04-07T00:00:00"/>
    <s v="Sistemas Administrativos"/>
    <m/>
    <s v="Jorge Mora Ruelas"/>
    <s v="Junior Quicaño"/>
    <x v="1"/>
    <x v="1"/>
    <x v="0"/>
    <m/>
    <m/>
    <d v="2025-12-12T00:00:00"/>
    <d v="2025-12-19T00:00:00"/>
    <m/>
    <d v="2025-12-22T00:00:00"/>
    <d v="2025-12-23T00:00:00"/>
    <d v="2025-12-21T19:12:00"/>
    <d v="2025-12-29T00:00:00"/>
    <d v="2025-12-29T00:00:00"/>
    <d v="2025-12-28T19:12:00"/>
    <s v="13/04/26: Según CQ, actualizó el estado a 08. Producción Finalizada_x000a_12/12/25: Se registró en el Backlog._x000a_12/12/25: Se creo trámite_x000a__x000a_Requerimiento Complementario a Recomendación de Auditoría Interna  "/>
    <s v="Operac."/>
    <s v="CajaValores"/>
    <s v="2025-12"/>
    <s v="2026-04"/>
    <s v="2025-12"/>
    <x v="7"/>
    <s v="2025-12"/>
    <m/>
    <m/>
    <m/>
    <m/>
    <m/>
    <m/>
    <n v="17"/>
    <n v="0.56666666666666665"/>
    <m/>
    <s v="Finalizada"/>
    <x v="1"/>
    <d v="2025-12-29T21:29:37"/>
    <x v="0"/>
    <m/>
    <m/>
    <s v="Culminado"/>
    <s v="Sin Aplicativo"/>
    <s v="Sin Aplicativo"/>
    <m/>
    <m/>
    <m/>
    <d v="2025-12-29T00:00:00"/>
    <s v="Culminado"/>
    <s v="Dic 2025"/>
    <m/>
    <x v="1"/>
    <m/>
    <n v="1"/>
    <s v="POST"/>
    <m/>
    <m/>
    <s v="No aplica"/>
    <x v="1"/>
    <n v="1"/>
    <n v="1"/>
    <s v=""/>
    <s v=""/>
    <m/>
    <m/>
    <m/>
    <m/>
    <m/>
    <m/>
    <m/>
    <n v="25"/>
    <n v="0.1"/>
    <n v="200"/>
    <m/>
    <x v="1"/>
    <n v="0.9"/>
    <n v="1"/>
    <n v="24"/>
    <n v="8"/>
    <n v="192"/>
    <x v="0"/>
    <x v="1"/>
    <m/>
    <x v="0"/>
    <m/>
  </r>
  <r>
    <s v="M1297"/>
    <n v="3130"/>
    <x v="0"/>
    <s v="2025-T0899"/>
    <s v="2025-M0768"/>
    <s v="Extraccion periodica de la informacion del sistema SYGNUS que se encuentra en el entorno de Open Distribuido"/>
    <m/>
    <x v="5"/>
    <s v="Administración de Personal"/>
    <s v="Registro de Personal"/>
    <d v="2025-02-17T00:00:00"/>
    <s v="MEMORANDO N° 00000004 - 2025-BN/2320"/>
    <s v="OSAI -: Oracle Sistema Administrativo Integrado"/>
    <m/>
    <x v="1"/>
    <s v="No Aplica"/>
    <s v="No aplica"/>
    <x v="0"/>
    <m/>
    <m/>
    <m/>
    <m/>
    <m/>
    <m/>
    <m/>
    <s v="Normal"/>
    <d v="2026-04-07T00:00:00"/>
    <s v="Sistemas Administrativos"/>
    <m/>
    <s v="Luis Enrique Almeyda Pachas"/>
    <s v="Juan Carlos Zavaleta"/>
    <x v="1"/>
    <x v="1"/>
    <x v="0"/>
    <m/>
    <m/>
    <d v="2026-01-26T00:00:00"/>
    <d v="2026-01-26T00:00:00"/>
    <m/>
    <d v="2026-01-27T00:00:00"/>
    <d v="2026-02-11T00:00:00"/>
    <d v="2026-01-26T00:00:00"/>
    <d v="2026-03-18T00:00:00"/>
    <d v="2026-03-23T00:00:00"/>
    <d v="2026-02-02T00:00:00"/>
    <s v="13/04/26: Según CQ, actualizó el estado a 08. Producción Finalizada_x000a_12/12/25: Se registró en el Backlog._x000a_12/12/25: Se creo trámite_x000a_"/>
    <s v="RRHH"/>
    <s v="AdministraciónPersonal"/>
    <s v="2025-02"/>
    <s v="2026-04"/>
    <s v="2026-01"/>
    <x v="2"/>
    <s v="2026-02"/>
    <m/>
    <m/>
    <m/>
    <m/>
    <m/>
    <m/>
    <n v="56"/>
    <n v="1.8666666666666667"/>
    <m/>
    <s v="Finalizada"/>
    <x v="1"/>
    <d v="2026-03-23T11:00:47"/>
    <x v="0"/>
    <m/>
    <m/>
    <s v="Culminado"/>
    <s v="Oracle"/>
    <s v="Otros Requerimientos"/>
    <m/>
    <m/>
    <m/>
    <d v="2026-03-23T00:00:00"/>
    <s v="Culminado"/>
    <s v="Mar 2026"/>
    <m/>
    <x v="1"/>
    <m/>
    <n v="1"/>
    <s v="POST"/>
    <m/>
    <m/>
    <s v="No aplica"/>
    <x v="1"/>
    <n v="1"/>
    <n v="1"/>
    <s v=""/>
    <s v=""/>
    <m/>
    <m/>
    <m/>
    <m/>
    <m/>
    <m/>
    <m/>
    <n v="25"/>
    <n v="0.1"/>
    <n v="200"/>
    <m/>
    <x v="1"/>
    <n v="0.9"/>
    <n v="1"/>
    <n v="24"/>
    <n v="8"/>
    <n v="192"/>
    <x v="0"/>
    <x v="1"/>
    <m/>
    <x v="0"/>
    <m/>
  </r>
  <r>
    <s v="M1298"/>
    <n v="3131"/>
    <x v="0"/>
    <s v="2025-T0901"/>
    <m/>
    <s v="Inscripción de Códigos UNP"/>
    <m/>
    <x v="0"/>
    <s v="Servicios Bancarios y Recaudación"/>
    <s v="Recaudación y Corresponsalía"/>
    <d v="2025-10-16T00:00:00"/>
    <s v="MEMORANDO N° 00000235 - 2025-BN/3243"/>
    <m/>
    <m/>
    <x v="2"/>
    <m/>
    <s v="Servicios Bancarios Diversos "/>
    <x v="0"/>
    <m/>
    <m/>
    <m/>
    <m/>
    <m/>
    <m/>
    <m/>
    <s v="Normal"/>
    <d v="2026-04-07T00:00:00"/>
    <s v="Sistemas Bancarios"/>
    <m/>
    <m/>
    <s v="Junior Quicaño"/>
    <x v="2"/>
    <x v="2"/>
    <x v="0"/>
    <m/>
    <m/>
    <m/>
    <m/>
    <m/>
    <m/>
    <m/>
    <s v=""/>
    <m/>
    <m/>
    <s v=""/>
    <s v="16/12/25: Se registró en el Backlog._x000a_16/12/25: Se creo trámite_x000a__x000a_Rutinario"/>
    <s v="Operac."/>
    <s v="BancariosRecaudación"/>
    <s v="2025-10"/>
    <s v="2026-04"/>
    <s v="No definido"/>
    <x v="0"/>
    <s v="No definido"/>
    <m/>
    <m/>
    <m/>
    <m/>
    <m/>
    <m/>
    <s v="Sin Fechas"/>
    <s v="No Aplica"/>
    <m/>
    <m/>
    <x v="2"/>
    <m/>
    <x v="0"/>
    <m/>
    <m/>
    <s v="Sin Mantenimiento"/>
    <s v="Sin Aplicativo"/>
    <s v="Sin Aplicativo"/>
    <m/>
    <m/>
    <m/>
    <s v=""/>
    <s v="Sin Mantenimiento"/>
    <s v="No definido"/>
    <m/>
    <x v="2"/>
    <m/>
    <n v="0.1"/>
    <s v="POST"/>
    <m/>
    <m/>
    <s v="NO"/>
    <x v="0"/>
    <s v=""/>
    <n v="0.1"/>
    <s v=""/>
    <s v=""/>
    <m/>
    <m/>
    <m/>
    <m/>
    <m/>
    <m/>
    <m/>
    <n v="25"/>
    <n v="0.1"/>
    <n v="200"/>
    <m/>
    <x v="2"/>
    <n v="0.9"/>
    <n v="1"/>
    <n v="24"/>
    <n v="8"/>
    <n v="192"/>
    <x v="0"/>
    <x v="1"/>
    <m/>
    <x v="0"/>
    <m/>
  </r>
  <r>
    <s v="M1299"/>
    <n v="3132"/>
    <x v="0"/>
    <s v="2025-T0902"/>
    <m/>
    <s v="Incorporación de Códigos UNE_UNPRG_UNAJ"/>
    <m/>
    <x v="0"/>
    <s v="Servicios Bancarios y Recaudación"/>
    <s v="Recaudación y Corresponsalía"/>
    <d v="2025-10-16T00:00:00"/>
    <s v="MEMORANDO N° 00000227 - 2025-BN/3243"/>
    <m/>
    <m/>
    <x v="2"/>
    <m/>
    <s v="Servicios Bancarios Diversos "/>
    <x v="0"/>
    <m/>
    <m/>
    <m/>
    <m/>
    <m/>
    <m/>
    <m/>
    <s v="Normal"/>
    <d v="2026-04-07T00:00:00"/>
    <s v="Sistemas Bancarios"/>
    <m/>
    <m/>
    <s v="Junior Quicaño"/>
    <x v="2"/>
    <x v="2"/>
    <x v="0"/>
    <m/>
    <m/>
    <m/>
    <m/>
    <m/>
    <m/>
    <m/>
    <s v=""/>
    <m/>
    <m/>
    <s v=""/>
    <s v="16/12/25: Se registró en el Backlog._x000a_16/12/25: Se creo trámite_x000a__x000a_Rutinario"/>
    <s v="Operac."/>
    <s v="BancariosRecaudación"/>
    <s v="2025-10"/>
    <s v="2026-04"/>
    <s v="No definido"/>
    <x v="0"/>
    <s v="No definido"/>
    <m/>
    <m/>
    <m/>
    <m/>
    <m/>
    <m/>
    <s v="Sin Fechas"/>
    <s v="No Aplica"/>
    <m/>
    <m/>
    <x v="2"/>
    <m/>
    <x v="0"/>
    <m/>
    <m/>
    <s v="Sin Mantenimiento"/>
    <s v="Sin Aplicativo"/>
    <s v="Sin Aplicativo"/>
    <m/>
    <m/>
    <m/>
    <s v=""/>
    <s v="Sin Mantenimiento"/>
    <s v="No definido"/>
    <m/>
    <x v="2"/>
    <m/>
    <n v="0.1"/>
    <s v="POST"/>
    <m/>
    <m/>
    <s v="NO"/>
    <x v="0"/>
    <s v=""/>
    <n v="0.1"/>
    <s v=""/>
    <s v=""/>
    <m/>
    <m/>
    <m/>
    <m/>
    <m/>
    <m/>
    <m/>
    <n v="25"/>
    <n v="0.1"/>
    <n v="200"/>
    <m/>
    <x v="2"/>
    <n v="0.9"/>
    <n v="1"/>
    <n v="24"/>
    <n v="8"/>
    <n v="192"/>
    <x v="0"/>
    <x v="1"/>
    <m/>
    <x v="0"/>
    <m/>
  </r>
  <r>
    <s v="M1300"/>
    <n v="3133"/>
    <x v="0"/>
    <s v="2025-T0651"/>
    <s v="2025-M0770"/>
    <s v="Identificación de riesgos cambiario crediticio para los clientes minoristas"/>
    <m/>
    <x v="7"/>
    <s v="Riesgos Crediticios y Financieros"/>
    <s v="Evaluación de Cartera de Créditos"/>
    <d v="2025-12-15T00:00:00"/>
    <s v="MEMORANDO N° 00000045 - 2025-BN/2191"/>
    <s v="COBD-Contabilidad-RCD"/>
    <m/>
    <x v="1"/>
    <s v="No Aplica"/>
    <s v="No aplica"/>
    <x v="2"/>
    <m/>
    <s v="SBS"/>
    <s v="Resolución SBS N° 00774-2025"/>
    <m/>
    <m/>
    <m/>
    <m/>
    <s v="Normal"/>
    <d v="2026-04-07T00:00:00"/>
    <s v="Sistemas Bancarios"/>
    <m/>
    <s v="Pedro Jose Encalada Huertas"/>
    <s v="Maria Barboza"/>
    <x v="7"/>
    <x v="4"/>
    <x v="0"/>
    <m/>
    <m/>
    <d v="2025-12-16T00:00:00"/>
    <d v="2026-03-19T00:00:00"/>
    <m/>
    <d v="2026-03-30T00:00:00"/>
    <m/>
    <d v="2026-04-25T04:48:00"/>
    <m/>
    <m/>
    <d v="2026-05-02T04:48:00"/>
    <s v="13/04/26: Según CQ, actualizó el estado a 05. En Calidad_x000a_16/12/25: Se registró en el Backlog._x000a_16/12/25: Tramite del ID 2936_x000a__x000a_Olssa"/>
    <s v="Riesgos"/>
    <s v="CrediticiosFinancieros"/>
    <s v="2025-12"/>
    <s v="2026-04"/>
    <s v="2026-03"/>
    <x v="0"/>
    <s v="2026-05"/>
    <m/>
    <m/>
    <m/>
    <m/>
    <m/>
    <m/>
    <s v="Sin Fecha Fin Producción"/>
    <s v="No Aplica"/>
    <m/>
    <s v="Finalizada"/>
    <x v="11"/>
    <d v="2026-03-30T12:49:06"/>
    <x v="0"/>
    <m/>
    <m/>
    <s v="Vencida"/>
    <s v="BackOffice"/>
    <s v="Otros Requerimientos"/>
    <m/>
    <m/>
    <m/>
    <s v=""/>
    <s v="Sin Fecha"/>
    <s v="No definido"/>
    <m/>
    <x v="2"/>
    <m/>
    <n v="0.7"/>
    <s v="POST"/>
    <m/>
    <m/>
    <s v="NO"/>
    <x v="0"/>
    <s v=""/>
    <n v="0.7"/>
    <s v=""/>
    <s v=""/>
    <m/>
    <m/>
    <m/>
    <m/>
    <m/>
    <m/>
    <m/>
    <n v="25"/>
    <n v="0.1"/>
    <n v="200"/>
    <m/>
    <x v="5"/>
    <n v="0.9"/>
    <n v="1"/>
    <n v="24"/>
    <n v="8"/>
    <n v="192"/>
    <x v="0"/>
    <x v="1"/>
    <m/>
    <x v="0"/>
    <m/>
  </r>
  <r>
    <s v="M1301"/>
    <n v="3134"/>
    <x v="0"/>
    <s v="2025-T0904"/>
    <s v="2025-M0773"/>
    <s v="Creación de Base de Datos de Clientes No Minoristas Expuestos a Riesgo Cambiario Crediticio_x000a_"/>
    <m/>
    <x v="7"/>
    <s v="Riesgos Crediticios y Financieros"/>
    <s v="Evaluación de Cartera de Créditos"/>
    <d v="2025-12-15T00:00:00"/>
    <s v="MEMORANDO N° 00000045 - 2025-BN/2191"/>
    <s v="COBD-Contabilidad-RCD"/>
    <m/>
    <x v="1"/>
    <s v="No Aplica"/>
    <s v="No aplica"/>
    <x v="2"/>
    <m/>
    <s v="SBS"/>
    <s v="Resolución SBS N° 00774-2025"/>
    <m/>
    <m/>
    <m/>
    <m/>
    <s v="Normal"/>
    <d v="2026-04-07T00:00:00"/>
    <s v="Sistemas Bancarios"/>
    <m/>
    <s v="Pedro Jose Encalada Huertas"/>
    <s v="Maria Barboza"/>
    <x v="7"/>
    <x v="4"/>
    <x v="0"/>
    <m/>
    <m/>
    <d v="2025-12-17T00:00:00"/>
    <d v="2026-03-19T00:00:00"/>
    <m/>
    <d v="2026-03-30T00:00:00"/>
    <m/>
    <d v="2026-04-24T19:12:00"/>
    <m/>
    <m/>
    <d v="2026-05-01T19:12:00"/>
    <s v="13/04/26: Según CQ, actualizó el estado a 05. En Calidad_x000a_16/12/25: Se registró en el Backlog._x000a_16/12/25: Se creo trámite_x000a__x000a_Olssa"/>
    <s v="Riesgos"/>
    <s v="CrediticiosFinancieros"/>
    <s v="2025-12"/>
    <s v="2026-04"/>
    <s v="2026-03"/>
    <x v="0"/>
    <s v="2026-05"/>
    <m/>
    <m/>
    <m/>
    <m/>
    <m/>
    <m/>
    <s v="Sin Fecha Fin Producción"/>
    <s v="No Aplica"/>
    <m/>
    <s v="Finalizada"/>
    <x v="11"/>
    <d v="2026-03-30T12:49:20"/>
    <x v="0"/>
    <m/>
    <m/>
    <s v="Vencida"/>
    <s v="BackOffice"/>
    <s v="Otros Requerimientos"/>
    <m/>
    <m/>
    <m/>
    <s v=""/>
    <s v="Sin Fecha"/>
    <s v="No definido"/>
    <m/>
    <x v="2"/>
    <m/>
    <n v="0.7"/>
    <s v="POST"/>
    <m/>
    <m/>
    <s v="NO"/>
    <x v="0"/>
    <s v=""/>
    <n v="0.7"/>
    <s v=""/>
    <s v=""/>
    <m/>
    <m/>
    <m/>
    <m/>
    <m/>
    <m/>
    <m/>
    <n v="25"/>
    <n v="0.1"/>
    <n v="200"/>
    <m/>
    <x v="5"/>
    <n v="0.9"/>
    <n v="1"/>
    <n v="24"/>
    <n v="8"/>
    <n v="192"/>
    <x v="0"/>
    <x v="1"/>
    <m/>
    <x v="0"/>
    <m/>
  </r>
  <r>
    <s v="M1302"/>
    <n v="3135"/>
    <x v="0"/>
    <s v="2025-T0905"/>
    <m/>
    <s v="Pago Electrónico Embargos Sunat"/>
    <m/>
    <x v="0"/>
    <s v="Servicios Bancarios y Recaudación"/>
    <s v="Recaudación y Corresponsalía"/>
    <d v="2025-11-19T00:00:00"/>
    <s v="MEMORANDO N° 00000255 - 2025-BN/3243"/>
    <m/>
    <m/>
    <x v="0"/>
    <s v="Otros"/>
    <m/>
    <x v="0"/>
    <m/>
    <m/>
    <m/>
    <m/>
    <m/>
    <m/>
    <m/>
    <s v="Normal"/>
    <d v="2026-04-07T00:00:00"/>
    <s v="Sistemas Bancarios"/>
    <m/>
    <m/>
    <s v="Junior Quicaño"/>
    <x v="2"/>
    <x v="2"/>
    <x v="0"/>
    <m/>
    <m/>
    <m/>
    <m/>
    <m/>
    <m/>
    <m/>
    <s v=""/>
    <m/>
    <m/>
    <s v=""/>
    <s v="16/12/25: Se registró en el Backlog._x000a_16/12/25: Se creo trámite_x000a__x000a_Requerimiento MEF"/>
    <s v="Operac."/>
    <s v="BancariosRecaudación"/>
    <s v="2025-11"/>
    <s v="2026-04"/>
    <s v="No definido"/>
    <x v="0"/>
    <s v="No definido"/>
    <m/>
    <m/>
    <m/>
    <m/>
    <m/>
    <m/>
    <s v="Sin Fechas"/>
    <s v="No Aplica"/>
    <m/>
    <m/>
    <x v="2"/>
    <m/>
    <x v="0"/>
    <m/>
    <m/>
    <s v="Sin Mantenimiento"/>
    <s v="Sin Aplicativo"/>
    <s v="Sin Aplicativo"/>
    <m/>
    <m/>
    <m/>
    <s v=""/>
    <s v="Sin Mantenimiento"/>
    <s v="No definido"/>
    <m/>
    <x v="2"/>
    <m/>
    <n v="0.1"/>
    <s v="POST"/>
    <m/>
    <m/>
    <s v="NO"/>
    <x v="0"/>
    <s v=""/>
    <n v="0.1"/>
    <s v=""/>
    <s v=""/>
    <m/>
    <m/>
    <m/>
    <m/>
    <m/>
    <m/>
    <m/>
    <n v="25"/>
    <n v="0.1"/>
    <n v="200"/>
    <m/>
    <x v="2"/>
    <n v="0.9"/>
    <n v="1"/>
    <n v="24"/>
    <n v="8"/>
    <n v="192"/>
    <x v="0"/>
    <x v="1"/>
    <m/>
    <x v="0"/>
    <m/>
  </r>
  <r>
    <s v="M1303"/>
    <n v="3136"/>
    <x v="0"/>
    <s v="2025-T0907"/>
    <s v="2026-M0004"/>
    <s v="Actualización de tabla de Aranceles Indecopi"/>
    <m/>
    <x v="0"/>
    <s v="Servicios Bancarios y Recaudación"/>
    <s v="Recaudación y Corresponsalía"/>
    <d v="2025-12-12T00:00:00"/>
    <s v="MEMORANDO N° 00000268 - 2025-BN/3243"/>
    <s v="RECC-Recaudación Cobranza Coactiva"/>
    <m/>
    <x v="2"/>
    <s v="Págalo.pe (APP-Web)"/>
    <s v="Pagos "/>
    <x v="0"/>
    <m/>
    <m/>
    <m/>
    <m/>
    <m/>
    <m/>
    <m/>
    <s v="Normal"/>
    <d v="2026-04-07T00:00:00"/>
    <s v="Sistemas Bancarios"/>
    <m/>
    <s v="Jorge Lucio Ruedas Fernandez"/>
    <s v="Junior Quicaño"/>
    <x v="1"/>
    <x v="1"/>
    <x v="0"/>
    <m/>
    <m/>
    <d v="2026-01-05T00:00:00"/>
    <d v="2026-01-30T00:00:00"/>
    <m/>
    <d v="2026-02-02T00:00:00"/>
    <d v="2026-02-18T00:00:00"/>
    <d v="2026-02-09T00:00:00"/>
    <d v="2026-03-09T00:00:00"/>
    <d v="2026-03-09T00:00:00"/>
    <d v="2026-02-16T00:00:00"/>
    <s v="13/04/26: Según CQ, actualizó el estado a 08. Producción Finalizada_x000a_17/12/25: Se registró en el Backlog._x000a_17/12/25: Se creo trámite_x000a_"/>
    <s v="Operac."/>
    <s v="BancariosRecaudación"/>
    <s v="2025-12"/>
    <s v="2026-04"/>
    <s v="2026-01"/>
    <x v="2"/>
    <s v="2026-02"/>
    <m/>
    <m/>
    <m/>
    <m/>
    <m/>
    <m/>
    <n v="63"/>
    <n v="2.1"/>
    <m/>
    <s v="Finalizada"/>
    <x v="1"/>
    <d v="2026-03-17T13:01:29"/>
    <x v="0"/>
    <m/>
    <m/>
    <s v="Culminado"/>
    <s v="BackOffice"/>
    <s v="Otros Requerimientos"/>
    <m/>
    <m/>
    <m/>
    <d v="2026-03-09T00:00:00"/>
    <s v="Culminado"/>
    <s v="Mar 2026"/>
    <m/>
    <x v="1"/>
    <m/>
    <n v="1"/>
    <s v="POST"/>
    <m/>
    <m/>
    <s v="No aplica"/>
    <x v="1"/>
    <n v="1"/>
    <n v="1"/>
    <s v=""/>
    <s v=""/>
    <m/>
    <m/>
    <m/>
    <m/>
    <m/>
    <m/>
    <m/>
    <n v="25"/>
    <n v="0.1"/>
    <n v="200"/>
    <m/>
    <x v="1"/>
    <n v="0.9"/>
    <n v="1"/>
    <n v="24"/>
    <n v="8"/>
    <n v="192"/>
    <x v="0"/>
    <x v="1"/>
    <m/>
    <x v="0"/>
    <m/>
  </r>
  <r>
    <s v="M1304"/>
    <n v="3137"/>
    <x v="0"/>
    <s v="2025-T0908"/>
    <m/>
    <s v="Incorporar 2 tipos de documento en la transacción 9120 Indecopi  "/>
    <m/>
    <x v="0"/>
    <s v="Servicios Bancarios y Recaudación"/>
    <s v="Recaudación y Corresponsalía"/>
    <d v="2025-12-12T00:00:00"/>
    <s v="MEMORANDO N° 00000269 - 2025-BN/3243"/>
    <m/>
    <m/>
    <x v="2"/>
    <s v="Págalo.pe (APP-Web)"/>
    <s v="Pagos "/>
    <x v="0"/>
    <m/>
    <m/>
    <m/>
    <m/>
    <m/>
    <m/>
    <m/>
    <s v="Normal"/>
    <d v="2026-04-07T00:00:00"/>
    <s v="Sistemas Bancarios"/>
    <m/>
    <m/>
    <s v="Junior Quicaño"/>
    <x v="2"/>
    <x v="2"/>
    <x v="0"/>
    <m/>
    <m/>
    <m/>
    <m/>
    <m/>
    <m/>
    <m/>
    <s v=""/>
    <m/>
    <m/>
    <s v=""/>
    <s v="17/12/25: Se registró en el Backlog._x000a_17/12/25: Se creo trámite_x000a_"/>
    <s v="Operac."/>
    <s v="BancariosRecaudación"/>
    <s v="2025-12"/>
    <s v="2026-04"/>
    <s v="No definido"/>
    <x v="0"/>
    <s v="No definido"/>
    <m/>
    <m/>
    <m/>
    <m/>
    <m/>
    <m/>
    <s v="Sin Fechas"/>
    <s v="No Aplica"/>
    <m/>
    <m/>
    <x v="2"/>
    <m/>
    <x v="0"/>
    <m/>
    <m/>
    <s v="Sin Mantenimiento"/>
    <s v="Sin Aplicativo"/>
    <s v="Sin Aplicativo"/>
    <m/>
    <m/>
    <m/>
    <s v=""/>
    <s v="Sin Mantenimiento"/>
    <s v="No definido"/>
    <m/>
    <x v="2"/>
    <m/>
    <n v="0.1"/>
    <s v="POST"/>
    <m/>
    <m/>
    <s v="NO"/>
    <x v="0"/>
    <s v=""/>
    <n v="0.1"/>
    <s v=""/>
    <s v=""/>
    <m/>
    <m/>
    <m/>
    <m/>
    <m/>
    <m/>
    <m/>
    <n v="25"/>
    <n v="0.1"/>
    <n v="200"/>
    <m/>
    <x v="2"/>
    <n v="0.9"/>
    <n v="1"/>
    <n v="24"/>
    <n v="8"/>
    <n v="192"/>
    <x v="0"/>
    <x v="1"/>
    <m/>
    <x v="0"/>
    <m/>
  </r>
  <r>
    <s v="M1305"/>
    <n v="3138"/>
    <x v="0"/>
    <s v="2025-T0909"/>
    <s v="2026-M0005"/>
    <s v="Reportes de Ahorros"/>
    <m/>
    <x v="0"/>
    <s v="Captaciones y Pagaduría"/>
    <s v="Administración de Cuentas y Pagaduría"/>
    <d v="2025-12-11T00:00:00"/>
    <s v="MEMORANDO N° 00001465 - 2025-BN/3191"/>
    <s v="DPAH- Deposito de Ahorros MN"/>
    <m/>
    <x v="0"/>
    <s v="No Aplica"/>
    <s v="No aplica"/>
    <x v="1"/>
    <m/>
    <m/>
    <m/>
    <m/>
    <m/>
    <m/>
    <m/>
    <s v="Normal"/>
    <d v="2026-04-07T00:00:00"/>
    <s v="Sistemas Bancarios"/>
    <m/>
    <s v="Norma Fukunaga Fuentes"/>
    <s v="Junior Quicaño"/>
    <x v="1"/>
    <x v="1"/>
    <x v="0"/>
    <m/>
    <m/>
    <d v="2026-01-05T00:00:00"/>
    <d v="2026-01-08T00:00:00"/>
    <m/>
    <d v="2026-01-14T00:00:00"/>
    <d v="2026-01-22T00:00:00"/>
    <d v="2026-01-09T04:48:00"/>
    <d v="2026-01-23T00:00:00"/>
    <d v="2026-01-25T00:00:00"/>
    <d v="2026-01-16T04:48:00"/>
    <s v="13/04/26: Según CQ, actualizó el estado a 08. Producción Finalizada_x000a_17/12/25: Se registró en el Backlog._x000a_17/12/25: Se creo trámite_x000a_"/>
    <s v="Operac."/>
    <s v="CaptacionesPagaduría"/>
    <s v="2025-12"/>
    <s v="2026-04"/>
    <s v="2026-01"/>
    <x v="4"/>
    <s v="2026-01"/>
    <m/>
    <m/>
    <m/>
    <m/>
    <m/>
    <m/>
    <n v="20"/>
    <n v="0.66666666666666663"/>
    <m/>
    <s v="Finalizada"/>
    <x v="1"/>
    <d v="2026-01-25T00:11:26"/>
    <x v="0"/>
    <m/>
    <m/>
    <s v="Culminado"/>
    <s v="BackOffice"/>
    <s v="Otros Requerimientos"/>
    <m/>
    <m/>
    <m/>
    <d v="2026-01-25T00:00:00"/>
    <s v="Culminado"/>
    <s v="Ene 2026"/>
    <m/>
    <x v="1"/>
    <m/>
    <n v="1"/>
    <s v="POST"/>
    <m/>
    <m/>
    <s v="No aplica"/>
    <x v="1"/>
    <n v="1"/>
    <n v="1"/>
    <s v=""/>
    <s v=""/>
    <m/>
    <m/>
    <m/>
    <m/>
    <m/>
    <m/>
    <m/>
    <n v="25"/>
    <n v="0.1"/>
    <n v="200"/>
    <m/>
    <x v="1"/>
    <n v="0.9"/>
    <n v="1"/>
    <n v="24"/>
    <n v="8"/>
    <n v="192"/>
    <x v="0"/>
    <x v="1"/>
    <m/>
    <x v="0"/>
    <m/>
  </r>
  <r>
    <s v="M1306"/>
    <n v="3139"/>
    <x v="0"/>
    <s v="2025-T0910"/>
    <s v="2026-M0009"/>
    <s v="Funcionabilidad de la Transacción Sara web 1470"/>
    <m/>
    <x v="0"/>
    <s v="Captaciones y Pagaduría"/>
    <s v="Apertura de Cuentas"/>
    <d v="2025-12-05T00:00:00"/>
    <s v="MEMORANDO N° 00000687 - 2025-BN/3111"/>
    <s v="SIUC-Sistema de Información Unica de Clientes"/>
    <m/>
    <x v="0"/>
    <s v="No Aplica"/>
    <s v="Pagos "/>
    <x v="0"/>
    <m/>
    <m/>
    <m/>
    <m/>
    <m/>
    <m/>
    <m/>
    <s v="Normal"/>
    <d v="2026-04-07T00:00:00"/>
    <s v="Sistemas Bancarios"/>
    <m/>
    <s v="Johnny Luis Rocca Surco"/>
    <s v="Junior Quicaño"/>
    <x v="5"/>
    <x v="4"/>
    <x v="0"/>
    <m/>
    <m/>
    <d v="2026-01-05T00:00:00"/>
    <m/>
    <m/>
    <m/>
    <m/>
    <s v=""/>
    <m/>
    <m/>
    <s v=""/>
    <s v="13/04/26: Según CQ, actualizó el estado a 03. En Desarrollo_x000a_18/12/25: Se registró en el Backlog._x000a_18/12/25: Se creo trámite_x000a_"/>
    <s v="Operac."/>
    <s v="CaptacionesPagaduría"/>
    <s v="2025-12"/>
    <s v="2026-04"/>
    <s v="No definido"/>
    <x v="0"/>
    <s v="No definido"/>
    <m/>
    <m/>
    <m/>
    <m/>
    <m/>
    <m/>
    <s v="Sin Fecha Fin Producción"/>
    <s v="No Aplica"/>
    <m/>
    <s v="Asignada"/>
    <x v="5"/>
    <d v="2026-01-05T17:52:28"/>
    <x v="0"/>
    <m/>
    <m/>
    <s v="Sin Fecha"/>
    <s v="Clientes (BDUC)"/>
    <s v="Canales Presenciales"/>
    <m/>
    <m/>
    <m/>
    <s v=""/>
    <s v="Sin Fecha"/>
    <s v="No definido"/>
    <m/>
    <x v="2"/>
    <m/>
    <n v="0.15"/>
    <s v="POST"/>
    <m/>
    <m/>
    <s v="NO"/>
    <x v="0"/>
    <s v=""/>
    <n v="0.15"/>
    <s v=""/>
    <s v=""/>
    <m/>
    <m/>
    <m/>
    <m/>
    <m/>
    <m/>
    <m/>
    <n v="25"/>
    <n v="0.1"/>
    <n v="200"/>
    <m/>
    <x v="2"/>
    <n v="0.9"/>
    <n v="1"/>
    <n v="24"/>
    <n v="1.1428571428571428"/>
    <n v="27.428571428571427"/>
    <x v="0"/>
    <x v="1"/>
    <m/>
    <x v="0"/>
    <m/>
  </r>
  <r>
    <s v="M1307"/>
    <n v="3140"/>
    <x v="0"/>
    <s v="2025-T0911"/>
    <s v="2026-M0012"/>
    <s v="Generación diaria de Archivo Plano de Tasas  "/>
    <m/>
    <x v="0"/>
    <s v="Servicios Bancarios y Recaudación"/>
    <s v="Recaudación y Corresponsalía"/>
    <d v="2025-11-07T00:00:00"/>
    <s v="MEMORANDO N° 00000240 - 2025-BN/3243"/>
    <s v="REPA- Recaudacion Proceso Batch"/>
    <m/>
    <x v="14"/>
    <s v="No Aplica"/>
    <s v="No aplica"/>
    <x v="0"/>
    <m/>
    <m/>
    <m/>
    <m/>
    <m/>
    <m/>
    <m/>
    <s v="Normal"/>
    <d v="2026-04-07T00:00:00"/>
    <s v="Sistemas Bancarios"/>
    <m/>
    <s v="Jorge Lucio Ruedas Fernandez"/>
    <s v="Junior Quicaño"/>
    <x v="1"/>
    <x v="1"/>
    <x v="0"/>
    <m/>
    <m/>
    <d v="2026-01-06T00:00:00"/>
    <d v="2026-01-30T00:00:00"/>
    <m/>
    <d v="2026-02-05T00:00:00"/>
    <d v="2026-02-06T00:00:00"/>
    <d v="2026-02-08T14:24:00"/>
    <d v="2026-02-17T00:00:00"/>
    <d v="2026-02-17T00:00:00"/>
    <d v="2026-02-15T14:24:00"/>
    <s v="13/04/26: Según CQ, actualizó el estado a 08. Producción Finalizada_x000a_18/12/25: Se registró en el Backlog._x000a_18/12/25: Se creo trámite_x000a_"/>
    <s v="Operac."/>
    <s v="BancariosRecaudación"/>
    <s v="2025-11"/>
    <s v="2026-04"/>
    <s v="2026-01"/>
    <x v="3"/>
    <s v="2026-02"/>
    <m/>
    <m/>
    <m/>
    <m/>
    <m/>
    <m/>
    <n v="42"/>
    <n v="1.4"/>
    <m/>
    <s v="Finalizada"/>
    <x v="1"/>
    <d v="2026-03-17T13:02:51"/>
    <x v="0"/>
    <m/>
    <m/>
    <s v="Culminado"/>
    <s v="BackOffice"/>
    <s v="Otros Requerimientos"/>
    <m/>
    <m/>
    <m/>
    <d v="2026-02-17T00:00:00"/>
    <s v="Culminado"/>
    <s v="Feb 2026"/>
    <m/>
    <x v="1"/>
    <m/>
    <n v="1"/>
    <s v="POST"/>
    <m/>
    <m/>
    <s v="No aplica"/>
    <x v="1"/>
    <n v="1"/>
    <n v="1"/>
    <s v=""/>
    <s v=""/>
    <m/>
    <m/>
    <m/>
    <m/>
    <m/>
    <m/>
    <m/>
    <n v="25"/>
    <n v="0.1"/>
    <n v="200"/>
    <m/>
    <x v="1"/>
    <n v="0.9"/>
    <n v="1"/>
    <n v="24"/>
    <n v="8"/>
    <n v="192"/>
    <x v="0"/>
    <x v="1"/>
    <m/>
    <x v="0"/>
    <m/>
  </r>
  <r>
    <s v="M1308"/>
    <n v="3146"/>
    <x v="0"/>
    <s v="2025-T0912"/>
    <s v="2026-M0025"/>
    <s v="Nueva Escala - SAI-Oracle "/>
    <m/>
    <x v="5"/>
    <s v="Administración de Personal"/>
    <s v="Selección de Personal"/>
    <d v="2025-12-23T00:00:00"/>
    <s v="MEMORANDO N° 00001791 - 2025-BN/2335"/>
    <s v="OSAI -: Oracle Sistema Administrativo Integrado"/>
    <m/>
    <x v="0"/>
    <s v="No Aplica"/>
    <s v="No aplica"/>
    <x v="0"/>
    <m/>
    <m/>
    <m/>
    <m/>
    <m/>
    <m/>
    <m/>
    <s v="Normal"/>
    <d v="2026-04-07T00:00:00"/>
    <s v="Sistemas Administrativos"/>
    <m/>
    <s v="Emerson Quecara Choquetico"/>
    <s v="Juan Carlos Zavaleta"/>
    <x v="1"/>
    <x v="1"/>
    <x v="0"/>
    <m/>
    <m/>
    <d v="2026-01-27T00:00:00"/>
    <d v="2026-01-28T00:00:00"/>
    <m/>
    <d v="2026-01-29T00:00:00"/>
    <d v="2026-03-13T00:00:00"/>
    <d v="2026-01-28T09:36:00"/>
    <d v="2026-03-16T00:00:00"/>
    <d v="2026-03-16T00:00:00"/>
    <d v="2026-02-04T09:36:00"/>
    <s v="13/04/26: Según CQ, actualizó el estado a 08. Producción Finalizada_x000a_23/12/25: Se registró en el Backlog._x000a_23/12/25: Se creo trámite_x000a_"/>
    <s v="RRHH"/>
    <s v="AdministraciónPersonal"/>
    <s v="2025-12"/>
    <s v="2026-04"/>
    <s v="2026-01"/>
    <x v="2"/>
    <s v="2026-02"/>
    <m/>
    <m/>
    <m/>
    <m/>
    <m/>
    <m/>
    <n v="48"/>
    <n v="1.6"/>
    <m/>
    <s v="Finalizada"/>
    <x v="1"/>
    <d v="2026-03-16T19:57:13"/>
    <x v="0"/>
    <m/>
    <m/>
    <s v="Culminado"/>
    <s v="Oracle"/>
    <s v="Otros Requerimientos"/>
    <m/>
    <m/>
    <m/>
    <d v="2026-03-16T00:00:00"/>
    <s v="Culminado"/>
    <s v="Mar 2026"/>
    <m/>
    <x v="1"/>
    <m/>
    <n v="1"/>
    <s v="POST"/>
    <m/>
    <m/>
    <s v="No aplica"/>
    <x v="1"/>
    <n v="1"/>
    <n v="1"/>
    <s v=""/>
    <s v=""/>
    <m/>
    <m/>
    <m/>
    <m/>
    <m/>
    <m/>
    <m/>
    <n v="25"/>
    <n v="0.1"/>
    <n v="200"/>
    <m/>
    <x v="1"/>
    <n v="0.9"/>
    <n v="1"/>
    <n v="24"/>
    <n v="8"/>
    <n v="192"/>
    <x v="0"/>
    <x v="1"/>
    <m/>
    <x v="0"/>
    <m/>
  </r>
  <r>
    <s v="M1309"/>
    <n v="3147"/>
    <x v="0"/>
    <s v="2025-T0914"/>
    <s v="2025-M0774"/>
    <s v="Independización de opciones en el sistema de claves del aplicativo RSIP_RHSC Registro de Personal_Compensaciones"/>
    <m/>
    <x v="5"/>
    <s v="Administración de Personal"/>
    <s v="Registro de Personal"/>
    <d v="2025-12-24T00:00:00"/>
    <s v="MEMORANDO N° 00000621 - 2024-BN/2332"/>
    <s v="RHDL- Recursos humanos datos laborale"/>
    <m/>
    <x v="0"/>
    <s v="No Aplica"/>
    <s v="No aplica"/>
    <x v="1"/>
    <m/>
    <m/>
    <m/>
    <m/>
    <m/>
    <m/>
    <m/>
    <s v="Normal"/>
    <d v="2026-04-07T00:00:00"/>
    <s v="Sistemas Administrativos"/>
    <m/>
    <s v="Walter Tito Valencia"/>
    <s v="Juan Carlos Zavaleta"/>
    <x v="1"/>
    <x v="1"/>
    <x v="0"/>
    <m/>
    <m/>
    <d v="2025-12-24T00:00:00"/>
    <d v="2025-12-24T00:00:00"/>
    <m/>
    <d v="2025-12-31T00:00:00"/>
    <d v="2026-01-07T00:00:00"/>
    <d v="2025-12-24T00:00:00"/>
    <d v="2026-01-07T00:00:00"/>
    <d v="2026-01-13T00:00:00"/>
    <d v="2025-12-31T00:00:00"/>
    <s v="13/04/26: Según CQ, actualizó el estado a 08. Producción Finalizada_x000a_23/12/25: Se registró en el Backlog._x000a_23/12/25: Se creo trámite_x000a_"/>
    <s v="RRHH"/>
    <s v="AdministraciónPersonal"/>
    <s v="2025-12"/>
    <s v="2026-04"/>
    <s v="2025-12"/>
    <x v="4"/>
    <s v="2025-12"/>
    <m/>
    <m/>
    <m/>
    <m/>
    <m/>
    <m/>
    <n v="20"/>
    <n v="0.66666666666666663"/>
    <m/>
    <s v="Finalizada"/>
    <x v="1"/>
    <d v="2026-02-20T10:02:33"/>
    <x v="0"/>
    <m/>
    <m/>
    <s v="Culminado"/>
    <s v="BackOffice"/>
    <s v="Otros Requerimientos"/>
    <m/>
    <m/>
    <m/>
    <d v="2026-01-13T00:00:00"/>
    <s v="Culminado"/>
    <s v="Ene 2026"/>
    <m/>
    <x v="1"/>
    <m/>
    <n v="1"/>
    <s v="POST"/>
    <m/>
    <m/>
    <s v="No aplica"/>
    <x v="1"/>
    <n v="1"/>
    <n v="1"/>
    <s v=""/>
    <s v=""/>
    <m/>
    <m/>
    <m/>
    <m/>
    <m/>
    <m/>
    <m/>
    <n v="25"/>
    <n v="0.1"/>
    <n v="200"/>
    <m/>
    <x v="1"/>
    <n v="0.9"/>
    <n v="1"/>
    <n v="24"/>
    <n v="8"/>
    <n v="192"/>
    <x v="0"/>
    <x v="1"/>
    <m/>
    <x v="0"/>
    <m/>
  </r>
  <r>
    <s v="M1310"/>
    <n v="3148"/>
    <x v="0"/>
    <s v="2026-T0003"/>
    <s v="2026-M0061"/>
    <s v="CONSULTA DE AHORROS MN, AHORROS ME, CTAS CTES MN Y CTAS CTES ME EN PLATAFORMA DE BIGDATA"/>
    <m/>
    <x v="0"/>
    <s v="Captaciones y Pagaduría"/>
    <s v="Administración de Cuentas y Pagaduría"/>
    <d v="2025-12-11T00:00:00"/>
    <s v="MEMORANDO N° 00001459 - 2025-BN/3191"/>
    <s v="BNDA-Data Analítica BN"/>
    <m/>
    <x v="0"/>
    <s v="Cuenta de Ahorros"/>
    <s v="Cuenta Corriente "/>
    <x v="1"/>
    <m/>
    <m/>
    <m/>
    <m/>
    <m/>
    <m/>
    <m/>
    <s v="Normal"/>
    <d v="2026-04-07T00:00:00"/>
    <s v="Sistemas Administrativos"/>
    <m/>
    <s v="Luis Enrique Almeyda Pachas"/>
    <s v="Juan Carlos Zavaleta"/>
    <x v="5"/>
    <x v="4"/>
    <x v="0"/>
    <m/>
    <m/>
    <d v="2026-02-04T00:00:00"/>
    <m/>
    <m/>
    <m/>
    <m/>
    <s v=""/>
    <m/>
    <m/>
    <s v=""/>
    <s v="13/04/26: Según CQ, actualizó el estado a 03. En Desarrollo_x000a_05/01/26: Se registró en el Backlog._x000a_05/01/26: Se creo trámite _x000a__x000a_BIGDATA_x000a_"/>
    <s v="Operac."/>
    <s v="CaptacionesPagaduría"/>
    <s v="2025-12"/>
    <s v="2026-04"/>
    <s v="No definido"/>
    <x v="0"/>
    <s v="No definido"/>
    <m/>
    <m/>
    <m/>
    <m/>
    <m/>
    <m/>
    <s v="Sin Fecha Fin Producción"/>
    <s v="No Aplica"/>
    <m/>
    <s v="Asignada"/>
    <x v="5"/>
    <d v="2026-02-04T15:11:32"/>
    <x v="0"/>
    <m/>
    <m/>
    <s v="Sin Fecha"/>
    <s v="BackOffice"/>
    <s v="Otros Requerimientos"/>
    <m/>
    <m/>
    <m/>
    <s v=""/>
    <s v="Sin Fecha"/>
    <s v="No definido"/>
    <m/>
    <x v="2"/>
    <m/>
    <n v="0.15"/>
    <s v="POST"/>
    <m/>
    <m/>
    <s v="NO"/>
    <x v="0"/>
    <s v=""/>
    <n v="0.15"/>
    <s v=""/>
    <s v=""/>
    <m/>
    <m/>
    <m/>
    <m/>
    <m/>
    <m/>
    <m/>
    <n v="25"/>
    <n v="0.1"/>
    <n v="200"/>
    <m/>
    <x v="2"/>
    <n v="0.9"/>
    <n v="1"/>
    <n v="24"/>
    <n v="2.6666666666666665"/>
    <n v="64"/>
    <x v="0"/>
    <x v="1"/>
    <m/>
    <x v="0"/>
    <m/>
  </r>
  <r>
    <s v="M1311"/>
    <n v="3149"/>
    <x v="0"/>
    <s v="2026-T0006"/>
    <s v="2026-M0008"/>
    <s v="Actualización de tabla de Aranceles Indecopi Servicio Osinergmin"/>
    <m/>
    <x v="0"/>
    <s v="Servicios Bancarios y Recaudación"/>
    <s v="Recaudación y Corresponsalía"/>
    <d v="2025-12-12T00:00:00"/>
    <s v="MEMORANDO N° 00000268 - 2025-BN/3243"/>
    <s v="SOMP – SISTEMA DE OPERACIONES MULTIPAGOS"/>
    <m/>
    <x v="2"/>
    <s v="No Aplica"/>
    <s v="No aplica"/>
    <x v="0"/>
    <m/>
    <m/>
    <m/>
    <m/>
    <m/>
    <m/>
    <m/>
    <s v="Normal"/>
    <d v="2026-04-07T00:00:00"/>
    <s v="Sistemas Bancarios"/>
    <m/>
    <s v="Jorge Lucio Ruedas Fernandez/Angela Rocio Risco Vega"/>
    <s v="Junior Quicaño"/>
    <x v="5"/>
    <x v="4"/>
    <x v="0"/>
    <m/>
    <m/>
    <d v="2026-01-05T00:00:00"/>
    <m/>
    <m/>
    <m/>
    <m/>
    <s v=""/>
    <m/>
    <m/>
    <s v=""/>
    <s v="13/04/26: Según CQ, actualizó el estado a 03. En Desarrollo_x000a_05/01/26: Se registró en el Backlog._x000a__x000a_05/01/26: Se creo trámite _x000a_"/>
    <s v="Operac."/>
    <s v="BancariosRecaudación"/>
    <s v="2025-12"/>
    <s v="2026-04"/>
    <s v="No definido"/>
    <x v="0"/>
    <s v="No definido"/>
    <m/>
    <m/>
    <m/>
    <m/>
    <m/>
    <m/>
    <s v="Sin Fecha Fin Producción"/>
    <s v="No Aplica"/>
    <m/>
    <s v="Iniciada,Iniciada"/>
    <x v="5"/>
    <d v="2026-01-06T17:18:21"/>
    <x v="0"/>
    <m/>
    <m/>
    <s v="Sin Fecha"/>
    <s v="Pagalo.pe"/>
    <s v="Canales Virtuales"/>
    <m/>
    <m/>
    <m/>
    <s v=""/>
    <s v="Sin Fecha"/>
    <s v="No definido"/>
    <m/>
    <x v="2"/>
    <m/>
    <n v="0.25"/>
    <s v="POST"/>
    <m/>
    <m/>
    <s v="NO"/>
    <x v="0"/>
    <s v=""/>
    <n v="0.25"/>
    <s v=""/>
    <s v=""/>
    <m/>
    <m/>
    <m/>
    <m/>
    <m/>
    <m/>
    <m/>
    <n v="25"/>
    <n v="0.1"/>
    <n v="200"/>
    <m/>
    <x v="2"/>
    <n v="0.9"/>
    <n v="1"/>
    <n v="24"/>
    <n v="4"/>
    <n v="96"/>
    <x v="0"/>
    <x v="1"/>
    <m/>
    <x v="0"/>
    <m/>
  </r>
  <r>
    <s v="M1312"/>
    <n v="3150"/>
    <x v="0"/>
    <s v="2026-T0009"/>
    <s v="2026-M0013"/>
    <s v="Eliminar Papeletas de Convalidación Cuerpo Banco - 2026"/>
    <m/>
    <x v="0"/>
    <s v="Captaciones y Pagaduría"/>
    <s v="Administración de Cuentas y Pagaduría"/>
    <d v="2025-09-26T00:00:00"/>
    <s v="MEMORANDO N° 00000125 - 2025-BN/3100"/>
    <s v="SAVE-Sistema de Atención en Ventanillas"/>
    <m/>
    <x v="2"/>
    <s v="No Aplica"/>
    <s v="No aplica"/>
    <x v="0"/>
    <m/>
    <m/>
    <m/>
    <m/>
    <m/>
    <m/>
    <m/>
    <s v="Normal"/>
    <d v="2026-04-07T00:00:00"/>
    <s v="Sistemas Bancarios"/>
    <m/>
    <s v="Rossana Rojas Alvaro"/>
    <s v="Junior Quicaño"/>
    <x v="6"/>
    <x v="4"/>
    <x v="2"/>
    <m/>
    <m/>
    <d v="2026-01-07T00:00:00"/>
    <d v="2026-02-11T00:00:00"/>
    <m/>
    <d v="2026-02-12T00:00:00"/>
    <d v="2026-03-05T00:00:00"/>
    <d v="2026-02-25T00:00:00"/>
    <m/>
    <m/>
    <d v="2026-03-04T00:00:00"/>
    <s v="13/04/26: Según CQ, actualizó el estado a 06. Calidad Finalizado_x000a_06/01/26: Se registró en el Backlog._x000a__x000a_06/01/26: Se creo trámite _x000a_"/>
    <s v="Operac."/>
    <s v="CaptacionesPagaduría"/>
    <s v="2025-09"/>
    <s v="2026-04"/>
    <s v="2026-02"/>
    <x v="0"/>
    <s v="2026-03"/>
    <m/>
    <m/>
    <m/>
    <m/>
    <m/>
    <m/>
    <s v="Sin Fecha Fin Producción"/>
    <s v="No Aplica"/>
    <m/>
    <s v="Finalizada"/>
    <x v="7"/>
    <d v="2026-03-05T12:10:48"/>
    <x v="0"/>
    <m/>
    <m/>
    <s v="Vencida"/>
    <s v="Ventanilla"/>
    <s v="Canales Presenciales"/>
    <m/>
    <m/>
    <m/>
    <s v=""/>
    <s v="Sin Fecha"/>
    <s v="No definido"/>
    <m/>
    <x v="2"/>
    <m/>
    <n v="0.85"/>
    <s v="POST"/>
    <m/>
    <m/>
    <s v="NO"/>
    <x v="0"/>
    <s v=""/>
    <n v="0.85"/>
    <s v=""/>
    <s v=""/>
    <m/>
    <m/>
    <m/>
    <m/>
    <m/>
    <m/>
    <m/>
    <n v="25"/>
    <n v="0.1"/>
    <n v="200"/>
    <m/>
    <x v="5"/>
    <n v="0.9"/>
    <n v="1"/>
    <n v="24"/>
    <n v="8"/>
    <n v="192"/>
    <x v="0"/>
    <x v="1"/>
    <m/>
    <x v="3"/>
    <m/>
  </r>
  <r>
    <s v="M1313"/>
    <n v="3152"/>
    <x v="0"/>
    <s v="2026-T0014"/>
    <s v="2026-M0015"/>
    <s v="MN: Extracción de Datos Adquirencia VISA Prevención de Fraude (Servidor Data Lake)"/>
    <m/>
    <x v="7"/>
    <s v="Prevención del Fraude"/>
    <s v="Monitoreo y Respuesta del Fraude"/>
    <d v="2026-01-07T00:00:00"/>
    <s v="MEMORANDO N° 00000003 - 2026-BN/2211"/>
    <s v="STRA - Proyecto de Stratus"/>
    <m/>
    <x v="1"/>
    <s v="No Aplica"/>
    <s v="No aplica"/>
    <x v="2"/>
    <m/>
    <s v="SBS"/>
    <s v="Resolución 2286 - 2024"/>
    <m/>
    <m/>
    <m/>
    <d v="2025-07-01T00:00:00"/>
    <s v="Normal"/>
    <d v="2026-04-07T00:00:00"/>
    <s v="Sistemas Bancarios"/>
    <m/>
    <s v="Vladimir Ronald Cajavilca Cajavilca"/>
    <s v="Maria Barboza"/>
    <x v="5"/>
    <x v="4"/>
    <x v="0"/>
    <m/>
    <m/>
    <d v="2026-01-08T00:00:00"/>
    <m/>
    <m/>
    <m/>
    <m/>
    <s v=""/>
    <m/>
    <m/>
    <s v=""/>
    <s v="13/04/26: Según CQ, actualizó el estado a 03. En Desarrollo_x000a_08/01/26: Se registró en el Backlog._x000a__x000a_08/01/26: Se creo trámite _x000a_"/>
    <s v="Riesgos"/>
    <s v="PrevenciónFraude"/>
    <s v="2026-01"/>
    <s v="2026-04"/>
    <s v="No definido"/>
    <x v="0"/>
    <s v="No definido"/>
    <m/>
    <m/>
    <m/>
    <m/>
    <m/>
    <m/>
    <s v="Sin Fecha Fin Producción"/>
    <s v="No Aplica"/>
    <m/>
    <s v="Asignada"/>
    <x v="5"/>
    <d v="2026-01-08T16:57:45"/>
    <x v="0"/>
    <m/>
    <m/>
    <s v="Sin Fecha"/>
    <s v="ATM-Agentes-VISA"/>
    <s v="Canales Presenciales"/>
    <m/>
    <m/>
    <m/>
    <s v=""/>
    <s v="Sin Fecha"/>
    <s v="No definido"/>
    <m/>
    <x v="2"/>
    <m/>
    <n v="0.15"/>
    <s v="POST"/>
    <m/>
    <m/>
    <s v="SI"/>
    <x v="5"/>
    <n v="0"/>
    <n v="0.15"/>
    <n v="-0.15"/>
    <s v=""/>
    <m/>
    <d v="2026-06-15T00:00:00"/>
    <d v="2026-08-31T00:00:00"/>
    <d v="2026-08-31T00:00:00"/>
    <d v="2026-09-30T00:00:00"/>
    <d v="2026-09-30T00:00:00"/>
    <d v="2026-10-16T00:00:00"/>
    <n v="53"/>
    <n v="0"/>
    <n v="38.545454545454547"/>
    <m/>
    <x v="2"/>
    <n v="1"/>
    <n v="0"/>
    <n v="53"/>
    <n v="0"/>
    <n v="38.545454545454547"/>
    <x v="7"/>
    <x v="1"/>
    <m/>
    <x v="0"/>
    <m/>
  </r>
  <r>
    <s v="M1314"/>
    <n v="3153"/>
    <x v="0"/>
    <s v="2026-T0019"/>
    <s v="2026-M0018"/>
    <s v="Gestión y adecuación proceso de contabilización para las operaciones en los cajeros automaticos depositarios"/>
    <m/>
    <x v="2"/>
    <s v="Innovación Digital"/>
    <m/>
    <d v="2026-01-06T00:00:00"/>
    <s v="MEMORANDO N° 00000218 - 2025-BN/7920"/>
    <s v="FISA-Finanzas Saldos"/>
    <m/>
    <x v="1"/>
    <s v="No Aplica"/>
    <s v="No aplica"/>
    <x v="2"/>
    <m/>
    <s v="OTROS"/>
    <m/>
    <m/>
    <m/>
    <m/>
    <m/>
    <s v="Normal"/>
    <d v="2026-04-07T00:00:00"/>
    <s v="Sistemas Administrativos"/>
    <m/>
    <s v="Ricardo Cuba Mora/Irina Zakharova"/>
    <s v="Omar Sarmiento"/>
    <x v="5"/>
    <x v="4"/>
    <x v="0"/>
    <m/>
    <m/>
    <d v="2026-01-12T00:00:00"/>
    <m/>
    <m/>
    <m/>
    <m/>
    <s v=""/>
    <m/>
    <m/>
    <s v=""/>
    <s v="13/04/26: Según CQ, actualizó el estado a 03. En Desarrollo_x000a_09/01/26: Se registró en el Backlog._x000a__x000a_12/01/26: Se creo trámite _x000a_"/>
    <s v="B.Digital"/>
    <s v="InnovaciónDigital"/>
    <s v="2026-01"/>
    <s v="2026-04"/>
    <s v="No definido"/>
    <x v="0"/>
    <s v="No definido"/>
    <m/>
    <m/>
    <m/>
    <m/>
    <m/>
    <m/>
    <s v="Sin Fecha Fin Producción"/>
    <s v="No Aplica"/>
    <m/>
    <s v="Iniciada,Iniciada"/>
    <x v="5"/>
    <d v="2026-03-05T09:28:36"/>
    <x v="0"/>
    <m/>
    <m/>
    <s v="Sin Fecha"/>
    <s v="BackOffice"/>
    <s v="Otros Requerimientos"/>
    <m/>
    <m/>
    <m/>
    <s v=""/>
    <s v="Sin Fecha"/>
    <s v="No definido"/>
    <m/>
    <x v="2"/>
    <m/>
    <n v="0.25"/>
    <s v="POST"/>
    <m/>
    <m/>
    <s v="NO"/>
    <x v="0"/>
    <s v=""/>
    <n v="0.25"/>
    <s v=""/>
    <s v=""/>
    <m/>
    <m/>
    <m/>
    <m/>
    <m/>
    <m/>
    <m/>
    <n v="25"/>
    <n v="0.1"/>
    <n v="200"/>
    <m/>
    <x v="2"/>
    <n v="0.9"/>
    <n v="1"/>
    <n v="24"/>
    <n v="16"/>
    <n v="384"/>
    <x v="0"/>
    <x v="1"/>
    <m/>
    <x v="0"/>
    <m/>
  </r>
  <r>
    <s v="M1315"/>
    <n v="3154"/>
    <x v="0"/>
    <s v="2026-T0023"/>
    <s v="2026-M0024"/>
    <s v="Automatización del proceso de otorgamiento de uniforme 2026"/>
    <m/>
    <x v="5"/>
    <m/>
    <m/>
    <d v="2026-01-13T00:00:00"/>
    <s v="MEMORANDO N° 00000025 - 2026-BN/4113"/>
    <s v="POEM_Portal del Empleado"/>
    <m/>
    <x v="1"/>
    <s v="No Aplica"/>
    <s v="No aplica"/>
    <x v="0"/>
    <m/>
    <m/>
    <m/>
    <m/>
    <m/>
    <m/>
    <m/>
    <s v="Normal"/>
    <d v="2026-04-07T00:00:00"/>
    <s v="Sistemas Administrativos"/>
    <m/>
    <s v="Paul Alminagorta Cabezas"/>
    <s v="Juan Carlos Zavaleta"/>
    <x v="1"/>
    <x v="1"/>
    <x v="0"/>
    <m/>
    <m/>
    <d v="2026-01-14T00:00:00"/>
    <m/>
    <m/>
    <m/>
    <m/>
    <s v=""/>
    <d v="2026-01-15T00:00:00"/>
    <d v="2026-01-15T00:00:00"/>
    <s v=""/>
    <s v="13/04/26: Según CQ, actualizó el estado a 08. Producción Finalizada_x000a_13/01/26: Se registró en el Backlog._x000a__x000a_13/01/26: Se creo trámite _x000a_"/>
    <s v="RRHH"/>
    <s v=""/>
    <s v="2026-01"/>
    <s v="2026-04"/>
    <s v="No definido"/>
    <x v="4"/>
    <s v="No definido"/>
    <m/>
    <m/>
    <m/>
    <m/>
    <m/>
    <m/>
    <n v="1"/>
    <n v="3.3333333333333333E-2"/>
    <m/>
    <s v="Finalizada"/>
    <x v="6"/>
    <d v="2026-01-15T13:15:12"/>
    <x v="0"/>
    <m/>
    <m/>
    <s v="Culminado"/>
    <s v="BackOffice"/>
    <s v="Otros Requerimientos"/>
    <m/>
    <m/>
    <m/>
    <d v="2026-01-15T00:00:00"/>
    <s v="Culminado"/>
    <s v="Ene 2026"/>
    <m/>
    <x v="1"/>
    <m/>
    <n v="1"/>
    <s v="POST"/>
    <m/>
    <m/>
    <s v="No aplica"/>
    <x v="1"/>
    <n v="1"/>
    <n v="1"/>
    <n v="0"/>
    <n v="1"/>
    <m/>
    <d v="2026-01-02T00:00:00"/>
    <d v="2026-01-25T00:00:00"/>
    <d v="2026-01-26T00:00:00"/>
    <d v="2026-02-06T00:00:00"/>
    <d v="2026-02-07T00:00:00"/>
    <d v="2026-02-12T00:00:00"/>
    <n v="15"/>
    <n v="1"/>
    <n v="200"/>
    <m/>
    <x v="1"/>
    <n v="0"/>
    <n v="15"/>
    <n v="0"/>
    <n v="120"/>
    <n v="0"/>
    <x v="11"/>
    <x v="1"/>
    <m/>
    <x v="0"/>
    <m/>
  </r>
  <r>
    <s v="M1316"/>
    <n v="3155"/>
    <x v="0"/>
    <s v="2026-T0025"/>
    <s v="2026-M0026"/>
    <s v="IMPLEMENTACIÓN DE ESCALA SALARIAL EN LOS SISTEMAS DE RECURSOS HUMANOS EN ENTORNO HOST Y ORACLE"/>
    <m/>
    <x v="5"/>
    <s v="Administración de Personal"/>
    <s v="Registro de Personal"/>
    <d v="2025-12-29T00:00:00"/>
    <s v="MEMORANDO N° 00002118 - 2025-BN/2332"/>
    <s v="OSAI -: Oracle Sistema Administrativo Integrado"/>
    <m/>
    <x v="1"/>
    <s v="No Aplica"/>
    <s v="No aplica"/>
    <x v="0"/>
    <m/>
    <m/>
    <m/>
    <m/>
    <m/>
    <m/>
    <m/>
    <s v="Normal"/>
    <d v="2026-04-07T00:00:00"/>
    <s v="Sistemas Administrativos"/>
    <m/>
    <s v="Walter Tito Valencia"/>
    <s v="Juan Carlos Zavaleta"/>
    <x v="7"/>
    <x v="4"/>
    <x v="0"/>
    <m/>
    <m/>
    <d v="2026-02-10T00:00:00"/>
    <d v="2026-04-29T00:00:00"/>
    <m/>
    <d v="2026-05-07T00:00:00"/>
    <m/>
    <d v="2026-05-30T04:48:00"/>
    <m/>
    <m/>
    <d v="2026-06-06T04:48:00"/>
    <s v="08/05/26: Según CQ, actualizó el estado a 05. En Calidad_x000a_04/05/26: Según CQ, actualizó el estado a 04. Desarrollo Finalizado_x000a_13/04/26: Según CQ, actualizó el estado a 03. En Desarrollo_x000a_14/01/26: Se registró en el Backlog._x000a__x000a_14/01/26: Se creo trámite _x000a_"/>
    <s v="RRHH"/>
    <s v="AdministraciónPersonal"/>
    <s v="2025-12"/>
    <s v="2026-04"/>
    <s v="2026-04"/>
    <x v="0"/>
    <s v="2026-06"/>
    <m/>
    <m/>
    <m/>
    <m/>
    <m/>
    <m/>
    <s v="Sin Fecha Fin Producción"/>
    <s v="No Aplica"/>
    <m/>
    <s v="Finalizada"/>
    <x v="11"/>
    <d v="2026-05-19T10:17:00"/>
    <x v="0"/>
    <m/>
    <m/>
    <s v="2026-Q2"/>
    <s v="Oracle"/>
    <s v="Otros Requerimientos"/>
    <m/>
    <m/>
    <m/>
    <d v="2026-06-06T04:48:00"/>
    <s v="2026-2"/>
    <s v="Jun 2026"/>
    <m/>
    <x v="2"/>
    <m/>
    <n v="0.7"/>
    <s v="POST"/>
    <m/>
    <m/>
    <s v="SI"/>
    <x v="4"/>
    <n v="0.797752808988764"/>
    <n v="0.7"/>
    <n v="9.7752808988764039E-2"/>
    <n v="0.87746478873239442"/>
    <m/>
    <d v="2026-02-10T00:00:00"/>
    <d v="2026-04-30T00:00:00"/>
    <d v="2026-05-01T00:00:00"/>
    <d v="2026-06-09T00:00:00"/>
    <d v="2026-06-10T00:00:00"/>
    <d v="2026-06-15T00:00:00"/>
    <n v="58"/>
    <n v="1"/>
    <n v="200"/>
    <m/>
    <x v="5"/>
    <n v="0"/>
    <n v="58"/>
    <n v="0"/>
    <n v="464"/>
    <n v="0"/>
    <x v="6"/>
    <x v="1"/>
    <m/>
    <x v="0"/>
    <m/>
  </r>
  <r>
    <s v="M1317"/>
    <n v="3156"/>
    <x v="0"/>
    <s v="2026-T0026"/>
    <m/>
    <s v="Reportes Host para Cajeros Depositarios"/>
    <m/>
    <x v="2"/>
    <s v="Innovación Digital"/>
    <m/>
    <d v="2026-01-06T00:00:00"/>
    <s v="MEMORANDO N° 00000219 - 2025-BN/7920"/>
    <m/>
    <m/>
    <x v="5"/>
    <s v="No Aplica"/>
    <s v="No aplica"/>
    <x v="0"/>
    <m/>
    <m/>
    <m/>
    <m/>
    <m/>
    <m/>
    <m/>
    <s v="Normal"/>
    <d v="2026-04-07T00:00:00"/>
    <s v="Sistemas Bancarios"/>
    <m/>
    <m/>
    <s v="Omar Sarmiento"/>
    <x v="2"/>
    <x v="2"/>
    <x v="0"/>
    <m/>
    <m/>
    <m/>
    <m/>
    <m/>
    <m/>
    <m/>
    <s v=""/>
    <m/>
    <m/>
    <s v=""/>
    <s v="14/01/26: Se registró en el Backlog._x000a__x000a_14/01/26: Se creo trámite _x000a_"/>
    <s v="B.Digital"/>
    <s v="InnovaciónDigital"/>
    <s v="2026-01"/>
    <s v="2026-04"/>
    <s v="No definido"/>
    <x v="0"/>
    <s v="No definido"/>
    <m/>
    <m/>
    <m/>
    <m/>
    <m/>
    <m/>
    <s v="Sin Fechas"/>
    <s v="No Aplica"/>
    <m/>
    <m/>
    <x v="2"/>
    <m/>
    <x v="0"/>
    <m/>
    <m/>
    <s v="Sin Mantenimiento"/>
    <s v="Sin Aplicativo"/>
    <s v="Sin Aplicativo"/>
    <m/>
    <m/>
    <m/>
    <s v=""/>
    <s v="Sin Mantenimiento"/>
    <s v="No definido"/>
    <m/>
    <x v="2"/>
    <m/>
    <n v="0.1"/>
    <s v="POST"/>
    <m/>
    <m/>
    <s v="NO"/>
    <x v="0"/>
    <s v=""/>
    <n v="0.1"/>
    <s v=""/>
    <s v=""/>
    <m/>
    <m/>
    <m/>
    <m/>
    <m/>
    <m/>
    <m/>
    <n v="25"/>
    <n v="0.1"/>
    <n v="200"/>
    <m/>
    <x v="2"/>
    <n v="0.9"/>
    <n v="1"/>
    <n v="24"/>
    <n v="8"/>
    <n v="192"/>
    <x v="0"/>
    <x v="1"/>
    <m/>
    <x v="0"/>
    <m/>
  </r>
  <r>
    <s v="M1318"/>
    <n v="3157"/>
    <x v="0"/>
    <s v="2026-T0033"/>
    <s v="2026-M0033"/>
    <s v="CAMBIO DE NOMBRES DE REPORTES DE CONTROL DE MANTENIMIENTO 2024-M0380 REPOSICION TOKEN"/>
    <m/>
    <x v="4"/>
    <s v="Contabilidad"/>
    <s v="Centralización y Procesamiento Contable"/>
    <d v="2026-01-09T00:00:00"/>
    <s v="MEMORANDO N° 00000004 - 2025-BN/6210"/>
    <s v="ATCA-Adm.Tarjetas Cajero Automático"/>
    <m/>
    <x v="2"/>
    <s v="No Aplica"/>
    <s v="No aplica"/>
    <x v="1"/>
    <m/>
    <m/>
    <m/>
    <m/>
    <m/>
    <m/>
    <m/>
    <s v="Normal"/>
    <d v="2026-04-07T00:00:00"/>
    <s v="Sistemas Bancarios"/>
    <m/>
    <s v="Waldo Antonio Basurto Valverde"/>
    <s v="Juan Carlos Zavaleta"/>
    <x v="4"/>
    <x v="4"/>
    <x v="0"/>
    <m/>
    <m/>
    <d v="2026-01-16T00:00:00"/>
    <m/>
    <m/>
    <m/>
    <m/>
    <s v=""/>
    <d v="2026-02-16T00:00:00"/>
    <m/>
    <s v=""/>
    <s v="13/04/26: Según CQ, actualizó el estado a 07. En Despliegue_x000a_16/01/26: Se registró en el Backlog._x000a_16/01/26: Se creo trámite _x000a__x000a_Facturacion electronica_x000a_"/>
    <s v="Finanzas"/>
    <s v="Contabilidad"/>
    <s v="2026-01"/>
    <s v="2026-04"/>
    <s v="No definido"/>
    <x v="0"/>
    <s v="No definido"/>
    <m/>
    <m/>
    <m/>
    <m/>
    <m/>
    <m/>
    <s v="Sin Fecha Fin Producción"/>
    <s v="No Aplica"/>
    <m/>
    <s v="Finalizada"/>
    <x v="8"/>
    <d v="2026-02-16T11:09:54"/>
    <x v="0"/>
    <m/>
    <m/>
    <s v="Sin Fecha"/>
    <s v="ATM-Agentes-VISA"/>
    <s v="Canales Presenciales"/>
    <m/>
    <m/>
    <m/>
    <s v=""/>
    <s v="Sin Fecha"/>
    <s v="No definido"/>
    <m/>
    <x v="2"/>
    <m/>
    <n v="0.9"/>
    <s v="POST"/>
    <m/>
    <m/>
    <s v="NO"/>
    <x v="0"/>
    <s v=""/>
    <n v="0.9"/>
    <s v=""/>
    <s v=""/>
    <m/>
    <m/>
    <m/>
    <m/>
    <m/>
    <m/>
    <m/>
    <n v="25"/>
    <n v="0.1"/>
    <n v="200"/>
    <m/>
    <x v="4"/>
    <n v="0.9"/>
    <n v="1"/>
    <n v="24"/>
    <n v="8"/>
    <n v="192"/>
    <x v="0"/>
    <x v="1"/>
    <m/>
    <x v="2"/>
    <m/>
  </r>
  <r>
    <s v="M1319"/>
    <n v="3158"/>
    <x v="0"/>
    <s v="2026-T0037"/>
    <s v="2026-M0037"/>
    <s v="Adecuación de Boleta de Pago a Nueva Escala Salarial Vigente desde Mayo de 2026"/>
    <m/>
    <x v="5"/>
    <s v="Compensaciones"/>
    <s v="Remuneraciones Pensiones y Subsidios"/>
    <d v="2026-01-19T00:00:00"/>
    <s v="MEMORANDO N° 00000090 - 2026-BN/2321"/>
    <s v="CPCE-Cero Papel Casilla Electrónica"/>
    <m/>
    <x v="1"/>
    <s v="No Aplica"/>
    <s v="No aplica"/>
    <x v="1"/>
    <m/>
    <m/>
    <m/>
    <m/>
    <m/>
    <m/>
    <m/>
    <s v="Normal"/>
    <d v="2026-04-07T00:00:00"/>
    <s v="Sistemas Administrativos"/>
    <m/>
    <s v="Jorge Mora Ruelas"/>
    <s v="Juan Carlos Zavaleta"/>
    <x v="5"/>
    <x v="4"/>
    <x v="0"/>
    <m/>
    <m/>
    <d v="2026-01-20T00:00:00"/>
    <m/>
    <m/>
    <m/>
    <m/>
    <s v=""/>
    <m/>
    <m/>
    <s v=""/>
    <s v="13/04/26: Según CQ, actualizó el estado a 03. En Desarrollo_x000a_19/01/26: Se registró en el Backlog._x000a__x000a_19/01/26: Se creo trámite _x000a_"/>
    <s v="RRHH"/>
    <s v="Compensaciones"/>
    <s v="2026-01"/>
    <s v="2026-04"/>
    <s v="No definido"/>
    <x v="0"/>
    <s v="No definido"/>
    <m/>
    <m/>
    <m/>
    <m/>
    <m/>
    <m/>
    <s v="Sin Fecha Fin Producción"/>
    <s v="No Aplica"/>
    <m/>
    <s v="Asignada"/>
    <x v="5"/>
    <d v="2026-01-20T09:10:33"/>
    <x v="0"/>
    <m/>
    <m/>
    <s v="Sin Fecha"/>
    <s v="Sin Aplicativo"/>
    <s v="Sin Aplicativo"/>
    <m/>
    <m/>
    <m/>
    <s v=""/>
    <s v="Sin Fecha"/>
    <s v="No definido"/>
    <m/>
    <x v="2"/>
    <m/>
    <n v="0.15"/>
    <s v="POST"/>
    <m/>
    <m/>
    <s v="SI"/>
    <x v="5"/>
    <n v="0"/>
    <n v="0.15"/>
    <n v="-0.15"/>
    <s v=""/>
    <m/>
    <d v="2026-07-01T00:00:00"/>
    <d v="2026-12-31T00:00:00"/>
    <d v="2027-01-01T00:00:00"/>
    <d v="2027-04-02T00:00:00"/>
    <d v="2027-04-03T00:00:00"/>
    <d v="2027-04-08T00:00:00"/>
    <n v="127"/>
    <n v="0"/>
    <n v="508"/>
    <m/>
    <x v="2"/>
    <n v="1"/>
    <n v="0"/>
    <n v="127"/>
    <n v="0"/>
    <n v="508"/>
    <x v="15"/>
    <x v="1"/>
    <m/>
    <x v="0"/>
    <m/>
  </r>
  <r>
    <s v="M1320"/>
    <n v="3159"/>
    <x v="0"/>
    <s v="2026-T0045"/>
    <s v="2026-M0046"/>
    <s v="2024-T0023 Enrolamiento en línea comercio electrónico - SARA"/>
    <m/>
    <x v="2"/>
    <s v="Canales Alternos"/>
    <s v="Canales Virtuales"/>
    <d v="2023-11-06T00:00:00"/>
    <s v="MEMORANDO N° 00000134 - 2023-BN/3252"/>
    <s v="SAVE-Sistema de Atención en Ventanillas"/>
    <m/>
    <x v="2"/>
    <s v="No Aplica"/>
    <s v="No aplica"/>
    <x v="2"/>
    <m/>
    <m/>
    <m/>
    <m/>
    <m/>
    <m/>
    <m/>
    <s v="Normal"/>
    <d v="2026-04-07T00:00:00"/>
    <s v="Soluciones Digitales"/>
    <m/>
    <s v="Monica del Pilar Garcia Campana/Rossana Rojas Alvaro"/>
    <s v="Omar Sarmiento"/>
    <x v="5"/>
    <x v="4"/>
    <x v="0"/>
    <m/>
    <m/>
    <d v="2026-01-28T00:00:00"/>
    <m/>
    <m/>
    <m/>
    <m/>
    <s v=""/>
    <m/>
    <m/>
    <s v=""/>
    <s v="13/04/26: Según CQ, actualizó el estado a 03. En Desarrollo_x000a_27/01/26: Se registró en el Backlog._x000a__x000a_27/01/26: Se creo trámite _x000a_"/>
    <s v="B.Digital"/>
    <s v="CanalesAlternos"/>
    <s v="2023-11"/>
    <s v="2026-04"/>
    <s v="No definido"/>
    <x v="0"/>
    <s v="No definido"/>
    <m/>
    <m/>
    <m/>
    <m/>
    <m/>
    <m/>
    <s v="Sin Fecha Fin Producción"/>
    <s v="No Aplica"/>
    <m/>
    <s v="Iniciada,Iniciada"/>
    <x v="5"/>
    <d v="2026-04-29T12:24:08"/>
    <x v="0"/>
    <m/>
    <m/>
    <s v="Sin Fecha"/>
    <s v="Ventanilla"/>
    <s v="Canales Presenciales"/>
    <m/>
    <m/>
    <m/>
    <s v=""/>
    <s v="Sin Fecha"/>
    <s v="No definido"/>
    <m/>
    <x v="2"/>
    <m/>
    <n v="0.25"/>
    <s v="POST"/>
    <m/>
    <m/>
    <s v="NO"/>
    <x v="0"/>
    <s v=""/>
    <n v="0.25"/>
    <s v=""/>
    <s v=""/>
    <m/>
    <m/>
    <m/>
    <m/>
    <m/>
    <m/>
    <m/>
    <n v="25"/>
    <n v="0.1"/>
    <n v="200"/>
    <m/>
    <x v="2"/>
    <n v="0.9"/>
    <n v="1"/>
    <n v="24"/>
    <n v="4.6666666666666661"/>
    <n v="111.99999999999999"/>
    <x v="0"/>
    <x v="1"/>
    <m/>
    <x v="0"/>
    <m/>
  </r>
  <r>
    <s v="M1321"/>
    <n v="3160"/>
    <x v="0"/>
    <s v="2026-T0046"/>
    <s v="2026-M0045"/>
    <s v="Adecuación Mensajes Swift  "/>
    <m/>
    <x v="0"/>
    <s v="Caja y Valores"/>
    <s v="Soporte Mesa de Dinero"/>
    <d v="2026-01-22T00:00:00"/>
    <s v="MEMORANDO N° 00000005 - 2026-BN/3216"/>
    <s v="SCIT_Sistema Cambios Inversiones Tesoreria"/>
    <m/>
    <x v="1"/>
    <s v="Depósitos a Plazo Fijo "/>
    <s v="Compra y venta de moneda"/>
    <x v="0"/>
    <m/>
    <m/>
    <m/>
    <m/>
    <m/>
    <m/>
    <m/>
    <s v="Normal"/>
    <d v="2026-04-07T00:00:00"/>
    <s v="Sistemas Administrativos"/>
    <m/>
    <s v="Jorge Mora Ruelas"/>
    <s v="Junior Quicaño"/>
    <x v="1"/>
    <x v="1"/>
    <x v="0"/>
    <m/>
    <m/>
    <d v="2026-01-28T00:00:00"/>
    <d v="2026-02-10T00:00:00"/>
    <m/>
    <d v="2026-02-16T00:00:00"/>
    <d v="2026-02-18T00:00:00"/>
    <d v="2026-02-15T04:48:00"/>
    <d v="2026-03-11T00:00:00"/>
    <d v="2026-03-11T00:00:00"/>
    <d v="2026-02-22T04:48:00"/>
    <s v="13/04/26: Según CQ, actualizó el estado a 08. Producción Finalizada_x000a_27/01/26: Se registró en el Backlog._x000a__x000a_27/01/26: Se creo trámite _x000a_"/>
    <s v="Operac."/>
    <s v="CajaValores"/>
    <s v="2026-01"/>
    <s v="2026-04"/>
    <s v="2026-02"/>
    <x v="2"/>
    <s v="2026-02"/>
    <m/>
    <m/>
    <m/>
    <m/>
    <m/>
    <m/>
    <n v="42"/>
    <n v="1.4"/>
    <m/>
    <s v="Finalizada"/>
    <x v="1"/>
    <d v="2026-03-11T18:13:06"/>
    <x v="0"/>
    <m/>
    <m/>
    <s v="Culminado"/>
    <s v="Sin Aplicativo"/>
    <s v="Sin Aplicativo"/>
    <m/>
    <m/>
    <m/>
    <d v="2026-03-11T00:00:00"/>
    <s v="Culminado"/>
    <s v="Mar 2026"/>
    <m/>
    <x v="1"/>
    <m/>
    <n v="1"/>
    <s v="POST"/>
    <m/>
    <m/>
    <s v="No aplica"/>
    <x v="1"/>
    <n v="1"/>
    <n v="1"/>
    <s v=""/>
    <s v=""/>
    <m/>
    <m/>
    <m/>
    <m/>
    <m/>
    <m/>
    <m/>
    <n v="25"/>
    <n v="0.1"/>
    <n v="200"/>
    <m/>
    <x v="1"/>
    <n v="0.9"/>
    <n v="1"/>
    <n v="24"/>
    <n v="8"/>
    <n v="192"/>
    <x v="0"/>
    <x v="1"/>
    <m/>
    <x v="0"/>
    <m/>
  </r>
  <r>
    <s v="M1322"/>
    <n v="3161"/>
    <x v="0"/>
    <s v="2026-T0051"/>
    <s v="2026-M0059"/>
    <s v="Transferencia de información de crédito hipotecario al repositorio BigData"/>
    <m/>
    <x v="7"/>
    <s v="Riesgos Crediticios y Financieros"/>
    <s v="Riesgos Crediticios"/>
    <d v="2025-11-07T00:00:00"/>
    <s v="MEMORANDO N° 00000059 - 2025-BN/2192"/>
    <s v="BNDA-Data Analítica BN"/>
    <s v="Big Data"/>
    <x v="1"/>
    <s v="No Aplica"/>
    <s v="No aplica"/>
    <x v="3"/>
    <m/>
    <s v="SBS"/>
    <m/>
    <m/>
    <m/>
    <m/>
    <m/>
    <s v="Normal"/>
    <d v="2026-04-07T00:00:00"/>
    <s v="Sistemas Administrativos"/>
    <m/>
    <s v="Luis Enrique Almeyda Pachas"/>
    <s v="Juan Carlos Zavaleta"/>
    <x v="1"/>
    <x v="1"/>
    <x v="0"/>
    <m/>
    <m/>
    <d v="2026-02-04T00:00:00"/>
    <d v="2026-02-23T00:00:00"/>
    <m/>
    <d v="2026-02-24T00:00:00"/>
    <d v="2026-03-03T00:00:00"/>
    <d v="2026-03-02T14:24:00"/>
    <d v="2026-03-09T00:00:00"/>
    <d v="2026-03-13T00:00:00"/>
    <d v="2026-03-09T14:24:00"/>
    <s v="13/04/26: Según CQ, actualizó el estado a 08. Producción Finalizada_x000a_29/01/26: Se registró en el Backlog._x000a_29/01/26: Se creo trámite _x000a__x000a_BIG DATA Recomendacion SBS"/>
    <s v="Riesgos"/>
    <s v="CrediticiosFinancieros"/>
    <s v="2025-11"/>
    <s v="2026-04"/>
    <s v="2026-02"/>
    <x v="2"/>
    <s v="2026-03"/>
    <m/>
    <m/>
    <m/>
    <m/>
    <m/>
    <m/>
    <n v="37"/>
    <n v="1.2333333333333334"/>
    <m/>
    <s v="Finalizada"/>
    <x v="1"/>
    <d v="2026-03-23T12:20:45"/>
    <x v="0"/>
    <m/>
    <m/>
    <s v="Culminado"/>
    <s v="BackOffice"/>
    <s v="Otros Requerimientos"/>
    <m/>
    <m/>
    <m/>
    <d v="2026-03-13T00:00:00"/>
    <s v="Culminado"/>
    <s v="Mar 2026"/>
    <m/>
    <x v="1"/>
    <m/>
    <n v="1"/>
    <s v="POST"/>
    <m/>
    <m/>
    <s v="No aplica"/>
    <x v="1"/>
    <n v="1"/>
    <n v="1"/>
    <s v=""/>
    <s v=""/>
    <m/>
    <m/>
    <m/>
    <m/>
    <m/>
    <m/>
    <m/>
    <n v="25"/>
    <n v="0.1"/>
    <n v="200"/>
    <m/>
    <x v="1"/>
    <n v="0.9"/>
    <n v="1"/>
    <n v="24"/>
    <n v="8"/>
    <n v="192"/>
    <x v="0"/>
    <x v="1"/>
    <m/>
    <x v="0"/>
    <m/>
  </r>
  <r>
    <s v="M1323"/>
    <n v="3162"/>
    <x v="0"/>
    <s v="2026-T0052"/>
    <s v="2026-M0060"/>
    <s v="Transferencia de información del COBD al repositorio BigData"/>
    <m/>
    <x v="7"/>
    <s v="Riesgos Crediticios y Financieros"/>
    <s v="Riesgos Crediticios"/>
    <d v="2025-11-07T00:00:00"/>
    <s v="MEMORANDO N° 00000059 - 2025-BN/2192"/>
    <s v="BNDA-Data Analítica BN"/>
    <s v="Big Data"/>
    <x v="1"/>
    <s v="No Aplica"/>
    <s v="No aplica"/>
    <x v="0"/>
    <m/>
    <m/>
    <m/>
    <m/>
    <m/>
    <m/>
    <m/>
    <s v="Normal"/>
    <d v="2026-04-07T00:00:00"/>
    <s v="Sistemas Administrativos"/>
    <m/>
    <s v="Luis Enrique Almeyda Pachas"/>
    <s v="Juan Carlos Zavaleta"/>
    <x v="1"/>
    <x v="1"/>
    <x v="0"/>
    <m/>
    <m/>
    <d v="2026-02-04T00:00:00"/>
    <d v="2026-02-23T00:00:00"/>
    <m/>
    <d v="2026-02-24T00:00:00"/>
    <d v="2026-03-02T00:00:00"/>
    <d v="2026-03-02T14:24:00"/>
    <d v="2026-03-09T00:00:00"/>
    <d v="2026-03-13T00:00:00"/>
    <d v="2026-03-09T14:24:00"/>
    <s v="13/04/26: Según CQ, actualizó el estado a 08. Producción Finalizada_x000a_29/01/26: Se registró en el Backlog._x000a_29/01/26: Se creo trámite _x000a__x000a_BIG DATA_x000a_"/>
    <s v="Riesgos"/>
    <s v="CrediticiosFinancieros"/>
    <s v="2025-11"/>
    <s v="2026-04"/>
    <s v="2026-02"/>
    <x v="2"/>
    <s v="2026-03"/>
    <m/>
    <m/>
    <m/>
    <m/>
    <m/>
    <m/>
    <n v="37"/>
    <n v="1.2333333333333334"/>
    <m/>
    <s v="Finalizada"/>
    <x v="1"/>
    <d v="2026-03-23T12:23:10"/>
    <x v="0"/>
    <m/>
    <m/>
    <s v="Culminado"/>
    <s v="BackOffice"/>
    <s v="Otros Requerimientos"/>
    <m/>
    <m/>
    <m/>
    <d v="2026-03-13T00:00:00"/>
    <s v="Culminado"/>
    <s v="Mar 2026"/>
    <m/>
    <x v="1"/>
    <m/>
    <n v="1"/>
    <s v="POST"/>
    <m/>
    <m/>
    <s v="No aplica"/>
    <x v="1"/>
    <n v="1"/>
    <n v="1"/>
    <s v=""/>
    <s v=""/>
    <m/>
    <m/>
    <m/>
    <m/>
    <m/>
    <m/>
    <m/>
    <n v="25"/>
    <n v="0.1"/>
    <n v="200"/>
    <m/>
    <x v="1"/>
    <n v="0.9"/>
    <n v="1"/>
    <n v="24"/>
    <n v="8"/>
    <n v="192"/>
    <x v="0"/>
    <x v="1"/>
    <m/>
    <x v="0"/>
    <m/>
  </r>
  <r>
    <s v="M1324"/>
    <n v="3163"/>
    <x v="0"/>
    <s v="2026-T0057"/>
    <s v="2026-M0055"/>
    <s v="Modificación Tasa de Interés Compra de Deuda"/>
    <m/>
    <x v="1"/>
    <s v="Banca Personal"/>
    <s v="Préstamo Multired"/>
    <d v="2026-01-30T00:00:00"/>
    <s v="MEMORANDO N° 00000082 - 2026-BN3347"/>
    <s v="PRAH - Prestamos Multired"/>
    <m/>
    <x v="2"/>
    <s v="Préstamos Multired "/>
    <s v="No aplica"/>
    <x v="0"/>
    <m/>
    <m/>
    <m/>
    <m/>
    <m/>
    <m/>
    <m/>
    <s v="Normal"/>
    <d v="2026-04-07T00:00:00"/>
    <s v="Sistemas Bancarios"/>
    <m/>
    <s v="Pedro Jose Encalada Huertas"/>
    <s v="Milagros Huamani"/>
    <x v="1"/>
    <x v="1"/>
    <x v="0"/>
    <m/>
    <m/>
    <d v="2026-02-02T00:00:00"/>
    <d v="2026-02-26T00:00:00"/>
    <m/>
    <d v="2026-02-27T00:00:00"/>
    <d v="2026-03-04T00:00:00"/>
    <d v="2026-03-07T14:24:00"/>
    <d v="2026-03-09T00:00:00"/>
    <d v="2026-03-09T00:00:00"/>
    <d v="2026-03-14T14:24:00"/>
    <s v="13/04/26: Según CQ, actualizó el estado a 08. Producción Finalizada_x000a_31/03/2026: fue retirada el día de hoy de la Ficha de Iniciativas, debido a que ya se encuentra registrada en el Backlog y viene siendo atendida. _x000a_Cabe indicar que esta iniciativa formaba parte de la lista de prioridad 1._x000a__x000a_02/02/2026: Se registró en el Backlog._x000a_02/02/2026: Se creó trámite._x000a__x000a_Analista asignado : Pedro Encalada"/>
    <s v="Productos"/>
    <s v="BancaPersonal"/>
    <s v="2026-01"/>
    <s v="2026-04"/>
    <s v="2026-02"/>
    <x v="2"/>
    <s v="2026-03"/>
    <m/>
    <m/>
    <m/>
    <m/>
    <m/>
    <m/>
    <n v="35"/>
    <n v="1.1666666666666667"/>
    <m/>
    <s v="Finalizada"/>
    <x v="1"/>
    <d v="2026-03-09T09:02:09"/>
    <x v="0"/>
    <m/>
    <m/>
    <s v="Culminado"/>
    <s v="Préstamos Multired"/>
    <s v="Productos"/>
    <m/>
    <m/>
    <m/>
    <d v="2026-03-09T00:00:00"/>
    <s v="Culminado"/>
    <s v="Mar 2026"/>
    <m/>
    <x v="1"/>
    <m/>
    <n v="1"/>
    <s v="POST"/>
    <m/>
    <m/>
    <s v="No aplica"/>
    <x v="1"/>
    <n v="1"/>
    <n v="1"/>
    <s v=""/>
    <s v=""/>
    <m/>
    <m/>
    <m/>
    <m/>
    <m/>
    <m/>
    <m/>
    <n v="25"/>
    <n v="0.1"/>
    <n v="200"/>
    <m/>
    <x v="1"/>
    <n v="0.9"/>
    <n v="1"/>
    <n v="24"/>
    <n v="8"/>
    <n v="192"/>
    <x v="0"/>
    <x v="1"/>
    <m/>
    <x v="0"/>
    <m/>
  </r>
  <r>
    <s v="M1325"/>
    <n v="3164"/>
    <x v="0"/>
    <s v="2026-T0058"/>
    <s v="2026-M0056"/>
    <s v="Validación nombre del Tarjeta Habiente en transacción ANI"/>
    <m/>
    <x v="2"/>
    <s v="Canales Alternos"/>
    <s v="Canales Virtuales"/>
    <d v="2026-01-23T00:00:00"/>
    <s v="MEMORANDO N° 00000008 - 2026-BN/3252"/>
    <s v="INCA - Interfaz Cajeros automaticos"/>
    <m/>
    <x v="8"/>
    <s v="No Aplica"/>
    <s v="No aplica"/>
    <x v="2"/>
    <m/>
    <s v="VISA"/>
    <s v="Mandato Visa - Account Name Inquiry (ANI) - Validación del nombre de titular de la tarjeta en transacciones electrónicas"/>
    <m/>
    <m/>
    <m/>
    <m/>
    <s v="Normal"/>
    <d v="2026-04-07T00:00:00"/>
    <s v="Sistemas Bancarios"/>
    <m/>
    <s v="Vladimir Ronald Cajavilca Cajavilca"/>
    <s v="Omar Sarmiento"/>
    <x v="5"/>
    <x v="4"/>
    <x v="0"/>
    <m/>
    <m/>
    <d v="2026-02-02T00:00:00"/>
    <m/>
    <m/>
    <m/>
    <m/>
    <s v=""/>
    <m/>
    <m/>
    <s v=""/>
    <s v="13/04/26: Según CQ, actualizó el estado a 03. En Desarrollo_x000a_02/02/2026: Se registró en el Backlog._x000a_02/02/2026: Se creó trámite."/>
    <s v="B.Digital"/>
    <s v="CanalesAlternos"/>
    <s v="2026-01"/>
    <s v="2026-04"/>
    <s v="No definido"/>
    <x v="0"/>
    <s v="No definido"/>
    <m/>
    <m/>
    <m/>
    <m/>
    <m/>
    <m/>
    <s v="Sin Fecha Fin Producción"/>
    <s v="No Aplica"/>
    <m/>
    <s v="Iniciada"/>
    <x v="5"/>
    <d v="2026-02-02T11:59:24"/>
    <x v="0"/>
    <m/>
    <m/>
    <s v="Sin Fecha"/>
    <s v="ATM-Agentes-VISA"/>
    <s v="Canales Presenciales"/>
    <m/>
    <m/>
    <m/>
    <s v=""/>
    <s v="Sin Fecha"/>
    <s v="No definido"/>
    <m/>
    <x v="2"/>
    <m/>
    <n v="0.25"/>
    <s v="POST"/>
    <m/>
    <m/>
    <s v="NO"/>
    <x v="0"/>
    <s v=""/>
    <n v="0.25"/>
    <s v=""/>
    <s v=""/>
    <m/>
    <m/>
    <m/>
    <m/>
    <m/>
    <m/>
    <m/>
    <n v="25"/>
    <n v="0.1"/>
    <n v="200"/>
    <m/>
    <x v="2"/>
    <n v="0.9"/>
    <n v="1"/>
    <n v="24"/>
    <n v="0.72727272727272729"/>
    <n v="17.454545454545453"/>
    <x v="0"/>
    <x v="1"/>
    <m/>
    <x v="0"/>
    <m/>
  </r>
  <r>
    <s v="M1326"/>
    <n v="3165"/>
    <x v="0"/>
    <s v="2026-T0059"/>
    <s v="2026-M0078"/>
    <s v="Requerimiento Proyecto y Optimización de la aplicación SACH"/>
    <m/>
    <x v="8"/>
    <s v="Construcción de Aplicaciones"/>
    <s v="Sistemas Bancarios"/>
    <d v="2026-01-29T00:00:00"/>
    <s v="MEMORANDO N° 00000012 - 2026-BN/2560"/>
    <s v="CRHP-Sistema Creditos Hipotecarios"/>
    <m/>
    <x v="2"/>
    <s v="Crédito Hipotecario"/>
    <s v="Servicios Bancarios Diversos "/>
    <x v="0"/>
    <m/>
    <m/>
    <m/>
    <m/>
    <m/>
    <m/>
    <m/>
    <s v="Normal"/>
    <d v="2026-04-07T00:00:00"/>
    <s v="Sistemas Bancarios"/>
    <m/>
    <s v="Johnny Luis Rocca Surco"/>
    <s v="Tomas Calvera"/>
    <x v="5"/>
    <x v="4"/>
    <x v="0"/>
    <m/>
    <m/>
    <m/>
    <m/>
    <m/>
    <m/>
    <m/>
    <s v=""/>
    <m/>
    <m/>
    <s v=""/>
    <s v="16/04/26: El pase aun no se da ya que dicho mantenimietno implican DCOM SERVER_x000a_13/04/26: Según CQ, actualizó el estado a 03. En Desarrollo_x000a_03/02/2026: Se registró en el Backlog._x000a_03/02/2026: Se creó trámite."/>
    <s v="TI"/>
    <s v="ConstrucciónAplicaciones"/>
    <s v="2026-01"/>
    <s v="2026-04"/>
    <s v="No definido"/>
    <x v="0"/>
    <s v="No definido"/>
    <m/>
    <m/>
    <m/>
    <m/>
    <m/>
    <m/>
    <s v="Sin Fechas"/>
    <s v="No Aplica"/>
    <m/>
    <s v="Finalizada"/>
    <x v="9"/>
    <d v="2026-03-31T15:59:53"/>
    <x v="0"/>
    <m/>
    <m/>
    <s v="Sin Fecha"/>
    <s v="Créditos Hipotecarios"/>
    <s v="Productos"/>
    <m/>
    <m/>
    <m/>
    <s v=""/>
    <s v="Sin Fecha"/>
    <s v="No definido"/>
    <m/>
    <x v="2"/>
    <m/>
    <n v="0.45"/>
    <s v="POST"/>
    <m/>
    <m/>
    <s v="SI"/>
    <x v="5"/>
    <n v="0"/>
    <n v="0.45"/>
    <n v="-0.45"/>
    <s v=""/>
    <m/>
    <d v="2026-07-06T00:00:00"/>
    <d v="2026-09-30T00:00:00"/>
    <d v="2026-10-07T00:00:00"/>
    <d v="2026-12-03T00:00:00"/>
    <d v="2026-12-11T00:00:00"/>
    <d v="2026-12-18T00:00:00"/>
    <n v="61"/>
    <n v="0"/>
    <n v="69.714285714285708"/>
    <m/>
    <x v="2"/>
    <n v="1"/>
    <n v="0"/>
    <n v="61"/>
    <n v="0"/>
    <n v="69.714285714285708"/>
    <x v="14"/>
    <x v="1"/>
    <m/>
    <x v="0"/>
    <m/>
  </r>
  <r>
    <s v="M1327"/>
    <n v="3166"/>
    <x v="0"/>
    <s v="2026-T0060"/>
    <s v="2026-M0079"/>
    <s v="Proyecto Migración y Optimización de la Aplicación BDUC"/>
    <m/>
    <x v="8"/>
    <s v="Construcción de Aplicaciones"/>
    <s v="Sistemas Bancarios"/>
    <d v="2026-01-29T00:00:00"/>
    <s v="MEMORANDO N° 00000013 - 2026-BN/2560"/>
    <s v="SIUC-Sistema de Información Unica de Clientes"/>
    <m/>
    <x v="2"/>
    <s v="Cuenta de Ahorros"/>
    <s v="No aplica"/>
    <x v="0"/>
    <m/>
    <m/>
    <m/>
    <m/>
    <m/>
    <m/>
    <m/>
    <s v="Normal"/>
    <d v="2026-04-07T00:00:00"/>
    <s v="Sistemas Bancarios"/>
    <m/>
    <s v="Johnny Luis Rocca Surco"/>
    <s v="Tomas Calvera"/>
    <x v="5"/>
    <x v="4"/>
    <x v="0"/>
    <m/>
    <m/>
    <m/>
    <m/>
    <m/>
    <m/>
    <m/>
    <s v=""/>
    <m/>
    <m/>
    <s v=""/>
    <s v="13/04/26: Según CQ, actualizó el estado a 03. En Desarrollo_x000a_03/02/2026: Se registró en el Backlog._x000a_03/02/2026: Se creó trámite."/>
    <s v="TI"/>
    <s v="ConstrucciónAplicaciones"/>
    <s v="2026-01"/>
    <s v="2026-04"/>
    <s v="No definido"/>
    <x v="0"/>
    <s v="No definido"/>
    <m/>
    <m/>
    <m/>
    <m/>
    <m/>
    <m/>
    <s v="Sin Fechas"/>
    <s v="No Aplica"/>
    <m/>
    <s v="Finalizada"/>
    <x v="9"/>
    <d v="2026-04-23T09:17:50"/>
    <x v="0"/>
    <m/>
    <m/>
    <s v="Sin Fecha"/>
    <s v="Clientes (BDUC)"/>
    <s v="Canales Presenciales"/>
    <m/>
    <m/>
    <m/>
    <s v=""/>
    <s v="Sin Fecha"/>
    <s v="No definido"/>
    <m/>
    <x v="2"/>
    <m/>
    <n v="0.45"/>
    <s v="POST"/>
    <m/>
    <m/>
    <s v="SI"/>
    <x v="5"/>
    <n v="0"/>
    <n v="0.45"/>
    <n v="-0.45"/>
    <s v=""/>
    <m/>
    <d v="2026-07-06T00:00:00"/>
    <d v="2026-09-30T00:00:00"/>
    <d v="2026-10-07T00:00:00"/>
    <d v="2026-12-03T00:00:00"/>
    <d v="2026-12-11T00:00:00"/>
    <d v="2026-12-18T00:00:00"/>
    <n v="61"/>
    <n v="0"/>
    <n v="69.714285714285708"/>
    <m/>
    <x v="2"/>
    <n v="1"/>
    <n v="0"/>
    <n v="61"/>
    <n v="0"/>
    <n v="69.714285714285708"/>
    <x v="14"/>
    <x v="1"/>
    <m/>
    <x v="0"/>
    <m/>
  </r>
  <r>
    <s v="M1328"/>
    <n v="3167"/>
    <x v="0"/>
    <s v="2026-T0063"/>
    <s v="2026-M0058"/>
    <s v="Transferencia de Información del GRF10 y tipo de cambio al repositorio BIGDATA"/>
    <m/>
    <x v="7"/>
    <s v="Riesgos Crediticios y Financieros"/>
    <s v="Riesgos Crediticios"/>
    <d v="2026-01-29T00:00:00"/>
    <s v="MEMORANDO N° 00000008 - 2026-BN/2192"/>
    <s v="BNDA-Data Analítica BN"/>
    <s v="Big Data"/>
    <x v="1"/>
    <s v="No Aplica"/>
    <s v="No aplica"/>
    <x v="0"/>
    <m/>
    <m/>
    <m/>
    <m/>
    <m/>
    <m/>
    <m/>
    <s v="Normal"/>
    <d v="2026-04-07T00:00:00"/>
    <s v="Sistemas Administrativos"/>
    <m/>
    <s v="Luis Enrique Almeyda Pachas"/>
    <s v="Juan Carlos Zavaleta"/>
    <x v="5"/>
    <x v="4"/>
    <x v="0"/>
    <m/>
    <m/>
    <d v="2026-02-04T00:00:00"/>
    <m/>
    <m/>
    <m/>
    <m/>
    <s v=""/>
    <m/>
    <m/>
    <s v=""/>
    <s v="13/04/26: Según CQ, actualizó el estado a 03. En Desarrollo_x000a_03/02/2026: Se registró en el Backlog._x000a_03/02/2026: Se creó trámite."/>
    <s v="Riesgos"/>
    <s v="CrediticiosFinancieros"/>
    <s v="2026-01"/>
    <s v="2026-04"/>
    <s v="No definido"/>
    <x v="0"/>
    <s v="No definido"/>
    <m/>
    <m/>
    <m/>
    <m/>
    <m/>
    <m/>
    <s v="Sin Fecha Fin Producción"/>
    <s v="No Aplica"/>
    <m/>
    <s v="Asignada"/>
    <x v="5"/>
    <d v="2026-02-04T09:52:08"/>
    <x v="0"/>
    <m/>
    <m/>
    <s v="Sin Fecha"/>
    <s v="BackOffice"/>
    <s v="Otros Requerimientos"/>
    <m/>
    <m/>
    <m/>
    <s v=""/>
    <s v="Sin Fecha"/>
    <s v="No definido"/>
    <m/>
    <x v="2"/>
    <m/>
    <n v="0.7"/>
    <s v="POST"/>
    <m/>
    <m/>
    <s v="SI"/>
    <x v="5"/>
    <n v="0.7"/>
    <n v="0.7"/>
    <n v="0"/>
    <n v="1"/>
    <m/>
    <d v="2026-02-04T00:00:00"/>
    <d v="2026-05-29T00:00:00"/>
    <d v="2026-05-29T00:00:00"/>
    <d v="2026-06-18T00:00:00"/>
    <d v="2026-06-19T00:00:00"/>
    <d v="2026-06-30T00:00:00"/>
    <n v="82"/>
    <n v="0.90361445783132532"/>
    <n v="218.66666666666666"/>
    <m/>
    <x v="2"/>
    <n v="9.6385542168674676E-2"/>
    <n v="74"/>
    <n v="8"/>
    <n v="197.33333333333331"/>
    <n v="21.333333333333332"/>
    <x v="6"/>
    <x v="1"/>
    <m/>
    <x v="0"/>
    <m/>
  </r>
  <r>
    <s v="M1329"/>
    <n v="3168"/>
    <x v="0"/>
    <s v="2026-T0064"/>
    <s v="2026-M0067"/>
    <s v="Reporte Depósitos Judiciales Administrativos Pendientes de Cancelación"/>
    <m/>
    <x v="0"/>
    <s v="Servicios Bancarios y Recaudación"/>
    <s v="Depósitos Judiciales y Administrativos"/>
    <d v="2026-01-28T00:00:00"/>
    <s v="MEMORANDO N° 00000031 - 2026-BN/3212"/>
    <s v="DEJA-Depositos judiciales y administrativos"/>
    <m/>
    <x v="1"/>
    <s v="Depósitos Judiciales y Administrativos"/>
    <s v="No aplica"/>
    <x v="0"/>
    <m/>
    <m/>
    <m/>
    <m/>
    <m/>
    <m/>
    <m/>
    <s v="Normal"/>
    <d v="2026-04-07T00:00:00"/>
    <s v="Sistemas Administrativos"/>
    <m/>
    <s v="Valery Aldo Versategui Malpica"/>
    <s v="Junior Quicaño"/>
    <x v="1"/>
    <x v="1"/>
    <x v="0"/>
    <m/>
    <m/>
    <d v="2026-02-06T00:00:00"/>
    <d v="2026-02-11T00:00:00"/>
    <m/>
    <d v="2026-02-16T00:00:00"/>
    <d v="2026-02-20T00:00:00"/>
    <d v="2026-02-13T00:00:00"/>
    <d v="2026-03-09T00:00:00"/>
    <d v="2026-03-09T00:00:00"/>
    <d v="2026-02-20T00:00:00"/>
    <s v="13/04/26: Según CQ, actualizó el estado a 08. Producción Finalizada_x000a_05/02/2026: Se registró en el Backlog._x000a_05/02/2026: Se creó trámite."/>
    <s v="Operac."/>
    <s v="BancariosRecaudación"/>
    <s v="2026-01"/>
    <s v="2026-04"/>
    <s v="2026-02"/>
    <x v="2"/>
    <s v="2026-02"/>
    <m/>
    <m/>
    <m/>
    <m/>
    <m/>
    <m/>
    <n v="31"/>
    <n v="1.0333333333333334"/>
    <m/>
    <s v="Finalizada"/>
    <x v="1"/>
    <d v="2026-03-13T14:54:21"/>
    <x v="0"/>
    <m/>
    <m/>
    <s v="Culminado"/>
    <s v="BackOffice"/>
    <s v="Otros Requerimientos"/>
    <m/>
    <m/>
    <m/>
    <d v="2026-03-09T00:00:00"/>
    <s v="Culminado"/>
    <s v="Mar 2026"/>
    <m/>
    <x v="1"/>
    <m/>
    <n v="1"/>
    <s v="POST"/>
    <m/>
    <m/>
    <s v="No aplica"/>
    <x v="1"/>
    <n v="1"/>
    <n v="1"/>
    <s v=""/>
    <s v=""/>
    <m/>
    <m/>
    <m/>
    <m/>
    <m/>
    <m/>
    <m/>
    <n v="25"/>
    <n v="0.1"/>
    <n v="200"/>
    <m/>
    <x v="1"/>
    <n v="0.9"/>
    <n v="1"/>
    <n v="24"/>
    <n v="8"/>
    <n v="192"/>
    <x v="0"/>
    <x v="1"/>
    <m/>
    <x v="0"/>
    <m/>
  </r>
  <r>
    <s v="M1330"/>
    <n v="3169"/>
    <x v="0"/>
    <s v="2026-T0065"/>
    <s v="2026-M0064"/>
    <s v="INCA: Mandatorio VISA Habilitación del servicio Account FundsTransfer (AFT) para el procesamiento de transferencias en tiempo real."/>
    <m/>
    <x v="2"/>
    <s v="Canales Alternos"/>
    <s v="Canales Virtuales"/>
    <d v="2026-02-02T00:00:00"/>
    <s v="MEMORANDO N° 00000026 - 2026-BN/3252"/>
    <s v="INCA - Interfaz Cajeros automaticos"/>
    <m/>
    <x v="8"/>
    <s v="No Aplica"/>
    <s v="No aplica"/>
    <x v="2"/>
    <m/>
    <s v="VISA"/>
    <s v="Mandato VISA - Account Funds Tranfer (AFT) - Procesamiento en tiempo real como Emisor"/>
    <m/>
    <m/>
    <m/>
    <m/>
    <s v="Normal"/>
    <d v="2026-04-07T00:00:00"/>
    <s v="Sistemas Bancarios"/>
    <m/>
    <s v="Vladimir Ronald Cajavilca Cajavilca"/>
    <s v="Omar Sarmiento"/>
    <x v="5"/>
    <x v="4"/>
    <x v="0"/>
    <m/>
    <m/>
    <d v="2026-02-05T00:00:00"/>
    <m/>
    <m/>
    <m/>
    <m/>
    <s v=""/>
    <m/>
    <m/>
    <s v=""/>
    <s v="13/04/26: Según CQ, actualizó el estado a 03. En Desarrollo_x000a_05/02/2026: Se registró en el Backlog._x000a_05/02/2026: Se creó trámite."/>
    <s v="B.Digital"/>
    <s v="CanalesAlternos"/>
    <s v="2026-02"/>
    <s v="2026-04"/>
    <s v="No definido"/>
    <x v="0"/>
    <s v="No definido"/>
    <m/>
    <m/>
    <m/>
    <m/>
    <m/>
    <m/>
    <s v="Sin Fecha Fin Producción"/>
    <s v="No Aplica"/>
    <m/>
    <s v="Iniciada"/>
    <x v="5"/>
    <d v="2026-02-23T10:00:14"/>
    <x v="0"/>
    <m/>
    <m/>
    <s v="Sin Fecha"/>
    <s v="ATM-Agentes-VISA"/>
    <s v="Canales Presenciales"/>
    <m/>
    <m/>
    <m/>
    <s v=""/>
    <s v="Sin Fecha"/>
    <s v="No definido"/>
    <m/>
    <x v="2"/>
    <m/>
    <n v="0.25"/>
    <s v="POST"/>
    <m/>
    <m/>
    <s v="NO"/>
    <x v="0"/>
    <s v=""/>
    <n v="0.25"/>
    <s v=""/>
    <s v=""/>
    <m/>
    <m/>
    <m/>
    <m/>
    <m/>
    <m/>
    <m/>
    <n v="25"/>
    <n v="0.1"/>
    <n v="200"/>
    <m/>
    <x v="2"/>
    <n v="0.9"/>
    <n v="1"/>
    <n v="24"/>
    <n v="0.72727272727272729"/>
    <n v="17.454545454545453"/>
    <x v="0"/>
    <x v="1"/>
    <m/>
    <x v="0"/>
    <m/>
  </r>
  <r>
    <s v="M1331"/>
    <n v="3170"/>
    <x v="0"/>
    <s v="2026-T0070"/>
    <s v="2026-M0069"/>
    <s v="MN: Decimo Mantenimiento Preventivo/Correctivo del Sistema Tramite Documentario"/>
    <m/>
    <x v="6"/>
    <s v="Servicios"/>
    <s v="Tramité Documentario"/>
    <d v="2026-02-04T00:00:00"/>
    <s v="MEMORANDO N° 00000008 - 2026-BN/2202"/>
    <s v="STD4 - Actualización del STD a la versión 4.0"/>
    <m/>
    <x v="2"/>
    <s v="No Aplica"/>
    <s v="No aplica"/>
    <x v="0"/>
    <m/>
    <m/>
    <m/>
    <m/>
    <m/>
    <m/>
    <m/>
    <s v="Normal"/>
    <d v="2026-04-07T00:00:00"/>
    <s v="Sistemas administrativos "/>
    <m/>
    <s v="Jorge Mora Ruelas"/>
    <s v="Maria Barboza"/>
    <x v="1"/>
    <x v="1"/>
    <x v="0"/>
    <m/>
    <m/>
    <d v="2026-02-06T00:00:00"/>
    <m/>
    <m/>
    <m/>
    <m/>
    <s v=""/>
    <d v="2026-02-06T00:00:00"/>
    <d v="2026-02-06T00:00:00"/>
    <s v=""/>
    <s v="13/04/26: Según CQ, actualizó el estado a 08. Producción Finalizada_x000a_06/02/2026: Se registró en el Backlog._x000a_06/02/2026: Se creó trámite."/>
    <s v="Logística"/>
    <s v="Servicios"/>
    <s v="2026-02"/>
    <s v="2026-04"/>
    <s v="No definido"/>
    <x v="3"/>
    <s v="No definido"/>
    <m/>
    <m/>
    <m/>
    <m/>
    <m/>
    <m/>
    <n v="0"/>
    <n v="0"/>
    <m/>
    <s v="Finalizada"/>
    <x v="6"/>
    <d v="2026-02-06T18:05:25"/>
    <x v="0"/>
    <m/>
    <m/>
    <s v="Culminado"/>
    <s v="BackOffice"/>
    <s v="Otros Requerimientos"/>
    <m/>
    <m/>
    <m/>
    <d v="2026-02-06T00:00:00"/>
    <s v="Culminado"/>
    <s v="Feb 2026"/>
    <m/>
    <x v="1"/>
    <m/>
    <n v="1"/>
    <s v="POST"/>
    <m/>
    <m/>
    <s v="No aplica"/>
    <x v="1"/>
    <n v="1"/>
    <n v="1"/>
    <s v=""/>
    <s v=""/>
    <m/>
    <m/>
    <m/>
    <m/>
    <m/>
    <m/>
    <m/>
    <n v="25"/>
    <n v="0.1"/>
    <n v="200"/>
    <m/>
    <x v="1"/>
    <n v="0.9"/>
    <n v="1"/>
    <n v="24"/>
    <n v="8"/>
    <n v="192"/>
    <x v="0"/>
    <x v="1"/>
    <m/>
    <x v="0"/>
    <m/>
  </r>
  <r>
    <s v="M1332"/>
    <n v="3171"/>
    <x v="0"/>
    <s v="2026-T0073"/>
    <s v="2026-M0071"/>
    <s v="Tarjeta de Crédito sin Seguro de Desgravamen (Ampliación)"/>
    <m/>
    <x v="1"/>
    <s v="Banca Personal"/>
    <s v="Tarjeta de Crédito"/>
    <d v="2026-02-06T00:00:00"/>
    <s v="HOJA DE ENVIO N° 00000001 - 2026-BN/3344"/>
    <s v="SITC – Tarjeta de Crédito"/>
    <m/>
    <x v="1"/>
    <s v="Tarjeta de Crédito "/>
    <s v="No aplica"/>
    <x v="2"/>
    <m/>
    <s v="SBS"/>
    <m/>
    <m/>
    <m/>
    <m/>
    <d v="2025-09-01T00:00:00"/>
    <s v="Normal"/>
    <d v="2026-04-07T00:00:00"/>
    <s v="Sistemas Bancarios"/>
    <m/>
    <s v="Fiorella Emma Galvan Soto"/>
    <s v="Milagros Huamani"/>
    <x v="5"/>
    <x v="4"/>
    <x v="0"/>
    <m/>
    <m/>
    <m/>
    <m/>
    <m/>
    <m/>
    <m/>
    <s v=""/>
    <m/>
    <m/>
    <s v=""/>
    <s v="05/05/26: Según CQ, actualizó el estado a 03. En Desarrollo_x000a_29/04/26: Según CQ, actualizó el estado a 04. Desarrollo Finalizado_x000a_13/04/26: Según CQ, actualizó el estado a 03. En Desarrollo_x000a_10/02/2026: Se registró en el Backlog._x000a_10/02/2026: Se creó trámite."/>
    <s v="Productos"/>
    <s v="BancaPersonal"/>
    <s v="2026-02"/>
    <s v="2026-04"/>
    <s v="No definido"/>
    <x v="0"/>
    <s v="No definido"/>
    <m/>
    <m/>
    <m/>
    <m/>
    <m/>
    <m/>
    <s v="Sin Fechas"/>
    <s v="No Aplica"/>
    <m/>
    <s v="Finalizada"/>
    <x v="9"/>
    <d v="2026-05-05T09:48:49"/>
    <x v="0"/>
    <m/>
    <m/>
    <s v="Sin Fecha"/>
    <s v="Tarjeta Tesoro"/>
    <s v="Productos"/>
    <m/>
    <m/>
    <m/>
    <s v=""/>
    <s v="Sin Fecha"/>
    <s v="No definido"/>
    <m/>
    <x v="2"/>
    <m/>
    <n v="0.45"/>
    <s v="POST"/>
    <m/>
    <m/>
    <s v="NO"/>
    <x v="0"/>
    <s v=""/>
    <n v="0.45"/>
    <s v=""/>
    <s v=""/>
    <m/>
    <m/>
    <m/>
    <m/>
    <m/>
    <m/>
    <m/>
    <n v="25"/>
    <n v="0.1"/>
    <n v="200"/>
    <m/>
    <x v="2"/>
    <n v="0.9"/>
    <n v="1"/>
    <n v="24"/>
    <n v="8"/>
    <n v="192"/>
    <x v="0"/>
    <x v="1"/>
    <m/>
    <x v="0"/>
    <m/>
  </r>
  <r>
    <s v="M1333"/>
    <n v="3172"/>
    <x v="0"/>
    <s v="2026-T0077"/>
    <s v="2026-M0077"/>
    <s v="Renombrar, Reporte y Comisiones Códigos Transacción de Desembolso"/>
    <m/>
    <x v="0"/>
    <s v="Servicios Bancarios y Recaudación"/>
    <s v="Recaudación y Corresponsalía"/>
    <d v="2025-10-23T00:00:00"/>
    <s v="MEMORANDO N° 00000242 - 2025-BN/3243"/>
    <s v="PRCA- Prestamos Corresponsalia Agro"/>
    <m/>
    <x v="2"/>
    <s v="No Aplica"/>
    <s v="No aplica"/>
    <x v="0"/>
    <m/>
    <m/>
    <m/>
    <m/>
    <m/>
    <m/>
    <m/>
    <s v="Normal"/>
    <d v="2026-04-07T00:00:00"/>
    <s v="Sistemas Bancarios"/>
    <m/>
    <s v="Waldo Antonio Basurto Valverde"/>
    <s v="Junior Quicaño"/>
    <x v="0"/>
    <x v="0"/>
    <x v="0"/>
    <m/>
    <m/>
    <d v="2026-02-11T00:00:00"/>
    <m/>
    <m/>
    <m/>
    <m/>
    <s v=""/>
    <m/>
    <m/>
    <s v=""/>
    <s v="27/04/26: Según CQ, actualizó el estado a 09. Descartado_x000a_13/04/26: Según CQ, actualizó el estado a 03. En Desarrollo_x000a_11/02/2026: Se registró en el Backlog._x000a_11/02/2026: Se creó trámite."/>
    <s v="Operac."/>
    <s v="BancariosRecaudación"/>
    <s v="2025-10"/>
    <s v="2026-04"/>
    <s v="No definido"/>
    <x v="0"/>
    <s v="No definido"/>
    <m/>
    <m/>
    <m/>
    <m/>
    <m/>
    <m/>
    <s v="Sin Fecha Fin Producción"/>
    <s v="No Aplica"/>
    <m/>
    <s v="Descartada"/>
    <x v="0"/>
    <d v="2026-04-27T11:04:57"/>
    <x v="0"/>
    <m/>
    <m/>
    <s v="Sin Fecha"/>
    <s v="BackOffice"/>
    <s v="Otros Requerimientos"/>
    <m/>
    <m/>
    <m/>
    <s v=""/>
    <s v="Sin Fecha"/>
    <s v="No definido"/>
    <m/>
    <x v="0"/>
    <m/>
    <n v="-0.01"/>
    <s v="POST"/>
    <m/>
    <m/>
    <s v="No aplica"/>
    <x v="0"/>
    <s v=""/>
    <n v="-0.01"/>
    <s v=""/>
    <s v=""/>
    <m/>
    <m/>
    <m/>
    <m/>
    <m/>
    <m/>
    <m/>
    <n v="25"/>
    <n v="0.1"/>
    <n v="200"/>
    <m/>
    <x v="0"/>
    <n v="0.9"/>
    <n v="1"/>
    <n v="24"/>
    <n v="8"/>
    <n v="192"/>
    <x v="0"/>
    <x v="1"/>
    <m/>
    <x v="0"/>
    <m/>
  </r>
  <r>
    <s v="M1334"/>
    <n v="3173"/>
    <x v="0"/>
    <s v="2026-T0078"/>
    <s v="2026-M0076"/>
    <s v="Catalogados Scotiabank"/>
    <m/>
    <x v="0"/>
    <s v="Servicios Bancarios y Recaudación"/>
    <s v="Recaudación y Corresponsalía"/>
    <d v="2025-11-07T00:00:00"/>
    <s v="MEMORANDO N° 00000243 - 2025-BN/3243"/>
    <s v="PRCA- Prestamos Corresponsalia Agro"/>
    <m/>
    <x v="2"/>
    <s v="No Aplica"/>
    <s v="No aplica"/>
    <x v="0"/>
    <m/>
    <m/>
    <m/>
    <m/>
    <m/>
    <m/>
    <m/>
    <s v="Normal"/>
    <d v="2026-04-07T00:00:00"/>
    <s v="Sistemas Bancarios"/>
    <m/>
    <s v="Eduardo Saul Cardenas Manrique"/>
    <s v="Junior Quicaño"/>
    <x v="1"/>
    <x v="1"/>
    <x v="0"/>
    <m/>
    <m/>
    <d v="2026-02-11T00:00:00"/>
    <m/>
    <m/>
    <m/>
    <m/>
    <s v=""/>
    <d v="2026-03-06T00:00:00"/>
    <d v="2026-03-10T00:00:00"/>
    <s v=""/>
    <s v="13/04/26: Según CQ, actualizó el estado a 08. Producción Finalizada_x000a_11/02/2026: Se registró en el Backlog._x000a_11/02/2026: Se creó trámite."/>
    <s v="Operac."/>
    <s v="BancariosRecaudación"/>
    <s v="2025-11"/>
    <s v="2026-04"/>
    <s v="No definido"/>
    <x v="2"/>
    <s v="No definido"/>
    <m/>
    <m/>
    <m/>
    <m/>
    <m/>
    <m/>
    <n v="27"/>
    <n v="0.9"/>
    <m/>
    <s v="Finalizada"/>
    <x v="6"/>
    <d v="2026-05-12T09:35:15"/>
    <x v="0"/>
    <m/>
    <m/>
    <s v="Culminado"/>
    <s v="BackOffice"/>
    <s v="Otros Requerimientos"/>
    <m/>
    <m/>
    <m/>
    <d v="2026-03-10T00:00:00"/>
    <s v="Culminado"/>
    <s v="Mar 2026"/>
    <m/>
    <x v="1"/>
    <m/>
    <n v="1"/>
    <s v="POST"/>
    <m/>
    <m/>
    <s v="No aplica"/>
    <x v="1"/>
    <n v="1"/>
    <n v="1"/>
    <s v=""/>
    <s v=""/>
    <m/>
    <m/>
    <m/>
    <m/>
    <m/>
    <m/>
    <m/>
    <n v="25"/>
    <n v="0.1"/>
    <n v="200"/>
    <m/>
    <x v="1"/>
    <n v="0.9"/>
    <n v="1"/>
    <n v="24"/>
    <n v="8"/>
    <n v="192"/>
    <x v="0"/>
    <x v="1"/>
    <m/>
    <x v="0"/>
    <m/>
  </r>
  <r>
    <s v="M1335"/>
    <n v="3174"/>
    <x v="0"/>
    <s v="2026-T0089"/>
    <s v="2026-M0089"/>
    <s v="Información CDJS por número de expediente"/>
    <m/>
    <x v="0"/>
    <s v="Servicios Bancarios y Recaudación"/>
    <s v="Depósitos Judiciales y Administrativos"/>
    <d v="2026-01-22T00:00:00"/>
    <s v="MEMORANDO N° 00000011 - 2026-BN/3212"/>
    <s v="DEJA-Depositos judiciales y administrativos"/>
    <m/>
    <x v="1"/>
    <s v="Depósitos Judiciales y Administrativos"/>
    <s v="No aplica"/>
    <x v="0"/>
    <m/>
    <m/>
    <m/>
    <m/>
    <m/>
    <m/>
    <m/>
    <s v="Normal"/>
    <d v="2026-04-07T00:00:00"/>
    <s v="Sistemas Administrativos"/>
    <m/>
    <s v="Valery Aldo Versategui Malpica"/>
    <s v="Junior Quicaño"/>
    <x v="1"/>
    <x v="1"/>
    <x v="0"/>
    <m/>
    <m/>
    <d v="2026-02-20T00:00:00"/>
    <d v="2026-03-03T00:00:00"/>
    <m/>
    <d v="2026-03-03T00:00:00"/>
    <d v="2026-03-13T00:00:00"/>
    <d v="2026-03-07T09:36:00"/>
    <d v="2026-03-18T00:00:00"/>
    <d v="2026-03-18T00:00:00"/>
    <d v="2026-03-14T09:36:00"/>
    <s v="13/04/26: Según CQ, actualizó el estado a 08. Producción Finalizada_x000a_19/02/2026: Se registró en el Backlog._x000a_19/02/2026: Se creó trámite."/>
    <s v="Operac."/>
    <s v="BancariosRecaudación"/>
    <s v="2026-01"/>
    <s v="2026-04"/>
    <s v="2026-03"/>
    <x v="2"/>
    <s v="2026-03"/>
    <m/>
    <m/>
    <m/>
    <m/>
    <m/>
    <m/>
    <n v="26"/>
    <n v="0.8666666666666667"/>
    <m/>
    <s v="Finalizada"/>
    <x v="1"/>
    <d v="2026-04-23T09:09:03"/>
    <x v="0"/>
    <m/>
    <m/>
    <s v="Culminado"/>
    <s v="BackOffice"/>
    <s v="Otros Requerimientos"/>
    <m/>
    <m/>
    <m/>
    <d v="2026-03-18T00:00:00"/>
    <s v="Culminado"/>
    <s v="Mar 2026"/>
    <m/>
    <x v="1"/>
    <m/>
    <n v="1"/>
    <s v="POST"/>
    <m/>
    <m/>
    <s v="No aplica"/>
    <x v="1"/>
    <n v="1"/>
    <n v="1"/>
    <s v=""/>
    <s v=""/>
    <m/>
    <m/>
    <m/>
    <m/>
    <m/>
    <m/>
    <m/>
    <n v="25"/>
    <n v="0.1"/>
    <n v="200"/>
    <m/>
    <x v="1"/>
    <n v="0.9"/>
    <n v="1"/>
    <n v="24"/>
    <n v="8"/>
    <n v="192"/>
    <x v="0"/>
    <x v="1"/>
    <m/>
    <x v="0"/>
    <m/>
  </r>
  <r>
    <s v="M1336"/>
    <n v="3175"/>
    <x v="0"/>
    <s v="2026-T0090"/>
    <m/>
    <s v="Trasferencias Interbancarias Inmediatas CCE - Proyecto Masivas y Antifraude CCE"/>
    <m/>
    <x v="0"/>
    <s v="Captaciones y Pagaduría"/>
    <s v="Sistema de Pagos"/>
    <d v="2026-02-04T00:00:00"/>
    <s v="MEMORANDO N° 00000020 - 2026-BN/3116"/>
    <m/>
    <m/>
    <x v="8"/>
    <s v="No Aplica"/>
    <s v="Transferencias de recursos "/>
    <x v="0"/>
    <m/>
    <m/>
    <m/>
    <m/>
    <m/>
    <m/>
    <m/>
    <s v="Normal"/>
    <d v="2026-04-07T00:00:00"/>
    <s v="Sistemas Bancarios"/>
    <m/>
    <m/>
    <s v="Junior Quicaño"/>
    <x v="2"/>
    <x v="2"/>
    <x v="0"/>
    <m/>
    <m/>
    <m/>
    <m/>
    <m/>
    <m/>
    <m/>
    <s v=""/>
    <m/>
    <m/>
    <s v=""/>
    <s v="19/02/2026: Se registró en el Backlog._x000a_19/02/2026: Se creó trámite."/>
    <s v="Operac."/>
    <s v="CaptacionesPagaduría"/>
    <s v="2026-02"/>
    <s v="2026-04"/>
    <s v="No definido"/>
    <x v="0"/>
    <s v="No definido"/>
    <m/>
    <m/>
    <m/>
    <m/>
    <m/>
    <m/>
    <s v="Sin Fechas"/>
    <s v="No Aplica"/>
    <m/>
    <m/>
    <x v="2"/>
    <m/>
    <x v="0"/>
    <m/>
    <m/>
    <s v="Sin Mantenimiento"/>
    <s v="Sin Aplicativo"/>
    <s v="Sin Aplicativo"/>
    <m/>
    <m/>
    <m/>
    <s v=""/>
    <s v="Sin Mantenimiento"/>
    <s v="No definido"/>
    <m/>
    <x v="2"/>
    <m/>
    <n v="0.1"/>
    <s v="POST"/>
    <m/>
    <m/>
    <s v="NO"/>
    <x v="0"/>
    <s v=""/>
    <n v="0.1"/>
    <s v=""/>
    <s v=""/>
    <m/>
    <m/>
    <m/>
    <m/>
    <m/>
    <m/>
    <m/>
    <n v="25"/>
    <n v="0.1"/>
    <n v="200"/>
    <m/>
    <x v="2"/>
    <n v="0.9"/>
    <n v="1"/>
    <n v="24"/>
    <n v="8"/>
    <n v="192"/>
    <x v="0"/>
    <x v="1"/>
    <m/>
    <x v="0"/>
    <m/>
  </r>
  <r>
    <s v="M1337"/>
    <n v="3176"/>
    <x v="0"/>
    <s v="2026-T0091"/>
    <s v="2026-M0090"/>
    <s v="Creación de RPA - Embargos Judiciales"/>
    <m/>
    <x v="0"/>
    <s v="Servicios Bancarios y Recaudación"/>
    <s v="Depósitos Judiciales y Administrativos"/>
    <d v="2026-01-23T00:00:00"/>
    <s v="MEMORANDO N° 00000030 - 2026-BN/3212"/>
    <s v="RPAI-Robotic Process Automation Integration"/>
    <m/>
    <x v="1"/>
    <s v="Cuenta Corriente "/>
    <s v="Servicios Bancarios Diversos "/>
    <x v="0"/>
    <m/>
    <m/>
    <m/>
    <m/>
    <m/>
    <m/>
    <m/>
    <s v="Normal"/>
    <d v="2026-04-07T00:00:00"/>
    <s v="Sistemas Administrativos"/>
    <m/>
    <s v="Luis Enrique Almeyda Pachas"/>
    <s v="Junior Quicaño"/>
    <x v="7"/>
    <x v="4"/>
    <x v="0"/>
    <m/>
    <m/>
    <d v="2026-02-20T00:00:00"/>
    <d v="2026-04-09T00:00:00"/>
    <m/>
    <d v="2026-04-09T00:00:00"/>
    <m/>
    <d v="2026-04-28T04:48:00"/>
    <m/>
    <m/>
    <d v="2026-05-05T04:48:00"/>
    <s v="13/04/26: Según CQ, actualizó el estado a 05. En Calidad_x000a_19/02/2026: Se registró en el Backlog._x000a_19/02/2026: Se creó trámite."/>
    <s v="Operac."/>
    <s v="BancariosRecaudación"/>
    <s v="2026-01"/>
    <s v="2026-04"/>
    <s v="2026-04"/>
    <x v="0"/>
    <s v="2026-05"/>
    <m/>
    <m/>
    <m/>
    <m/>
    <m/>
    <m/>
    <s v="Sin Fecha Fin Producción"/>
    <s v="No Aplica"/>
    <m/>
    <s v="Finalizada"/>
    <x v="11"/>
    <d v="2026-04-09T15:42:28"/>
    <x v="0"/>
    <m/>
    <m/>
    <s v="Vencida"/>
    <s v="Sin Aplicativo"/>
    <s v="Sin Aplicativo"/>
    <m/>
    <m/>
    <m/>
    <s v=""/>
    <s v="Sin Fecha"/>
    <s v="No definido"/>
    <m/>
    <x v="2"/>
    <m/>
    <n v="0.7"/>
    <s v="POST"/>
    <m/>
    <m/>
    <s v="NO"/>
    <x v="0"/>
    <s v=""/>
    <n v="0.7"/>
    <s v=""/>
    <s v=""/>
    <m/>
    <m/>
    <m/>
    <m/>
    <m/>
    <m/>
    <m/>
    <n v="25"/>
    <n v="0.1"/>
    <n v="200"/>
    <m/>
    <x v="5"/>
    <n v="0.9"/>
    <n v="1"/>
    <n v="24"/>
    <n v="8"/>
    <n v="192"/>
    <x v="0"/>
    <x v="1"/>
    <m/>
    <x v="0"/>
    <m/>
  </r>
  <r>
    <s v="M1338"/>
    <n v="3179"/>
    <x v="0"/>
    <m/>
    <m/>
    <s v="REPORTE DE PLANTA DE PENSIONISTAS"/>
    <m/>
    <x v="5"/>
    <s v="Administración de Personal"/>
    <s v="Administración de Relaciones Laborales y Previsionales"/>
    <d v="2026-01-28T00:00:00"/>
    <s v="MEMORANDO N° 00000122 - 2026-BN/2336"/>
    <m/>
    <m/>
    <x v="1"/>
    <s v="No Aplica"/>
    <m/>
    <x v="0"/>
    <m/>
    <m/>
    <m/>
    <m/>
    <m/>
    <m/>
    <m/>
    <s v="Normal"/>
    <d v="2026-04-07T00:00:00"/>
    <s v="Sistemas Administrativos"/>
    <m/>
    <m/>
    <s v="Juan Carlos Zavaleta"/>
    <x v="0"/>
    <x v="0"/>
    <x v="1"/>
    <m/>
    <m/>
    <m/>
    <m/>
    <m/>
    <m/>
    <m/>
    <s v=""/>
    <m/>
    <m/>
    <s v=""/>
    <s v="23/02/2026: Se registró en el Backlog._x000a_23/02/2026: Se creó trámite."/>
    <s v="RRHH"/>
    <s v="AdministraciónPersonal"/>
    <s v="2026-01"/>
    <s v="2026-04"/>
    <s v="No definido"/>
    <x v="0"/>
    <s v="No definido"/>
    <m/>
    <m/>
    <m/>
    <m/>
    <m/>
    <m/>
    <s v="Sin Fechas"/>
    <s v="No Aplica"/>
    <m/>
    <m/>
    <x v="2"/>
    <m/>
    <x v="0"/>
    <m/>
    <m/>
    <s v="Sin Mantenimiento"/>
    <s v="Sin Aplicativo"/>
    <s v="Sin Aplicativo"/>
    <m/>
    <m/>
    <m/>
    <s v=""/>
    <s v="Sin Mantenimiento"/>
    <s v="No definido"/>
    <m/>
    <x v="0"/>
    <m/>
    <n v="-0.01"/>
    <s v="POST"/>
    <m/>
    <m/>
    <s v="No aplica"/>
    <x v="0"/>
    <s v=""/>
    <n v="-0.01"/>
    <s v=""/>
    <s v=""/>
    <m/>
    <m/>
    <m/>
    <m/>
    <m/>
    <m/>
    <m/>
    <n v="25"/>
    <n v="0.1"/>
    <n v="200"/>
    <m/>
    <x v="0"/>
    <n v="0.9"/>
    <n v="1"/>
    <n v="24"/>
    <n v="8"/>
    <n v="192"/>
    <x v="0"/>
    <x v="1"/>
    <m/>
    <x v="0"/>
    <m/>
  </r>
  <r>
    <s v="M1339"/>
    <n v="3180"/>
    <x v="0"/>
    <s v="2026-T0100"/>
    <s v="2026-M0097"/>
    <s v="Onceavo Mantenimiento Preventivo/Correctivo del Sistema Tramite Documentario"/>
    <m/>
    <x v="6"/>
    <s v="Servicios"/>
    <s v="Tramité Documentario"/>
    <d v="2026-02-26T00:00:00"/>
    <s v="Solicitud de Cambio STD-SC-01"/>
    <s v="STD4 - Actualización del STD a la versión 4.0"/>
    <m/>
    <x v="2"/>
    <s v="No Aplica"/>
    <m/>
    <x v="0"/>
    <m/>
    <m/>
    <m/>
    <m/>
    <m/>
    <m/>
    <m/>
    <s v="Normal"/>
    <d v="2026-04-07T00:00:00"/>
    <s v="Sistemas Administrativos"/>
    <m/>
    <s v="Jorge Mora Ruelas"/>
    <s v="Maria Barboza"/>
    <x v="1"/>
    <x v="1"/>
    <x v="0"/>
    <m/>
    <m/>
    <d v="2026-02-26T00:00:00"/>
    <d v="2026-02-27T00:00:00"/>
    <m/>
    <d v="2026-02-27T00:00:00"/>
    <d v="2026-02-27T00:00:00"/>
    <d v="2026-02-27T09:36:00"/>
    <d v="2026-03-25T00:00:00"/>
    <d v="2026-03-25T00:00:00"/>
    <d v="2026-03-06T09:36:00"/>
    <s v="13/04/26: Según CQ, actualizó el estado a 08. Producción Finalizada_x000a_26/02/2026: Se registró en el Backlog._x000a_26/02/2026: Se creó trámite."/>
    <s v="Logística"/>
    <s v="Servicios"/>
    <s v="2026-02"/>
    <s v="2026-04"/>
    <s v="2026-02"/>
    <x v="2"/>
    <s v="2026-03"/>
    <m/>
    <m/>
    <m/>
    <m/>
    <m/>
    <m/>
    <n v="27"/>
    <n v="0.9"/>
    <m/>
    <s v="Finalizada"/>
    <x v="1"/>
    <d v="2026-03-25T09:12:04"/>
    <x v="0"/>
    <m/>
    <m/>
    <s v="Culminado"/>
    <s v="BackOffice"/>
    <s v="Otros Requerimientos"/>
    <m/>
    <m/>
    <m/>
    <d v="2026-03-25T00:00:00"/>
    <s v="Culminado"/>
    <s v="Mar 2026"/>
    <m/>
    <x v="1"/>
    <m/>
    <n v="1"/>
    <s v="POST"/>
    <m/>
    <m/>
    <s v="No aplica"/>
    <x v="1"/>
    <n v="1"/>
    <n v="1"/>
    <s v=""/>
    <s v=""/>
    <m/>
    <m/>
    <m/>
    <m/>
    <m/>
    <m/>
    <m/>
    <n v="25"/>
    <n v="0.1"/>
    <n v="200"/>
    <m/>
    <x v="1"/>
    <n v="0.9"/>
    <n v="1"/>
    <n v="24"/>
    <n v="8"/>
    <n v="192"/>
    <x v="0"/>
    <x v="1"/>
    <m/>
    <x v="0"/>
    <m/>
  </r>
  <r>
    <s v="M1340"/>
    <n v="3181"/>
    <x v="0"/>
    <s v="2026-T0102"/>
    <s v="2026-M0100"/>
    <s v="Actualizar el monto minimo de costo a S/1.00 en el canal Págalo.pe (App y Web)"/>
    <m/>
    <x v="2"/>
    <s v="Canales Alternos"/>
    <s v="Canales Presenciales"/>
    <d v="2026-02-19T00:00:00"/>
    <s v="MEMORANDO N° 00000047 - 2026-BN-3252"/>
    <s v="SOMP – SISTEMA DE OPERACIONES MULTIPAGOS"/>
    <m/>
    <x v="15"/>
    <m/>
    <m/>
    <x v="1"/>
    <m/>
    <m/>
    <m/>
    <m/>
    <m/>
    <m/>
    <m/>
    <s v="Normal"/>
    <d v="2026-04-07T00:00:00"/>
    <s v="Soluciones Digitales"/>
    <m/>
    <m/>
    <s v="Omar Sarmiento"/>
    <x v="2"/>
    <x v="2"/>
    <x v="0"/>
    <m/>
    <m/>
    <m/>
    <m/>
    <m/>
    <m/>
    <m/>
    <s v=""/>
    <m/>
    <m/>
    <s v=""/>
    <s v="26/02/2026: Se registró en el Backlog._x000a_26/02/2026: Se creó trámite."/>
    <s v="B.Digital"/>
    <s v="CanalesAlternos"/>
    <s v="2026-02"/>
    <s v="2026-04"/>
    <s v="No definido"/>
    <x v="0"/>
    <s v="No definido"/>
    <m/>
    <m/>
    <m/>
    <m/>
    <m/>
    <m/>
    <s v="Sin Fechas"/>
    <s v="No Aplica"/>
    <m/>
    <m/>
    <x v="15"/>
    <d v="2026-03-11T11:07:00"/>
    <x v="0"/>
    <m/>
    <m/>
    <s v="Sin Fecha"/>
    <s v="Pagalo.pe"/>
    <s v="Canales Virtuales"/>
    <m/>
    <m/>
    <m/>
    <s v=""/>
    <s v="Sin Fecha"/>
    <s v="No definido"/>
    <m/>
    <x v="2"/>
    <m/>
    <n v="0.1"/>
    <s v="POST"/>
    <m/>
    <m/>
    <s v="NO"/>
    <x v="0"/>
    <s v=""/>
    <n v="0.1"/>
    <s v=""/>
    <s v=""/>
    <m/>
    <m/>
    <m/>
    <m/>
    <m/>
    <m/>
    <m/>
    <n v="25"/>
    <n v="0.1"/>
    <n v="200"/>
    <m/>
    <x v="2"/>
    <n v="0.9"/>
    <n v="1"/>
    <n v="24"/>
    <n v="8"/>
    <n v="192"/>
    <x v="0"/>
    <x v="1"/>
    <m/>
    <x v="0"/>
    <m/>
  </r>
  <r>
    <s v="M1341"/>
    <n v="3182"/>
    <x v="0"/>
    <s v="2026-T0105"/>
    <s v="2026-M0102"/>
    <s v="Cámara de Compensación_x000a_Electrónica (CCE) - Proyecto LUMEN_x000a_"/>
    <m/>
    <x v="0"/>
    <s v="Captaciones y Pagaduría"/>
    <s v="Sistema de Pagos"/>
    <d v="2026-02-25T00:00:00"/>
    <s v="MEMORANDO N° 00000031 - 2026-BN/3116"/>
    <s v="SSTI-SIX STI TRANSFERENCIAS INTERBANCARIAS"/>
    <m/>
    <x v="8"/>
    <s v="No Aplica"/>
    <m/>
    <x v="0"/>
    <m/>
    <m/>
    <m/>
    <m/>
    <m/>
    <m/>
    <m/>
    <s v="Normal"/>
    <d v="2026-04-07T00:00:00"/>
    <s v="Soluciones Digitales"/>
    <m/>
    <s v="Monica del Pilar Garcia Campana"/>
    <s v="Junior Quicaño"/>
    <x v="1"/>
    <x v="1"/>
    <x v="2"/>
    <m/>
    <m/>
    <d v="2026-03-03T00:00:00"/>
    <d v="2026-03-04T00:00:00"/>
    <m/>
    <d v="2026-03-09T00:00:00"/>
    <d v="2026-04-22T00:00:00"/>
    <d v="2026-03-04T09:36:00"/>
    <d v="2026-05-18T00:00:00"/>
    <d v="2026-05-19T00:00:00"/>
    <d v="2026-03-11T09:36:00"/>
    <s v="19/05/26: Según CQ, actualizó el estado a 08. Producción Finalizada_x000a_24/04/26: Según CQ, actualizó el estado a 06. Calidad Finalizado_x000a_13/04/26: Según CQ, actualizó el estado a 05. En Calidad_x000a_03/03/2026: Se registró en el Backlog._x000a_02/03/2026: Se creó trámite."/>
    <s v="Operac."/>
    <s v="CaptacionesPagaduría"/>
    <s v="2026-02"/>
    <s v="2026-04"/>
    <s v="2026-03"/>
    <x v="6"/>
    <s v="2026-03"/>
    <m/>
    <m/>
    <m/>
    <m/>
    <m/>
    <m/>
    <n v="77"/>
    <n v="2.5666666666666669"/>
    <m/>
    <s v="Finalizada"/>
    <x v="1"/>
    <d v="2026-05-19T11:13:51"/>
    <x v="0"/>
    <m/>
    <m/>
    <s v="Culminado"/>
    <s v="Interoperabilidad"/>
    <s v="Canales Virtuales"/>
    <m/>
    <m/>
    <m/>
    <d v="2026-05-19T00:00:00"/>
    <s v="Culminado"/>
    <s v="May 2026"/>
    <m/>
    <x v="1"/>
    <m/>
    <n v="1"/>
    <s v="POST"/>
    <m/>
    <m/>
    <s v="No aplica"/>
    <x v="1"/>
    <n v="1"/>
    <n v="1"/>
    <s v=""/>
    <s v=""/>
    <m/>
    <m/>
    <m/>
    <m/>
    <m/>
    <m/>
    <m/>
    <n v="25"/>
    <n v="0.1"/>
    <n v="200"/>
    <m/>
    <x v="1"/>
    <n v="0.9"/>
    <n v="1"/>
    <n v="24"/>
    <n v="8"/>
    <n v="192"/>
    <x v="0"/>
    <x v="1"/>
    <m/>
    <x v="3"/>
    <m/>
  </r>
  <r>
    <s v="M1342"/>
    <n v="3183"/>
    <x v="0"/>
    <s v="2026-T0106"/>
    <s v="2026-M0103"/>
    <s v="PARÁMETROS PARA EL OTORGAMIENTO DE PRÉSTAMOS MULTIRED A 72 MESES"/>
    <m/>
    <x v="1"/>
    <s v="Banca Personal"/>
    <s v="Préstamo Multired"/>
    <d v="2026-02-20T00:00:00"/>
    <s v="MEMORANDO N° 00000043 - 2026-BN/3347"/>
    <s v="PRAH - Prestamos Multired"/>
    <m/>
    <x v="2"/>
    <s v="Préstamos Multired "/>
    <m/>
    <x v="0"/>
    <m/>
    <m/>
    <m/>
    <m/>
    <m/>
    <m/>
    <m/>
    <s v="Normal"/>
    <d v="2026-04-07T00:00:00"/>
    <s v="Sistemas Bancarios"/>
    <m/>
    <s v="Pedro Jose Encalada Huertas"/>
    <s v="Milagros Huamani"/>
    <x v="1"/>
    <x v="1"/>
    <x v="0"/>
    <m/>
    <m/>
    <d v="2026-03-04T00:00:00"/>
    <d v="2026-03-16T00:00:00"/>
    <m/>
    <d v="2026-03-17T00:00:00"/>
    <d v="2026-03-19T00:00:00"/>
    <d v="2026-03-20T19:12:00"/>
    <d v="2026-03-23T00:00:00"/>
    <d v="2026-03-23T00:00:00"/>
    <d v="2026-03-27T19:12:00"/>
    <s v="13/04/26: Según CQ, actualizó el estado a 08. Producción Finalizada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BancaPersonal"/>
    <s v="2026-02"/>
    <s v="2026-04"/>
    <s v="2026-03"/>
    <x v="2"/>
    <s v="2026-03"/>
    <m/>
    <m/>
    <m/>
    <m/>
    <m/>
    <m/>
    <n v="19"/>
    <n v="0.6333333333333333"/>
    <m/>
    <s v="Finalizada"/>
    <x v="1"/>
    <d v="2026-03-23T17:02:15"/>
    <x v="0"/>
    <m/>
    <m/>
    <s v="Culminado"/>
    <s v="Préstamos Multired"/>
    <s v="Productos"/>
    <m/>
    <m/>
    <m/>
    <d v="2026-03-23T00:00:00"/>
    <s v="Culminado"/>
    <s v="Mar 2026"/>
    <m/>
    <x v="1"/>
    <m/>
    <n v="1"/>
    <s v="POST"/>
    <m/>
    <m/>
    <s v="No aplica"/>
    <x v="1"/>
    <n v="1"/>
    <n v="1"/>
    <s v=""/>
    <s v=""/>
    <m/>
    <m/>
    <m/>
    <m/>
    <m/>
    <m/>
    <m/>
    <n v="25"/>
    <n v="0.1"/>
    <n v="200"/>
    <m/>
    <x v="1"/>
    <n v="0.9"/>
    <n v="1"/>
    <n v="24"/>
    <n v="8"/>
    <n v="192"/>
    <x v="0"/>
    <x v="1"/>
    <m/>
    <x v="0"/>
    <m/>
  </r>
  <r>
    <s v="M1343"/>
    <n v="3185"/>
    <x v="0"/>
    <s v="2026-T0107"/>
    <s v="2026-M0114"/>
    <s v="MENSAJE PROMOCIONAL POR LA SEMANA MUNDIAL DEL AHORRO, DÉCIMA EDICIÓN"/>
    <m/>
    <x v="1"/>
    <s v="Inclusión Financiera"/>
    <s v="Desarrollo y Seguimiento"/>
    <d v="2026-02-27T00:00:00"/>
    <s v="MEMORANDO N° 00000016 - 2026-BN/8411"/>
    <s v="SAVE-Sistema de Atención en Ventanillas"/>
    <m/>
    <x v="2"/>
    <s v="No Aplica"/>
    <s v="No aplica"/>
    <x v="0"/>
    <m/>
    <m/>
    <m/>
    <m/>
    <m/>
    <m/>
    <m/>
    <s v="Normal"/>
    <d v="2026-04-07T00:00:00"/>
    <s v="Sistemas Bancarios"/>
    <m/>
    <s v="Rossana Rojas Alvaro"/>
    <s v="Milagros Huamani"/>
    <x v="5"/>
    <x v="4"/>
    <x v="0"/>
    <m/>
    <m/>
    <d v="2026-03-16T00:00:00"/>
    <m/>
    <m/>
    <m/>
    <m/>
    <s v=""/>
    <m/>
    <m/>
    <s v=""/>
    <s v="13/04/26: Según CQ, actualizó el estado a 03. En Desarrollo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InclusiónFinanciera"/>
    <s v="2026-02"/>
    <s v="2026-04"/>
    <s v="No definido"/>
    <x v="0"/>
    <s v="No definido"/>
    <m/>
    <m/>
    <m/>
    <m/>
    <m/>
    <m/>
    <s v="Sin Fecha Fin Producción"/>
    <s v="No Aplica"/>
    <m/>
    <s v="Iniciada"/>
    <x v="5"/>
    <d v="2026-03-16T14:58:46"/>
    <x v="0"/>
    <m/>
    <m/>
    <s v="Sin Fecha"/>
    <s v="Ventanilla"/>
    <s v="Canales Presenciales"/>
    <m/>
    <m/>
    <m/>
    <s v=""/>
    <s v="Sin Fecha"/>
    <s v="No definido"/>
    <m/>
    <x v="2"/>
    <m/>
    <n v="0.25"/>
    <s v="POST"/>
    <m/>
    <m/>
    <s v="NO"/>
    <x v="0"/>
    <s v=""/>
    <n v="0.25"/>
    <s v=""/>
    <s v=""/>
    <m/>
    <m/>
    <m/>
    <m/>
    <m/>
    <m/>
    <m/>
    <n v="25"/>
    <n v="0.1"/>
    <n v="200"/>
    <m/>
    <x v="2"/>
    <n v="0.9"/>
    <n v="1"/>
    <n v="24"/>
    <n v="2"/>
    <n v="48"/>
    <x v="0"/>
    <x v="1"/>
    <m/>
    <x v="0"/>
    <m/>
  </r>
  <r>
    <s v="M1344"/>
    <n v="3186"/>
    <x v="0"/>
    <s v="2026-T0108"/>
    <s v="2026-M0121"/>
    <s v="MENSAJE PROMOCIONAL POR LA SEMANA MUNDIAL DEL AHORRO, X EDICIÓN"/>
    <m/>
    <x v="1"/>
    <s v="Inclusión Financiera"/>
    <s v="Desarrollo y Seguimiento"/>
    <d v="2026-02-27T00:00:00"/>
    <s v="MEMORANDO N° 00000016 - 2026-BN/8411"/>
    <s v="TMIN-Tarjeta Multired Interfaces"/>
    <m/>
    <x v="2"/>
    <s v="No Aplica"/>
    <s v="No aplica"/>
    <x v="0"/>
    <m/>
    <m/>
    <m/>
    <m/>
    <m/>
    <m/>
    <m/>
    <s v="Normal"/>
    <d v="2026-04-07T00:00:00"/>
    <s v="Sistemas Bancarios"/>
    <m/>
    <s v="Vladimir Ronald Cajavilca Cajavilca"/>
    <s v="Milagros Huamani"/>
    <x v="7"/>
    <x v="4"/>
    <x v="2"/>
    <m/>
    <m/>
    <d v="2026-03-23T00:00:00"/>
    <d v="2026-03-27T00:00:00"/>
    <m/>
    <d v="2026-04-15T00:00:00"/>
    <d v="2026-04-22T00:00:00"/>
    <d v="2026-03-28T14:24:00"/>
    <m/>
    <m/>
    <d v="2026-04-04T14:24:00"/>
    <s v="19/05/26: Según CQ, actualizó el estado a 05. En Calidad_x000a_24/04/26: Según CQ, actualizó el estado a 06. Calidad Finalizado_x000a_20/04/26: Según CQ, actualizó el estado a 05. En Calidad_x000a_13/04/26: Según CQ, actualizó el estado a 04. Desarrollo Finalizado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InclusiónFinanciera"/>
    <s v="2026-02"/>
    <s v="2026-04"/>
    <s v="2026-03"/>
    <x v="0"/>
    <s v="2026-04"/>
    <m/>
    <m/>
    <m/>
    <m/>
    <m/>
    <m/>
    <s v="Sin Fecha Fin Producción"/>
    <s v="No Aplica"/>
    <m/>
    <s v="Finalizada"/>
    <x v="16"/>
    <d v="2026-05-19T09:16:16"/>
    <x v="0"/>
    <m/>
    <m/>
    <s v="Vencida"/>
    <s v="ATM-Agentes-VISA"/>
    <s v="Canales Presenciales"/>
    <m/>
    <m/>
    <m/>
    <s v=""/>
    <s v="Sin Fecha"/>
    <s v="No definido"/>
    <m/>
    <x v="2"/>
    <m/>
    <n v="0.75"/>
    <s v="POST"/>
    <m/>
    <m/>
    <s v="NO"/>
    <x v="0"/>
    <s v=""/>
    <n v="0.75"/>
    <s v=""/>
    <s v=""/>
    <m/>
    <m/>
    <m/>
    <m/>
    <m/>
    <m/>
    <m/>
    <n v="25"/>
    <n v="0.1"/>
    <n v="200"/>
    <m/>
    <x v="5"/>
    <n v="0.9"/>
    <n v="1"/>
    <n v="24"/>
    <n v="8"/>
    <n v="192"/>
    <x v="0"/>
    <x v="1"/>
    <m/>
    <x v="3"/>
    <m/>
  </r>
  <r>
    <s v="M1345"/>
    <n v="3188"/>
    <x v="0"/>
    <s v="2026-T0111"/>
    <s v="2026-M0106"/>
    <s v="Cargos Recurrente_Tarjetas Vencidas"/>
    <m/>
    <x v="2"/>
    <s v="Canales Alternos"/>
    <s v="Canales Virtuales"/>
    <d v="2026-02-09T00:00:00"/>
    <s v="MEMORANDO N° 00000024 - 2026-BN-3252"/>
    <s v="TMIN-Tarjeta Multired Interfaces"/>
    <m/>
    <x v="8"/>
    <s v="No Aplica"/>
    <m/>
    <x v="2"/>
    <m/>
    <s v="SBS"/>
    <s v="Resolución SBS N° 6523 - 2013"/>
    <m/>
    <m/>
    <m/>
    <d v="2014-04-01T00:00:00"/>
    <s v="Normal"/>
    <d v="2026-04-07T00:00:00"/>
    <s v="Sistemas Bancarios"/>
    <m/>
    <s v="Vladimir Ronald Cajavilca Cajavilca"/>
    <s v="Omar Sarmiento"/>
    <x v="5"/>
    <x v="4"/>
    <x v="0"/>
    <m/>
    <m/>
    <d v="2026-03-06T00:00:00"/>
    <m/>
    <m/>
    <m/>
    <m/>
    <s v=""/>
    <m/>
    <m/>
    <s v=""/>
    <s v="13/04/26: Según CQ, actualizó el estado a 03. En Desarrollo_x000a_05/03/2026: Se registró en el Backlog._x000a_05/03/2026: Se creó trámite."/>
    <s v="B.Digital"/>
    <s v="CanalesAlternos"/>
    <s v="2026-02"/>
    <s v="2026-04"/>
    <s v="No definido"/>
    <x v="0"/>
    <s v="No definido"/>
    <m/>
    <m/>
    <m/>
    <m/>
    <m/>
    <m/>
    <s v="Sin Fecha Fin Producción"/>
    <s v="No Aplica"/>
    <m/>
    <s v="Asignada"/>
    <x v="5"/>
    <d v="2026-03-06T11:55:26"/>
    <x v="0"/>
    <m/>
    <m/>
    <s v="Sin Fecha"/>
    <s v="ATM-Agentes-VISA"/>
    <s v="Canales Presenciales"/>
    <m/>
    <m/>
    <m/>
    <s v=""/>
    <s v="Sin Fecha"/>
    <s v="No definido"/>
    <m/>
    <x v="2"/>
    <m/>
    <n v="0.15"/>
    <s v="POST"/>
    <m/>
    <m/>
    <s v="NO"/>
    <x v="0"/>
    <s v=""/>
    <n v="0.15"/>
    <s v=""/>
    <s v=""/>
    <m/>
    <m/>
    <m/>
    <m/>
    <m/>
    <m/>
    <m/>
    <n v="25"/>
    <n v="0.1"/>
    <n v="200"/>
    <m/>
    <x v="2"/>
    <n v="0.9"/>
    <n v="1"/>
    <n v="24"/>
    <n v="0.72727272727272729"/>
    <n v="17.454545454545453"/>
    <x v="0"/>
    <x v="1"/>
    <m/>
    <x v="0"/>
    <m/>
  </r>
  <r>
    <s v="M1346"/>
    <n v="3192"/>
    <x v="0"/>
    <s v="2026-T0117"/>
    <s v="2026-M0110"/>
    <s v="MN: Doceavo Mantenimiento Preventivo/Correctivo del Sistema Tramite Documentario"/>
    <m/>
    <x v="6"/>
    <s v="Servicios"/>
    <s v="Tramité Documentario"/>
    <d v="2026-03-11T00:00:00"/>
    <s v="MEMORANDO N° 00000019 - 2026-BN/2202"/>
    <s v="STD4 - Actualización del STD a la versión 4.0"/>
    <m/>
    <x v="2"/>
    <s v="No Aplica"/>
    <s v="No aplica"/>
    <x v="0"/>
    <m/>
    <m/>
    <m/>
    <m/>
    <m/>
    <m/>
    <m/>
    <s v="Normal"/>
    <d v="2026-04-07T00:00:00"/>
    <s v="Sistemas Administrativos"/>
    <m/>
    <s v="Jorge Mora Ruelas"/>
    <s v="Maria Barboza"/>
    <x v="1"/>
    <x v="1"/>
    <x v="0"/>
    <m/>
    <m/>
    <d v="2026-03-13T00:00:00"/>
    <d v="2026-03-13T00:00:00"/>
    <m/>
    <d v="2026-03-13T00:00:00"/>
    <d v="2026-03-13T00:00:00"/>
    <d v="2026-03-13T00:00:00"/>
    <d v="2026-03-25T00:00:00"/>
    <d v="2026-03-25T00:00:00"/>
    <d v="2026-03-20T00:00:00"/>
    <s v="13/04/26: Según CQ, actualizó el estado a 08. Producción Finalizada_x000a_13/03/2026: Se registró en el Backlog._x000a_13/03/2026: Se creó trámite."/>
    <s v="Logística"/>
    <s v="Servicios"/>
    <s v="2026-03"/>
    <s v="2026-04"/>
    <s v="2026-03"/>
    <x v="2"/>
    <s v="2026-03"/>
    <m/>
    <m/>
    <m/>
    <m/>
    <m/>
    <m/>
    <n v="12"/>
    <n v="0.4"/>
    <m/>
    <s v="Finalizada"/>
    <x v="1"/>
    <d v="2026-03-25T09:13:32"/>
    <x v="0"/>
    <m/>
    <m/>
    <s v="Culminado"/>
    <s v="BackOffice"/>
    <s v="Otros Requerimientos"/>
    <m/>
    <m/>
    <m/>
    <d v="2026-03-25T00:00:00"/>
    <s v="Culminado"/>
    <s v="Mar 2026"/>
    <m/>
    <x v="1"/>
    <m/>
    <n v="1"/>
    <s v="POST"/>
    <m/>
    <m/>
    <s v="No aplica"/>
    <x v="1"/>
    <n v="1"/>
    <n v="1"/>
    <s v=""/>
    <s v=""/>
    <m/>
    <m/>
    <m/>
    <m/>
    <m/>
    <m/>
    <m/>
    <n v="25"/>
    <n v="0.1"/>
    <n v="200"/>
    <m/>
    <x v="1"/>
    <n v="0.9"/>
    <n v="1"/>
    <n v="24"/>
    <n v="8"/>
    <n v="192"/>
    <x v="0"/>
    <x v="1"/>
    <m/>
    <x v="0"/>
    <m/>
  </r>
  <r>
    <s v="M1347"/>
    <n v="3202"/>
    <x v="0"/>
    <s v="2026-T0122"/>
    <s v="2026-M0122"/>
    <s v="Actualización de campos en el caso de 9611 en el módulo BICOC: Modificación de Resultado de Investigación, Fechas y Hora ROS (OC) y Correlativos ROS y ROI"/>
    <m/>
    <x v="3"/>
    <m/>
    <m/>
    <d v="2026-02-18T00:00:00"/>
    <s v="MEMORANDO N° 00000007 -2026-BN/1200"/>
    <s v="LADI-Lavado de Dinero"/>
    <m/>
    <x v="1"/>
    <s v="No Aplica"/>
    <s v="No aplica"/>
    <x v="1"/>
    <m/>
    <m/>
    <m/>
    <m/>
    <m/>
    <m/>
    <m/>
    <s v="Normal"/>
    <d v="2026-04-07T00:00:00"/>
    <s v="Sistemas Bancarios"/>
    <m/>
    <s v="Herbert Christian Rojas Matos"/>
    <s v="Juan Carlos Zavaleta"/>
    <x v="1"/>
    <x v="1"/>
    <x v="0"/>
    <m/>
    <m/>
    <d v="2026-03-24T00:00:00"/>
    <d v="2026-03-24T00:00:00"/>
    <m/>
    <d v="2026-03-27T00:00:00"/>
    <d v="2026-03-31T00:00:00"/>
    <d v="2026-03-24T00:00:00"/>
    <d v="2026-04-01T00:00:00"/>
    <d v="2026-04-02T00:00:00"/>
    <d v="2026-03-31T00:00:00"/>
    <s v="13/04/26: Según CQ, actualizó el estado a 08. Producción Finalizada_x000a_17/03/2026: Se registró en el Backlog._x000a_17/03/2026: Se creó trámite."/>
    <s v="PLAFT"/>
    <s v=""/>
    <s v="2026-02"/>
    <s v="2026-04"/>
    <s v="2026-03"/>
    <x v="1"/>
    <s v="2026-03"/>
    <m/>
    <m/>
    <m/>
    <m/>
    <m/>
    <m/>
    <n v="9"/>
    <n v="0.3"/>
    <m/>
    <s v="Finalizada"/>
    <x v="1"/>
    <d v="2026-04-02T00:58:57"/>
    <x v="0"/>
    <m/>
    <m/>
    <s v="Culminado"/>
    <s v="BackOffice"/>
    <s v="Otros Requerimientos"/>
    <m/>
    <m/>
    <m/>
    <d v="2026-04-02T00:00:00"/>
    <s v="Culminado"/>
    <s v="Abr 2026"/>
    <m/>
    <x v="1"/>
    <m/>
    <n v="1"/>
    <s v="POST"/>
    <m/>
    <m/>
    <s v="No aplica"/>
    <x v="1"/>
    <n v="1"/>
    <n v="1"/>
    <s v=""/>
    <s v=""/>
    <m/>
    <m/>
    <m/>
    <m/>
    <m/>
    <m/>
    <m/>
    <n v="25"/>
    <n v="0.1"/>
    <n v="200"/>
    <m/>
    <x v="1"/>
    <n v="0.9"/>
    <n v="1"/>
    <n v="24"/>
    <n v="8"/>
    <n v="192"/>
    <x v="0"/>
    <x v="1"/>
    <m/>
    <x v="0"/>
    <m/>
  </r>
  <r>
    <s v="M1348"/>
    <n v="3203"/>
    <x v="0"/>
    <s v="2026-T0129"/>
    <s v="2026-M0120"/>
    <s v="Enlace o botón de libro de reclamaciones digital en Págalo.pe"/>
    <m/>
    <x v="2"/>
    <s v="Canales Alternos"/>
    <s v="Canales Virtuales"/>
    <d v="2026-03-18T00:00:00"/>
    <s v="MEMORANDO N° 00000074 -2026-BN/3252"/>
    <s v="SOMP – SISTEMA DE OPERACIONES MULTIPAGOS"/>
    <m/>
    <x v="1"/>
    <s v="No Aplica"/>
    <s v="No aplica"/>
    <x v="0"/>
    <m/>
    <m/>
    <m/>
    <m/>
    <m/>
    <m/>
    <m/>
    <s v="Normal"/>
    <d v="2026-04-07T00:00:00"/>
    <s v="Sistemas Bancarios"/>
    <m/>
    <s v="Angela Rocio Risco Vega"/>
    <s v="Omar Sarmiento"/>
    <x v="1"/>
    <x v="1"/>
    <x v="0"/>
    <m/>
    <m/>
    <d v="2026-03-23T00:00:00"/>
    <m/>
    <m/>
    <m/>
    <m/>
    <s v=""/>
    <d v="2026-03-23T00:00:00"/>
    <d v="2026-05-07T00:00:00"/>
    <s v=""/>
    <s v="08/05/26: Según CQ, actualizó el estado a 08. Producción Finalizada_x000a_13/04/26: Según CQ, actualizó el estado a 07. En Despliegue_x000a_20/03/2026: Se registró en el Backlog._x000a_20/03/2026: Se creó trámite."/>
    <s v="B.Digital"/>
    <s v="CanalesAlternos"/>
    <s v="2026-03"/>
    <s v="2026-04"/>
    <s v="No definido"/>
    <x v="6"/>
    <s v="No definido"/>
    <m/>
    <m/>
    <m/>
    <m/>
    <m/>
    <m/>
    <n v="45"/>
    <n v="1.5"/>
    <m/>
    <s v="Finalizada"/>
    <x v="6"/>
    <d v="2026-05-07T09:25:46"/>
    <x v="0"/>
    <m/>
    <m/>
    <s v="Culminado"/>
    <s v="Pagalo.pe"/>
    <s v="Canales Virtuales"/>
    <m/>
    <m/>
    <m/>
    <d v="2026-05-07T00:00:00"/>
    <s v="Culminado"/>
    <s v="May 2026"/>
    <m/>
    <x v="1"/>
    <m/>
    <n v="1"/>
    <s v="POST"/>
    <m/>
    <m/>
    <s v="No aplica"/>
    <x v="1"/>
    <n v="1"/>
    <n v="1"/>
    <s v=""/>
    <s v=""/>
    <m/>
    <m/>
    <m/>
    <m/>
    <m/>
    <m/>
    <m/>
    <n v="25"/>
    <n v="0.1"/>
    <n v="200"/>
    <m/>
    <x v="1"/>
    <n v="0.9"/>
    <n v="1"/>
    <n v="24"/>
    <n v="8"/>
    <n v="192"/>
    <x v="0"/>
    <x v="1"/>
    <m/>
    <x v="2"/>
    <m/>
  </r>
  <r>
    <s v="M1349"/>
    <n v="3204"/>
    <x v="0"/>
    <s v="2026-T0132"/>
    <m/>
    <s v="Plan de creación de Cuenta DNI en Core BN"/>
    <m/>
    <x v="0"/>
    <s v="Captaciones y Pagaduría"/>
    <s v="Apertura de Cuentas"/>
    <d v="2026-02-04T00:00:00"/>
    <s v="MEMORANDO N° 00000138 - 2026-BN/3111"/>
    <m/>
    <m/>
    <x v="3"/>
    <m/>
    <m/>
    <x v="0"/>
    <m/>
    <m/>
    <m/>
    <m/>
    <m/>
    <m/>
    <m/>
    <s v="Normal"/>
    <d v="2026-04-07T00:00:00"/>
    <s v="Sistemas Bancarios"/>
    <m/>
    <m/>
    <s v="Milagros Huamani"/>
    <x v="2"/>
    <x v="2"/>
    <x v="0"/>
    <m/>
    <m/>
    <m/>
    <m/>
    <m/>
    <m/>
    <m/>
    <s v=""/>
    <m/>
    <m/>
    <s v=""/>
    <s v="24/03/2026: Se registró en el Backlog._x000a_24/03/2026: Se creó trámite."/>
    <s v="Operac."/>
    <s v="CaptacionesPagaduría"/>
    <s v="2026-02"/>
    <s v="2026-04"/>
    <s v="No definido"/>
    <x v="0"/>
    <s v="No definido"/>
    <m/>
    <m/>
    <m/>
    <m/>
    <m/>
    <m/>
    <s v="Sin Fechas"/>
    <s v="No Aplica"/>
    <m/>
    <m/>
    <x v="2"/>
    <m/>
    <x v="0"/>
    <m/>
    <m/>
    <s v="Sin Mantenimiento"/>
    <s v="Sin Aplicativo"/>
    <s v="Sin Aplicativo"/>
    <m/>
    <m/>
    <m/>
    <s v=""/>
    <s v="Sin Mantenimiento"/>
    <s v="No definido"/>
    <m/>
    <x v="2"/>
    <m/>
    <n v="0.1"/>
    <s v="POST"/>
    <m/>
    <m/>
    <s v="NO"/>
    <x v="0"/>
    <s v=""/>
    <n v="0.1"/>
    <s v=""/>
    <s v=""/>
    <m/>
    <m/>
    <m/>
    <m/>
    <m/>
    <m/>
    <m/>
    <n v="25"/>
    <n v="0.1"/>
    <n v="200"/>
    <m/>
    <x v="2"/>
    <n v="0.9"/>
    <n v="1"/>
    <n v="24"/>
    <n v="8"/>
    <n v="192"/>
    <x v="0"/>
    <x v="1"/>
    <m/>
    <x v="0"/>
    <m/>
  </r>
  <r>
    <s v="M1350"/>
    <n v="3215"/>
    <x v="0"/>
    <s v="2026-T0144"/>
    <s v="2026-M0136"/>
    <s v="AUTOMATIZACIÓN DEL PROCESO DE OTORGAMIENTO DE TARJETAS DE PRESTACIÓN ALIMENTARIA"/>
    <m/>
    <x v="5"/>
    <s v="Desarrollo del Talento"/>
    <s v="Asistencia y Bienestar"/>
    <d v="2026-03-11T00:00:00"/>
    <s v="MEMORANDO N° 00000138 - 2026-BN4113"/>
    <s v="POEM_Portal del Empleado"/>
    <m/>
    <x v="0"/>
    <s v="No Aplica"/>
    <m/>
    <x v="2"/>
    <m/>
    <s v="OTROS"/>
    <s v="Ley de Prestaciones Alimentarias"/>
    <m/>
    <m/>
    <m/>
    <m/>
    <s v="Normal"/>
    <d v="2026-04-07T00:00:00"/>
    <s v="Sistemas Administrativos"/>
    <m/>
    <s v="Paul Alminagorta Cabezas"/>
    <s v="Juan Carlos Zavaleta"/>
    <x v="4"/>
    <x v="4"/>
    <x v="0"/>
    <m/>
    <m/>
    <d v="2026-03-31T00:00:00"/>
    <m/>
    <m/>
    <m/>
    <m/>
    <s v=""/>
    <d v="2026-04-20T00:00:00"/>
    <m/>
    <s v=""/>
    <s v="22/04/26: Según CQ, actualizó el estado a 07. En Despliegue_x000a_13/04/26: Según CQ, actualizó el estado a 03. En Desarrollo_x000a_30/03/2026: Se registró en el Backlog._x000a_31/03/2026: Se creo tramite_x000a__x000a__x000a_"/>
    <s v="RRHH"/>
    <s v="DesarrolloTalento"/>
    <s v="2026-03"/>
    <s v="2026-04"/>
    <s v="No definido"/>
    <x v="0"/>
    <s v="No definido"/>
    <m/>
    <m/>
    <m/>
    <m/>
    <m/>
    <m/>
    <s v="Sin Fecha Fin Producción"/>
    <s v="No Aplica"/>
    <m/>
    <s v="Finalizada"/>
    <x v="8"/>
    <d v="2026-04-20T16:29:28"/>
    <x v="0"/>
    <m/>
    <m/>
    <s v="Sin Fecha"/>
    <s v="BackOffice"/>
    <s v="Otros Requerimientos"/>
    <m/>
    <m/>
    <m/>
    <s v=""/>
    <s v="Sin Fecha"/>
    <s v="No definido"/>
    <m/>
    <x v="2"/>
    <m/>
    <n v="0.9"/>
    <s v="POST"/>
    <m/>
    <m/>
    <s v="SI"/>
    <x v="2"/>
    <n v="1"/>
    <n v="0.9"/>
    <n v="9.9999999999999978E-2"/>
    <n v="0.9"/>
    <m/>
    <d v="2026-03-15T00:00:00"/>
    <d v="2026-04-22T00:00:00"/>
    <d v="2026-04-23T00:00:00"/>
    <d v="2026-05-08T00:00:00"/>
    <d v="2026-05-11T00:00:00"/>
    <d v="2026-05-15T00:00:00"/>
    <n v="28"/>
    <n v="1"/>
    <n v="200"/>
    <m/>
    <x v="4"/>
    <n v="0"/>
    <n v="28"/>
    <n v="0"/>
    <n v="224"/>
    <n v="0"/>
    <x v="8"/>
    <x v="1"/>
    <m/>
    <x v="2"/>
    <m/>
  </r>
  <r>
    <s v="M1351"/>
    <n v="3216"/>
    <x v="0"/>
    <s v="2026-T0141"/>
    <s v="2026-M0134"/>
    <s v="Operatividad en Cuentas de Organizaciones Políticas"/>
    <m/>
    <x v="0"/>
    <s v="Captaciones y Pagaduría"/>
    <s v="Administración de Cuentas y Pagaduría"/>
    <d v="2026-03-13T00:00:00"/>
    <s v="MEMORANDO N° 00000660 - 2026-BN3191"/>
    <s v="SATI-Sistema ATI"/>
    <m/>
    <x v="0"/>
    <s v="Cuenta Corriente "/>
    <m/>
    <x v="1"/>
    <m/>
    <m/>
    <m/>
    <m/>
    <m/>
    <m/>
    <m/>
    <s v="Normal"/>
    <d v="2026-04-07T00:00:00"/>
    <s v="Sistemas Bancarios"/>
    <m/>
    <s v="Marilu Cordova Quispe"/>
    <s v="Junior Quicaño"/>
    <x v="7"/>
    <x v="4"/>
    <x v="0"/>
    <m/>
    <m/>
    <d v="2026-03-31T00:00:00"/>
    <d v="2026-05-07T00:00:00"/>
    <m/>
    <d v="2026-05-13T00:00:00"/>
    <m/>
    <d v="2026-05-21T19:12:00"/>
    <m/>
    <m/>
    <d v="2026-05-28T19:12:00"/>
    <s v="18/05/26: Según CQ, actualizó el estado a 05. En Calidad_x000a_08/05/26: Según CQ, actualizó el estado a 04. Desarrollo Finalizado_x000a_13/04/26: Según CQ, actualizó el estado a 03. En Desarrollo_x000a_30/03/2026: Se registró en el Backlog._x000a_30/03/2026: Se creo tramite_x000a__x000a__x000a_"/>
    <s v="Operac."/>
    <s v="CaptacionesPagaduría"/>
    <s v="2026-03"/>
    <s v="2026-04"/>
    <s v="2026-05"/>
    <x v="0"/>
    <s v="2026-05"/>
    <m/>
    <m/>
    <m/>
    <m/>
    <m/>
    <m/>
    <s v="Sin Fecha Fin Producción"/>
    <s v="No Aplica"/>
    <m/>
    <s v="Finalizada"/>
    <x v="11"/>
    <d v="2026-05-13T19:14:58"/>
    <x v="0"/>
    <m/>
    <m/>
    <s v="2026-Q2"/>
    <s v="Multired Virtual"/>
    <s v="Canales Virtuales"/>
    <m/>
    <m/>
    <m/>
    <d v="2026-05-28T19:12:00"/>
    <s v="2026-2"/>
    <s v="May 2026"/>
    <m/>
    <x v="2"/>
    <m/>
    <n v="0.7"/>
    <s v="POST"/>
    <m/>
    <m/>
    <s v="NO"/>
    <x v="0"/>
    <s v=""/>
    <n v="0.7"/>
    <s v=""/>
    <s v=""/>
    <m/>
    <m/>
    <m/>
    <m/>
    <m/>
    <m/>
    <m/>
    <n v="25"/>
    <n v="0.1"/>
    <n v="200"/>
    <m/>
    <x v="5"/>
    <n v="0.9"/>
    <n v="1"/>
    <n v="24"/>
    <n v="8"/>
    <n v="192"/>
    <x v="0"/>
    <x v="1"/>
    <m/>
    <x v="0"/>
    <m/>
  </r>
  <r>
    <s v="M1352"/>
    <n v="3217"/>
    <x v="0"/>
    <s v="2026-T0146"/>
    <m/>
    <s v="Requerimiento de Almacenamiento y consulta del Log de Auditoria de BDUC"/>
    <m/>
    <x v="0"/>
    <s v="Captaciones y Pagaduría"/>
    <s v="Apertura de Cuentas"/>
    <d v="2026-03-27T00:00:00"/>
    <s v="MEMORANDO N° 00000348 -2026-BN/3111"/>
    <m/>
    <m/>
    <x v="0"/>
    <s v="No Aplica"/>
    <m/>
    <x v="0"/>
    <m/>
    <m/>
    <m/>
    <m/>
    <m/>
    <m/>
    <m/>
    <s v="Normal"/>
    <d v="2026-04-07T00:00:00"/>
    <s v="Sistemas Bancarios"/>
    <m/>
    <m/>
    <s v="Junior Quicaño"/>
    <x v="2"/>
    <x v="2"/>
    <x v="0"/>
    <m/>
    <m/>
    <m/>
    <m/>
    <m/>
    <m/>
    <m/>
    <s v=""/>
    <m/>
    <m/>
    <s v=""/>
    <s v="31/03/2026: Se registró en el Backlog._x000a_31/03/2026: Se creo tramite_x000a__x000a__x000a_"/>
    <s v="Operac."/>
    <s v="CaptacionesPagaduría"/>
    <s v="2026-03"/>
    <s v="2026-04"/>
    <s v="No definido"/>
    <x v="0"/>
    <s v="No definido"/>
    <m/>
    <m/>
    <m/>
    <m/>
    <m/>
    <m/>
    <s v="Sin Fechas"/>
    <s v="No Aplica"/>
    <m/>
    <m/>
    <x v="2"/>
    <m/>
    <x v="0"/>
    <m/>
    <m/>
    <s v="Sin Mantenimiento"/>
    <s v="Sin Aplicativo"/>
    <s v="Sin Aplicativo"/>
    <m/>
    <m/>
    <m/>
    <s v=""/>
    <s v="Sin Mantenimiento"/>
    <s v="No definido"/>
    <m/>
    <x v="2"/>
    <m/>
    <n v="0.1"/>
    <s v="POST"/>
    <m/>
    <m/>
    <s v="NO"/>
    <x v="0"/>
    <s v=""/>
    <n v="0.1"/>
    <s v=""/>
    <s v=""/>
    <m/>
    <m/>
    <m/>
    <m/>
    <m/>
    <m/>
    <m/>
    <n v="25"/>
    <n v="0.1"/>
    <n v="200"/>
    <m/>
    <x v="2"/>
    <n v="0.9"/>
    <n v="1"/>
    <n v="24"/>
    <n v="8"/>
    <n v="192"/>
    <x v="0"/>
    <x v="1"/>
    <m/>
    <x v="0"/>
    <m/>
  </r>
  <r>
    <s v="M1353"/>
    <n v="3218"/>
    <x v="0"/>
    <s v="2026-T0147"/>
    <m/>
    <s v="Implementación del RADI en su FASE II para la integración de los sistemas del banco para la comercialización de seguros optativos."/>
    <m/>
    <x v="1"/>
    <m/>
    <m/>
    <d v="2026-03-26T00:00:00"/>
    <s v="MEMORANDO N° 00000024 - 2026-BN3345"/>
    <m/>
    <m/>
    <x v="2"/>
    <s v="No Aplica"/>
    <s v="No aplica"/>
    <x v="0"/>
    <m/>
    <m/>
    <m/>
    <m/>
    <m/>
    <m/>
    <m/>
    <s v="Normal"/>
    <d v="2026-04-07T00:00:00"/>
    <s v="Sistemas Bancarios"/>
    <m/>
    <m/>
    <s v="Milagros Huamani"/>
    <x v="2"/>
    <x v="2"/>
    <x v="0"/>
    <m/>
    <m/>
    <m/>
    <m/>
    <m/>
    <m/>
    <m/>
    <s v=""/>
    <m/>
    <m/>
    <s v=""/>
    <s v="31/03/2026: Se registró en el Backlog._x000a_Lista de prioridad 1_x000a__x000a__x000a__x000a_"/>
    <s v="Productos"/>
    <s v=""/>
    <s v="2026-03"/>
    <s v="2026-04"/>
    <s v="No definido"/>
    <x v="0"/>
    <s v="No definido"/>
    <m/>
    <m/>
    <m/>
    <m/>
    <m/>
    <m/>
    <s v="Sin Fechas"/>
    <s v="No Aplica"/>
    <m/>
    <m/>
    <x v="2"/>
    <m/>
    <x v="0"/>
    <m/>
    <m/>
    <s v="Sin Mantenimiento"/>
    <s v="Sin Aplicativo"/>
    <s v="Sin Aplicativo"/>
    <m/>
    <m/>
    <m/>
    <s v=""/>
    <s v="Sin Mantenimiento"/>
    <s v="No definido"/>
    <m/>
    <x v="2"/>
    <m/>
    <n v="0.1"/>
    <s v="POST"/>
    <m/>
    <m/>
    <s v="NO"/>
    <x v="0"/>
    <s v=""/>
    <n v="0.1"/>
    <s v=""/>
    <s v=""/>
    <m/>
    <m/>
    <m/>
    <m/>
    <m/>
    <m/>
    <m/>
    <n v="25"/>
    <n v="0.1"/>
    <n v="200"/>
    <m/>
    <x v="2"/>
    <n v="0.9"/>
    <n v="1"/>
    <n v="24"/>
    <n v="8"/>
    <n v="192"/>
    <x v="0"/>
    <x v="1"/>
    <m/>
    <x v="0"/>
    <m/>
  </r>
  <r>
    <s v="M1354"/>
    <n v="3219"/>
    <x v="0"/>
    <s v="2026-T0149"/>
    <s v="2026-M0142"/>
    <s v="Limites Operativos en las Cuentas de Partidos Políticos"/>
    <m/>
    <x v="0"/>
    <s v="Captaciones y Pagaduría"/>
    <s v="Administración de Cuentas y Pagaduría"/>
    <d v="2026-03-13T00:00:00"/>
    <s v="MEMORANDO N° 00000660 - 2026-BN3191"/>
    <s v="SATI-Sistema ATI"/>
    <m/>
    <x v="0"/>
    <s v="Cuenta Corriente "/>
    <m/>
    <x v="1"/>
    <m/>
    <m/>
    <m/>
    <m/>
    <m/>
    <m/>
    <m/>
    <s v="Normal"/>
    <d v="2026-04-07T00:00:00"/>
    <s v="Sistemas Bancarios"/>
    <m/>
    <m/>
    <s v="Juan Carlos Zavaleta"/>
    <x v="2"/>
    <x v="2"/>
    <x v="0"/>
    <m/>
    <m/>
    <m/>
    <m/>
    <m/>
    <m/>
    <m/>
    <s v=""/>
    <m/>
    <m/>
    <s v=""/>
    <s v="31/03/2026: Se registró en el Backlog._x000a_01/04/2026: Se creó trámite_x000a__x000a__x000a__x000a__x000a_"/>
    <s v="Operac."/>
    <s v="CaptacionesPagaduría"/>
    <s v="2026-03"/>
    <s v="2026-04"/>
    <s v="No definido"/>
    <x v="0"/>
    <s v="No definido"/>
    <m/>
    <m/>
    <m/>
    <m/>
    <m/>
    <m/>
    <s v="Sin Fechas"/>
    <s v="No Aplica"/>
    <m/>
    <m/>
    <x v="15"/>
    <d v="2026-04-29T11:15:55"/>
    <x v="0"/>
    <m/>
    <m/>
    <s v="Sin Fecha"/>
    <s v="Multired Virtual"/>
    <s v="Canales Virtuales"/>
    <m/>
    <m/>
    <m/>
    <s v=""/>
    <s v="Sin Fecha"/>
    <s v="No definido"/>
    <m/>
    <x v="2"/>
    <m/>
    <n v="0.1"/>
    <s v="POST"/>
    <m/>
    <m/>
    <s v="SI"/>
    <x v="4"/>
    <n v="0.11607142857142858"/>
    <n v="0.1"/>
    <n v="1.607142857142857E-2"/>
    <n v="0.86153846153846159"/>
    <m/>
    <d v="2026-05-04T00:00:00"/>
    <d v="2026-08-17T00:00:00"/>
    <d v="2026-08-18T00:00:00"/>
    <d v="2026-10-05T00:00:00"/>
    <d v="2026-10-06T00:00:00"/>
    <d v="2026-10-12T00:00:00"/>
    <n v="73"/>
    <n v="0.15789473684210525"/>
    <n v="584"/>
    <m/>
    <x v="2"/>
    <n v="0.84210526315789469"/>
    <n v="12"/>
    <n v="61"/>
    <n v="96"/>
    <n v="488"/>
    <x v="7"/>
    <x v="1"/>
    <m/>
    <x v="0"/>
    <m/>
  </r>
  <r>
    <s v="M1355"/>
    <n v="3255"/>
    <x v="0"/>
    <s v="2026-T0150"/>
    <s v="2026-M0156"/>
    <s v="ACTUALIZACIÓN DE FORMATO ACCIÓN DESPLAZAMIENTO DE PERSONA"/>
    <m/>
    <x v="5"/>
    <s v="Administración de Personal"/>
    <s v="Selección de Personal"/>
    <d v="2026-04-01T00:00:00"/>
    <s v="MEMORANDO N° 00000337 - 2026-BN2335"/>
    <s v="OSAI -: Oracle Sistema Administrativo Integrado"/>
    <m/>
    <x v="2"/>
    <s v="No Aplica"/>
    <m/>
    <x v="1"/>
    <m/>
    <m/>
    <m/>
    <m/>
    <m/>
    <m/>
    <m/>
    <s v="Normal"/>
    <d v="2026-04-07T00:00:00"/>
    <s v="Sistemas Administrativos"/>
    <m/>
    <s v="Emerson Quecara Choquetico"/>
    <s v="Juan Carlos Zavaleta"/>
    <x v="5"/>
    <x v="4"/>
    <x v="0"/>
    <m/>
    <m/>
    <d v="2026-04-17T00:00:00"/>
    <m/>
    <m/>
    <m/>
    <m/>
    <s v=""/>
    <m/>
    <m/>
    <s v=""/>
    <s v="20/04/26: Según CQ, actualizó el estado a 03. En Desarrollo_x000a_01/04/2026: Se registró en el Backlog._x000a_01/04/2026: Se creó tramite_x000a__x000a__x000a__x000a__x000a__x000a_"/>
    <s v="RRHH"/>
    <s v="AdministraciónPersonal"/>
    <s v="2026-04"/>
    <s v="2026-04"/>
    <s v="No definido"/>
    <x v="0"/>
    <s v="No definido"/>
    <m/>
    <m/>
    <m/>
    <m/>
    <m/>
    <m/>
    <s v="Sin Fecha Fin Producción"/>
    <s v="No Aplica"/>
    <m/>
    <s v="Asignada"/>
    <x v="5"/>
    <d v="2026-04-17T16:06:14"/>
    <x v="0"/>
    <m/>
    <m/>
    <s v="Sin Fecha"/>
    <s v="Oracle"/>
    <s v="Otros Requerimientos"/>
    <m/>
    <m/>
    <m/>
    <s v=""/>
    <s v="Sin Fecha"/>
    <s v="No definido"/>
    <m/>
    <x v="2"/>
    <m/>
    <n v="0.15"/>
    <s v="POST"/>
    <m/>
    <m/>
    <s v="SI"/>
    <x v="5"/>
    <n v="0.14583333333333334"/>
    <n v="0.15"/>
    <n v="-4.1666666666666519E-3"/>
    <n v="1.0285714285714285"/>
    <m/>
    <d v="2026-05-12T00:00:00"/>
    <d v="2026-05-26T00:00:00"/>
    <d v="2026-05-27T00:00:00"/>
    <d v="2026-07-10T00:00:00"/>
    <d v="2026-07-11T00:00:00"/>
    <d v="2026-07-18T00:00:00"/>
    <n v="11"/>
    <n v="0.54545454545454541"/>
    <n v="44"/>
    <m/>
    <x v="2"/>
    <n v="0.45454545454545459"/>
    <n v="6"/>
    <n v="5"/>
    <n v="24"/>
    <n v="20"/>
    <x v="10"/>
    <x v="1"/>
    <m/>
    <x v="0"/>
    <m/>
  </r>
  <r>
    <s v="M1356"/>
    <n v="3256"/>
    <x v="0"/>
    <s v="2026-T0151"/>
    <s v="2026-M0157"/>
    <s v="Actualizar Datos primarios de Trabajadores que ingresaron con nueva escala"/>
    <m/>
    <x v="5"/>
    <s v="Administración de Personal"/>
    <s v="Selección de Personal"/>
    <d v="2026-04-01T00:00:00"/>
    <s v="MEMORANDO N° 00000337 - 2026-BN2335"/>
    <s v="OSAI -: Oracle Sistema Administrativo Integrado"/>
    <m/>
    <x v="2"/>
    <s v="No Aplica"/>
    <m/>
    <x v="1"/>
    <m/>
    <m/>
    <m/>
    <m/>
    <m/>
    <m/>
    <m/>
    <s v="Normal"/>
    <d v="2026-04-07T00:00:00"/>
    <s v="Sistemas Administrativos"/>
    <m/>
    <s v="Emerson Quecara Choquetico"/>
    <s v="Juan Carlos Zavaleta"/>
    <x v="5"/>
    <x v="4"/>
    <x v="0"/>
    <m/>
    <m/>
    <d v="2026-04-17T00:00:00"/>
    <m/>
    <m/>
    <m/>
    <m/>
    <s v=""/>
    <m/>
    <m/>
    <s v=""/>
    <s v="20/04/26: Según CQ, actualizó el estado a 03. En Desarrollo_x000a_01/04/2026: Se registró en el Backlog._x000a_06/04/2026: Se creó tramite_x000a__x000a__x000a__x000a__x000a__x000a_"/>
    <s v="RRHH"/>
    <s v="AdministraciónPersonal"/>
    <s v="2026-04"/>
    <s v="2026-04"/>
    <s v="No definido"/>
    <x v="0"/>
    <s v="No definido"/>
    <m/>
    <m/>
    <m/>
    <m/>
    <m/>
    <m/>
    <s v="Sin Fecha Fin Producción"/>
    <s v="No Aplica"/>
    <m/>
    <s v="Asignada"/>
    <x v="5"/>
    <d v="2026-04-17T16:16:20"/>
    <x v="0"/>
    <m/>
    <m/>
    <s v="Sin Fecha"/>
    <s v="Oracle"/>
    <s v="Otros Requerimientos"/>
    <m/>
    <m/>
    <m/>
    <s v=""/>
    <s v="Sin Fecha"/>
    <s v="No definido"/>
    <m/>
    <x v="2"/>
    <m/>
    <n v="0.15"/>
    <s v="POST"/>
    <m/>
    <m/>
    <s v="SI"/>
    <x v="5"/>
    <n v="0"/>
    <n v="0.15"/>
    <n v="-0.15"/>
    <s v=""/>
    <m/>
    <d v="2026-05-27T00:00:00"/>
    <d v="2026-06-10T00:00:00"/>
    <d v="2026-06-11T00:00:00"/>
    <d v="2026-07-23T00:00:00"/>
    <d v="2026-07-24T00:00:00"/>
    <d v="2026-08-03T00:00:00"/>
    <n v="11"/>
    <n v="0"/>
    <n v="44"/>
    <m/>
    <x v="2"/>
    <n v="1"/>
    <n v="0"/>
    <n v="11"/>
    <n v="0"/>
    <n v="44"/>
    <x v="5"/>
    <x v="1"/>
    <m/>
    <x v="0"/>
    <m/>
  </r>
  <r>
    <s v="M1357"/>
    <n v="3257"/>
    <x v="0"/>
    <s v="2026-T0152"/>
    <s v="2026-M0158"/>
    <s v="Restablecer Grilla en Oracle (ADP)"/>
    <m/>
    <x v="5"/>
    <s v="Administración de Personal"/>
    <s v="Selección de Personal"/>
    <d v="2026-04-01T00:00:00"/>
    <s v="MEMORANDO N° 00000337 - 2026-BN2335"/>
    <s v="OSAI -: Oracle Sistema Administrativo Integrado"/>
    <m/>
    <x v="2"/>
    <s v="No Aplica"/>
    <m/>
    <x v="1"/>
    <m/>
    <m/>
    <m/>
    <m/>
    <m/>
    <m/>
    <m/>
    <s v="Normal"/>
    <d v="2026-04-07T00:00:00"/>
    <s v="Sistemas Administrativos"/>
    <m/>
    <s v="Emerson Quecara Choquetico"/>
    <s v="Juan Carlos Zavaleta"/>
    <x v="7"/>
    <x v="4"/>
    <x v="0"/>
    <m/>
    <m/>
    <d v="2026-04-17T00:00:00"/>
    <d v="2026-05-07T00:00:00"/>
    <m/>
    <d v="2026-05-14T00:00:00"/>
    <m/>
    <d v="2026-05-15T00:00:00"/>
    <m/>
    <m/>
    <d v="2026-05-22T00:00:00"/>
    <s v="18/05/26: Según CQ, actualizó el estado a 05. En Calidad_x000a_08/05/26: Según CQ, actualizó el estado a 04. Desarrollo Finalizado_x000a_20/04/26: Según CQ, actualizó el estado a 03. En Desarrollo_x000a_01/04/2026: Se registró en el Backlog._x000a_06/04/2026: Se creó tramite_x000a__x000a__x000a__x000a__x000a__x000a_"/>
    <s v="RRHH"/>
    <s v="AdministraciónPersonal"/>
    <s v="2026-04"/>
    <s v="2026-04"/>
    <s v="2026-05"/>
    <x v="0"/>
    <s v="2026-05"/>
    <m/>
    <m/>
    <m/>
    <m/>
    <m/>
    <m/>
    <s v="Sin Fecha Fin Producción"/>
    <s v="No Aplica"/>
    <m/>
    <s v="Finalizada"/>
    <x v="11"/>
    <d v="2026-05-14T14:57:41"/>
    <x v="0"/>
    <m/>
    <m/>
    <s v="2026-Q2"/>
    <s v="Oracle"/>
    <s v="Otros Requerimientos"/>
    <m/>
    <m/>
    <m/>
    <d v="2026-05-22T00:00:00"/>
    <s v="2026-2"/>
    <s v="May 2026"/>
    <m/>
    <x v="2"/>
    <m/>
    <n v="0.7"/>
    <s v="POST"/>
    <m/>
    <m/>
    <s v="SI"/>
    <x v="5"/>
    <n v="0.33333333333333331"/>
    <n v="0.7"/>
    <n v="-0.36666666666666664"/>
    <n v="1.2"/>
    <m/>
    <d v="2026-04-27T00:00:00"/>
    <d v="2026-05-11T00:00:00"/>
    <d v="2026-05-12T00:00:00"/>
    <d v="2026-06-26T00:00:00"/>
    <d v="2026-06-27T00:00:00"/>
    <d v="2026-07-08T00:00:00"/>
    <n v="10"/>
    <n v="1"/>
    <n v="200"/>
    <m/>
    <x v="5"/>
    <n v="0"/>
    <n v="10"/>
    <n v="0"/>
    <n v="80"/>
    <n v="0"/>
    <x v="10"/>
    <x v="1"/>
    <m/>
    <x v="0"/>
    <m/>
  </r>
  <r>
    <s v="M1358"/>
    <n v="3260"/>
    <x v="0"/>
    <s v="2026-T0155"/>
    <s v="2026-M0140"/>
    <s v="Migración de Datos Hacia Big Data-Hito 1 Productos pasivos"/>
    <m/>
    <x v="10"/>
    <s v="Datos y Analítica Avanzada"/>
    <m/>
    <d v="2026-03-30T00:00:00"/>
    <s v="MEMORANDO N° 00000015 - 2026-BN/7820"/>
    <s v="BNDA-Data Analítica BN"/>
    <m/>
    <x v="1"/>
    <s v="Cuenta Corriente "/>
    <s v="Cuenta de Ahorros"/>
    <x v="0"/>
    <m/>
    <m/>
    <m/>
    <m/>
    <m/>
    <m/>
    <m/>
    <s v="Normal"/>
    <d v="2026-04-07T00:00:00"/>
    <s v="Sistemas Administrativos"/>
    <m/>
    <s v="Luis Enrique Almeyda Pachas"/>
    <s v="Maria Barboza"/>
    <x v="7"/>
    <x v="4"/>
    <x v="0"/>
    <m/>
    <m/>
    <d v="2026-04-07T00:00:00"/>
    <d v="2026-04-24T00:00:00"/>
    <m/>
    <d v="2026-05-08T00:00:00"/>
    <m/>
    <d v="2026-04-30T19:12:00"/>
    <m/>
    <m/>
    <d v="2026-05-07T19:12:00"/>
    <s v="12/05/26: Según CQ, actualizó el estado a 05. En Calidad_x000a_13/04/26: Según CQ, actualizó el estado a 03. En Desarrollo_x000a_07/04/2026: Se registró en el Backlog._x000a_07/04/2026: Se creó tramite_x000a__x000a__x000a__x000a__x000a__x000a_"/>
    <s v="Innovación"/>
    <s v=""/>
    <s v="2026-03"/>
    <s v="2026-04"/>
    <s v="2026-04"/>
    <x v="0"/>
    <s v="2026-05"/>
    <m/>
    <m/>
    <m/>
    <m/>
    <m/>
    <m/>
    <s v="Sin Fecha Fin Producción"/>
    <s v="No Aplica"/>
    <m/>
    <s v="Finalizada"/>
    <x v="17"/>
    <d v="2026-05-11T17:04:11"/>
    <x v="0"/>
    <m/>
    <m/>
    <s v="Vencida"/>
    <s v="BackOffice"/>
    <s v="Otros Requerimientos"/>
    <m/>
    <m/>
    <m/>
    <s v=""/>
    <s v="Sin Fecha"/>
    <s v="No definido"/>
    <m/>
    <x v="2"/>
    <m/>
    <n v="0.7"/>
    <s v="POST"/>
    <m/>
    <m/>
    <s v="SI"/>
    <x v="2"/>
    <n v="0.95"/>
    <n v="0.9"/>
    <s v="=SI(_x000a_   O(_x000a_     [@[Estado TI]]=&quot;09. Descartado&quot;;_x000a_     [@[Comienzo Desarrollo]]=&quot;&quot;;_x000a_     [@[Fin Producción]]=&quot;&quot;_x000a_   );_x000a_   &quot;&quot;;_x000a_   [@[% PLANIFICADO]][@[% COMPLETADO]]_x000a_)"/>
    <n v="0.94736842105263164"/>
    <m/>
    <d v="2026-03-02T00:00:00"/>
    <d v="2026-04-30T00:00:00"/>
    <d v="2026-05-04T00:00:00"/>
    <d v="2026-05-08T00:00:00"/>
    <d v="2026-05-11T00:00:00"/>
    <d v="2026-05-15T00:00:00"/>
    <n v="44"/>
    <n v="1"/>
    <n v="200"/>
    <m/>
    <x v="5"/>
    <n v="0"/>
    <n v="44"/>
    <n v="0"/>
    <n v="352"/>
    <n v="0"/>
    <x v="8"/>
    <x v="1"/>
    <m/>
    <x v="0"/>
    <m/>
  </r>
  <r>
    <s v="M0580"/>
    <n v="2361"/>
    <x v="0"/>
    <s v="2024-T0310"/>
    <s v="2024-M0268"/>
    <s v="MN:Generación de Reporte Crediticio Deudor y Anexos SBS, meses Mayo, Junio, Julio y Agosto 2024"/>
    <m/>
    <x v="8"/>
    <s v="Construcción de Aplicaciones"/>
    <s v="Sistemas Bancarios"/>
    <d v="2024-08-14T00:00:00"/>
    <s v="Correo s/n"/>
    <s v="COBD-Contabilidad-RCD"/>
    <m/>
    <x v="14"/>
    <s v="No Aplica"/>
    <s v="Servicios Bancarios Diversos "/>
    <x v="2"/>
    <s v="Normativo"/>
    <s v="SBS"/>
    <m/>
    <m/>
    <m/>
    <m/>
    <m/>
    <s v="Regularizado"/>
    <d v="2024-08-29T00:00:00"/>
    <s v="Sistemas Bancarios"/>
    <s v="FS-Indra"/>
    <s v="Javier Baltazar Urquiaga Salazar"/>
    <s v="Tomas Calvera"/>
    <x v="0"/>
    <x v="0"/>
    <x v="0"/>
    <m/>
    <m/>
    <d v="2025-12-22T00:00:00"/>
    <m/>
    <m/>
    <m/>
    <m/>
    <s v=""/>
    <m/>
    <m/>
    <s v=""/>
    <s v="04/02/2026: Cartera reasignada a Tomas Calvera_x000a_18/12/25: Según CQ, actualizó el estado a 03. En Desarroll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Omar Sarmiento_x000a_11/08/2025: Cartera reasignada a Percy Silva_x000a_14/03/2025: Maribel M. indicó que está a la espera de la confirmación del usuario para poder cerrar el mantenimiento en el CQ_x000a_23/01/2025 Cartera reasignada a Milagros Huamaní_x000a_13/08/24 Requerimiento se viene atendiendo por Construcción."/>
    <s v="TI"/>
    <s v="ConstrucciónAplicaciones"/>
    <s v="2024-08"/>
    <s v="2024-08"/>
    <s v="No definido"/>
    <x v="0"/>
    <s v="No definido"/>
    <m/>
    <m/>
    <m/>
    <m/>
    <m/>
    <m/>
    <s v="Sin Fecha Fin Producción"/>
    <s v="No Aplica"/>
    <m/>
    <s v="Finalizada"/>
    <x v="10"/>
    <d v="2026-02-27T08:18:01"/>
    <x v="0"/>
    <m/>
    <m/>
    <s v="Sin Fecha"/>
    <s v="BackOffice"/>
    <s v="Otros Requerimientos"/>
    <m/>
    <m/>
    <m/>
    <s v=""/>
    <s v="Sin Fecha"/>
    <s v="No definido"/>
    <m/>
    <x v="0"/>
    <m/>
    <n v="-0.01"/>
    <s v="POST"/>
    <m/>
    <m/>
    <s v="No aplica"/>
    <x v="0"/>
    <n v="0.96250000000000002"/>
    <n v="-0.01"/>
    <s v=""/>
    <s v=""/>
    <m/>
    <d v="2026-02-02T00:00:00"/>
    <d v="2026-02-06T00:00:00"/>
    <d v="2026-02-10T00:00:00"/>
    <d v="2026-02-20T00:00:00"/>
    <d v="2026-02-22T00:00:00"/>
    <d v="2026-05-25T00:00:00"/>
    <n v="5"/>
    <n v="1"/>
    <n v="40"/>
    <m/>
    <x v="0"/>
    <n v="0"/>
    <n v="5"/>
    <n v="0"/>
    <n v="40"/>
    <n v="0"/>
    <x v="8"/>
    <x v="0"/>
    <m/>
    <x v="0"/>
    <m/>
  </r>
  <r>
    <s v="M1359"/>
    <n v="3266"/>
    <x v="0"/>
    <s v="2026-T0173"/>
    <s v="2026-M0167"/>
    <s v="Desarrollo de Vulnerabilidades de  SARE  INTERNET"/>
    <m/>
    <x v="10"/>
    <m/>
    <m/>
    <d v="2026-04-17T00:00:00"/>
    <s v="MEMORANDO N° 00000055 - 2026-BN/7840"/>
    <s v="SARE_Atención de Reclamos"/>
    <m/>
    <x v="1"/>
    <s v="No Aplica"/>
    <m/>
    <x v="2"/>
    <m/>
    <m/>
    <m/>
    <m/>
    <m/>
    <m/>
    <m/>
    <s v="Normal"/>
    <d v="2026-05-05T00:00:00"/>
    <s v="Sistemas Administrativos"/>
    <m/>
    <s v="Dayna Evelin Ribbeck Rivera"/>
    <s v="Maria Barboza"/>
    <x v="5"/>
    <x v="4"/>
    <x v="0"/>
    <m/>
    <m/>
    <d v="2026-04-24T00:00:00"/>
    <m/>
    <m/>
    <m/>
    <m/>
    <s v=""/>
    <m/>
    <m/>
    <s v=""/>
    <s v="19/05/26: Según CQ, actualizó el estado a 03. En Desarrollo_x000a_22/04/2026: Se registró en el Backlog._x000a_22/04/2026: Se creó tramite_x000a__x000a__x000a__x000a__x000a__x000a__x000a_"/>
    <s v="Innovación"/>
    <s v=""/>
    <s v="2026-04"/>
    <s v="2026-05"/>
    <s v="No definido"/>
    <x v="0"/>
    <s v="No definido"/>
    <m/>
    <m/>
    <m/>
    <m/>
    <m/>
    <m/>
    <s v="Sin Fecha Fin Producción"/>
    <s v="No Aplica"/>
    <m/>
    <s v="Iniciada"/>
    <x v="5"/>
    <d v="2026-04-24T17:18:23"/>
    <x v="0"/>
    <m/>
    <m/>
    <s v="Sin Fecha"/>
    <s v="BackOffice"/>
    <s v="Otros Requerimientos"/>
    <m/>
    <m/>
    <m/>
    <s v=""/>
    <s v="Sin Fecha"/>
    <s v="No definido"/>
    <m/>
    <x v="2"/>
    <m/>
    <n v="0.25"/>
    <s v="POST"/>
    <m/>
    <m/>
    <s v="NO"/>
    <x v="0"/>
    <s v=""/>
    <n v="0.25"/>
    <s v=""/>
    <s v=""/>
    <m/>
    <m/>
    <m/>
    <m/>
    <m/>
    <m/>
    <m/>
    <n v="25"/>
    <n v="0.1"/>
    <n v="200"/>
    <m/>
    <x v="2"/>
    <n v="0.9"/>
    <n v="1"/>
    <n v="24"/>
    <n v="8"/>
    <n v="192"/>
    <x v="0"/>
    <x v="2"/>
    <m/>
    <x v="0"/>
    <m/>
  </r>
  <r>
    <s v="M1360"/>
    <n v="3267"/>
    <x v="0"/>
    <s v="2026-T0176"/>
    <s v="2026-M0168"/>
    <s v="Agregar especificaciones normativas en el SARE y actualizaciones  (Libro de Reclamaciones)"/>
    <m/>
    <x v="10"/>
    <m/>
    <m/>
    <d v="2026-04-17T00:00:00"/>
    <s v="MEMORANDO N° 00000059 - 2026-BN/7840"/>
    <s v="SARE_Atención de Reclamos"/>
    <m/>
    <x v="1"/>
    <s v="No Aplica"/>
    <m/>
    <x v="2"/>
    <m/>
    <m/>
    <m/>
    <m/>
    <m/>
    <m/>
    <m/>
    <s v="Normal"/>
    <d v="2026-05-05T00:00:00"/>
    <s v="Sistemas Administrativos"/>
    <m/>
    <s v="Dayna Evelin Ribbeck Rivera"/>
    <s v="Maria Barboza"/>
    <x v="5"/>
    <x v="4"/>
    <x v="0"/>
    <m/>
    <m/>
    <d v="2026-04-24T00:00:00"/>
    <m/>
    <m/>
    <m/>
    <m/>
    <s v=""/>
    <m/>
    <m/>
    <s v=""/>
    <s v="19/05/26: Según CQ, actualizó el estado a 03. En Desarrollo_x000a_22/04/2026: Se registró en el Backlog._x000a_22/04/2026: Se creó tramite_x000a__x000a__x000a__x000a__x000a__x000a__x000a_"/>
    <s v="Innovación"/>
    <s v=""/>
    <s v="2026-04"/>
    <s v="2026-05"/>
    <s v="No definido"/>
    <x v="0"/>
    <s v="No definido"/>
    <m/>
    <m/>
    <m/>
    <m/>
    <m/>
    <m/>
    <s v="Sin Fecha Fin Producción"/>
    <s v="No Aplica"/>
    <m/>
    <s v="Iniciada"/>
    <x v="5"/>
    <d v="2026-04-24T17:21:35"/>
    <x v="0"/>
    <m/>
    <m/>
    <s v="Sin Fecha"/>
    <s v="BackOffice"/>
    <s v="Otros Requerimientos"/>
    <m/>
    <m/>
    <m/>
    <s v=""/>
    <s v="Sin Fecha"/>
    <s v="No definido"/>
    <m/>
    <x v="2"/>
    <m/>
    <n v="0.25"/>
    <s v="POST"/>
    <m/>
    <m/>
    <s v="NO"/>
    <x v="0"/>
    <s v=""/>
    <n v="0.25"/>
    <s v=""/>
    <s v=""/>
    <m/>
    <m/>
    <m/>
    <m/>
    <m/>
    <m/>
    <m/>
    <n v="25"/>
    <n v="0.1"/>
    <n v="200"/>
    <m/>
    <x v="2"/>
    <n v="0.9"/>
    <n v="1"/>
    <n v="24"/>
    <n v="8"/>
    <n v="192"/>
    <x v="0"/>
    <x v="2"/>
    <m/>
    <x v="0"/>
    <m/>
  </r>
  <r>
    <s v="M1361"/>
    <n v="3268"/>
    <x v="0"/>
    <s v="2026-T0174"/>
    <s v="2026-M0165"/>
    <s v="Mensajería Swift MT940 y MT950"/>
    <m/>
    <x v="0"/>
    <s v="Caja y Valores"/>
    <s v="Soporte Mesa de Dinero"/>
    <d v="2026-04-21T00:00:00"/>
    <s v="MEMORANDO N° 00000018 -2026-BN/3216"/>
    <s v="SCIT_Sistema Cambios Inversiones Tesoreria"/>
    <m/>
    <x v="0"/>
    <m/>
    <m/>
    <x v="0"/>
    <m/>
    <m/>
    <m/>
    <m/>
    <m/>
    <m/>
    <m/>
    <s v="Normal"/>
    <d v="2026-05-05T00:00:00"/>
    <s v="Sistemas Administrativos"/>
    <m/>
    <s v="Jorge Mora Ruelas"/>
    <s v="Junior Quicaño"/>
    <x v="7"/>
    <x v="4"/>
    <x v="0"/>
    <m/>
    <m/>
    <d v="2026-04-23T00:00:00"/>
    <d v="2026-04-30T00:00:00"/>
    <m/>
    <d v="2026-05-08T00:00:00"/>
    <m/>
    <d v="2026-05-02T19:12:00"/>
    <m/>
    <m/>
    <d v="2026-05-09T19:12:00"/>
    <s v="19/05/26: Según CQ, actualizó el estado a 05. En Calidad_x000a_22/04/2026: Se registró en el Backlog._x000a_22/04/2026: Se creó tramite_x000a__x000a__x000a__x000a__x000a__x000a__x000a_"/>
    <s v="Operac."/>
    <s v="CajaValores"/>
    <s v="2026-04"/>
    <s v="2026-05"/>
    <s v="2026-04"/>
    <x v="0"/>
    <s v="2026-05"/>
    <m/>
    <m/>
    <m/>
    <m/>
    <m/>
    <m/>
    <s v="Sin Fecha Fin Producción"/>
    <s v="No Aplica"/>
    <m/>
    <s v="Finalizada"/>
    <x v="11"/>
    <d v="2026-05-14T17:23:47"/>
    <x v="0"/>
    <m/>
    <m/>
    <s v="Vencida"/>
    <s v="Sin Aplicativo"/>
    <s v="Sin Aplicativo"/>
    <m/>
    <m/>
    <m/>
    <s v=""/>
    <s v="Sin Fecha"/>
    <s v="No definido"/>
    <m/>
    <x v="2"/>
    <m/>
    <n v="0.7"/>
    <s v="POST"/>
    <m/>
    <m/>
    <s v="NO"/>
    <x v="0"/>
    <s v=""/>
    <n v="0.7"/>
    <s v=""/>
    <s v=""/>
    <m/>
    <m/>
    <m/>
    <m/>
    <m/>
    <m/>
    <m/>
    <n v="25"/>
    <n v="0.1"/>
    <n v="200"/>
    <m/>
    <x v="5"/>
    <n v="0.9"/>
    <n v="1"/>
    <n v="24"/>
    <n v="8"/>
    <n v="192"/>
    <x v="0"/>
    <x v="2"/>
    <m/>
    <x v="0"/>
    <m/>
  </r>
  <r>
    <s v="M1362"/>
    <n v="3308"/>
    <x v="0"/>
    <s v="2026-T0095"/>
    <m/>
    <s v="DNI (ANVERSO Y REVERSO) EN APLICATIVO FACTORING BN"/>
    <m/>
    <x v="1"/>
    <s v="Desarrollo Comercial y Proyectos"/>
    <m/>
    <d v="2026-03-09T00:00:00"/>
    <s v="MEMORANDO N° 00000004 - 2026-BN/8403"/>
    <m/>
    <m/>
    <x v="1"/>
    <m/>
    <m/>
    <x v="1"/>
    <m/>
    <m/>
    <m/>
    <m/>
    <m/>
    <m/>
    <m/>
    <s v="Normal"/>
    <d v="2026-05-05T00:00:00"/>
    <s v="Sistemas Administrativos"/>
    <m/>
    <m/>
    <s v="Milagros Huamani"/>
    <x v="2"/>
    <x v="2"/>
    <x v="0"/>
    <m/>
    <m/>
    <m/>
    <m/>
    <m/>
    <m/>
    <m/>
    <s v=""/>
    <m/>
    <m/>
    <s v=""/>
    <s v="6/05/2026: Se registró en el Backlog._x000a_6/05/2026: Se creo Trámite_x000a_Analista: David Coca"/>
    <s v="Productos"/>
    <s v="ComercialProyectos"/>
    <s v="2026-03"/>
    <s v="2026-05"/>
    <s v="No definido"/>
    <x v="0"/>
    <s v="No definido"/>
    <m/>
    <m/>
    <m/>
    <m/>
    <m/>
    <m/>
    <s v="Sin Fechas"/>
    <s v="No Aplica"/>
    <m/>
    <m/>
    <x v="2"/>
    <m/>
    <x v="0"/>
    <m/>
    <m/>
    <s v="Sin Mantenimiento"/>
    <s v="Sin Aplicativo"/>
    <s v="Sin Aplicativo"/>
    <m/>
    <m/>
    <m/>
    <s v=""/>
    <s v="Sin Mantenimiento"/>
    <s v="No definido"/>
    <m/>
    <x v="2"/>
    <m/>
    <n v="0.1"/>
    <s v="POST"/>
    <m/>
    <m/>
    <s v="NO"/>
    <x v="0"/>
    <s v=""/>
    <n v="0.1"/>
    <s v=""/>
    <s v=""/>
    <m/>
    <m/>
    <m/>
    <m/>
    <m/>
    <m/>
    <m/>
    <n v="25"/>
    <n v="0.1"/>
    <n v="200"/>
    <m/>
    <x v="2"/>
    <n v="0.9"/>
    <n v="1"/>
    <n v="24"/>
    <n v="8"/>
    <n v="192"/>
    <x v="0"/>
    <x v="2"/>
    <m/>
    <x v="0"/>
    <m/>
  </r>
  <r>
    <s v="M1363"/>
    <n v="3309"/>
    <x v="0"/>
    <s v="2026-T0008"/>
    <s v="2026-M0011"/>
    <s v="ANEXO_2_IN_PROCESOBATCH"/>
    <m/>
    <x v="8"/>
    <s v="Construcción de Aplicaciones"/>
    <s v="Soluciones Digitales"/>
    <m/>
    <m/>
    <s v="SABM - Sistema Atencion Banca Movil"/>
    <m/>
    <x v="8"/>
    <s v="No Aplica"/>
    <s v="No aplica"/>
    <x v="0"/>
    <m/>
    <m/>
    <m/>
    <m/>
    <m/>
    <m/>
    <m/>
    <s v="Regularizado"/>
    <d v="2026-05-05T00:00:00"/>
    <s v="Soluciones Digitales"/>
    <m/>
    <s v="Juan Carlos Cordova Inga"/>
    <s v="Tomas Calvera"/>
    <x v="7"/>
    <x v="4"/>
    <x v="0"/>
    <m/>
    <m/>
    <d v="2026-01-05T00:00:00"/>
    <d v="2026-04-22T00:00:00"/>
    <m/>
    <d v="2026-05-06T00:00:00"/>
    <m/>
    <d v="2026-06-03T19:12:00"/>
    <m/>
    <m/>
    <d v="2026-06-10T19:12:00"/>
    <s v="19/05/26: Según CQ, actualizó el estado a 05. En Calidad_x000a_06/05/26: Se regularizó su registró en el Backlog."/>
    <s v="TI"/>
    <s v="ConstrucciónAplicaciones"/>
    <s v="No definido"/>
    <s v="2026-05"/>
    <s v="2026-04"/>
    <x v="0"/>
    <s v="2026-06"/>
    <m/>
    <m/>
    <m/>
    <m/>
    <m/>
    <m/>
    <s v="Sin Fecha Fin Producción"/>
    <s v="No Aplica"/>
    <m/>
    <s v="Finalizada"/>
    <x v="11"/>
    <d v="2026-05-06T14:54:11"/>
    <x v="0"/>
    <m/>
    <m/>
    <s v="2026-Q2"/>
    <s v="Banca Movil"/>
    <s v="Canales Virtuales"/>
    <m/>
    <m/>
    <m/>
    <d v="2026-06-10T19:12:00"/>
    <s v="2026-2"/>
    <s v="Jun 2026"/>
    <m/>
    <x v="2"/>
    <m/>
    <n v="0.7"/>
    <s v="POST"/>
    <m/>
    <m/>
    <s v="NO"/>
    <x v="0"/>
    <s v=""/>
    <n v="0.7"/>
    <s v=""/>
    <s v=""/>
    <m/>
    <m/>
    <m/>
    <m/>
    <m/>
    <m/>
    <m/>
    <n v="25"/>
    <n v="0.1"/>
    <n v="200"/>
    <m/>
    <x v="5"/>
    <n v="0.9"/>
    <n v="1"/>
    <n v="24"/>
    <n v="8"/>
    <n v="192"/>
    <x v="0"/>
    <x v="2"/>
    <m/>
    <x v="0"/>
    <m/>
  </r>
  <r>
    <s v="M1364"/>
    <n v="3310"/>
    <x v="0"/>
    <s v="2026-T0054"/>
    <s v="2026-M0052"/>
    <s v="ME: IMPLEMENTACIÓN DE NUEVA ESCALA SALARIAL EN LOS SISTEMAS DE RECURSOS HUMANOS - ENTORNO HOST - ADP"/>
    <m/>
    <x v="5"/>
    <s v="Administración de Personal"/>
    <s v="Registro de Personal"/>
    <m/>
    <m/>
    <s v="RHDL- Recursos humanos datos laborale"/>
    <m/>
    <x v="1"/>
    <s v="No Aplica"/>
    <s v="No aplica"/>
    <x v="0"/>
    <m/>
    <m/>
    <m/>
    <m/>
    <m/>
    <m/>
    <m/>
    <s v="Regularizado"/>
    <d v="2026-05-05T00:00:00"/>
    <s v="Sistemas Administrativos"/>
    <m/>
    <s v="Walter Tito Valencia"/>
    <s v="Juan Carlos Zavaleta"/>
    <x v="1"/>
    <x v="1"/>
    <x v="0"/>
    <m/>
    <m/>
    <d v="2026-01-30T00:00:00"/>
    <d v="2026-02-05T00:00:00"/>
    <m/>
    <d v="2026-02-10T00:00:00"/>
    <d v="2026-02-10T00:00:00"/>
    <d v="2026-02-07T09:36:00"/>
    <d v="2026-02-17T00:00:00"/>
    <d v="2026-02-17T00:00:00"/>
    <d v="2026-02-14T09:36:00"/>
    <s v="19/05/26: Según CQ, actualizó el estado a 08. Producción Finalizada_x000a_06/05/26: Se regularizó su registró en el Backlog."/>
    <s v="RRHH"/>
    <s v="AdministraciónPersonal"/>
    <s v="No definido"/>
    <s v="2026-05"/>
    <s v="2026-02"/>
    <x v="3"/>
    <s v="2026-02"/>
    <m/>
    <m/>
    <m/>
    <m/>
    <m/>
    <m/>
    <n v="18"/>
    <n v="0.6"/>
    <m/>
    <s v="Finalizada"/>
    <x v="1"/>
    <d v="2026-02-17T16:13:45"/>
    <x v="0"/>
    <m/>
    <m/>
    <s v="Culminado"/>
    <s v="BackOffice"/>
    <s v="Otros Requerimientos"/>
    <m/>
    <m/>
    <m/>
    <d v="2026-02-17T00:00:00"/>
    <s v="Culminado"/>
    <s v="Feb 2026"/>
    <m/>
    <x v="1"/>
    <m/>
    <n v="1"/>
    <s v="POST"/>
    <m/>
    <m/>
    <s v="No aplica"/>
    <x v="1"/>
    <n v="1"/>
    <n v="1"/>
    <s v=""/>
    <s v=""/>
    <m/>
    <m/>
    <m/>
    <m/>
    <m/>
    <m/>
    <m/>
    <n v="25"/>
    <n v="0.1"/>
    <n v="200"/>
    <m/>
    <x v="1"/>
    <n v="0.9"/>
    <n v="1"/>
    <n v="24"/>
    <n v="8"/>
    <n v="192"/>
    <x v="0"/>
    <x v="2"/>
    <m/>
    <x v="0"/>
    <m/>
  </r>
  <r>
    <s v="M1365"/>
    <n v="3311"/>
    <x v="0"/>
    <s v="2026-T0074"/>
    <s v="2026-M0072"/>
    <s v="ME: CONTROLES PARA EL PROCESO DE COBRANZA AUTOMÁTICA DE PRÉSTAMO MULTIRED - AHORROS"/>
    <m/>
    <x v="1"/>
    <s v="Banca Personal"/>
    <s v="Préstamo Multired"/>
    <m/>
    <s v="MEMORANDO N° 00000165 - 2025-BN/3347"/>
    <s v="DPAH- Deposito de Ahorros MN"/>
    <m/>
    <x v="1"/>
    <s v="Préstamos Multired "/>
    <s v="No aplica"/>
    <x v="0"/>
    <m/>
    <m/>
    <m/>
    <m/>
    <m/>
    <m/>
    <m/>
    <s v="Regularizado"/>
    <d v="2026-05-05T00:00:00"/>
    <s v="Sistemas Bancarios"/>
    <m/>
    <s v="Norma Fukunaga Fuentes"/>
    <s v="Milagros Huamani"/>
    <x v="5"/>
    <x v="4"/>
    <x v="0"/>
    <m/>
    <m/>
    <d v="2026-02-10T00:00:00"/>
    <m/>
    <m/>
    <m/>
    <m/>
    <s v=""/>
    <m/>
    <m/>
    <s v=""/>
    <s v="19/05/26: Según CQ, actualizó el estado a 03. En Desarrollo_x000a_06/05/26: Se regularizó su registró en el Backlog."/>
    <s v="Productos"/>
    <s v="BancaPersonal"/>
    <s v="No definido"/>
    <s v="2026-05"/>
    <s v="No definido"/>
    <x v="0"/>
    <s v="No definido"/>
    <m/>
    <m/>
    <m/>
    <m/>
    <m/>
    <m/>
    <s v="Sin Fecha Fin Producción"/>
    <s v="No Aplica"/>
    <m/>
    <s v="Asignada"/>
    <x v="5"/>
    <d v="2026-02-10T14:46:18"/>
    <x v="0"/>
    <m/>
    <m/>
    <s v="Sin Fecha"/>
    <s v="BackOffice"/>
    <s v="Otros Requerimientos"/>
    <m/>
    <m/>
    <m/>
    <s v=""/>
    <s v="Sin Fecha"/>
    <s v="No definido"/>
    <m/>
    <x v="2"/>
    <m/>
    <n v="0.15"/>
    <s v="POST"/>
    <m/>
    <m/>
    <s v="NO"/>
    <x v="0"/>
    <s v=""/>
    <n v="0.15"/>
    <s v=""/>
    <s v=""/>
    <m/>
    <m/>
    <m/>
    <m/>
    <m/>
    <m/>
    <m/>
    <n v="25"/>
    <n v="0.1"/>
    <n v="200"/>
    <m/>
    <x v="2"/>
    <n v="0.9"/>
    <n v="1"/>
    <n v="24"/>
    <n v="8"/>
    <n v="192"/>
    <x v="0"/>
    <x v="2"/>
    <m/>
    <x v="0"/>
    <m/>
  </r>
  <r>
    <s v="M1366"/>
    <n v="3312"/>
    <x v="0"/>
    <s v="2025-T0888"/>
    <s v="2025-M0755"/>
    <s v="SOPORTE PARA LA INTEGRACION DE LOS CAJEROS MULTIFUNCIONALES Y REPORTES DE CONCILIACION VISA"/>
    <m/>
    <x v="8"/>
    <s v="Construcción de Aplicaciones"/>
    <s v="Sistemas Bancarios"/>
    <m/>
    <m/>
    <s v="INCA - Interfaz Cajeros automaticos"/>
    <m/>
    <x v="5"/>
    <s v="No Aplica"/>
    <s v="No aplica"/>
    <x v="0"/>
    <m/>
    <m/>
    <m/>
    <m/>
    <m/>
    <m/>
    <m/>
    <s v="Regularizado"/>
    <d v="2026-05-05T00:00:00"/>
    <s v="Sistemas Bancarios"/>
    <m/>
    <s v="Vladimir Ronald Cajavilca Cajavilca"/>
    <s v="Tomas Calvera"/>
    <x v="5"/>
    <x v="4"/>
    <x v="0"/>
    <m/>
    <m/>
    <d v="2025-12-01T00:00:00"/>
    <m/>
    <m/>
    <m/>
    <m/>
    <s v=""/>
    <m/>
    <m/>
    <s v=""/>
    <s v="19/05/26: Según CQ, actualizó el estado a 03. En Desarrollo_x000a_06/05/26: Se regularizó su registró en el Backlog."/>
    <s v="TI"/>
    <s v="ConstrucciónAplicaciones"/>
    <s v="No definido"/>
    <s v="2026-05"/>
    <s v="No definido"/>
    <x v="0"/>
    <s v="No definido"/>
    <m/>
    <m/>
    <m/>
    <m/>
    <m/>
    <m/>
    <s v="Sin Fecha Fin Producción"/>
    <s v="No Aplica"/>
    <m/>
    <s v="Iniciada"/>
    <x v="5"/>
    <d v="2026-02-04T11:19:28"/>
    <x v="0"/>
    <m/>
    <m/>
    <s v="Sin Fecha"/>
    <s v="ATM-Agentes-VISA"/>
    <s v="Canales Presenciales"/>
    <m/>
    <m/>
    <m/>
    <s v=""/>
    <s v="Sin Fecha"/>
    <s v="No definido"/>
    <m/>
    <x v="2"/>
    <m/>
    <n v="0.25"/>
    <s v="POST"/>
    <m/>
    <m/>
    <s v="NO"/>
    <x v="0"/>
    <s v=""/>
    <n v="0.25"/>
    <s v=""/>
    <s v=""/>
    <m/>
    <m/>
    <m/>
    <m/>
    <m/>
    <m/>
    <m/>
    <n v="25"/>
    <n v="0.1"/>
    <n v="200"/>
    <m/>
    <x v="2"/>
    <n v="0.9"/>
    <n v="1"/>
    <n v="24"/>
    <n v="8"/>
    <n v="192"/>
    <x v="0"/>
    <x v="2"/>
    <m/>
    <x v="0"/>
    <m/>
  </r>
  <r>
    <s v="M1367"/>
    <n v="3313"/>
    <x v="0"/>
    <s v="2026-T0056"/>
    <s v="2026-M0054"/>
    <s v="MODIFICAR EL MODULO DE ORACLE RH PARA PERMITIR LA CONVIVENCIA DE MOVIMIENTOS HORIZONTALES DE ADPS EN EL FORMATO ANTERIOR DE CARGO, CATEGORIA Y LOS MOVIMIENTOS HORIZONTALES DE ADPS EN EL FORMATO ACTUAL"/>
    <m/>
    <x v="5"/>
    <s v="Administración de Personal"/>
    <m/>
    <m/>
    <m/>
    <s v="OSAI -: Oracle Sistema Administrativo Integrado"/>
    <m/>
    <x v="1"/>
    <s v="No Aplica"/>
    <s v="No aplica"/>
    <x v="0"/>
    <m/>
    <m/>
    <m/>
    <m/>
    <m/>
    <m/>
    <m/>
    <s v="Regularizado"/>
    <d v="2026-05-05T00:00:00"/>
    <s v="Sistemas Administrativos"/>
    <m/>
    <s v="Emerson Quecara Choquetico"/>
    <s v="Juan Carlos Zavaleta"/>
    <x v="1"/>
    <x v="1"/>
    <x v="0"/>
    <m/>
    <m/>
    <d v="2026-01-31T00:00:00"/>
    <d v="2026-01-31T00:00:00"/>
    <m/>
    <d v="2026-02-02T00:00:00"/>
    <d v="2026-02-03T00:00:00"/>
    <d v="2026-01-31T00:00:00"/>
    <d v="2026-02-05T00:00:00"/>
    <d v="2026-02-05T00:00:00"/>
    <d v="2026-02-07T00:00:00"/>
    <s v="19/05/26: Según CQ, actualizó el estado a 08. Producción Finalizada_x000a_06/05/26: Se regularizó su registró en el Backlog."/>
    <s v="RRHH"/>
    <s v="AdministraciónPersonal"/>
    <s v="No definido"/>
    <s v="2026-05"/>
    <s v="2026-01"/>
    <x v="3"/>
    <s v="2026-02"/>
    <m/>
    <m/>
    <m/>
    <m/>
    <m/>
    <m/>
    <n v="5"/>
    <n v="0.16666666666666666"/>
    <m/>
    <s v="Finalizada"/>
    <x v="1"/>
    <d v="2026-02-05T13:14:51"/>
    <x v="0"/>
    <m/>
    <m/>
    <s v="Culminado"/>
    <s v="Oracle"/>
    <s v="Otros Requerimientos"/>
    <m/>
    <m/>
    <m/>
    <d v="2026-02-05T00:00:00"/>
    <s v="Culminado"/>
    <s v="Feb 2026"/>
    <m/>
    <x v="1"/>
    <m/>
    <n v="1"/>
    <s v="POST"/>
    <m/>
    <m/>
    <s v="No aplica"/>
    <x v="1"/>
    <n v="1"/>
    <n v="1"/>
    <s v=""/>
    <s v=""/>
    <m/>
    <m/>
    <m/>
    <m/>
    <m/>
    <m/>
    <m/>
    <n v="25"/>
    <n v="0.1"/>
    <n v="200"/>
    <m/>
    <x v="1"/>
    <n v="0.9"/>
    <n v="1"/>
    <n v="24"/>
    <n v="8"/>
    <n v="192"/>
    <x v="0"/>
    <x v="2"/>
    <m/>
    <x v="0"/>
    <m/>
  </r>
  <r>
    <s v="M1368"/>
    <n v="3314"/>
    <x v="0"/>
    <s v="2025-T0889"/>
    <s v="2025-M0756"/>
    <s v="PROYECTO APERTURA DE CUENTAS DE PARTIDOS POLITICOS"/>
    <m/>
    <x v="8"/>
    <s v="Construcción de Aplicaciones"/>
    <s v="Sistemas Bancarios"/>
    <m/>
    <m/>
    <s v="SITB-Sistema de Transacciones Bancarias"/>
    <m/>
    <x v="1"/>
    <s v="Cuenta Corriente "/>
    <s v="No aplica"/>
    <x v="2"/>
    <m/>
    <m/>
    <m/>
    <m/>
    <m/>
    <m/>
    <m/>
    <s v="Regularizado"/>
    <d v="2026-05-05T00:00:00"/>
    <s v="Sistemas Bancarios"/>
    <m/>
    <s v="Johnny Luis Rocca Surco"/>
    <s v="Tomas Calvera"/>
    <x v="5"/>
    <x v="4"/>
    <x v="0"/>
    <m/>
    <m/>
    <d v="2025-12-02T00:00:00"/>
    <m/>
    <m/>
    <m/>
    <m/>
    <s v=""/>
    <m/>
    <m/>
    <s v=""/>
    <s v="19/05/26: Según CQ, actualizó el estado a 03. En Desarrollo_x000a_06/05/26: Se regularizó su registró en el Backlog."/>
    <s v="TI"/>
    <s v="ConstrucciónAplicaciones"/>
    <s v="No definido"/>
    <s v="2026-05"/>
    <s v="No definido"/>
    <x v="0"/>
    <s v="No definido"/>
    <m/>
    <m/>
    <m/>
    <m/>
    <m/>
    <m/>
    <s v="Sin Fecha Fin Producción"/>
    <s v="No Aplica"/>
    <m/>
    <s v="Asignada"/>
    <x v="5"/>
    <d v="2025-12-02T09:38:21"/>
    <x v="0"/>
    <m/>
    <m/>
    <s v="Sin Fecha"/>
    <s v="BackOffice"/>
    <s v="Otros Requerimientos"/>
    <m/>
    <m/>
    <m/>
    <s v=""/>
    <s v="Sin Fecha"/>
    <s v="No definido"/>
    <m/>
    <x v="2"/>
    <m/>
    <n v="0.15"/>
    <s v="POST"/>
    <m/>
    <m/>
    <s v="NO"/>
    <x v="0"/>
    <s v=""/>
    <n v="0.15"/>
    <s v=""/>
    <s v=""/>
    <m/>
    <m/>
    <m/>
    <m/>
    <m/>
    <m/>
    <m/>
    <n v="25"/>
    <n v="0.1"/>
    <n v="200"/>
    <m/>
    <x v="2"/>
    <n v="0.9"/>
    <n v="1"/>
    <n v="24"/>
    <n v="8"/>
    <n v="192"/>
    <x v="0"/>
    <x v="2"/>
    <m/>
    <x v="0"/>
    <m/>
  </r>
  <r>
    <s v="M1369"/>
    <n v="3315"/>
    <x v="0"/>
    <s v="2025-T0892"/>
    <s v="2025-M0760"/>
    <s v="ME:  LEVANTAR VULNERABILIDADES OWASP  LOS TICKET DE ATENCION 2024-M0252 Y 2025-M0535"/>
    <m/>
    <x v="8"/>
    <s v="Construcción de Aplicaciones"/>
    <s v="Sistemas Administrativos"/>
    <m/>
    <m/>
    <s v="BIBL-Gestión y Consulta de Biblioteca-BN"/>
    <m/>
    <x v="1"/>
    <s v="No Aplica"/>
    <s v="No aplica"/>
    <x v="0"/>
    <m/>
    <m/>
    <m/>
    <m/>
    <m/>
    <m/>
    <m/>
    <s v="Regularizado"/>
    <d v="2026-05-05T00:00:00"/>
    <s v="Sistemas Administrativos"/>
    <m/>
    <m/>
    <s v="Tomas Calvera"/>
    <x v="2"/>
    <x v="2"/>
    <x v="0"/>
    <m/>
    <m/>
    <m/>
    <m/>
    <m/>
    <m/>
    <m/>
    <s v=""/>
    <m/>
    <m/>
    <s v=""/>
    <s v="06/05/26: Se regularizó su registró en el Backlog."/>
    <s v="TI"/>
    <s v="ConstrucciónAplicaciones"/>
    <s v="No definido"/>
    <s v="2026-05"/>
    <s v="No definido"/>
    <x v="0"/>
    <s v="No definido"/>
    <m/>
    <m/>
    <m/>
    <m/>
    <m/>
    <m/>
    <s v="Sin Fechas"/>
    <s v="No Aplica"/>
    <m/>
    <m/>
    <x v="15"/>
    <d v="2025-12-04T14:56:38"/>
    <x v="0"/>
    <m/>
    <m/>
    <s v="Sin Fecha"/>
    <s v="BackOffice"/>
    <s v="Otros Requerimientos"/>
    <m/>
    <m/>
    <m/>
    <s v=""/>
    <s v="Sin Fecha"/>
    <s v="No definido"/>
    <m/>
    <x v="2"/>
    <m/>
    <n v="0.1"/>
    <s v="POST"/>
    <m/>
    <m/>
    <s v="NO"/>
    <x v="0"/>
    <s v=""/>
    <n v="0.1"/>
    <s v=""/>
    <s v=""/>
    <m/>
    <m/>
    <m/>
    <m/>
    <m/>
    <m/>
    <m/>
    <n v="25"/>
    <n v="0.1"/>
    <n v="200"/>
    <m/>
    <x v="2"/>
    <n v="0.9"/>
    <n v="1"/>
    <n v="24"/>
    <n v="8"/>
    <n v="192"/>
    <x v="0"/>
    <x v="2"/>
    <m/>
    <x v="0"/>
    <m/>
  </r>
  <r>
    <s v="M1370"/>
    <n v="3316"/>
    <x v="0"/>
    <s v="2025-T0886"/>
    <s v="2025-M0753"/>
    <s v="MEJORA EN LOS PROCESOS MENSUALES- NO INCLUIR COMPROBANTES CONTABLES DE FIN DE MES LA INFORMACION DE LAS CUENTAS DE  TC. CASTIGADAS"/>
    <m/>
    <x v="1"/>
    <s v="Banca Personal"/>
    <s v="Tarjeta de Crédito"/>
    <m/>
    <m/>
    <s v="SITC – Tarjeta de Crédito"/>
    <m/>
    <x v="1"/>
    <s v="Tarjeta de Crédito "/>
    <s v="No aplica"/>
    <x v="0"/>
    <m/>
    <m/>
    <m/>
    <m/>
    <m/>
    <m/>
    <m/>
    <s v="Regularizado"/>
    <d v="2026-05-05T00:00:00"/>
    <s v="Sistemas Bancarios"/>
    <m/>
    <s v="Pedro Jose Encalada Huertas"/>
    <s v="Milagros Huamani"/>
    <x v="7"/>
    <x v="4"/>
    <x v="0"/>
    <m/>
    <m/>
    <d v="2026-04-13T00:00:00"/>
    <d v="2026-04-13T00:00:00"/>
    <m/>
    <d v="2026-04-20T00:00:00"/>
    <m/>
    <d v="2026-04-13T00:00:00"/>
    <m/>
    <m/>
    <d v="2026-04-20T00:00:00"/>
    <s v="19/05/26: Según CQ, actualizó el estado a 05. En Calidad_x000a_06/05/26: Se regularizó su registró en el Backlog."/>
    <s v="Productos"/>
    <s v="BancaPersonal"/>
    <s v="No definido"/>
    <s v="2026-05"/>
    <s v="2026-04"/>
    <x v="0"/>
    <s v="2026-04"/>
    <m/>
    <m/>
    <m/>
    <m/>
    <m/>
    <m/>
    <s v="Sin Fecha Fin Producción"/>
    <s v="No Aplica"/>
    <m/>
    <s v="Finalizada"/>
    <x v="11"/>
    <d v="2026-04-20T12:30:27"/>
    <x v="0"/>
    <m/>
    <m/>
    <s v="Vencida"/>
    <s v="Tarjeta Tesoro"/>
    <s v="Productos"/>
    <m/>
    <m/>
    <m/>
    <s v=""/>
    <s v="Sin Fecha"/>
    <s v="No definido"/>
    <m/>
    <x v="2"/>
    <m/>
    <n v="0.7"/>
    <s v="POST"/>
    <m/>
    <m/>
    <s v="NO"/>
    <x v="0"/>
    <s v=""/>
    <n v="0.7"/>
    <s v=""/>
    <s v=""/>
    <m/>
    <m/>
    <m/>
    <m/>
    <m/>
    <m/>
    <m/>
    <n v="25"/>
    <n v="0.1"/>
    <n v="200"/>
    <m/>
    <x v="5"/>
    <n v="0.9"/>
    <n v="1"/>
    <n v="24"/>
    <n v="8"/>
    <n v="192"/>
    <x v="0"/>
    <x v="2"/>
    <m/>
    <x v="0"/>
    <m/>
  </r>
  <r>
    <s v="M1371"/>
    <n v="3317"/>
    <x v="0"/>
    <s v="2026-T0061"/>
    <s v="2026-M0057"/>
    <s v="MC:TABULACIÓN DEL RCD"/>
    <m/>
    <x v="7"/>
    <s v="Riesgos Crediticios y Financieros"/>
    <s v="Evaluación de Cartera de Créditos"/>
    <m/>
    <m/>
    <s v="COBD-Contabilidad-RCD"/>
    <m/>
    <x v="1"/>
    <s v="No Aplica"/>
    <s v="No aplica"/>
    <x v="0"/>
    <m/>
    <m/>
    <m/>
    <m/>
    <m/>
    <m/>
    <m/>
    <s v="Regularizado"/>
    <d v="2026-05-05T00:00:00"/>
    <s v="Sistemas Bancarios"/>
    <m/>
    <s v="Andrés Quiñones Gonzales"/>
    <s v="Maria Barboza"/>
    <x v="1"/>
    <x v="1"/>
    <x v="0"/>
    <m/>
    <m/>
    <d v="2026-02-03T00:00:00"/>
    <d v="2026-03-06T00:00:00"/>
    <m/>
    <d v="2026-03-18T00:00:00"/>
    <d v="2026-03-20T00:00:00"/>
    <d v="2026-03-18T09:36:00"/>
    <d v="2026-04-01T00:00:00"/>
    <d v="2026-04-04T00:00:00"/>
    <d v="2026-03-25T09:36:00"/>
    <s v="19/05/26: Según CQ, actualizó el estado a 08. Producción Finalizada_x000a_06/05/26: Se regularizó su registró en el Backlog."/>
    <s v="Riesgos"/>
    <s v="CrediticiosFinancieros"/>
    <s v="No definido"/>
    <s v="2026-05"/>
    <s v="2026-03"/>
    <x v="1"/>
    <s v="2026-03"/>
    <m/>
    <m/>
    <m/>
    <m/>
    <m/>
    <m/>
    <n v="60"/>
    <n v="2"/>
    <m/>
    <s v="Finalizada"/>
    <x v="1"/>
    <d v="2026-04-20T16:10:36"/>
    <x v="0"/>
    <m/>
    <m/>
    <s v="Culminado"/>
    <s v="BackOffice"/>
    <s v="Otros Requerimientos"/>
    <m/>
    <m/>
    <m/>
    <d v="2026-04-04T00:00:00"/>
    <s v="Culminado"/>
    <s v="Abr 2026"/>
    <m/>
    <x v="1"/>
    <m/>
    <n v="1"/>
    <s v="POST"/>
    <m/>
    <m/>
    <s v="No aplica"/>
    <x v="1"/>
    <n v="1"/>
    <n v="1"/>
    <s v=""/>
    <s v=""/>
    <m/>
    <m/>
    <m/>
    <m/>
    <m/>
    <m/>
    <m/>
    <n v="25"/>
    <n v="0.1"/>
    <n v="200"/>
    <m/>
    <x v="1"/>
    <n v="0.9"/>
    <n v="1"/>
    <n v="24"/>
    <n v="8"/>
    <n v="192"/>
    <x v="0"/>
    <x v="2"/>
    <m/>
    <x v="0"/>
    <m/>
  </r>
  <r>
    <s v="M1372"/>
    <n v="3318"/>
    <x v="0"/>
    <s v="2025-T0879"/>
    <s v="2025-M0746"/>
    <s v="EL PODER JUDICIAL NECESITA ACTUALIZAR SU TUPA PARA EL PERIODO 2025 DEBIENDO CAMBIAR LA GLOSA DE LOS CONCEPTOS Y LOS IMPORTES."/>
    <m/>
    <x v="0"/>
    <s v="Servicios Bancarios y Recaudación"/>
    <s v="Recaudación y Corresponsalía"/>
    <m/>
    <m/>
    <s v="SAVE-Sistema de Atención en Ventanillas"/>
    <m/>
    <x v="2"/>
    <s v="No Aplica"/>
    <s v="Servicios Bancarios Diversos "/>
    <x v="0"/>
    <m/>
    <m/>
    <m/>
    <m/>
    <m/>
    <m/>
    <m/>
    <s v="Regularizado"/>
    <d v="2026-05-05T00:00:00"/>
    <s v="Sistemas Bancarios"/>
    <m/>
    <s v="Rossana Rojas Alvaro"/>
    <s v="Junior Quicaño"/>
    <x v="1"/>
    <x v="1"/>
    <x v="0"/>
    <m/>
    <m/>
    <d v="2025-11-28T00:00:00"/>
    <d v="2025-12-12T00:00:00"/>
    <m/>
    <d v="2026-02-03T00:00:00"/>
    <d v="2026-02-05T00:00:00"/>
    <d v="2025-12-17T14:24:00"/>
    <d v="2026-02-17T00:00:00"/>
    <d v="2026-02-17T00:00:00"/>
    <d v="2025-12-24T14:24:00"/>
    <s v="19/05/26: Según CQ, actualizó el estado a 08. Producción Finalizada_x000a_06/05/26: Se regularizó su registró en el Backlog."/>
    <s v="Operac."/>
    <s v="BancariosRecaudación"/>
    <s v="No definido"/>
    <s v="2026-05"/>
    <s v="2025-12"/>
    <x v="3"/>
    <s v="2025-12"/>
    <m/>
    <m/>
    <m/>
    <m/>
    <m/>
    <m/>
    <n v="81"/>
    <n v="2.7"/>
    <m/>
    <s v="Finalizada"/>
    <x v="1"/>
    <d v="2026-03-13T12:13:07"/>
    <x v="0"/>
    <m/>
    <m/>
    <s v="Culminado"/>
    <s v="Ventanilla"/>
    <s v="Canales Presenciales"/>
    <m/>
    <m/>
    <m/>
    <d v="2026-02-17T00:00:00"/>
    <s v="Culminado"/>
    <s v="Feb 2026"/>
    <m/>
    <x v="1"/>
    <m/>
    <n v="1"/>
    <s v="POST"/>
    <m/>
    <m/>
    <s v="No aplica"/>
    <x v="1"/>
    <n v="1"/>
    <n v="1"/>
    <s v=""/>
    <s v=""/>
    <m/>
    <m/>
    <m/>
    <m/>
    <m/>
    <m/>
    <m/>
    <n v="25"/>
    <n v="0.1"/>
    <n v="200"/>
    <m/>
    <x v="1"/>
    <n v="0.9"/>
    <n v="1"/>
    <n v="24"/>
    <n v="8"/>
    <n v="192"/>
    <x v="0"/>
    <x v="2"/>
    <m/>
    <x v="0"/>
    <m/>
  </r>
  <r>
    <s v="M1373"/>
    <n v="3319"/>
    <x v="0"/>
    <s v="2025-T0887"/>
    <s v="2025-M0754"/>
    <s v="SOPORTE PARA LA ATENCION DE INCIDENCIAS VISA Y CAMBIOS MANDATARIOS"/>
    <m/>
    <x v="8"/>
    <s v="Construcción de Aplicaciones"/>
    <s v="Sistemas Bancarios"/>
    <m/>
    <m/>
    <s v="INCA - Interfaz Cajeros automaticos"/>
    <m/>
    <x v="7"/>
    <s v="No Aplica"/>
    <s v="No aplica"/>
    <x v="1"/>
    <m/>
    <m/>
    <m/>
    <m/>
    <m/>
    <m/>
    <m/>
    <s v="Regularizado"/>
    <d v="2026-05-05T00:00:00"/>
    <s v="Sistemas Bancarios"/>
    <m/>
    <s v="Vladimir Ronald Cajavilca Cajavilca"/>
    <s v="Tomas Calvera"/>
    <x v="5"/>
    <x v="4"/>
    <x v="0"/>
    <m/>
    <m/>
    <d v="2025-12-01T00:00:00"/>
    <m/>
    <m/>
    <m/>
    <m/>
    <s v=""/>
    <m/>
    <m/>
    <s v=""/>
    <s v="19/05/26: Según CQ, actualizó el estado a 03. En Desarrollo_x000a_06/05/26: Se regularizó su registró en el Backlog."/>
    <s v="TI"/>
    <s v="ConstrucciónAplicaciones"/>
    <s v="No definido"/>
    <s v="2026-05"/>
    <s v="No definido"/>
    <x v="0"/>
    <s v="No definido"/>
    <m/>
    <m/>
    <m/>
    <m/>
    <m/>
    <m/>
    <s v="Sin Fecha Fin Producción"/>
    <s v="No Aplica"/>
    <m/>
    <s v="Iniciada"/>
    <x v="5"/>
    <d v="2026-02-04T11:17:45"/>
    <x v="0"/>
    <m/>
    <m/>
    <s v="Sin Fecha"/>
    <s v="ATM-Agentes-VISA"/>
    <s v="Canales Presenciales"/>
    <m/>
    <m/>
    <m/>
    <s v=""/>
    <s v="Sin Fecha"/>
    <s v="No definido"/>
    <m/>
    <x v="2"/>
    <m/>
    <n v="0.25"/>
    <s v="POST"/>
    <m/>
    <m/>
    <s v="NO"/>
    <x v="0"/>
    <s v=""/>
    <n v="0.25"/>
    <s v=""/>
    <s v=""/>
    <m/>
    <m/>
    <m/>
    <m/>
    <m/>
    <m/>
    <m/>
    <n v="25"/>
    <n v="0.1"/>
    <n v="200"/>
    <m/>
    <x v="2"/>
    <n v="0.9"/>
    <n v="1"/>
    <n v="24"/>
    <n v="8"/>
    <n v="192"/>
    <x v="0"/>
    <x v="2"/>
    <m/>
    <x v="0"/>
    <m/>
  </r>
  <r>
    <s v="M1374"/>
    <n v="3320"/>
    <x v="0"/>
    <s v="2025-T0877"/>
    <s v="2025-M0744"/>
    <s v="ACTUALIZACION DE COMPONENTES DE LLAVE ZEK TARJETA TESORO"/>
    <m/>
    <x v="1"/>
    <s v="Banca Personal"/>
    <s v="Tarjeta de Crédito"/>
    <m/>
    <m/>
    <s v="SITC – Tarjeta de Crédito"/>
    <m/>
    <x v="1"/>
    <s v="No Aplica"/>
    <s v="No aplica"/>
    <x v="0"/>
    <m/>
    <m/>
    <m/>
    <m/>
    <m/>
    <m/>
    <m/>
    <s v="Regularizado"/>
    <d v="2026-05-05T00:00:00"/>
    <s v="Sistemas Bancarios"/>
    <m/>
    <s v="Fiorella Emma Galvan Soto"/>
    <s v="Milagros Huamani"/>
    <x v="5"/>
    <x v="4"/>
    <x v="0"/>
    <m/>
    <m/>
    <d v="2025-11-27T00:00:00"/>
    <m/>
    <m/>
    <m/>
    <m/>
    <s v=""/>
    <m/>
    <m/>
    <s v=""/>
    <s v="19/05/26: Según CQ, actualizó el estado a 03. En Desarrollo_x000a_06/05/26: Se regularizó su registró en el Backlog."/>
    <s v="Productos"/>
    <s v="BancaPersonal"/>
    <s v="No definido"/>
    <s v="2026-05"/>
    <s v="No definido"/>
    <x v="0"/>
    <s v="No definido"/>
    <m/>
    <m/>
    <m/>
    <m/>
    <m/>
    <m/>
    <s v="Sin Fecha Fin Producción"/>
    <s v="No Aplica"/>
    <m/>
    <s v="Iniciada"/>
    <x v="5"/>
    <d v="2025-11-27T15:43:38"/>
    <x v="0"/>
    <m/>
    <m/>
    <s v="Sin Fecha"/>
    <s v="Tarjeta Tesoro"/>
    <s v="Productos"/>
    <m/>
    <m/>
    <m/>
    <s v=""/>
    <s v="Sin Fecha"/>
    <s v="No definido"/>
    <m/>
    <x v="2"/>
    <m/>
    <n v="0.25"/>
    <s v="POST"/>
    <m/>
    <m/>
    <s v="NO"/>
    <x v="0"/>
    <s v=""/>
    <n v="0.25"/>
    <s v=""/>
    <s v=""/>
    <m/>
    <m/>
    <m/>
    <m/>
    <m/>
    <m/>
    <m/>
    <n v="25"/>
    <n v="0.1"/>
    <n v="200"/>
    <m/>
    <x v="2"/>
    <n v="0.9"/>
    <n v="1"/>
    <n v="24"/>
    <n v="8"/>
    <n v="192"/>
    <x v="0"/>
    <x v="2"/>
    <m/>
    <x v="0"/>
    <m/>
  </r>
  <r>
    <s v="M1375"/>
    <n v="3321"/>
    <x v="0"/>
    <s v="2025-T0881"/>
    <s v="2025-M0748"/>
    <s v="MODIFICACION DE TABLAS LOG DE LAS TABLAS INTERMEDIAS ORACLE"/>
    <m/>
    <x v="8"/>
    <s v="Construcción de Aplicaciones"/>
    <s v="Sistemas Bancarios"/>
    <m/>
    <m/>
    <s v="SENT-Proyecto Sentinel"/>
    <m/>
    <x v="1"/>
    <s v="No Aplica"/>
    <s v="No aplica"/>
    <x v="1"/>
    <m/>
    <m/>
    <m/>
    <m/>
    <m/>
    <m/>
    <m/>
    <s v="Regularizado"/>
    <d v="2026-05-05T00:00:00"/>
    <s v="Sistemas Bancarios"/>
    <m/>
    <s v="Jorge Enrique Ruiz Torres"/>
    <s v="Tomas Calvera"/>
    <x v="1"/>
    <x v="1"/>
    <x v="0"/>
    <m/>
    <m/>
    <d v="2025-11-28T00:00:00"/>
    <m/>
    <m/>
    <m/>
    <m/>
    <s v=""/>
    <d v="2025-12-05T00:00:00"/>
    <d v="2025-12-05T00:00:00"/>
    <s v=""/>
    <s v="19/05/26: Según CQ, actualizó el estado a 08. Producción Finalizada_x000a_06/05/26: Se regularizó su registró en el Backlog."/>
    <s v="TI"/>
    <s v="ConstrucciónAplicaciones"/>
    <s v="No definido"/>
    <s v="2026-05"/>
    <s v="No definido"/>
    <x v="7"/>
    <s v="No definido"/>
    <m/>
    <m/>
    <m/>
    <m/>
    <m/>
    <m/>
    <n v="7"/>
    <n v="0.23333333333333334"/>
    <m/>
    <s v="Finalizada"/>
    <x v="6"/>
    <d v="2025-12-05T09:15:54"/>
    <x v="0"/>
    <m/>
    <m/>
    <s v="Culminado"/>
    <s v="Extractores de Sentinel"/>
    <s v="Otros Requerimientos"/>
    <m/>
    <m/>
    <m/>
    <d v="2025-12-05T00:00:00"/>
    <s v="Culminado"/>
    <s v="Dic 2025"/>
    <m/>
    <x v="1"/>
    <m/>
    <n v="1"/>
    <s v="POST"/>
    <m/>
    <m/>
    <s v="No aplica"/>
    <x v="1"/>
    <n v="1"/>
    <n v="1"/>
    <s v=""/>
    <s v=""/>
    <m/>
    <m/>
    <m/>
    <m/>
    <m/>
    <m/>
    <m/>
    <n v="25"/>
    <n v="0.1"/>
    <n v="200"/>
    <m/>
    <x v="1"/>
    <n v="0.9"/>
    <n v="1"/>
    <n v="24"/>
    <n v="8"/>
    <n v="192"/>
    <x v="0"/>
    <x v="2"/>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905B71-4D99-49D2-ABBE-83D91EFA219B}" name="TablaDinámica1" cacheId="1283"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location ref="G4:H29" firstHeaderRow="1" firstDataRow="1" firstDataCol="1"/>
  <pivotFields count="3">
    <pivotField dataField="1" showAll="0"/>
    <pivotField axis="axisRow" showAll="0" sortType="descending">
      <items count="32">
        <item x="10"/>
        <item x="9"/>
        <item x="3"/>
        <item x="1"/>
        <item x="22"/>
        <item x="20"/>
        <item x="23"/>
        <item x="5"/>
        <item x="15"/>
        <item x="2"/>
        <item x="17"/>
        <item x="16"/>
        <item x="14"/>
        <item m="1" x="27"/>
        <item x="6"/>
        <item x="4"/>
        <item x="7"/>
        <item x="0"/>
        <item m="1" x="30"/>
        <item x="8"/>
        <item x="19"/>
        <item x="11"/>
        <item m="1" x="28"/>
        <item x="13"/>
        <item m="1" x="26"/>
        <item x="21"/>
        <item x="12"/>
        <item x="18"/>
        <item m="1" x="25"/>
        <item m="1" x="24"/>
        <item m="1" x="29"/>
        <item t="default"/>
      </items>
      <autoSortScope>
        <pivotArea dataOnly="0" outline="0" fieldPosition="0">
          <references count="1">
            <reference field="4294967294" count="1" selected="0">
              <x v="0"/>
            </reference>
          </references>
        </pivotArea>
      </autoSortScope>
    </pivotField>
    <pivotField showAll="0"/>
  </pivotFields>
  <rowFields count="1">
    <field x="1"/>
  </rowFields>
  <rowItems count="25">
    <i>
      <x v="23"/>
    </i>
    <i>
      <x v="3"/>
    </i>
    <i>
      <x v="7"/>
    </i>
    <i>
      <x v="19"/>
    </i>
    <i>
      <x v="17"/>
    </i>
    <i>
      <x v="21"/>
    </i>
    <i>
      <x v="2"/>
    </i>
    <i>
      <x v="9"/>
    </i>
    <i>
      <x v="15"/>
    </i>
    <i>
      <x v="16"/>
    </i>
    <i>
      <x v="12"/>
    </i>
    <i>
      <x v="10"/>
    </i>
    <i>
      <x v="4"/>
    </i>
    <i>
      <x v="25"/>
    </i>
    <i>
      <x v="14"/>
    </i>
    <i>
      <x v="11"/>
    </i>
    <i>
      <x v="27"/>
    </i>
    <i>
      <x v="6"/>
    </i>
    <i>
      <x v="5"/>
    </i>
    <i>
      <x v="1"/>
    </i>
    <i>
      <x v="26"/>
    </i>
    <i>
      <x v="20"/>
    </i>
    <i>
      <x/>
    </i>
    <i>
      <x v="8"/>
    </i>
    <i t="grand">
      <x/>
    </i>
  </rowItems>
  <colItems count="1">
    <i/>
  </colItems>
  <dataFields count="1">
    <dataField name="Cuenta de ID Mantenimiento"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9B05AB8-3D8D-4A66-B67C-5A631FBA69EF}" name="TablaDinámica1" cacheId="1282" applyNumberFormats="0" applyBorderFormats="0" applyFontFormats="0" applyPatternFormats="0" applyAlignmentFormats="0" applyWidthHeightFormats="1" dataCaption="Valores" updatedVersion="7" minRefreshableVersion="3" useAutoFormatting="1" itemPrintTitles="1" createdVersion="8" indent="0" compact="0" compactData="0" multipleFieldFilters="0">
  <location ref="L2:M13" firstHeaderRow="1" firstDataRow="1" firstDataCol="1"/>
  <pivotFields count="7">
    <pivotField compact="0" outline="0" showAll="0"/>
    <pivotField compact="0" outline="0" showAll="0"/>
    <pivotField compact="0" numFmtId="14" outline="0" showAll="0"/>
    <pivotField compact="0" outline="0" showAll="0"/>
    <pivotField dataField="1" compact="0" outline="0" showAll="0"/>
    <pivotField axis="axisRow" compact="0" outline="0" showAll="0">
      <items count="13">
        <item x="7"/>
        <item x="2"/>
        <item m="1" x="11"/>
        <item x="4"/>
        <item x="3"/>
        <item x="1"/>
        <item x="0"/>
        <item x="6"/>
        <item x="8"/>
        <item x="9"/>
        <item x="5"/>
        <item m="1" x="10"/>
        <item t="default"/>
      </items>
    </pivotField>
    <pivotField compact="0" outline="0" showAll="0"/>
  </pivotFields>
  <rowFields count="1">
    <field x="5"/>
  </rowFields>
  <rowItems count="11">
    <i>
      <x/>
    </i>
    <i>
      <x v="1"/>
    </i>
    <i>
      <x v="3"/>
    </i>
    <i>
      <x v="4"/>
    </i>
    <i>
      <x v="5"/>
    </i>
    <i>
      <x v="6"/>
    </i>
    <i>
      <x v="7"/>
    </i>
    <i>
      <x v="8"/>
    </i>
    <i>
      <x v="9"/>
    </i>
    <i>
      <x v="10"/>
    </i>
    <i t="grand">
      <x/>
    </i>
  </rowItems>
  <colItems count="1">
    <i/>
  </colItems>
  <dataFields count="1">
    <dataField name="Promedio de Duración" fld="4"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2832D77-ECA6-4959-A7C9-BA2DBF286082}" name="TablaDinámica1" cacheId="1284" applyNumberFormats="0" applyBorderFormats="0" applyFontFormats="0" applyPatternFormats="0" applyAlignmentFormats="0" applyWidthHeightFormats="1" dataCaption="Valores" updatedVersion="7" minRefreshableVersion="3" useAutoFormatting="1" itemPrintTitles="1" createdVersion="6" indent="0" compact="0" compactData="0" multipleFieldFilters="0">
  <location ref="B5:P15" firstHeaderRow="1" firstDataRow="2" firstDataCol="1" rowPageCount="2" colPageCount="1"/>
  <pivotFields count="112">
    <pivotField dataField="1" compact="0" outline="0" showAll="0"/>
    <pivotField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axis="axisRow" compact="0" outline="0" showAll="0" sortType="descending">
      <items count="23">
        <item x="6"/>
        <item m="1" x="20"/>
        <item x="2"/>
        <item x="4"/>
        <item x="9"/>
        <item x="10"/>
        <item m="1" x="15"/>
        <item m="1" x="16"/>
        <item m="1" x="14"/>
        <item m="1" x="19"/>
        <item m="1" x="13"/>
        <item m="1" x="21"/>
        <item x="3"/>
        <item x="0"/>
        <item m="1" x="12"/>
        <item m="1" x="17"/>
        <item x="1"/>
        <item x="5"/>
        <item m="1" x="18"/>
        <item x="7"/>
        <item x="8"/>
        <item m="1"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7"/>
        <item m="1" x="10"/>
        <item x="2"/>
        <item x="5"/>
        <item h="1" m="1" x="22"/>
        <item m="1" x="20"/>
        <item m="1" x="24"/>
        <item m="1" x="25"/>
        <item h="1" x="7"/>
        <item h="1" x="6"/>
        <item m="1" x="14"/>
        <item m="1" x="12"/>
        <item m="1" x="13"/>
        <item h="1" x="4"/>
        <item m="1" x="23"/>
        <item m="1" x="19"/>
        <item m="1" x="15"/>
        <item m="1" x="11"/>
        <item h="1" x="1"/>
        <item h="1" x="0"/>
        <item m="1" x="21"/>
        <item m="1" x="9"/>
        <item h="1" x="3"/>
        <item m="1" x="16"/>
        <item m="1" x="18"/>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31">
        <item m="1" x="16"/>
        <item m="1" x="21"/>
        <item m="1" x="22"/>
        <item m="1" x="23"/>
        <item m="1" x="25"/>
        <item x="9"/>
        <item x="11"/>
        <item x="4"/>
        <item x="1"/>
        <item x="8"/>
        <item m="1" x="20"/>
        <item x="5"/>
        <item x="6"/>
        <item x="2"/>
        <item x="10"/>
        <item m="1" x="18"/>
        <item m="1" x="29"/>
        <item m="1" x="28"/>
        <item x="14"/>
        <item m="1" x="27"/>
        <item m="1" x="26"/>
        <item m="1" x="19"/>
        <item m="1" x="17"/>
        <item m="1" x="24"/>
        <item x="0"/>
        <item x="3"/>
        <item x="7"/>
        <item x="13"/>
        <item x="15"/>
        <item x="12"/>
        <item t="default"/>
      </items>
    </pivotField>
    <pivotField compact="0" outline="0" showAll="0" defaultSubtotal="0">
      <items count="6">
        <item x="1"/>
        <item x="2"/>
        <item x="3"/>
        <item x="4"/>
        <item x="0"/>
        <item x="5"/>
      </items>
    </pivotField>
    <pivotField compact="0" outline="0" showAll="0" defaultSubtotal="0"/>
  </pivotFields>
  <rowFields count="1">
    <field x="7"/>
  </rowFields>
  <rowItems count="9">
    <i>
      <x v="13"/>
    </i>
    <i>
      <x v="2"/>
    </i>
    <i>
      <x v="20"/>
    </i>
    <i>
      <x v="17"/>
    </i>
    <i>
      <x v="16"/>
    </i>
    <i>
      <x v="19"/>
    </i>
    <i>
      <x v="12"/>
    </i>
    <i>
      <x/>
    </i>
    <i t="grand">
      <x/>
    </i>
  </rowItems>
  <colFields count="1">
    <field x="109"/>
  </colFields>
  <colItems count="14">
    <i>
      <x v="7"/>
    </i>
    <i>
      <x v="8"/>
    </i>
    <i>
      <x v="9"/>
    </i>
    <i>
      <x v="11"/>
    </i>
    <i>
      <x v="12"/>
    </i>
    <i>
      <x v="13"/>
    </i>
    <i>
      <x v="14"/>
    </i>
    <i>
      <x v="18"/>
    </i>
    <i>
      <x v="24"/>
    </i>
    <i>
      <x v="25"/>
    </i>
    <i>
      <x v="26"/>
    </i>
    <i>
      <x v="28"/>
    </i>
    <i>
      <x v="29"/>
    </i>
    <i t="grand">
      <x/>
    </i>
  </colItems>
  <pageFields count="2">
    <pageField fld="2" item="0" hier="-1"/>
    <pageField fld="31" hier="-1"/>
  </pageFields>
  <dataFields count="1">
    <dataField name="Cuenta de ID Demand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96AFF25-E9AB-43C7-AF60-1E9377293FEC}" name="TablaDinámica3" cacheId="1285"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B52:C58" firstHeaderRow="1" firstDataRow="1" firstDataCol="1" rowPageCount="2" colPageCount="1"/>
  <pivotFields count="112">
    <pivotField dataField="1" compact="0" outline="0" showAll="0"/>
    <pivotField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10">
        <item x="2"/>
        <item x="5"/>
        <item x="8"/>
        <item x="7"/>
        <item x="6"/>
        <item x="4"/>
        <item h="1" x="1"/>
        <item h="1"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axis="axisRow" compact="0" outline="0" showAll="0">
      <items count="12">
        <item x="2"/>
        <item m="1" x="6"/>
        <item m="1" x="10"/>
        <item m="1" x="8"/>
        <item m="1" x="7"/>
        <item x="5"/>
        <item m="1" x="9"/>
        <item x="0"/>
        <item x="3"/>
        <item x="4"/>
        <item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85"/>
  </rowFields>
  <rowItems count="6">
    <i>
      <x/>
    </i>
    <i>
      <x v="5"/>
    </i>
    <i>
      <x v="7"/>
    </i>
    <i>
      <x v="8"/>
    </i>
    <i>
      <x v="9"/>
    </i>
    <i t="grand">
      <x/>
    </i>
  </rowItems>
  <colItems count="1">
    <i/>
  </colItems>
  <pageFields count="2">
    <pageField fld="2" item="0" hier="-1"/>
    <pageField fld="31" hier="-1"/>
  </pageFields>
  <dataFields count="1">
    <dataField name="Cuenta de ID Demand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D06AABA-D7C1-49CA-83A3-CF8CC3F8258D}" name="TablaDinámica2" cacheId="1284" applyNumberFormats="0" applyBorderFormats="0" applyFontFormats="0" applyPatternFormats="0" applyAlignmentFormats="0" applyWidthHeightFormats="1" dataCaption="Valores" updatedVersion="7" minRefreshableVersion="3" useAutoFormatting="1" itemPrintTitles="1" createdVersion="6" indent="0" compact="0" compactData="0" multipleFieldFilters="0">
  <location ref="B29:P39" firstHeaderRow="1" firstDataRow="2" firstDataCol="1" rowPageCount="2" colPageCount="1"/>
  <pivotFields count="112">
    <pivotField compact="0" outline="0" showAll="0"/>
    <pivotField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axis="axisRow" compact="0" outline="0" showAll="0" sortType="descending">
      <items count="23">
        <item x="6"/>
        <item m="1" x="20"/>
        <item x="2"/>
        <item x="4"/>
        <item x="9"/>
        <item x="10"/>
        <item m="1" x="15"/>
        <item m="1" x="16"/>
        <item m="1" x="14"/>
        <item m="1" x="19"/>
        <item m="1" x="13"/>
        <item m="1" x="21"/>
        <item x="3"/>
        <item x="0"/>
        <item m="1" x="12"/>
        <item m="1" x="17"/>
        <item x="1"/>
        <item x="5"/>
        <item m="1" x="18"/>
        <item x="7"/>
        <item x="8"/>
        <item m="1"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7"/>
        <item m="1" x="10"/>
        <item x="2"/>
        <item x="5"/>
        <item h="1" m="1" x="22"/>
        <item m="1" x="20"/>
        <item m="1" x="24"/>
        <item m="1" x="25"/>
        <item h="1" x="7"/>
        <item h="1" x="6"/>
        <item m="1" x="14"/>
        <item m="1" x="12"/>
        <item m="1" x="13"/>
        <item h="1" x="4"/>
        <item m="1" x="23"/>
        <item m="1" x="19"/>
        <item m="1" x="15"/>
        <item m="1" x="11"/>
        <item h="1" x="1"/>
        <item h="1" x="0"/>
        <item m="1" x="21"/>
        <item m="1" x="9"/>
        <item h="1" x="3"/>
        <item m="1" x="16"/>
        <item m="1" x="18"/>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Col" compact="0" outline="0" showAll="0">
      <items count="31">
        <item m="1" x="16"/>
        <item m="1" x="21"/>
        <item m="1" x="22"/>
        <item m="1" x="23"/>
        <item m="1" x="25"/>
        <item x="9"/>
        <item x="11"/>
        <item x="4"/>
        <item x="1"/>
        <item x="8"/>
        <item m="1" x="20"/>
        <item x="5"/>
        <item x="6"/>
        <item x="2"/>
        <item x="10"/>
        <item m="1" x="18"/>
        <item m="1" x="29"/>
        <item m="1" x="28"/>
        <item x="14"/>
        <item m="1" x="27"/>
        <item m="1" x="26"/>
        <item m="1" x="19"/>
        <item m="1" x="17"/>
        <item m="1" x="24"/>
        <item x="0"/>
        <item x="3"/>
        <item x="7"/>
        <item x="13"/>
        <item x="15"/>
        <item x="12"/>
        <item t="default"/>
      </items>
    </pivotField>
    <pivotField compact="0" outline="0" showAll="0" defaultSubtotal="0">
      <items count="6">
        <item x="1"/>
        <item x="2"/>
        <item x="3"/>
        <item x="4"/>
        <item x="0"/>
        <item x="5"/>
      </items>
    </pivotField>
    <pivotField compact="0" outline="0" showAll="0" defaultSubtotal="0"/>
  </pivotFields>
  <rowFields count="1">
    <field x="7"/>
  </rowFields>
  <rowItems count="9">
    <i>
      <x v="13"/>
    </i>
    <i>
      <x v="2"/>
    </i>
    <i>
      <x v="17"/>
    </i>
    <i>
      <x v="16"/>
    </i>
    <i>
      <x v="19"/>
    </i>
    <i>
      <x v="20"/>
    </i>
    <i>
      <x/>
    </i>
    <i>
      <x v="12"/>
    </i>
    <i t="grand">
      <x/>
    </i>
  </rowItems>
  <colFields count="1">
    <field x="109"/>
  </colFields>
  <colItems count="14">
    <i>
      <x v="7"/>
    </i>
    <i>
      <x v="8"/>
    </i>
    <i>
      <x v="9"/>
    </i>
    <i>
      <x v="11"/>
    </i>
    <i>
      <x v="12"/>
    </i>
    <i>
      <x v="13"/>
    </i>
    <i>
      <x v="14"/>
    </i>
    <i>
      <x v="18"/>
    </i>
    <i>
      <x v="24"/>
    </i>
    <i>
      <x v="25"/>
    </i>
    <i>
      <x v="26"/>
    </i>
    <i>
      <x v="28"/>
    </i>
    <i>
      <x v="29"/>
    </i>
    <i t="grand">
      <x/>
    </i>
  </colItems>
  <pageFields count="2">
    <pageField fld="2" item="0" hier="-1"/>
    <pageField fld="31" hier="-1"/>
  </pageFields>
  <dataFields count="1">
    <dataField name="Suma de HORAS RESTANTES" fld="108" baseField="0" baseItem="0"/>
  </dataFields>
  <formats count="8">
    <format dxfId="1324">
      <pivotArea outline="0" fieldPosition="0">
        <references count="1">
          <reference field="109" count="4" selected="0">
            <x v="5"/>
            <x v="6"/>
            <x v="7"/>
            <x v="8"/>
          </reference>
        </references>
      </pivotArea>
    </format>
    <format dxfId="1325">
      <pivotArea grandCol="1" outline="0" collapsedLevelsAreSubtotals="1" fieldPosition="0"/>
    </format>
    <format dxfId="1326">
      <pivotArea outline="0" collapsedLevelsAreSubtotals="1" fieldPosition="0"/>
    </format>
    <format dxfId="1327">
      <pivotArea dataOnly="0" labelOnly="1" outline="0" fieldPosition="0">
        <references count="1">
          <reference field="109" count="6">
            <x v="0"/>
            <x v="3"/>
            <x v="5"/>
            <x v="6"/>
            <x v="7"/>
            <x v="8"/>
          </reference>
        </references>
      </pivotArea>
    </format>
    <format dxfId="1328">
      <pivotArea dataOnly="0" labelOnly="1" grandCol="1" outline="0" fieldPosition="0"/>
    </format>
    <format dxfId="1329">
      <pivotArea outline="0" collapsedLevelsAreSubtotals="1" fieldPosition="0"/>
    </format>
    <format dxfId="1330">
      <pivotArea dataOnly="0" labelOnly="1" outline="0" fieldPosition="0">
        <references count="1">
          <reference field="109" count="6">
            <x v="0"/>
            <x v="3"/>
            <x v="5"/>
            <x v="6"/>
            <x v="7"/>
            <x v="8"/>
          </reference>
        </references>
      </pivotArea>
    </format>
    <format dxfId="1331">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2181986-C459-4FFC-B965-C6570AD104DB}" name="TablaDinámica6" cacheId="1285"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90:D95" firstHeaderRow="0" firstDataRow="1" firstDataCol="1" rowPageCount="2" colPageCount="1"/>
  <pivotFields count="112">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8">
        <item x="1"/>
        <item x="0"/>
        <item m="1" x="6"/>
        <item x="2"/>
        <item x="3"/>
        <item m="1" x="5"/>
        <item m="1"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6">
        <item h="1" x="2"/>
        <item h="1" x="4"/>
        <item x="1"/>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7"/>
  </rowFields>
  <rowItems count="5">
    <i>
      <x v="1"/>
    </i>
    <i>
      <x/>
    </i>
    <i>
      <x v="3"/>
    </i>
    <i>
      <x v="4"/>
    </i>
    <i t="grand">
      <x/>
    </i>
  </rowItems>
  <colFields count="1">
    <field x="-2"/>
  </colFields>
  <colItems count="2">
    <i>
      <x/>
    </i>
    <i i="1">
      <x v="1"/>
    </i>
  </colItems>
  <pageFields count="2">
    <pageField fld="2" item="0" hier="-1"/>
    <pageField fld="32" item="2" hier="-1"/>
  </pageFields>
  <dataFields count="2">
    <dataField name="Total general" fld="1" subtotal="count" baseField="0" baseItem="0"/>
    <dataField name="%" fld="1" subtotal="count" showDataAs="percentOfTotal" baseField="0" baseItem="0" numFmtId="10"/>
  </dataFields>
  <formats count="14">
    <format dxfId="1310">
      <pivotArea field="17" type="button" dataOnly="0" labelOnly="1" outline="0" axis="axisRow" fieldPosition="0"/>
    </format>
    <format dxfId="1311">
      <pivotArea dataOnly="0" labelOnly="1" outline="0" fieldPosition="0">
        <references count="1">
          <reference field="4294967294" count="2">
            <x v="0"/>
            <x v="1"/>
          </reference>
        </references>
      </pivotArea>
    </format>
    <format dxfId="1312">
      <pivotArea grandRow="1" outline="0" collapsedLevelsAreSubtotals="1" fieldPosition="0"/>
    </format>
    <format dxfId="1313">
      <pivotArea dataOnly="0" labelOnly="1" grandRow="1" outline="0" fieldPosition="0"/>
    </format>
    <format dxfId="1314">
      <pivotArea field="17" type="button" dataOnly="0" labelOnly="1" outline="0" axis="axisRow" fieldPosition="0"/>
    </format>
    <format dxfId="1315">
      <pivotArea dataOnly="0" labelOnly="1" outline="0" fieldPosition="0">
        <references count="1">
          <reference field="4294967294" count="2">
            <x v="0"/>
            <x v="1"/>
          </reference>
        </references>
      </pivotArea>
    </format>
    <format dxfId="1316">
      <pivotArea grandRow="1" outline="0" collapsedLevelsAreSubtotals="1" fieldPosition="0"/>
    </format>
    <format dxfId="1317">
      <pivotArea dataOnly="0" labelOnly="1" grandRow="1" outline="0" fieldPosition="0"/>
    </format>
    <format dxfId="1318">
      <pivotArea outline="0" fieldPosition="0">
        <references count="1">
          <reference field="4294967294" count="1" selected="0">
            <x v="1"/>
          </reference>
        </references>
      </pivotArea>
    </format>
    <format dxfId="1319">
      <pivotArea outline="0" fieldPosition="0">
        <references count="1">
          <reference field="4294967294" count="1" selected="0">
            <x v="1"/>
          </reference>
        </references>
      </pivotArea>
    </format>
    <format dxfId="1320">
      <pivotArea outline="0" collapsedLevelsAreSubtotals="1" fieldPosition="0"/>
    </format>
    <format dxfId="1321">
      <pivotArea dataOnly="0" labelOnly="1" outline="0" fieldPosition="0">
        <references count="1">
          <reference field="4294967294" count="2">
            <x v="0"/>
            <x v="1"/>
          </reference>
        </references>
      </pivotArea>
    </format>
    <format dxfId="1322">
      <pivotArea outline="0" collapsedLevelsAreSubtotals="1" fieldPosition="0"/>
    </format>
    <format dxfId="1323">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3645578-124F-4A19-B33B-9CFC01A2D774}" name="TablaDinámica12" cacheId="1285"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185:D197" firstHeaderRow="0" firstDataRow="1" firstDataCol="1" rowPageCount="2" colPageCount="1"/>
  <pivotFields count="112">
    <pivotField compact="0" outline="0" showAll="0"/>
    <pivotField dataField="1" compact="0" outline="0" showAll="0"/>
    <pivotField axis="axisPage" compact="0" outline="0" showAll="0">
      <items count="3">
        <item x="0"/>
        <item m="1" x="1"/>
        <item t="default"/>
      </items>
    </pivotField>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10">
        <item x="2"/>
        <item x="5"/>
        <item x="8"/>
        <item x="7"/>
        <item x="6"/>
        <item x="4"/>
        <item x="1"/>
        <item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12">
    <i>
      <x v="5"/>
    </i>
    <i>
      <x v="1"/>
    </i>
    <i>
      <x v="9"/>
    </i>
    <i>
      <x v="6"/>
    </i>
    <i>
      <x v="7"/>
    </i>
    <i>
      <x v="8"/>
    </i>
    <i>
      <x/>
    </i>
    <i>
      <x v="4"/>
    </i>
    <i>
      <x v="2"/>
    </i>
    <i>
      <x v="10"/>
    </i>
    <i>
      <x v="3"/>
    </i>
    <i t="grand">
      <x/>
    </i>
  </rowItems>
  <colFields count="1">
    <field x="-2"/>
  </colFields>
  <colItems count="2">
    <i>
      <x/>
    </i>
    <i i="1">
      <x v="1"/>
    </i>
  </colItems>
  <pageFields count="2">
    <pageField fld="2" hier="-1"/>
    <pageField fld="31" hier="-1"/>
  </pageFields>
  <dataFields count="2">
    <dataField name="TOTAL" fld="1" subtotal="count" baseField="0" baseItem="0"/>
    <dataField name="PORCENTAJE" fld="1" subtotal="count" showDataAs="percentOfTotal" baseField="0" baseItem="0" numFmtId="10"/>
  </dataFields>
  <formats count="12">
    <format dxfId="1298">
      <pivotArea type="all" dataOnly="0" outline="0" fieldPosition="0"/>
    </format>
    <format dxfId="1299">
      <pivotArea field="7" type="button" dataOnly="0" labelOnly="1" outline="0" axis="axisRow" fieldPosition="0"/>
    </format>
    <format dxfId="1300">
      <pivotArea dataOnly="0" labelOnly="1" outline="0" fieldPosition="0">
        <references count="1">
          <reference field="7" count="0"/>
        </references>
      </pivotArea>
    </format>
    <format dxfId="1301">
      <pivotArea dataOnly="0" labelOnly="1" grandRow="1" outline="0" fieldPosition="0"/>
    </format>
    <format dxfId="1302">
      <pivotArea outline="0" fieldPosition="0">
        <references count="1">
          <reference field="7" count="0" selected="0"/>
        </references>
      </pivotArea>
    </format>
    <format dxfId="1303">
      <pivotArea grandRow="1" outline="0" collapsedLevelsAreSubtotals="1" fieldPosition="0"/>
    </format>
    <format dxfId="1304">
      <pivotArea outline="0" fieldPosition="0">
        <references count="1">
          <reference field="4294967294" count="1" selected="0">
            <x v="1"/>
          </reference>
        </references>
      </pivotArea>
    </format>
    <format dxfId="1305">
      <pivotArea outline="0" fieldPosition="0">
        <references count="1">
          <reference field="4294967294" count="1" selected="0">
            <x v="1"/>
          </reference>
        </references>
      </pivotArea>
    </format>
    <format dxfId="1306">
      <pivotArea outline="0" collapsedLevelsAreSubtotals="1" fieldPosition="0"/>
    </format>
    <format dxfId="1307">
      <pivotArea dataOnly="0" labelOnly="1" outline="0" fieldPosition="0">
        <references count="1">
          <reference field="4294967294" count="2">
            <x v="0"/>
            <x v="1"/>
          </reference>
        </references>
      </pivotArea>
    </format>
    <format dxfId="1308">
      <pivotArea outline="0" collapsedLevelsAreSubtotals="1" fieldPosition="0"/>
    </format>
    <format dxfId="130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4CE1DFF-2B1D-490D-AB53-64154B50F4F0}" name="TablaDinámica16" cacheId="1285"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B285:G297" firstHeaderRow="1" firstDataRow="2" firstDataCol="1" rowPageCount="2" colPageCount="1"/>
  <pivotFields count="112">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8"/>
        <item x="7"/>
        <item x="5"/>
        <item x="1"/>
        <item x="0"/>
        <item x="3"/>
        <item x="9"/>
        <item x="4"/>
        <item x="2"/>
        <item x="6"/>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h="1" x="1"/>
        <item h="1"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axis="axisCol" compact="0" outline="0" showAll="0">
      <items count="12">
        <item x="2"/>
        <item x="5"/>
        <item m="1" x="6"/>
        <item m="1" x="10"/>
        <item m="1" x="9"/>
        <item m="1" x="8"/>
        <item m="1" x="7"/>
        <item x="0"/>
        <item x="3"/>
        <item x="4"/>
        <item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6">
        <item m="1" x="4"/>
        <item m="1" x="3"/>
        <item x="0"/>
        <item h="1" x="1"/>
        <item h="1" x="2"/>
        <item t="default"/>
      </items>
    </pivotField>
    <pivotField compact="0" outline="0" showAll="0"/>
    <pivotField compact="0" outline="0" showAll="0"/>
    <pivotField compact="0" outline="0" showAll="0"/>
  </pivotFields>
  <rowFields count="1">
    <field x="7"/>
  </rowFields>
  <rowItems count="11">
    <i>
      <x v="4"/>
    </i>
    <i>
      <x v="8"/>
    </i>
    <i>
      <x/>
    </i>
    <i>
      <x v="3"/>
    </i>
    <i>
      <x v="2"/>
    </i>
    <i>
      <x v="5"/>
    </i>
    <i>
      <x v="1"/>
    </i>
    <i>
      <x v="7"/>
    </i>
    <i>
      <x v="9"/>
    </i>
    <i>
      <x v="6"/>
    </i>
    <i t="grand">
      <x/>
    </i>
  </rowItems>
  <colFields count="1">
    <field x="85"/>
  </colFields>
  <colItems count="5">
    <i>
      <x/>
    </i>
    <i>
      <x v="1"/>
    </i>
    <i>
      <x v="8"/>
    </i>
    <i>
      <x v="9"/>
    </i>
    <i t="grand">
      <x/>
    </i>
  </colItems>
  <pageFields count="2">
    <pageField fld="78" item="0" hier="-1"/>
    <pageField fld="108" item="2" hier="-1"/>
  </pageFields>
  <dataFields count="1">
    <dataField name="TOTAL" fld="0" subtotal="count" baseField="0" baseItem="0"/>
  </dataFields>
  <formats count="6">
    <format dxfId="1292">
      <pivotArea outline="0" collapsedLevelsAreSubtotals="1" fieldPosition="0"/>
    </format>
    <format dxfId="1293">
      <pivotArea dataOnly="0" labelOnly="1" outline="0" fieldPosition="0">
        <references count="1">
          <reference field="85" count="5">
            <x v="0"/>
            <x v="1"/>
            <x v="7"/>
            <x v="8"/>
            <x v="9"/>
          </reference>
        </references>
      </pivotArea>
    </format>
    <format dxfId="1294">
      <pivotArea dataOnly="0" labelOnly="1" grandCol="1" outline="0" fieldPosition="0"/>
    </format>
    <format dxfId="1295">
      <pivotArea outline="0" collapsedLevelsAreSubtotals="1" fieldPosition="0"/>
    </format>
    <format dxfId="1296">
      <pivotArea dataOnly="0" labelOnly="1" outline="0" fieldPosition="0">
        <references count="1">
          <reference field="85" count="5">
            <x v="0"/>
            <x v="1"/>
            <x v="7"/>
            <x v="8"/>
            <x v="9"/>
          </reference>
        </references>
      </pivotArea>
    </format>
    <format dxfId="1297">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011A218-0684-40EB-90C2-FB5B527F6957}" name="TablaDinámica3" cacheId="1285"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29:E42" firstHeaderRow="1" firstDataRow="2" firstDataCol="1" rowPageCount="1" colPageCount="1"/>
  <pivotFields count="112">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Clasificación" axis="axisCol" compact="0" outline="0" showAll="0">
      <items count="4">
        <item x="2"/>
        <item x="1"/>
        <item h="1"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12">
    <i>
      <x v="5"/>
    </i>
    <i>
      <x v="1"/>
    </i>
    <i>
      <x v="9"/>
    </i>
    <i>
      <x v="6"/>
    </i>
    <i>
      <x v="7"/>
    </i>
    <i>
      <x v="8"/>
    </i>
    <i>
      <x/>
    </i>
    <i>
      <x v="4"/>
    </i>
    <i>
      <x v="2"/>
    </i>
    <i>
      <x v="10"/>
    </i>
    <i>
      <x v="3"/>
    </i>
    <i t="grand">
      <x/>
    </i>
  </rowItems>
  <colFields count="1">
    <field x="78"/>
  </colFields>
  <colItems count="3">
    <i>
      <x/>
    </i>
    <i>
      <x v="1"/>
    </i>
    <i t="grand">
      <x/>
    </i>
  </colItems>
  <pageFields count="1">
    <pageField fld="2" item="0" hier="-1"/>
  </pageFields>
  <dataFields count="1">
    <dataField name="TOTAL GENERAL" fld="1" subtotal="count" baseField="0" baseItem="0"/>
  </dataFields>
  <formats count="26">
    <format dxfId="1266">
      <pivotArea grandRow="1" outline="0" collapsedLevelsAreSubtotals="1" fieldPosition="0"/>
    </format>
    <format dxfId="1267">
      <pivotArea dataOnly="0" labelOnly="1" grandRow="1" outline="0" fieldPosition="0"/>
    </format>
    <format dxfId="1268">
      <pivotArea type="origin" dataOnly="0" labelOnly="1" outline="0" fieldPosition="0"/>
    </format>
    <format dxfId="1269">
      <pivotArea field="78" type="button" dataOnly="0" labelOnly="1" outline="0" axis="axisCol" fieldPosition="0"/>
    </format>
    <format dxfId="1270">
      <pivotArea type="topRight" dataOnly="0" labelOnly="1" outline="0" fieldPosition="0"/>
    </format>
    <format dxfId="1271">
      <pivotArea field="7" type="button" dataOnly="0" labelOnly="1" outline="0" axis="axisRow" fieldPosition="0"/>
    </format>
    <format dxfId="1272">
      <pivotArea dataOnly="0" labelOnly="1" outline="0" fieldPosition="0">
        <references count="1">
          <reference field="78" count="0"/>
        </references>
      </pivotArea>
    </format>
    <format dxfId="1273">
      <pivotArea dataOnly="0" labelOnly="1" grandCol="1" outline="0" fieldPosition="0"/>
    </format>
    <format dxfId="1274">
      <pivotArea grandRow="1" outline="0" collapsedLevelsAreSubtotals="1" fieldPosition="0"/>
    </format>
    <format dxfId="1275">
      <pivotArea dataOnly="0" labelOnly="1" grandRow="1" outline="0" fieldPosition="0"/>
    </format>
    <format dxfId="1276">
      <pivotArea type="origin" dataOnly="0" labelOnly="1" outline="0" fieldPosition="0"/>
    </format>
    <format dxfId="1277">
      <pivotArea field="78" type="button" dataOnly="0" labelOnly="1" outline="0" axis="axisCol" fieldPosition="0"/>
    </format>
    <format dxfId="1278">
      <pivotArea type="topRight" dataOnly="0" labelOnly="1" outline="0" fieldPosition="0"/>
    </format>
    <format dxfId="1279">
      <pivotArea field="7" type="button" dataOnly="0" labelOnly="1" outline="0" axis="axisRow" fieldPosition="0"/>
    </format>
    <format dxfId="1280">
      <pivotArea dataOnly="0" labelOnly="1" outline="0" fieldPosition="0">
        <references count="1">
          <reference field="78" count="0"/>
        </references>
      </pivotArea>
    </format>
    <format dxfId="1281">
      <pivotArea dataOnly="0" labelOnly="1" grandCol="1" outline="0" fieldPosition="0"/>
    </format>
    <format dxfId="1282">
      <pivotArea outline="0" fieldPosition="0">
        <references count="1">
          <reference field="78" count="1" selected="0">
            <x v="1"/>
          </reference>
        </references>
      </pivotArea>
    </format>
    <format dxfId="1283">
      <pivotArea type="topRight" dataOnly="0" labelOnly="1" outline="0" fieldPosition="0"/>
    </format>
    <format dxfId="1284">
      <pivotArea outline="0" fieldPosition="0">
        <references count="1">
          <reference field="78" count="1" selected="0">
            <x v="1"/>
          </reference>
        </references>
      </pivotArea>
    </format>
    <format dxfId="1285">
      <pivotArea type="topRight" dataOnly="0" labelOnly="1" outline="0" fieldPosition="0"/>
    </format>
    <format dxfId="1286">
      <pivotArea outline="0" collapsedLevelsAreSubtotals="1" fieldPosition="0"/>
    </format>
    <format dxfId="1287">
      <pivotArea dataOnly="0" labelOnly="1" outline="0" fieldPosition="0">
        <references count="1">
          <reference field="78" count="0"/>
        </references>
      </pivotArea>
    </format>
    <format dxfId="1288">
      <pivotArea dataOnly="0" labelOnly="1" grandCol="1" outline="0" fieldPosition="0"/>
    </format>
    <format dxfId="1289">
      <pivotArea outline="0" collapsedLevelsAreSubtotals="1" fieldPosition="0"/>
    </format>
    <format dxfId="1290">
      <pivotArea dataOnly="0" labelOnly="1" outline="0" fieldPosition="0">
        <references count="1">
          <reference field="78" count="0"/>
        </references>
      </pivotArea>
    </format>
    <format dxfId="1291">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1504D50-7537-43AE-8751-FC07B530FCF8}" name="TablaDinámica19" cacheId="1285"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346:F355" firstHeaderRow="1" firstDataRow="3" firstDataCol="1" rowPageCount="1" colPageCount="1"/>
  <pivotFields count="112">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sortType="descending">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multipleItemSelectionAllowed="1" showAll="0" defaultSubtotal="0">
      <items count="9">
        <item h="1" x="2"/>
        <item h="1" x="5"/>
        <item h="1" x="8"/>
        <item h="1" x="7"/>
        <item x="6"/>
        <item x="4"/>
        <item h="1" x="1"/>
        <item h="1" x="0"/>
        <item h="1" x="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9">
        <item x="12"/>
        <item x="5"/>
        <item x="7"/>
        <item x="0"/>
        <item x="11"/>
        <item x="10"/>
        <item x="4"/>
        <item x="3"/>
        <item x="1"/>
        <item x="9"/>
        <item x="15"/>
        <item x="13"/>
        <item x="6"/>
        <item x="14"/>
        <item x="8"/>
        <item x="2"/>
        <item x="17"/>
        <item x="1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x="1"/>
        <item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8">
        <item x="1"/>
        <item x="4"/>
        <item x="2"/>
        <item x="5"/>
        <item m="1" x="6"/>
        <item x="3"/>
        <item x="0"/>
        <item t="default"/>
      </items>
    </pivotField>
    <pivotField compact="0" outline="0" showAll="0"/>
  </pivotFields>
  <rowFields count="1">
    <field x="110"/>
  </rowFields>
  <rowItems count="7">
    <i>
      <x/>
    </i>
    <i>
      <x v="1"/>
    </i>
    <i>
      <x v="2"/>
    </i>
    <i>
      <x v="3"/>
    </i>
    <i>
      <x v="5"/>
    </i>
    <i>
      <x v="6"/>
    </i>
    <i t="grand">
      <x/>
    </i>
  </rowItems>
  <colFields count="2">
    <field x="31"/>
    <field x="63"/>
  </colFields>
  <colItems count="4">
    <i>
      <x v="4"/>
      <x v="2"/>
    </i>
    <i>
      <x v="5"/>
      <x v="6"/>
    </i>
    <i r="1">
      <x v="14"/>
    </i>
    <i t="grand">
      <x/>
    </i>
  </colItems>
  <pageFields count="1">
    <pageField fld="78" hier="-1"/>
  </pageFields>
  <dataFields count="1">
    <dataField name="TOTAL" fld="1" subtotal="count" baseField="0" baseItem="0"/>
  </dataFields>
  <formats count="17">
    <format dxfId="1249">
      <pivotArea outline="0" collapsedLevelsAreSubtotals="1" fieldPosition="0"/>
    </format>
    <format dxfId="1250">
      <pivotArea outline="0" collapsedLevelsAreSubtotals="1" fieldPosition="0"/>
    </format>
    <format dxfId="1251">
      <pivotArea type="topRight" dataOnly="0" labelOnly="1" outline="0" fieldPosition="0"/>
    </format>
    <format dxfId="1252">
      <pivotArea type="topRight" dataOnly="0" labelOnly="1" outline="0" fieldPosition="0"/>
    </format>
    <format dxfId="1253">
      <pivotArea dataOnly="0" labelOnly="1" outline="0" fieldPosition="0">
        <references count="1">
          <reference field="110" count="6">
            <x v="0"/>
            <x v="1"/>
            <x v="2"/>
            <x v="3"/>
            <x v="4"/>
            <x v="5"/>
          </reference>
        </references>
      </pivotArea>
    </format>
    <format dxfId="1254">
      <pivotArea dataOnly="0" labelOnly="1" outline="0" fieldPosition="0">
        <references count="1">
          <reference field="110" count="6">
            <x v="0"/>
            <x v="1"/>
            <x v="2"/>
            <x v="3"/>
            <x v="4"/>
            <x v="5"/>
          </reference>
        </references>
      </pivotArea>
    </format>
    <format dxfId="1255">
      <pivotArea dataOnly="0" labelOnly="1" outline="0" fieldPosition="0">
        <references count="1">
          <reference field="110" count="6">
            <x v="0"/>
            <x v="1"/>
            <x v="2"/>
            <x v="3"/>
            <x v="4"/>
            <x v="5"/>
          </reference>
        </references>
      </pivotArea>
    </format>
    <format dxfId="1256">
      <pivotArea outline="0" fieldPosition="0">
        <references count="1">
          <reference field="110" count="6" selected="0">
            <x v="0"/>
            <x v="1"/>
            <x v="2"/>
            <x v="3"/>
            <x v="4"/>
            <x v="5"/>
          </reference>
        </references>
      </pivotArea>
    </format>
    <format dxfId="1257">
      <pivotArea dataOnly="0" labelOnly="1" outline="0" fieldPosition="0">
        <references count="1">
          <reference field="31" count="0"/>
        </references>
      </pivotArea>
    </format>
    <format dxfId="1258">
      <pivotArea dataOnly="0" labelOnly="1" grandCol="1" outline="0" fieldPosition="0"/>
    </format>
    <format dxfId="1259">
      <pivotArea dataOnly="0" labelOnly="1" outline="0" fieldPosition="0">
        <references count="2">
          <reference field="31" count="1" selected="0">
            <x v="4"/>
          </reference>
          <reference field="63" count="1">
            <x v="2"/>
          </reference>
        </references>
      </pivotArea>
    </format>
    <format dxfId="1260">
      <pivotArea dataOnly="0" labelOnly="1" outline="0" fieldPosition="0">
        <references count="2">
          <reference field="31" count="1" selected="0">
            <x v="5"/>
          </reference>
          <reference field="63" count="2">
            <x v="6"/>
            <x v="14"/>
          </reference>
        </references>
      </pivotArea>
    </format>
    <format dxfId="1261">
      <pivotArea outline="0" fieldPosition="0">
        <references count="1">
          <reference field="110" count="6" selected="0">
            <x v="0"/>
            <x v="1"/>
            <x v="2"/>
            <x v="3"/>
            <x v="4"/>
            <x v="5"/>
          </reference>
        </references>
      </pivotArea>
    </format>
    <format dxfId="1262">
      <pivotArea dataOnly="0" labelOnly="1" outline="0" fieldPosition="0">
        <references count="1">
          <reference field="31" count="0"/>
        </references>
      </pivotArea>
    </format>
    <format dxfId="1263">
      <pivotArea dataOnly="0" labelOnly="1" grandCol="1" outline="0" fieldPosition="0"/>
    </format>
    <format dxfId="1264">
      <pivotArea dataOnly="0" labelOnly="1" outline="0" fieldPosition="0">
        <references count="2">
          <reference field="31" count="1" selected="0">
            <x v="4"/>
          </reference>
          <reference field="63" count="1">
            <x v="2"/>
          </reference>
        </references>
      </pivotArea>
    </format>
    <format dxfId="1265">
      <pivotArea dataOnly="0" labelOnly="1" outline="0" fieldPosition="0">
        <references count="2">
          <reference field="31" count="1" selected="0">
            <x v="5"/>
          </reference>
          <reference field="63" count="2">
            <x v="6"/>
            <x v="1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05E40DB-8A16-45A4-A078-C8DF4E1B8B4A}" name="TablaDinámica10" cacheId="1285"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151:D157" firstHeaderRow="0" firstDataRow="1" firstDataCol="1" rowPageCount="4" colPageCount="1"/>
  <pivotFields count="112">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8">
        <item x="1"/>
        <item x="0"/>
        <item m="1" x="6"/>
        <item x="2"/>
        <item x="3"/>
        <item m="1" x="5"/>
        <item m="1"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0">
        <item x="2"/>
        <item x="5"/>
        <item x="8"/>
        <item x="7"/>
        <item x="6"/>
        <item x="4"/>
        <item x="1"/>
        <item x="0"/>
        <item x="3"/>
        <item t="default"/>
      </items>
    </pivotField>
    <pivotField compact="0" outline="0" multipleItemSelectionAllowed="1"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x="1"/>
        <item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m="1" x="4"/>
        <item m="1" x="3"/>
        <item h="1" x="0"/>
        <item x="1"/>
        <item h="1" x="2"/>
        <item t="default"/>
      </items>
    </pivotField>
    <pivotField compact="0" outline="0" showAll="0"/>
    <pivotField compact="0" outline="0" showAll="0"/>
    <pivotField compact="0" outline="0" showAll="0"/>
  </pivotFields>
  <rowFields count="1">
    <field x="31"/>
  </rowFields>
  <rowItems count="6">
    <i>
      <x/>
    </i>
    <i>
      <x v="1"/>
    </i>
    <i>
      <x v="3"/>
    </i>
    <i>
      <x v="4"/>
    </i>
    <i>
      <x v="5"/>
    </i>
    <i t="grand">
      <x/>
    </i>
  </rowItems>
  <colFields count="1">
    <field x="-2"/>
  </colFields>
  <colItems count="2">
    <i>
      <x/>
    </i>
    <i i="1">
      <x v="1"/>
    </i>
  </colItems>
  <pageFields count="4">
    <pageField fld="2" item="0" hier="-1"/>
    <pageField fld="78" item="0" hier="-1"/>
    <pageField fld="108" hier="-1"/>
    <pageField fld="17" hier="-1"/>
  </pageFields>
  <dataFields count="2">
    <dataField name="TOTAL" fld="1" subtotal="count" baseField="0" baseItem="0"/>
    <dataField name="PORCENTAJE" fld="1" subtotal="count" showDataAs="percentOfTotal" baseField="0" baseItem="0" numFmtId="10"/>
  </dataFields>
  <formats count="6">
    <format dxfId="1243">
      <pivotArea outline="0" fieldPosition="0">
        <references count="1">
          <reference field="4294967294" count="1" selected="0">
            <x v="1"/>
          </reference>
        </references>
      </pivotArea>
    </format>
    <format dxfId="1244">
      <pivotArea outline="0" fieldPosition="0">
        <references count="1">
          <reference field="4294967294" count="1" selected="0">
            <x v="1"/>
          </reference>
        </references>
      </pivotArea>
    </format>
    <format dxfId="1245">
      <pivotArea outline="0" collapsedLevelsAreSubtotals="1" fieldPosition="0"/>
    </format>
    <format dxfId="1246">
      <pivotArea dataOnly="0" labelOnly="1" outline="0" fieldPosition="0">
        <references count="1">
          <reference field="4294967294" count="2">
            <x v="0"/>
            <x v="1"/>
          </reference>
        </references>
      </pivotArea>
    </format>
    <format dxfId="1247">
      <pivotArea outline="0" collapsedLevelsAreSubtotals="1" fieldPosition="0"/>
    </format>
    <format dxfId="1248">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4DC28A0-A1B6-4063-965E-A9ABB0976249}" name="TablaDinámica1" cacheId="1285" applyNumberFormats="0" applyBorderFormats="0" applyFontFormats="0" applyPatternFormats="0" applyAlignmentFormats="0" applyWidthHeightFormats="1" dataCaption="Valores" updatedVersion="8" minRefreshableVersion="3" itemPrintTitles="1" createdVersion="8" indent="0" compact="0" compactData="0" multipleFieldFilters="0" chartFormat="3">
  <location ref="B11:D20" firstHeaderRow="0" firstDataRow="1" firstDataCol="1" rowPageCount="2" colPageCount="1"/>
  <pivotFields count="112">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0">
        <item x="2"/>
        <item x="5"/>
        <item x="8"/>
        <item x="7"/>
        <item x="6"/>
        <item x="4"/>
        <item x="1"/>
        <item h="1"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m="1" x="4"/>
        <item m="1" x="3"/>
        <item x="0"/>
        <item x="1"/>
        <item x="2"/>
        <item t="default"/>
      </items>
    </pivotField>
    <pivotField compact="0" outline="0" showAll="0"/>
    <pivotField compact="0" outline="0" showAll="0"/>
    <pivotField compact="0" outline="0" showAll="0"/>
  </pivotFields>
  <rowFields count="1">
    <field x="31"/>
  </rowFields>
  <rowItems count="9">
    <i>
      <x/>
    </i>
    <i>
      <x v="1"/>
    </i>
    <i>
      <x v="2"/>
    </i>
    <i>
      <x v="3"/>
    </i>
    <i>
      <x v="4"/>
    </i>
    <i>
      <x v="5"/>
    </i>
    <i>
      <x v="6"/>
    </i>
    <i>
      <x v="8"/>
    </i>
    <i t="grand">
      <x/>
    </i>
  </rowItems>
  <colFields count="1">
    <field x="-2"/>
  </colFields>
  <colItems count="2">
    <i>
      <x/>
    </i>
    <i i="1">
      <x v="1"/>
    </i>
  </colItems>
  <pageFields count="2">
    <pageField fld="2" item="0" hier="-1"/>
    <pageField fld="108" hier="-1"/>
  </pageFields>
  <dataFields count="2">
    <dataField name="TOTAL GENERAL" fld="1" subtotal="count" baseField="0" baseItem="0"/>
    <dataField name="PORCENTAJE" fld="1" subtotal="count" showDataAs="percentOfTotal" baseField="0" baseItem="0" numFmtId="10"/>
  </dataFields>
  <formats count="24">
    <format dxfId="1219">
      <pivotArea field="31" type="button" dataOnly="0" labelOnly="1" outline="0" axis="axisRow" fieldPosition="0"/>
    </format>
    <format dxfId="1220">
      <pivotArea dataOnly="0" labelOnly="1" outline="0" fieldPosition="0">
        <references count="1">
          <reference field="4294967294" count="2">
            <x v="0"/>
            <x v="1"/>
          </reference>
        </references>
      </pivotArea>
    </format>
    <format dxfId="1221">
      <pivotArea grandRow="1" outline="0" collapsedLevelsAreSubtotals="1" fieldPosition="0"/>
    </format>
    <format dxfId="1222">
      <pivotArea dataOnly="0" labelOnly="1" grandRow="1" outline="0" fieldPosition="0"/>
    </format>
    <format dxfId="1223">
      <pivotArea field="31" type="button" dataOnly="0" labelOnly="1" outline="0" axis="axisRow" fieldPosition="0"/>
    </format>
    <format dxfId="1224">
      <pivotArea dataOnly="0" labelOnly="1" outline="0" fieldPosition="0">
        <references count="1">
          <reference field="4294967294" count="2">
            <x v="0"/>
            <x v="1"/>
          </reference>
        </references>
      </pivotArea>
    </format>
    <format dxfId="1225">
      <pivotArea grandRow="1" outline="0" collapsedLevelsAreSubtotals="1" fieldPosition="0"/>
    </format>
    <format dxfId="1226">
      <pivotArea dataOnly="0" labelOnly="1" grandRow="1" outline="0" fieldPosition="0"/>
    </format>
    <format dxfId="1227">
      <pivotArea type="all" dataOnly="0" outline="0" fieldPosition="0"/>
    </format>
    <format dxfId="1228">
      <pivotArea outline="0" collapsedLevelsAreSubtotals="1" fieldPosition="0"/>
    </format>
    <format dxfId="1229">
      <pivotArea field="31" type="button" dataOnly="0" labelOnly="1" outline="0" axis="axisRow" fieldPosition="0"/>
    </format>
    <format dxfId="1230">
      <pivotArea dataOnly="0" labelOnly="1" outline="0" fieldPosition="0">
        <references count="1">
          <reference field="31" count="0"/>
        </references>
      </pivotArea>
    </format>
    <format dxfId="1231">
      <pivotArea dataOnly="0" labelOnly="1" grandRow="1" outline="0" fieldPosition="0"/>
    </format>
    <format dxfId="1232">
      <pivotArea dataOnly="0" labelOnly="1" outline="0" fieldPosition="0">
        <references count="1">
          <reference field="4294967294" count="2">
            <x v="0"/>
            <x v="1"/>
          </reference>
        </references>
      </pivotArea>
    </format>
    <format dxfId="1233">
      <pivotArea grandRow="1" outline="0" collapsedLevelsAreSubtotals="1" fieldPosition="0"/>
    </format>
    <format dxfId="1234">
      <pivotArea dataOnly="0" labelOnly="1" grandRow="1" outline="0" fieldPosition="0"/>
    </format>
    <format dxfId="1235">
      <pivotArea field="31" type="button" dataOnly="0" labelOnly="1" outline="0" axis="axisRow" fieldPosition="0"/>
    </format>
    <format dxfId="1236">
      <pivotArea dataOnly="0" labelOnly="1" outline="0" fieldPosition="0">
        <references count="1">
          <reference field="4294967294" count="2">
            <x v="0"/>
            <x v="1"/>
          </reference>
        </references>
      </pivotArea>
    </format>
    <format dxfId="1237">
      <pivotArea dataOnly="0" labelOnly="1" outline="0" fieldPosition="0">
        <references count="1">
          <reference field="4294967294" count="1">
            <x v="1"/>
          </reference>
        </references>
      </pivotArea>
    </format>
    <format dxfId="1238">
      <pivotArea outline="0" fieldPosition="0">
        <references count="1">
          <reference field="4294967294" count="1" selected="0">
            <x v="1"/>
          </reference>
        </references>
      </pivotArea>
    </format>
    <format dxfId="1239">
      <pivotArea outline="0" fieldPosition="0">
        <references count="1">
          <reference field="4294967294" count="1" selected="0">
            <x v="1"/>
          </reference>
        </references>
      </pivotArea>
    </format>
    <format dxfId="1240">
      <pivotArea dataOnly="0" labelOnly="1" outline="0" fieldPosition="0">
        <references count="1">
          <reference field="4294967294" count="1">
            <x v="1"/>
          </reference>
        </references>
      </pivotArea>
    </format>
    <format dxfId="1241">
      <pivotArea outline="0" collapsedLevelsAreSubtotals="1" fieldPosition="0"/>
    </format>
    <format dxfId="1242">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D101555-049E-4A98-ACE4-0FF7FF17A6F3}" name="TablaDinámica8" cacheId="1285"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H111:L121" firstHeaderRow="1" firstDataRow="2" firstDataCol="1" rowPageCount="2" colPageCount="1"/>
  <pivotFields count="112">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10"/>
        <item x="3"/>
        <item x="0"/>
        <item x="1"/>
        <item x="5"/>
        <item x="7"/>
        <item x="8"/>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x="2"/>
        <item x="4"/>
        <item h="1" x="1"/>
        <item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7">
        <item x="2"/>
        <item x="5"/>
        <item x="4"/>
        <item x="1"/>
        <item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6">
        <item m="1" x="4"/>
        <item m="1" x="3"/>
        <item h="1" x="0"/>
        <item x="1"/>
        <item h="1" x="2"/>
        <item t="default"/>
      </items>
    </pivotField>
    <pivotField compact="0" outline="0" showAll="0"/>
    <pivotField compact="0" outline="0" showAll="0"/>
    <pivotField compact="0" outline="0" showAll="0"/>
  </pivotFields>
  <rowFields count="1">
    <field x="7"/>
  </rowFields>
  <rowItems count="9">
    <i>
      <x v="6"/>
    </i>
    <i>
      <x v="1"/>
    </i>
    <i>
      <x v="8"/>
    </i>
    <i>
      <x v="9"/>
    </i>
    <i>
      <x v="7"/>
    </i>
    <i>
      <x v="10"/>
    </i>
    <i>
      <x v="4"/>
    </i>
    <i>
      <x v="2"/>
    </i>
    <i t="grand">
      <x/>
    </i>
  </rowItems>
  <colFields count="1">
    <field x="101"/>
  </colFields>
  <colItems count="4">
    <i>
      <x/>
    </i>
    <i>
      <x v="1"/>
    </i>
    <i>
      <x v="2"/>
    </i>
    <i t="grand">
      <x/>
    </i>
  </colItems>
  <pageFields count="2">
    <pageField fld="32" hier="-1"/>
    <pageField fld="108" item="3" hier="-1"/>
  </pageFields>
  <dataFields count="1">
    <dataField name="TOTAL"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376B2B7-AAC1-4E6B-9704-A77BBBF9E9CE}" name="TablaDinámica14" cacheId="1285"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256:I265" firstHeaderRow="1" firstDataRow="2" firstDataCol="1" rowPageCount="2" colPageCount="1"/>
  <pivotFields count="112">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0">
        <item x="5"/>
        <item x="7"/>
        <item x="4"/>
        <item x="3"/>
        <item x="2"/>
        <item x="0"/>
        <item m="1" x="8"/>
        <item x="1"/>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h="1" x="2"/>
        <item x="1"/>
        <item h="1"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6">
        <item m="1" x="4"/>
        <item m="1" x="3"/>
        <item x="0"/>
        <item x="1"/>
        <item x="2"/>
        <item t="default"/>
      </items>
    </pivotField>
    <pivotField compact="0" outline="0" showAll="0"/>
    <pivotField compact="0" outline="0" showAll="0"/>
    <pivotField compact="0" outline="0" showAll="0"/>
  </pivotFields>
  <rowFields count="1">
    <field x="7"/>
  </rowFields>
  <rowItems count="8">
    <i>
      <x v="5"/>
    </i>
    <i>
      <x v="7"/>
    </i>
    <i>
      <x/>
    </i>
    <i>
      <x v="8"/>
    </i>
    <i>
      <x v="6"/>
    </i>
    <i>
      <x v="1"/>
    </i>
    <i>
      <x v="4"/>
    </i>
    <i t="grand">
      <x/>
    </i>
  </rowItems>
  <colFields count="1">
    <field x="51"/>
  </colFields>
  <colItems count="7">
    <i>
      <x v="1"/>
    </i>
    <i>
      <x v="2"/>
    </i>
    <i>
      <x v="3"/>
    </i>
    <i>
      <x v="4"/>
    </i>
    <i>
      <x v="7"/>
    </i>
    <i>
      <x v="8"/>
    </i>
    <i t="grand">
      <x/>
    </i>
  </colItems>
  <pageFields count="2">
    <pageField fld="78" item="1" hier="-1"/>
    <pageField fld="108" item="3" hier="-1"/>
  </pageFields>
  <dataFields count="1">
    <dataField name="TOTAL" fld="1" subtotal="count" baseField="0" baseItem="0"/>
  </dataFields>
  <formats count="9">
    <format dxfId="1210">
      <pivotArea outline="0" collapsedLevelsAreSubtotals="1" fieldPosition="0"/>
    </format>
    <format dxfId="1211">
      <pivotArea dataOnly="0" labelOnly="1" grandCol="1" outline="0" fieldPosition="0"/>
    </format>
    <format dxfId="1212">
      <pivotArea outline="0" collapsedLevelsAreSubtotals="1" fieldPosition="0"/>
    </format>
    <format dxfId="1213">
      <pivotArea dataOnly="0" labelOnly="1" grandCol="1" outline="0" fieldPosition="0"/>
    </format>
    <format dxfId="1214">
      <pivotArea type="topRight" dataOnly="0" labelOnly="1" outline="0" fieldPosition="0"/>
    </format>
    <format dxfId="1215">
      <pivotArea type="topRight" dataOnly="0" labelOnly="1" outline="0" fieldPosition="0"/>
    </format>
    <format dxfId="1216">
      <pivotArea outline="0" collapsedLevelsAreSubtotals="1" fieldPosition="0"/>
    </format>
    <format dxfId="1217">
      <pivotArea dataOnly="0" labelOnly="1" outline="0" fieldPosition="0">
        <references count="1">
          <reference field="7" count="9">
            <x v="0"/>
            <x v="1"/>
            <x v="2"/>
            <x v="4"/>
            <x v="5"/>
            <x v="6"/>
            <x v="7"/>
            <x v="8"/>
            <x v="9"/>
          </reference>
        </references>
      </pivotArea>
    </format>
    <format dxfId="1218">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15D1B94-B721-46D1-987B-DF48D7654DDE}" name="TablaDinámica4" cacheId="1285"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55:T67" firstHeaderRow="1" firstDataRow="3" firstDataCol="1" rowPageCount="2" colPageCount="1"/>
  <pivotFields count="112">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6">
        <item h="1" x="2"/>
        <item h="1" x="4"/>
        <item x="1"/>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0">
        <item m="1" x="8"/>
        <item x="5"/>
        <item x="7"/>
        <item x="4"/>
        <item x="3"/>
        <item x="2"/>
        <item x="0"/>
        <item x="1"/>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6">
        <item m="1" x="4"/>
        <item m="1" x="3"/>
        <item x="0"/>
        <item x="1"/>
        <item x="2"/>
        <item t="default"/>
      </items>
    </pivotField>
    <pivotField compact="0" outline="0" showAll="0"/>
    <pivotField compact="0" outline="0" showAll="0"/>
    <pivotField compact="0" outline="0" showAll="0"/>
  </pivotFields>
  <rowFields count="1">
    <field x="7"/>
  </rowFields>
  <rowItems count="10">
    <i>
      <x v="5"/>
    </i>
    <i>
      <x v="7"/>
    </i>
    <i>
      <x v="6"/>
    </i>
    <i>
      <x v="1"/>
    </i>
    <i>
      <x v="9"/>
    </i>
    <i>
      <x/>
    </i>
    <i>
      <x v="8"/>
    </i>
    <i>
      <x v="4"/>
    </i>
    <i>
      <x v="2"/>
    </i>
    <i t="grand">
      <x/>
    </i>
  </rowItems>
  <colFields count="2">
    <field x="108"/>
    <field x="51"/>
  </colFields>
  <colItems count="18">
    <i>
      <x v="2"/>
      <x v="3"/>
    </i>
    <i r="1">
      <x v="4"/>
    </i>
    <i r="1">
      <x v="5"/>
    </i>
    <i r="1">
      <x v="7"/>
    </i>
    <i r="1">
      <x v="8"/>
    </i>
    <i t="default">
      <x v="2"/>
    </i>
    <i>
      <x v="3"/>
      <x v="2"/>
    </i>
    <i r="1">
      <x v="3"/>
    </i>
    <i r="1">
      <x v="4"/>
    </i>
    <i r="1">
      <x v="5"/>
    </i>
    <i r="1">
      <x v="7"/>
    </i>
    <i r="1">
      <x v="8"/>
    </i>
    <i t="default">
      <x v="3"/>
    </i>
    <i>
      <x v="4"/>
      <x v="2"/>
    </i>
    <i r="1">
      <x v="4"/>
    </i>
    <i r="1">
      <x v="7"/>
    </i>
    <i t="default">
      <x v="4"/>
    </i>
    <i t="grand">
      <x/>
    </i>
  </colItems>
  <pageFields count="2">
    <pageField fld="2" item="0" hier="-1"/>
    <pageField fld="32" item="2" hier="-1"/>
  </pageFields>
  <dataFields count="1">
    <dataField name="Total General" fld="1" subtotal="count" baseField="0" baseItem="0"/>
  </dataFields>
  <formats count="47">
    <format dxfId="1163">
      <pivotArea field="7" type="button" dataOnly="0" labelOnly="1" outline="0" axis="axisRow" fieldPosition="0"/>
    </format>
    <format dxfId="1164">
      <pivotArea dataOnly="0" labelOnly="1" outline="0" fieldPosition="0">
        <references count="1">
          <reference field="4294967294" count="1">
            <x v="0"/>
          </reference>
        </references>
      </pivotArea>
    </format>
    <format dxfId="1165">
      <pivotArea grandRow="1" outline="0" collapsedLevelsAreSubtotals="1" fieldPosition="0"/>
    </format>
    <format dxfId="1166">
      <pivotArea dataOnly="0" labelOnly="1" grandRow="1" outline="0" fieldPosition="0"/>
    </format>
    <format dxfId="1167">
      <pivotArea field="7" type="button" dataOnly="0" labelOnly="1" outline="0" axis="axisRow" fieldPosition="0"/>
    </format>
    <format dxfId="1168">
      <pivotArea dataOnly="0" labelOnly="1" outline="0" fieldPosition="0">
        <references count="1">
          <reference field="4294967294" count="1">
            <x v="0"/>
          </reference>
        </references>
      </pivotArea>
    </format>
    <format dxfId="1169">
      <pivotArea grandRow="1" outline="0" collapsedLevelsAreSubtotals="1" fieldPosition="0"/>
    </format>
    <format dxfId="1170">
      <pivotArea dataOnly="0" labelOnly="1" grandRow="1" outline="0" fieldPosition="0"/>
    </format>
    <format dxfId="1171">
      <pivotArea dataOnly="0" labelOnly="1" outline="0" fieldPosition="0">
        <references count="1">
          <reference field="4294967294" count="1">
            <x v="0"/>
          </reference>
        </references>
      </pivotArea>
    </format>
    <format dxfId="1172">
      <pivotArea dataOnly="0" labelOnly="1" outline="0" fieldPosition="0">
        <references count="1">
          <reference field="4294967294" count="1">
            <x v="0"/>
          </reference>
        </references>
      </pivotArea>
    </format>
    <format dxfId="1173">
      <pivotArea outline="0" collapsedLevelsAreSubtotals="1" fieldPosition="0"/>
    </format>
    <format dxfId="1174">
      <pivotArea dataOnly="0" labelOnly="1" outline="0" fieldPosition="0">
        <references count="1">
          <reference field="51" count="3">
            <x v="3"/>
            <x v="4"/>
            <x v="5"/>
          </reference>
        </references>
      </pivotArea>
    </format>
    <format dxfId="1175">
      <pivotArea dataOnly="0" labelOnly="1" grandCol="1" outline="0" fieldPosition="0"/>
    </format>
    <format dxfId="1176">
      <pivotArea outline="0" collapsedLevelsAreSubtotals="1" fieldPosition="0"/>
    </format>
    <format dxfId="1177">
      <pivotArea dataOnly="0" labelOnly="1" outline="0" fieldPosition="0">
        <references count="1">
          <reference field="51" count="3">
            <x v="3"/>
            <x v="4"/>
            <x v="5"/>
          </reference>
        </references>
      </pivotArea>
    </format>
    <format dxfId="1178">
      <pivotArea dataOnly="0" labelOnly="1" grandCol="1" outline="0" fieldPosition="0"/>
    </format>
    <format dxfId="1179">
      <pivotArea type="origin" dataOnly="0" labelOnly="1" outline="0" fieldPosition="0"/>
    </format>
    <format dxfId="1180">
      <pivotArea field="108" type="button" dataOnly="0" labelOnly="1" outline="0" axis="axisCol" fieldPosition="0"/>
    </format>
    <format dxfId="1181">
      <pivotArea field="51" type="button" dataOnly="0" labelOnly="1" outline="0" axis="axisCol" fieldPosition="1"/>
    </format>
    <format dxfId="1182">
      <pivotArea type="topRight" dataOnly="0" labelOnly="1" outline="0" fieldPosition="0"/>
    </format>
    <format dxfId="1183">
      <pivotArea field="7" type="button" dataOnly="0" labelOnly="1" outline="0" axis="axisRow" fieldPosition="0"/>
    </format>
    <format dxfId="1184">
      <pivotArea dataOnly="0" labelOnly="1" outline="0" fieldPosition="0">
        <references count="1">
          <reference field="108" count="0"/>
        </references>
      </pivotArea>
    </format>
    <format dxfId="1185">
      <pivotArea dataOnly="0" labelOnly="1" grandCol="1" outline="0" fieldPosition="0"/>
    </format>
    <format dxfId="1186">
      <pivotArea dataOnly="0" labelOnly="1" outline="0" fieldPosition="0">
        <references count="2">
          <reference field="51" count="4">
            <x v="3"/>
            <x v="4"/>
            <x v="5"/>
            <x v="7"/>
          </reference>
          <reference field="108" count="1" selected="0">
            <x v="2"/>
          </reference>
        </references>
      </pivotArea>
    </format>
    <format dxfId="1187">
      <pivotArea dataOnly="0" labelOnly="1" outline="0" fieldPosition="0">
        <references count="2">
          <reference field="51" count="5">
            <x v="2"/>
            <x v="3"/>
            <x v="4"/>
            <x v="5"/>
            <x v="7"/>
          </reference>
          <reference field="108" count="1" selected="0">
            <x v="3"/>
          </reference>
        </references>
      </pivotArea>
    </format>
    <format dxfId="1188">
      <pivotArea type="origin" dataOnly="0" labelOnly="1" outline="0" fieldPosition="0"/>
    </format>
    <format dxfId="1189">
      <pivotArea field="108" type="button" dataOnly="0" labelOnly="1" outline="0" axis="axisCol" fieldPosition="0"/>
    </format>
    <format dxfId="1190">
      <pivotArea field="51" type="button" dataOnly="0" labelOnly="1" outline="0" axis="axisCol" fieldPosition="1"/>
    </format>
    <format dxfId="1191">
      <pivotArea type="topRight" dataOnly="0" labelOnly="1" outline="0" fieldPosition="0"/>
    </format>
    <format dxfId="1192">
      <pivotArea field="7" type="button" dataOnly="0" labelOnly="1" outline="0" axis="axisRow" fieldPosition="0"/>
    </format>
    <format dxfId="1193">
      <pivotArea dataOnly="0" labelOnly="1" outline="0" fieldPosition="0">
        <references count="1">
          <reference field="108" count="0"/>
        </references>
      </pivotArea>
    </format>
    <format dxfId="1194">
      <pivotArea dataOnly="0" labelOnly="1" grandCol="1" outline="0" fieldPosition="0"/>
    </format>
    <format dxfId="1195">
      <pivotArea dataOnly="0" labelOnly="1" outline="0" fieldPosition="0">
        <references count="2">
          <reference field="51" count="4">
            <x v="3"/>
            <x v="4"/>
            <x v="5"/>
            <x v="7"/>
          </reference>
          <reference field="108" count="1" selected="0">
            <x v="2"/>
          </reference>
        </references>
      </pivotArea>
    </format>
    <format dxfId="1196">
      <pivotArea dataOnly="0" labelOnly="1" outline="0" fieldPosition="0">
        <references count="2">
          <reference field="51" count="5">
            <x v="2"/>
            <x v="3"/>
            <x v="4"/>
            <x v="5"/>
            <x v="7"/>
          </reference>
          <reference field="108" count="1" selected="0">
            <x v="3"/>
          </reference>
        </references>
      </pivotArea>
    </format>
    <format dxfId="1197">
      <pivotArea type="all" dataOnly="0" outline="0" fieldPosition="0"/>
    </format>
    <format dxfId="1198">
      <pivotArea outline="0" collapsedLevelsAreSubtotals="1" fieldPosition="0"/>
    </format>
    <format dxfId="1199">
      <pivotArea type="origin" dataOnly="0" labelOnly="1" outline="0" fieldPosition="0"/>
    </format>
    <format dxfId="1200">
      <pivotArea field="108" type="button" dataOnly="0" labelOnly="1" outline="0" axis="axisCol" fieldPosition="0"/>
    </format>
    <format dxfId="1201">
      <pivotArea field="51" type="button" dataOnly="0" labelOnly="1" outline="0" axis="axisCol" fieldPosition="1"/>
    </format>
    <format dxfId="1202">
      <pivotArea type="topRight" dataOnly="0" labelOnly="1" outline="0" fieldPosition="0"/>
    </format>
    <format dxfId="1203">
      <pivotArea field="7" type="button" dataOnly="0" labelOnly="1" outline="0" axis="axisRow" fieldPosition="0"/>
    </format>
    <format dxfId="1204">
      <pivotArea dataOnly="0" labelOnly="1" outline="0" fieldPosition="0">
        <references count="1">
          <reference field="7" count="9">
            <x v="0"/>
            <x v="1"/>
            <x v="2"/>
            <x v="4"/>
            <x v="5"/>
            <x v="6"/>
            <x v="7"/>
            <x v="8"/>
            <x v="9"/>
          </reference>
        </references>
      </pivotArea>
    </format>
    <format dxfId="1205">
      <pivotArea dataOnly="0" labelOnly="1" grandRow="1" outline="0" fieldPosition="0"/>
    </format>
    <format dxfId="1206">
      <pivotArea dataOnly="0" labelOnly="1" outline="0" fieldPosition="0">
        <references count="1">
          <reference field="108" count="0"/>
        </references>
      </pivotArea>
    </format>
    <format dxfId="1207">
      <pivotArea dataOnly="0" labelOnly="1" grandCol="1" outline="0" fieldPosition="0"/>
    </format>
    <format dxfId="1208">
      <pivotArea dataOnly="0" labelOnly="1" outline="0" fieldPosition="0">
        <references count="2">
          <reference field="51" count="4">
            <x v="3"/>
            <x v="4"/>
            <x v="5"/>
            <x v="7"/>
          </reference>
          <reference field="108" count="1" selected="0">
            <x v="2"/>
          </reference>
        </references>
      </pivotArea>
    </format>
    <format dxfId="1209">
      <pivotArea dataOnly="0" labelOnly="1" outline="0" fieldPosition="0">
        <references count="2">
          <reference field="51" count="5">
            <x v="2"/>
            <x v="3"/>
            <x v="4"/>
            <x v="5"/>
            <x v="7"/>
          </reference>
          <reference field="108"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B0F8497-108D-44A8-9B3C-95B00B3A4ACC}" name="TablaDinámica15" cacheId="1285" applyNumberFormats="0" applyBorderFormats="0" applyFontFormats="0" applyPatternFormats="0" applyAlignmentFormats="0" applyWidthHeightFormats="1" dataCaption="Valores" missingCaption="" updatedVersion="8" minRefreshableVersion="3" itemPrintTitles="1" createdVersion="8" indent="0" compact="0" compactData="0" multipleFieldFilters="0">
  <location ref="B274:D278" firstHeaderRow="1" firstDataRow="1" firstDataCol="2" rowPageCount="2" colPageCount="1"/>
  <pivotFields count="112">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9">
        <item sd="0" x="2"/>
        <item sd="0" x="5"/>
        <item x="8"/>
        <item sd="0" x="7"/>
        <item sd="0" x="6"/>
        <item sd="0" x="4"/>
        <item x="1"/>
        <item x="0"/>
        <item x="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h="1" x="1"/>
        <item h="1"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7">
        <item m="1" x="21"/>
        <item m="1" x="18"/>
        <item m="1" x="19"/>
        <item m="1" x="20"/>
        <item m="1" x="22"/>
        <item m="1" x="23"/>
        <item m="1" x="24"/>
        <item m="1" x="25"/>
        <item m="1" x="16"/>
        <item h="1" x="0"/>
        <item h="1" x="9"/>
        <item h="1" x="11"/>
        <item x="4"/>
        <item h="1" x="1"/>
        <item h="1" x="8"/>
        <item h="1" x="6"/>
        <item h="1" x="10"/>
        <item h="1" x="5"/>
        <item h="1" x="2"/>
        <item h="1" x="14"/>
        <item m="1" x="17"/>
        <item h="1" x="3"/>
        <item h="1" x="7"/>
        <item h="1" x="13"/>
        <item h="1" x="15"/>
        <item h="1" x="12"/>
        <item t="default"/>
      </items>
    </pivotField>
    <pivotField compact="0" outline="0" showAll="0"/>
    <pivotField compact="0" outline="0" showAll="0"/>
    <pivotField compact="0" outline="0" showAll="0"/>
    <pivotField compact="0" outline="0" showAll="0"/>
  </pivotFields>
  <rowFields count="2">
    <field x="31"/>
    <field x="7"/>
  </rowFields>
  <rowItems count="4">
    <i>
      <x v="1"/>
    </i>
    <i>
      <x v="4"/>
    </i>
    <i>
      <x v="5"/>
    </i>
    <i t="grand">
      <x/>
    </i>
  </rowItems>
  <colItems count="1">
    <i/>
  </colItems>
  <pageFields count="2">
    <pageField fld="78" item="0" hier="-1"/>
    <pageField fld="107" item="12" hier="-1"/>
  </pageFields>
  <dataFields count="1">
    <dataField name="TOTAL" fld="1" subtotal="count" baseField="0" baseItem="0"/>
  </dataFields>
  <formats count="16">
    <format dxfId="1147">
      <pivotArea outline="0" collapsedLevelsAreSubtotals="1" fieldPosition="0"/>
    </format>
    <format dxfId="1148">
      <pivotArea dataOnly="0" labelOnly="1" outline="0" fieldPosition="0">
        <references count="1">
          <reference field="107" count="10">
            <x v="8"/>
            <x v="10"/>
            <x v="12"/>
            <x v="13"/>
            <x v="14"/>
            <x v="15"/>
            <x v="16"/>
            <x v="17"/>
            <x v="18"/>
            <x v="19"/>
          </reference>
        </references>
      </pivotArea>
    </format>
    <format dxfId="1149">
      <pivotArea dataOnly="0" labelOnly="1" grandCol="1" outline="0" fieldPosition="0"/>
    </format>
    <format dxfId="1150">
      <pivotArea outline="0" collapsedLevelsAreSubtotals="1" fieldPosition="0"/>
    </format>
    <format dxfId="1151">
      <pivotArea dataOnly="0" labelOnly="1" outline="0" fieldPosition="0">
        <references count="1">
          <reference field="107" count="10">
            <x v="8"/>
            <x v="10"/>
            <x v="12"/>
            <x v="13"/>
            <x v="14"/>
            <x v="15"/>
            <x v="16"/>
            <x v="17"/>
            <x v="18"/>
            <x v="19"/>
          </reference>
        </references>
      </pivotArea>
    </format>
    <format dxfId="1152">
      <pivotArea dataOnly="0" labelOnly="1" grandCol="1" outline="0" fieldPosition="0"/>
    </format>
    <format dxfId="1153">
      <pivotArea outline="0" fieldPosition="0">
        <references count="1">
          <reference field="107" count="1" selected="0">
            <x v="10"/>
          </reference>
        </references>
      </pivotArea>
    </format>
    <format dxfId="1154">
      <pivotArea type="topRight" dataOnly="0" labelOnly="1" outline="0" fieldPosition="0"/>
    </format>
    <format dxfId="1155">
      <pivotArea dataOnly="0" labelOnly="1" outline="0" fieldPosition="0">
        <references count="1">
          <reference field="107" count="1">
            <x v="10"/>
          </reference>
        </references>
      </pivotArea>
    </format>
    <format dxfId="1156">
      <pivotArea outline="0" fieldPosition="0">
        <references count="1">
          <reference field="107" count="1" selected="0">
            <x v="10"/>
          </reference>
        </references>
      </pivotArea>
    </format>
    <format dxfId="1157">
      <pivotArea type="topRight" dataOnly="0" labelOnly="1" outline="0" fieldPosition="0"/>
    </format>
    <format dxfId="1158">
      <pivotArea dataOnly="0" labelOnly="1" outline="0" fieldPosition="0">
        <references count="1">
          <reference field="107" count="1">
            <x v="10"/>
          </reference>
        </references>
      </pivotArea>
    </format>
    <format dxfId="1159">
      <pivotArea outline="0" fieldPosition="0">
        <references count="1">
          <reference field="107" count="1" selected="0">
            <x v="9"/>
          </reference>
        </references>
      </pivotArea>
    </format>
    <format dxfId="1160">
      <pivotArea dataOnly="0" labelOnly="1" outline="0" fieldPosition="0">
        <references count="1">
          <reference field="107" count="1">
            <x v="9"/>
          </reference>
        </references>
      </pivotArea>
    </format>
    <format dxfId="1161">
      <pivotArea outline="0" fieldPosition="0">
        <references count="1">
          <reference field="107" count="1" selected="0">
            <x v="9"/>
          </reference>
        </references>
      </pivotArea>
    </format>
    <format dxfId="1162">
      <pivotArea dataOnly="0" labelOnly="1" outline="0" fieldPosition="0">
        <references count="1">
          <reference field="107" count="1">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DD1F60D5-07F6-4844-9913-B15A64C03422}" name="TablaDinámica5" cacheId="1285"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72:D81" firstHeaderRow="0" firstDataRow="1" firstDataCol="1" rowPageCount="2" colPageCount="1"/>
  <pivotFields count="112">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7">
        <item x="0"/>
        <item x="2"/>
        <item x="12"/>
        <item x="5"/>
        <item x="8"/>
        <item x="4"/>
        <item x="11"/>
        <item x="1"/>
        <item x="9"/>
        <item x="7"/>
        <item x="10"/>
        <item x="14"/>
        <item x="13"/>
        <item x="6"/>
        <item x="3"/>
        <item x="1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6">
        <item h="1" x="2"/>
        <item h="1" x="4"/>
        <item x="1"/>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4"/>
  </rowFields>
  <rowItems count="9">
    <i>
      <x/>
    </i>
    <i>
      <x v="1"/>
    </i>
    <i>
      <x v="3"/>
    </i>
    <i>
      <x v="4"/>
    </i>
    <i>
      <x v="7"/>
    </i>
    <i>
      <x v="9"/>
    </i>
    <i>
      <x v="11"/>
    </i>
    <i>
      <x v="12"/>
    </i>
    <i t="grand">
      <x/>
    </i>
  </rowItems>
  <colFields count="1">
    <field x="-2"/>
  </colFields>
  <colItems count="2">
    <i>
      <x/>
    </i>
    <i i="1">
      <x v="1"/>
    </i>
  </colItems>
  <pageFields count="2">
    <pageField fld="2" item="0" hier="-1"/>
    <pageField fld="32" item="2" hier="-1"/>
  </pageFields>
  <dataFields count="2">
    <dataField name="Total General" fld="1" subtotal="count" baseField="0" baseItem="0"/>
    <dataField name="Porcentaje" fld="1" subtotal="count" showDataAs="percentOfTotal" baseField="0" baseItem="0" numFmtId="10"/>
  </dataFields>
  <formats count="12">
    <format dxfId="1135">
      <pivotArea grandRow="1" outline="0" collapsedLevelsAreSubtotals="1" fieldPosition="0"/>
    </format>
    <format dxfId="1136">
      <pivotArea dataOnly="0" labelOnly="1" grandRow="1" outline="0" fieldPosition="0"/>
    </format>
    <format dxfId="1137">
      <pivotArea field="14" type="button" dataOnly="0" labelOnly="1" outline="0" axis="axisRow" fieldPosition="0"/>
    </format>
    <format dxfId="1138">
      <pivotArea dataOnly="0" labelOnly="1" outline="0" fieldPosition="0">
        <references count="1">
          <reference field="4294967294" count="2">
            <x v="0"/>
            <x v="1"/>
          </reference>
        </references>
      </pivotArea>
    </format>
    <format dxfId="1139">
      <pivotArea grandRow="1" outline="0" collapsedLevelsAreSubtotals="1" fieldPosition="0"/>
    </format>
    <format dxfId="1140">
      <pivotArea dataOnly="0" labelOnly="1" grandRow="1" outline="0" fieldPosition="0"/>
    </format>
    <format dxfId="1141">
      <pivotArea field="14" type="button" dataOnly="0" labelOnly="1" outline="0" axis="axisRow" fieldPosition="0"/>
    </format>
    <format dxfId="1142">
      <pivotArea dataOnly="0" labelOnly="1" outline="0" fieldPosition="0">
        <references count="1">
          <reference field="4294967294" count="2">
            <x v="0"/>
            <x v="1"/>
          </reference>
        </references>
      </pivotArea>
    </format>
    <format dxfId="1143">
      <pivotArea outline="0" fieldPosition="0">
        <references count="1">
          <reference field="4294967294" count="1" selected="0">
            <x v="1"/>
          </reference>
        </references>
      </pivotArea>
    </format>
    <format dxfId="1144">
      <pivotArea dataOnly="0" labelOnly="1" outline="0" fieldPosition="0">
        <references count="1">
          <reference field="4294967294" count="1">
            <x v="1"/>
          </reference>
        </references>
      </pivotArea>
    </format>
    <format dxfId="1145">
      <pivotArea outline="0" fieldPosition="0">
        <references count="1">
          <reference field="4294967294" count="1" selected="0">
            <x v="1"/>
          </reference>
        </references>
      </pivotArea>
    </format>
    <format dxfId="114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BBE6DFE-C8BA-49D4-806C-86ADB01964CC}" name="TablaDinámica11" cacheId="1285"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170:D175" firstHeaderRow="0" firstDataRow="1" firstDataCol="1" rowPageCount="2" colPageCount="1"/>
  <pivotFields count="112">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8">
        <item x="1"/>
        <item x="0"/>
        <item m="1" x="6"/>
        <item x="2"/>
        <item x="3"/>
        <item m="1" x="5"/>
        <item m="1" x="4"/>
        <item t="default"/>
      </items>
      <autoSortScope>
        <pivotArea dataOnly="0" outline="0" fieldPosition="0">
          <references count="1">
            <reference field="4294967294" count="1" selected="0">
              <x v="1"/>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10">
        <item h="1" x="2"/>
        <item x="5"/>
        <item x="8"/>
        <item h="1" x="7"/>
        <item h="1" x="6"/>
        <item h="1" x="4"/>
        <item h="1" x="1"/>
        <item h="1" x="0"/>
        <item h="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7"/>
  </rowFields>
  <rowItems count="5">
    <i>
      <x v="1"/>
    </i>
    <i>
      <x v="3"/>
    </i>
    <i>
      <x/>
    </i>
    <i>
      <x v="4"/>
    </i>
    <i t="grand">
      <x/>
    </i>
  </rowItems>
  <colFields count="1">
    <field x="-2"/>
  </colFields>
  <colItems count="2">
    <i>
      <x/>
    </i>
    <i i="1">
      <x v="1"/>
    </i>
  </colItems>
  <pageFields count="2">
    <pageField fld="2" item="0" hier="-1"/>
    <pageField fld="31" hier="-1"/>
  </pageFields>
  <dataFields count="2">
    <dataField name="TOTAL" fld="1" subtotal="count" baseField="0" baseItem="0"/>
    <dataField name="PORCENTAJE" fld="1" subtotal="count" showDataAs="percentOfTotal" baseField="0" baseItem="0" numFmtId="10"/>
  </dataFields>
  <formats count="6">
    <format dxfId="1129">
      <pivotArea outline="0" fieldPosition="0">
        <references count="1">
          <reference field="4294967294" count="1" selected="0">
            <x v="1"/>
          </reference>
        </references>
      </pivotArea>
    </format>
    <format dxfId="1130">
      <pivotArea outline="0" fieldPosition="0">
        <references count="1">
          <reference field="4294967294" count="1" selected="0">
            <x v="1"/>
          </reference>
        </references>
      </pivotArea>
    </format>
    <format dxfId="1131">
      <pivotArea outline="0" collapsedLevelsAreSubtotals="1" fieldPosition="0"/>
    </format>
    <format dxfId="1132">
      <pivotArea dataOnly="0" labelOnly="1" outline="0" fieldPosition="0">
        <references count="1">
          <reference field="4294967294" count="2">
            <x v="0"/>
            <x v="1"/>
          </reference>
        </references>
      </pivotArea>
    </format>
    <format dxfId="1133">
      <pivotArea outline="0" collapsedLevelsAreSubtotals="1" fieldPosition="0"/>
    </format>
    <format dxfId="113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C5FAC6EE-FADB-4691-9476-9C0C4D411121}" name="TablaDinámica13" cacheId="1285"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215:J222" firstHeaderRow="1" firstDataRow="2" firstDataCol="1" rowPageCount="2" colPageCount="1"/>
  <pivotFields count="112">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8">
        <item h="1" x="1"/>
        <item h="1" x="0"/>
        <item h="1" m="1" x="6"/>
        <item h="1" x="2"/>
        <item x="3"/>
        <item h="1" m="1" x="5"/>
        <item h="1" m="1"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0">
        <item x="2"/>
        <item x="5"/>
        <item x="8"/>
        <item x="7"/>
        <item x="6"/>
        <item x="4"/>
        <item x="1"/>
        <item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9">
        <item x="5"/>
        <item m="1" x="7"/>
        <item x="4"/>
        <item x="1"/>
        <item x="0"/>
        <item x="2"/>
        <item x="3"/>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1"/>
  </rowFields>
  <rowItems count="6">
    <i>
      <x v="1"/>
    </i>
    <i>
      <x v="4"/>
    </i>
    <i>
      <x v="5"/>
    </i>
    <i>
      <x v="6"/>
    </i>
    <i>
      <x v="8"/>
    </i>
    <i t="grand">
      <x/>
    </i>
  </rowItems>
  <colFields count="1">
    <field x="65"/>
  </colFields>
  <colItems count="8">
    <i>
      <x/>
    </i>
    <i>
      <x v="2"/>
    </i>
    <i>
      <x v="3"/>
    </i>
    <i>
      <x v="4"/>
    </i>
    <i>
      <x v="5"/>
    </i>
    <i>
      <x v="6"/>
    </i>
    <i>
      <x v="7"/>
    </i>
    <i t="grand">
      <x/>
    </i>
  </colItems>
  <pageFields count="2">
    <pageField fld="2" item="0" hier="-1"/>
    <pageField fld="17" item="4" hier="-1"/>
  </pageFields>
  <dataFields count="1">
    <dataField name="TOTAL" fld="1" subtotal="count" baseField="0" baseItem="0"/>
  </dataFields>
  <formats count="6">
    <format dxfId="1123">
      <pivotArea outline="0" fieldPosition="0">
        <references count="1">
          <reference field="65" count="1" selected="0">
            <x v="1"/>
          </reference>
        </references>
      </pivotArea>
    </format>
    <format dxfId="1124">
      <pivotArea type="topRight" dataOnly="0" labelOnly="1" outline="0" fieldPosition="0"/>
    </format>
    <format dxfId="1125">
      <pivotArea dataOnly="0" labelOnly="1" outline="0" fieldPosition="0">
        <references count="1">
          <reference field="65" count="1">
            <x v="1"/>
          </reference>
        </references>
      </pivotArea>
    </format>
    <format dxfId="1126">
      <pivotArea outline="0" fieldPosition="0">
        <references count="1">
          <reference field="65" count="1" selected="0">
            <x v="1"/>
          </reference>
        </references>
      </pivotArea>
    </format>
    <format dxfId="1127">
      <pivotArea type="topRight" dataOnly="0" labelOnly="1" outline="0" fieldPosition="0"/>
    </format>
    <format dxfId="1128">
      <pivotArea dataOnly="0" labelOnly="1" outline="0" fieldPosition="0">
        <references count="1">
          <reference field="6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3D9B28D8-DC65-4045-9D61-BAA962158434}" name="TablaDinámica18" cacheId="1285"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329:L338" firstHeaderRow="1" firstDataRow="2" firstDataCol="1" rowPageCount="2" colPageCount="1"/>
  <pivotFields count="112">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0">
        <item h="1" x="2"/>
        <item h="1" x="5"/>
        <item h="1" x="8"/>
        <item h="1" x="7"/>
        <item h="1" x="6"/>
        <item h="1" x="4"/>
        <item h="1" x="1"/>
        <item h="1"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x="1"/>
        <item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27">
        <item m="1" x="16"/>
        <item m="1" x="21"/>
        <item m="1" x="18"/>
        <item m="1" x="19"/>
        <item m="1" x="20"/>
        <item m="1" x="22"/>
        <item m="1" x="23"/>
        <item m="1" x="24"/>
        <item m="1" x="25"/>
        <item x="9"/>
        <item x="0"/>
        <item x="8"/>
        <item x="6"/>
        <item x="5"/>
        <item x="7"/>
        <item x="13"/>
        <item x="14"/>
        <item x="11"/>
        <item x="4"/>
        <item x="1"/>
        <item x="10"/>
        <item x="2"/>
        <item x="3"/>
        <item x="15"/>
        <item m="1" x="17"/>
        <item x="12"/>
        <item t="default"/>
      </items>
    </pivotField>
    <pivotField compact="0" outline="0" showAll="0"/>
    <pivotField compact="0" outline="0" showAll="0"/>
    <pivotField compact="0" outline="0" showAll="0"/>
    <pivotField compact="0" outline="0" showAll="0"/>
  </pivotFields>
  <rowFields count="1">
    <field x="7"/>
  </rowFields>
  <rowItems count="8">
    <i>
      <x v="1"/>
    </i>
    <i>
      <x v="5"/>
    </i>
    <i>
      <x v="6"/>
    </i>
    <i>
      <x v="9"/>
    </i>
    <i>
      <x v="7"/>
    </i>
    <i>
      <x v="2"/>
    </i>
    <i>
      <x v="3"/>
    </i>
    <i t="grand">
      <x/>
    </i>
  </rowItems>
  <colFields count="1">
    <field x="107"/>
  </colFields>
  <colItems count="10">
    <i>
      <x v="10"/>
    </i>
    <i>
      <x v="11"/>
    </i>
    <i>
      <x v="12"/>
    </i>
    <i>
      <x v="13"/>
    </i>
    <i>
      <x v="14"/>
    </i>
    <i>
      <x v="15"/>
    </i>
    <i>
      <x v="16"/>
    </i>
    <i>
      <x v="19"/>
    </i>
    <i>
      <x v="22"/>
    </i>
    <i t="grand">
      <x/>
    </i>
  </colItems>
  <pageFields count="2">
    <pageField fld="78" hier="-1"/>
    <pageField fld="31" item="8" hier="-1"/>
  </pageFields>
  <dataFields count="1">
    <dataField name="TOTAL" fld="1" subtotal="count" baseField="0" baseItem="0"/>
  </dataFields>
  <formats count="6">
    <format dxfId="1117">
      <pivotArea outline="0" collapsedLevelsAreSubtotals="1" fieldPosition="0"/>
    </format>
    <format dxfId="1118">
      <pivotArea dataOnly="0" labelOnly="1" grandCol="1" outline="0" fieldPosition="0"/>
    </format>
    <format dxfId="1119">
      <pivotArea outline="0" collapsedLevelsAreSubtotals="1" fieldPosition="0"/>
    </format>
    <format dxfId="1120">
      <pivotArea dataOnly="0" labelOnly="1" grandCol="1" outline="0" fieldPosition="0"/>
    </format>
    <format dxfId="1121">
      <pivotArea type="topRight" dataOnly="0" labelOnly="1" outline="0" fieldPosition="0"/>
    </format>
    <format dxfId="1122">
      <pivotArea type="topRight" dataOnly="0" labelOnly="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B074F951-D038-4888-A06C-0B316198F51A}" name="TablaDinámica2" cacheId="1285" applyNumberFormats="0" applyBorderFormats="0" applyFontFormats="0" applyPatternFormats="0" applyAlignmentFormats="0" applyWidthHeightFormats="1" dataCaption="Valores" missingCaption="" updatedVersion="8" minRefreshableVersion="3" itemPrintTitles="1" createdVersion="8" indent="0" compact="0" compactData="0" multipleFieldFilters="0">
  <location ref="B235:Q248" firstHeaderRow="1" firstDataRow="2" firstDataCol="1" rowPageCount="3" colPageCount="1"/>
  <pivotFields count="112">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10">
        <item x="2"/>
        <item x="5"/>
        <item x="8"/>
        <item x="7"/>
        <item x="6"/>
        <item x="4"/>
        <item h="1" x="1"/>
        <item h="1"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h="1" x="1"/>
        <item h="1"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27">
        <item m="1" x="21"/>
        <item m="1" x="18"/>
        <item m="1" x="19"/>
        <item m="1" x="20"/>
        <item m="1" x="22"/>
        <item m="1" x="23"/>
        <item m="1" x="24"/>
        <item m="1" x="25"/>
        <item m="1" x="16"/>
        <item x="0"/>
        <item x="9"/>
        <item x="11"/>
        <item x="4"/>
        <item x="1"/>
        <item x="8"/>
        <item x="6"/>
        <item x="10"/>
        <item x="5"/>
        <item x="2"/>
        <item m="1" x="17"/>
        <item x="7"/>
        <item x="13"/>
        <item x="14"/>
        <item x="3"/>
        <item x="15"/>
        <item x="12"/>
        <item t="default"/>
      </items>
    </pivotField>
    <pivotField axis="axisPage" compact="0" outline="0" multipleItemSelectionAllowed="1" showAll="0" defaultSubtotal="0">
      <items count="5">
        <item m="1" x="4"/>
        <item m="1" x="3"/>
        <item x="0"/>
        <item x="1"/>
        <item x="2"/>
      </items>
    </pivotField>
    <pivotField compact="0" outline="0" showAll="0"/>
    <pivotField compact="0" outline="0" showAll="0"/>
    <pivotField compact="0" outline="0" showAll="0"/>
  </pivotFields>
  <rowFields count="1">
    <field x="7"/>
  </rowFields>
  <rowItems count="12">
    <i>
      <x v="5"/>
    </i>
    <i>
      <x v="1"/>
    </i>
    <i>
      <x v="9"/>
    </i>
    <i>
      <x v="6"/>
    </i>
    <i>
      <x v="7"/>
    </i>
    <i>
      <x v="8"/>
    </i>
    <i>
      <x v="4"/>
    </i>
    <i>
      <x v="2"/>
    </i>
    <i>
      <x v="10"/>
    </i>
    <i>
      <x v="3"/>
    </i>
    <i>
      <x/>
    </i>
    <i t="grand">
      <x/>
    </i>
  </rowItems>
  <colFields count="1">
    <field x="107"/>
  </colFields>
  <colItems count="15">
    <i>
      <x v="9"/>
    </i>
    <i>
      <x v="12"/>
    </i>
    <i>
      <x v="13"/>
    </i>
    <i>
      <x v="14"/>
    </i>
    <i>
      <x v="15"/>
    </i>
    <i>
      <x v="16"/>
    </i>
    <i>
      <x v="17"/>
    </i>
    <i>
      <x v="18"/>
    </i>
    <i>
      <x v="20"/>
    </i>
    <i>
      <x v="21"/>
    </i>
    <i>
      <x v="22"/>
    </i>
    <i>
      <x v="23"/>
    </i>
    <i>
      <x v="24"/>
    </i>
    <i>
      <x v="25"/>
    </i>
    <i t="grand">
      <x/>
    </i>
  </colItems>
  <pageFields count="3">
    <pageField fld="31" hier="-1"/>
    <pageField fld="108" hier="-1"/>
    <pageField fld="78" item="0" hier="-1"/>
  </pageFields>
  <dataFields count="1">
    <dataField name="TOTAL" fld="1" subtotal="count" baseField="0" baseItem="0"/>
  </dataFields>
  <formats count="42">
    <format dxfId="1075">
      <pivotArea outline="0" collapsedLevelsAreSubtotals="1" fieldPosition="0"/>
    </format>
    <format dxfId="1076">
      <pivotArea dataOnly="0" labelOnly="1" outline="0" fieldPosition="0">
        <references count="1">
          <reference field="107" count="10">
            <x v="8"/>
            <x v="10"/>
            <x v="12"/>
            <x v="13"/>
            <x v="14"/>
            <x v="15"/>
            <x v="16"/>
            <x v="17"/>
            <x v="18"/>
            <x v="22"/>
          </reference>
        </references>
      </pivotArea>
    </format>
    <format dxfId="1077">
      <pivotArea dataOnly="0" labelOnly="1" grandCol="1" outline="0" fieldPosition="0"/>
    </format>
    <format dxfId="1078">
      <pivotArea outline="0" collapsedLevelsAreSubtotals="1" fieldPosition="0"/>
    </format>
    <format dxfId="1079">
      <pivotArea dataOnly="0" labelOnly="1" outline="0" fieldPosition="0">
        <references count="1">
          <reference field="107" count="10">
            <x v="8"/>
            <x v="10"/>
            <x v="12"/>
            <x v="13"/>
            <x v="14"/>
            <x v="15"/>
            <x v="16"/>
            <x v="17"/>
            <x v="18"/>
            <x v="22"/>
          </reference>
        </references>
      </pivotArea>
    </format>
    <format dxfId="1080">
      <pivotArea dataOnly="0" labelOnly="1" grandCol="1" outline="0" fieldPosition="0"/>
    </format>
    <format dxfId="1081">
      <pivotArea outline="0" fieldPosition="0">
        <references count="1">
          <reference field="107" count="1" selected="0">
            <x v="10"/>
          </reference>
        </references>
      </pivotArea>
    </format>
    <format dxfId="1082">
      <pivotArea type="topRight" dataOnly="0" labelOnly="1" outline="0" fieldPosition="0"/>
    </format>
    <format dxfId="1083">
      <pivotArea dataOnly="0" labelOnly="1" outline="0" fieldPosition="0">
        <references count="1">
          <reference field="107" count="1">
            <x v="10"/>
          </reference>
        </references>
      </pivotArea>
    </format>
    <format dxfId="1084">
      <pivotArea outline="0" fieldPosition="0">
        <references count="1">
          <reference field="107" count="1" selected="0">
            <x v="10"/>
          </reference>
        </references>
      </pivotArea>
    </format>
    <format dxfId="1085">
      <pivotArea type="topRight" dataOnly="0" labelOnly="1" outline="0" fieldPosition="0"/>
    </format>
    <format dxfId="1086">
      <pivotArea dataOnly="0" labelOnly="1" outline="0" fieldPosition="0">
        <references count="1">
          <reference field="107" count="1">
            <x v="10"/>
          </reference>
        </references>
      </pivotArea>
    </format>
    <format dxfId="1087">
      <pivotArea outline="0" fieldPosition="0">
        <references count="1">
          <reference field="107" count="1" selected="0">
            <x v="9"/>
          </reference>
        </references>
      </pivotArea>
    </format>
    <format dxfId="1088">
      <pivotArea dataOnly="0" labelOnly="1" outline="0" fieldPosition="0">
        <references count="1">
          <reference field="107" count="1">
            <x v="9"/>
          </reference>
        </references>
      </pivotArea>
    </format>
    <format dxfId="1089">
      <pivotArea outline="0" fieldPosition="0">
        <references count="1">
          <reference field="107" count="1" selected="0">
            <x v="9"/>
          </reference>
        </references>
      </pivotArea>
    </format>
    <format dxfId="1090">
      <pivotArea dataOnly="0" labelOnly="1" outline="0" fieldPosition="0">
        <references count="1">
          <reference field="107" count="1">
            <x v="9"/>
          </reference>
        </references>
      </pivotArea>
    </format>
    <format dxfId="1091">
      <pivotArea type="origin" dataOnly="0" labelOnly="1" outline="0" fieldPosition="0"/>
    </format>
    <format dxfId="1092">
      <pivotArea field="107" type="button" dataOnly="0" labelOnly="1" outline="0" axis="axisCol" fieldPosition="0"/>
    </format>
    <format dxfId="1093">
      <pivotArea type="topRight" dataOnly="0" labelOnly="1" outline="0" fieldPosition="0"/>
    </format>
    <format dxfId="1094">
      <pivotArea field="7" type="button" dataOnly="0" labelOnly="1" outline="0" axis="axisRow" fieldPosition="0"/>
    </format>
    <format dxfId="1095">
      <pivotArea dataOnly="0" labelOnly="1" outline="0" fieldPosition="0">
        <references count="1">
          <reference field="107" count="8">
            <x v="9"/>
            <x v="14"/>
            <x v="15"/>
            <x v="17"/>
            <x v="20"/>
            <x v="21"/>
            <x v="22"/>
            <x v="23"/>
          </reference>
        </references>
      </pivotArea>
    </format>
    <format dxfId="1096">
      <pivotArea dataOnly="0" labelOnly="1" grandCol="1" outline="0" fieldPosition="0"/>
    </format>
    <format dxfId="1097">
      <pivotArea type="origin" dataOnly="0" labelOnly="1" outline="0" fieldPosition="0"/>
    </format>
    <format dxfId="1098">
      <pivotArea field="107" type="button" dataOnly="0" labelOnly="1" outline="0" axis="axisCol" fieldPosition="0"/>
    </format>
    <format dxfId="1099">
      <pivotArea type="topRight" dataOnly="0" labelOnly="1" outline="0" fieldPosition="0"/>
    </format>
    <format dxfId="1100">
      <pivotArea field="7" type="button" dataOnly="0" labelOnly="1" outline="0" axis="axisRow" fieldPosition="0"/>
    </format>
    <format dxfId="1101">
      <pivotArea dataOnly="0" labelOnly="1" outline="0" fieldPosition="0">
        <references count="1">
          <reference field="107" count="8">
            <x v="9"/>
            <x v="14"/>
            <x v="15"/>
            <x v="17"/>
            <x v="20"/>
            <x v="21"/>
            <x v="22"/>
            <x v="23"/>
          </reference>
        </references>
      </pivotArea>
    </format>
    <format dxfId="1102">
      <pivotArea dataOnly="0" labelOnly="1" grandCol="1" outline="0" fieldPosition="0"/>
    </format>
    <format dxfId="1103">
      <pivotArea grandRow="1" outline="0" collapsedLevelsAreSubtotals="1" fieldPosition="0"/>
    </format>
    <format dxfId="1104">
      <pivotArea dataOnly="0" labelOnly="1" grandRow="1" outline="0" fieldPosition="0"/>
    </format>
    <format dxfId="1105">
      <pivotArea grandRow="1" outline="0" collapsedLevelsAreSubtotals="1" fieldPosition="0"/>
    </format>
    <format dxfId="1106">
      <pivotArea dataOnly="0" labelOnly="1" grandRow="1" outline="0" fieldPosition="0"/>
    </format>
    <format dxfId="1107">
      <pivotArea type="all" dataOnly="0" outline="0" fieldPosition="0"/>
    </format>
    <format dxfId="1108">
      <pivotArea outline="0" collapsedLevelsAreSubtotals="1" fieldPosition="0"/>
    </format>
    <format dxfId="1109">
      <pivotArea type="origin" dataOnly="0" labelOnly="1" outline="0" fieldPosition="0"/>
    </format>
    <format dxfId="1110">
      <pivotArea field="107" type="button" dataOnly="0" labelOnly="1" outline="0" axis="axisCol" fieldPosition="0"/>
    </format>
    <format dxfId="1111">
      <pivotArea type="topRight" dataOnly="0" labelOnly="1" outline="0" fieldPosition="0"/>
    </format>
    <format dxfId="1112">
      <pivotArea field="7" type="button" dataOnly="0" labelOnly="1" outline="0" axis="axisRow" fieldPosition="0"/>
    </format>
    <format dxfId="1113">
      <pivotArea dataOnly="0" labelOnly="1" outline="0" fieldPosition="0">
        <references count="1">
          <reference field="7" count="7">
            <x v="1"/>
            <x v="2"/>
            <x v="3"/>
            <x v="5"/>
            <x v="6"/>
            <x v="7"/>
            <x v="9"/>
          </reference>
        </references>
      </pivotArea>
    </format>
    <format dxfId="1114">
      <pivotArea dataOnly="0" labelOnly="1" grandRow="1" outline="0" fieldPosition="0"/>
    </format>
    <format dxfId="1115">
      <pivotArea dataOnly="0" labelOnly="1" outline="0" fieldPosition="0">
        <references count="1">
          <reference field="107" count="8">
            <x v="9"/>
            <x v="14"/>
            <x v="15"/>
            <x v="17"/>
            <x v="20"/>
            <x v="21"/>
            <x v="22"/>
            <x v="23"/>
          </reference>
        </references>
      </pivotArea>
    </format>
    <format dxfId="1116">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B2495902-081F-441E-946F-8244F9B1E71B}" name="TablaDinámica7" cacheId="1285"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111:D123" firstHeaderRow="0" firstDataRow="1" firstDataCol="1" rowPageCount="3" colPageCount="1"/>
  <pivotFields count="112">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x="2"/>
        <item x="4"/>
        <item h="1" x="1"/>
        <item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6">
        <item m="1" x="4"/>
        <item m="1" x="3"/>
        <item x="0"/>
        <item x="1"/>
        <item x="2"/>
        <item t="default"/>
      </items>
    </pivotField>
    <pivotField compact="0" outline="0" showAll="0"/>
    <pivotField compact="0" outline="0" showAll="0"/>
    <pivotField compact="0" outline="0" showAll="0"/>
  </pivotFields>
  <rowFields count="1">
    <field x="7"/>
  </rowFields>
  <rowItems count="12">
    <i>
      <x v="5"/>
    </i>
    <i>
      <x v="1"/>
    </i>
    <i>
      <x v="9"/>
    </i>
    <i>
      <x v="6"/>
    </i>
    <i>
      <x v="7"/>
    </i>
    <i>
      <x v="8"/>
    </i>
    <i>
      <x v="4"/>
    </i>
    <i>
      <x v="2"/>
    </i>
    <i>
      <x v="10"/>
    </i>
    <i>
      <x v="3"/>
    </i>
    <i>
      <x/>
    </i>
    <i t="grand">
      <x/>
    </i>
  </rowItems>
  <colFields count="1">
    <field x="-2"/>
  </colFields>
  <colItems count="2">
    <i>
      <x/>
    </i>
    <i i="1">
      <x v="1"/>
    </i>
  </colItems>
  <pageFields count="3">
    <pageField fld="2" item="0" hier="-1"/>
    <pageField fld="32" hier="-1"/>
    <pageField fld="108" hier="-1"/>
  </pageFields>
  <dataFields count="2">
    <dataField name="Total General" fld="1" subtotal="count" baseField="0" baseItem="0"/>
    <dataField name="Porcentaje" fld="1" subtotal="count" showDataAs="percentOfTotal" baseField="0" baseItem="0" numFmtId="10"/>
  </dataFields>
  <formats count="20">
    <format dxfId="1055">
      <pivotArea grandRow="1" outline="0" collapsedLevelsAreSubtotals="1" fieldPosition="0"/>
    </format>
    <format dxfId="1056">
      <pivotArea dataOnly="0" labelOnly="1" grandRow="1" outline="0" fieldPosition="0"/>
    </format>
    <format dxfId="1057">
      <pivotArea field="7" type="button" dataOnly="0" labelOnly="1" outline="0" axis="axisRow" fieldPosition="0"/>
    </format>
    <format dxfId="1058">
      <pivotArea dataOnly="0" labelOnly="1" outline="0" fieldPosition="0">
        <references count="1">
          <reference field="4294967294" count="2">
            <x v="0"/>
            <x v="1"/>
          </reference>
        </references>
      </pivotArea>
    </format>
    <format dxfId="1059">
      <pivotArea grandRow="1" outline="0" collapsedLevelsAreSubtotals="1" fieldPosition="0"/>
    </format>
    <format dxfId="1060">
      <pivotArea dataOnly="0" labelOnly="1" grandRow="1" outline="0" fieldPosition="0"/>
    </format>
    <format dxfId="1061">
      <pivotArea field="7" type="button" dataOnly="0" labelOnly="1" outline="0" axis="axisRow" fieldPosition="0"/>
    </format>
    <format dxfId="1062">
      <pivotArea dataOnly="0" labelOnly="1" outline="0" fieldPosition="0">
        <references count="1">
          <reference field="4294967294" count="2">
            <x v="0"/>
            <x v="1"/>
          </reference>
        </references>
      </pivotArea>
    </format>
    <format dxfId="1063">
      <pivotArea outline="0" fieldPosition="0">
        <references count="1">
          <reference field="4294967294" count="1" selected="0">
            <x v="1"/>
          </reference>
        </references>
      </pivotArea>
    </format>
    <format dxfId="1064">
      <pivotArea outline="0" fieldPosition="0">
        <references count="1">
          <reference field="4294967294" count="1" selected="0">
            <x v="1"/>
          </reference>
        </references>
      </pivotArea>
    </format>
    <format dxfId="1065">
      <pivotArea outline="0" collapsedLevelsAreSubtotals="1" fieldPosition="0"/>
    </format>
    <format dxfId="1066">
      <pivotArea dataOnly="0" labelOnly="1" outline="0" fieldPosition="0">
        <references count="1">
          <reference field="4294967294" count="2">
            <x v="0"/>
            <x v="1"/>
          </reference>
        </references>
      </pivotArea>
    </format>
    <format dxfId="1067">
      <pivotArea outline="0" collapsedLevelsAreSubtotals="1" fieldPosition="0"/>
    </format>
    <format dxfId="1068">
      <pivotArea dataOnly="0" labelOnly="1" outline="0" fieldPosition="0">
        <references count="1">
          <reference field="4294967294" count="2">
            <x v="0"/>
            <x v="1"/>
          </reference>
        </references>
      </pivotArea>
    </format>
    <format dxfId="1069">
      <pivotArea type="all" dataOnly="0" outline="0" fieldPosition="0"/>
    </format>
    <format dxfId="1070">
      <pivotArea outline="0" collapsedLevelsAreSubtotals="1" fieldPosition="0"/>
    </format>
    <format dxfId="1071">
      <pivotArea field="7" type="button" dataOnly="0" labelOnly="1" outline="0" axis="axisRow" fieldPosition="0"/>
    </format>
    <format dxfId="1072">
      <pivotArea dataOnly="0" labelOnly="1" outline="0" fieldPosition="0">
        <references count="1">
          <reference field="7" count="0"/>
        </references>
      </pivotArea>
    </format>
    <format dxfId="1073">
      <pivotArea dataOnly="0" labelOnly="1" grandRow="1" outline="0" fieldPosition="0"/>
    </format>
    <format dxfId="107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513FF812-560A-446B-976D-F35BD15699EB}" name="TablaDinámica17" cacheId="1285"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312:G321" firstHeaderRow="1" firstDataRow="2" firstDataCol="1" rowPageCount="2" colPageCount="1"/>
  <pivotFields count="112">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0">
        <item h="1" x="2"/>
        <item h="1" x="5"/>
        <item h="1" x="8"/>
        <item h="1" x="7"/>
        <item h="1" x="6"/>
        <item h="1" x="4"/>
        <item h="1" x="1"/>
        <item h="1" x="0"/>
        <item x="3"/>
        <item t="default"/>
      </items>
    </pivotField>
    <pivotField compact="0" outline="0" showAll="0"/>
    <pivotField axis="axisCol" compact="0" outline="0" showAll="0">
      <items count="14">
        <item m="1" x="5"/>
        <item m="1" x="7"/>
        <item m="1" x="9"/>
        <item m="1" x="12"/>
        <item m="1" x="4"/>
        <item m="1" x="11"/>
        <item m="1" x="6"/>
        <item m="1" x="8"/>
        <item m="1" x="10"/>
        <item x="0"/>
        <item x="1"/>
        <item x="2"/>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x="1"/>
        <item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8">
    <i>
      <x v="1"/>
    </i>
    <i>
      <x v="5"/>
    </i>
    <i>
      <x v="6"/>
    </i>
    <i>
      <x v="9"/>
    </i>
    <i>
      <x v="7"/>
    </i>
    <i>
      <x v="2"/>
    </i>
    <i>
      <x v="3"/>
    </i>
    <i t="grand">
      <x/>
    </i>
  </rowItems>
  <colFields count="1">
    <field x="33"/>
  </colFields>
  <colItems count="5">
    <i>
      <x v="9"/>
    </i>
    <i>
      <x v="10"/>
    </i>
    <i>
      <x v="11"/>
    </i>
    <i>
      <x v="12"/>
    </i>
    <i t="grand">
      <x/>
    </i>
  </colItems>
  <pageFields count="2">
    <pageField fld="78" hier="-1"/>
    <pageField fld="31" item="8" hier="-1"/>
  </pageFields>
  <dataFields count="1">
    <dataField name="TOTAL" fld="1" subtotal="count" baseField="0" baseItem="0"/>
  </dataFields>
  <formats count="6">
    <format dxfId="1049">
      <pivotArea outline="0" collapsedLevelsAreSubtotals="1" fieldPosition="0"/>
    </format>
    <format dxfId="1050">
      <pivotArea dataOnly="0" labelOnly="1" grandCol="1" outline="0" fieldPosition="0"/>
    </format>
    <format dxfId="1051">
      <pivotArea outline="0" collapsedLevelsAreSubtotals="1" fieldPosition="0"/>
    </format>
    <format dxfId="1052">
      <pivotArea dataOnly="0" labelOnly="1" grandCol="1" outline="0" fieldPosition="0"/>
    </format>
    <format dxfId="1053">
      <pivotArea type="topRight" dataOnly="0" labelOnly="1" outline="0" fieldPosition="0"/>
    </format>
    <format dxfId="1054">
      <pivotArea type="topRight" dataOnly="0" labelOnly="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365C175A-B378-4861-A822-D474E5EF377E}" name="TablaDinámica9" cacheId="1285"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135:D140" firstHeaderRow="0" firstDataRow="1" firstDataCol="1" rowPageCount="3" colPageCount="1"/>
  <pivotFields count="112">
    <pivotField dataField="1" compact="0" outline="0" showAll="0"/>
    <pivotField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8">
        <item x="1"/>
        <item x="0"/>
        <item m="1" x="6"/>
        <item x="2"/>
        <item x="3"/>
        <item m="1" x="5"/>
        <item m="1"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x="2"/>
        <item x="4"/>
        <item h="1" x="1"/>
        <item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m="1" x="4"/>
        <item m="1" x="3"/>
        <item x="0"/>
        <item x="1"/>
        <item x="2"/>
        <item t="default"/>
      </items>
    </pivotField>
    <pivotField compact="0" outline="0" showAll="0"/>
    <pivotField compact="0" outline="0" showAll="0"/>
    <pivotField compact="0" outline="0" showAll="0"/>
  </pivotFields>
  <rowFields count="1">
    <field x="17"/>
  </rowFields>
  <rowItems count="5">
    <i>
      <x v="1"/>
    </i>
    <i>
      <x v="3"/>
    </i>
    <i>
      <x/>
    </i>
    <i>
      <x v="4"/>
    </i>
    <i t="grand">
      <x/>
    </i>
  </rowItems>
  <colFields count="1">
    <field x="-2"/>
  </colFields>
  <colItems count="2">
    <i>
      <x/>
    </i>
    <i i="1">
      <x v="1"/>
    </i>
  </colItems>
  <pageFields count="3">
    <pageField fld="2" item="0" hier="-1"/>
    <pageField fld="32" hier="-1"/>
    <pageField fld="108" hier="-1"/>
  </pageFields>
  <dataFields count="2">
    <dataField name="TOTAL" fld="0" subtotal="count" baseField="0" baseItem="0"/>
    <dataField name="PORCENTAJE" fld="0" subtotal="count" showDataAs="percentOfTotal" baseField="0" baseItem="0" numFmtId="10"/>
  </dataFields>
  <formats count="6">
    <format dxfId="1043">
      <pivotArea outline="0" fieldPosition="0">
        <references count="1">
          <reference field="4294967294" count="1" selected="0">
            <x v="1"/>
          </reference>
        </references>
      </pivotArea>
    </format>
    <format dxfId="1044">
      <pivotArea outline="0" fieldPosition="0">
        <references count="1">
          <reference field="4294967294" count="1" selected="0">
            <x v="1"/>
          </reference>
        </references>
      </pivotArea>
    </format>
    <format dxfId="1045">
      <pivotArea outline="0" collapsedLevelsAreSubtotals="1" fieldPosition="0"/>
    </format>
    <format dxfId="1046">
      <pivotArea dataOnly="0" labelOnly="1" outline="0" fieldPosition="0">
        <references count="1">
          <reference field="4294967294" count="2">
            <x v="0"/>
            <x v="1"/>
          </reference>
        </references>
      </pivotArea>
    </format>
    <format dxfId="1047">
      <pivotArea outline="0" collapsedLevelsAreSubtotals="1" fieldPosition="0"/>
    </format>
    <format dxfId="1048">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13343A28-0C86-4393-861E-3B1C143B4EBD}" name="TablaDinámica9" cacheId="1284" applyNumberFormats="0" applyBorderFormats="0" applyFontFormats="0" applyPatternFormats="0" applyAlignmentFormats="0" applyWidthHeightFormats="1" dataCaption="Valores" updatedVersion="7" minRefreshableVersion="3" useAutoFormatting="1" itemPrintTitles="1" createdVersion="6" indent="0" compact="0" compactData="0" multipleFieldFilters="0">
  <location ref="A172:U179" firstHeaderRow="1" firstDataRow="2" firstDataCol="1" rowPageCount="1" colPageCount="1"/>
  <pivotFields count="112">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0">
        <item x="1"/>
        <item x="0"/>
        <item m="1" x="6"/>
        <item x="2"/>
        <item m="1" x="4"/>
        <item x="3"/>
        <item m="1" x="5"/>
        <item m="1" x="7"/>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9">
        <item m="1" x="7"/>
        <item x="1"/>
        <item x="0"/>
        <item m="1" x="8"/>
        <item x="2"/>
        <item m="1" x="5"/>
        <item m="1" x="6"/>
        <item m="1" x="4"/>
        <item x="3"/>
      </items>
    </pivotField>
    <pivotField compact="0" outline="0" showAll="0"/>
    <pivotField compact="0" outline="0" showAll="0"/>
    <pivotField compact="0" outline="0" showAll="0"/>
    <pivotField axis="axisRow" compact="0" outline="0" showAll="0">
      <items count="27">
        <item m="1" x="17"/>
        <item m="1" x="10"/>
        <item x="2"/>
        <item x="5"/>
        <item m="1" x="22"/>
        <item m="1" x="20"/>
        <item m="1" x="24"/>
        <item m="1" x="25"/>
        <item x="7"/>
        <item x="6"/>
        <item m="1" x="14"/>
        <item m="1" x="12"/>
        <item m="1" x="13"/>
        <item x="4"/>
        <item m="1" x="23"/>
        <item m="1" x="19"/>
        <item m="1" x="15"/>
        <item m="1" x="11"/>
        <item h="1" x="1"/>
        <item h="1" x="0"/>
        <item m="1" x="21"/>
        <item m="1" x="9"/>
        <item x="3"/>
        <item m="1" x="16"/>
        <item m="1" x="18"/>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64">
        <item m="1" x="35"/>
        <item m="1" x="45"/>
        <item m="1" x="57"/>
        <item m="1" x="31"/>
        <item m="1" x="32"/>
        <item m="1" x="54"/>
        <item m="1" x="33"/>
        <item m="1" x="34"/>
        <item m="1" x="36"/>
        <item m="1" x="37"/>
        <item m="1" x="56"/>
        <item m="1" x="38"/>
        <item m="1" x="39"/>
        <item m="1" x="40"/>
        <item m="1" x="41"/>
        <item m="1" x="42"/>
        <item x="3"/>
        <item m="1" x="43"/>
        <item m="1" x="44"/>
        <item m="1" x="60"/>
        <item x="5"/>
        <item x="1"/>
        <item m="1" x="62"/>
        <item x="22"/>
        <item m="1" x="46"/>
        <item m="1" x="47"/>
        <item m="1" x="48"/>
        <item x="12"/>
        <item m="1" x="50"/>
        <item m="1" x="51"/>
        <item x="19"/>
        <item m="1" x="52"/>
        <item x="24"/>
        <item x="9"/>
        <item x="15"/>
        <item x="20"/>
        <item m="1" x="53"/>
        <item x="28"/>
        <item x="11"/>
        <item x="18"/>
        <item x="14"/>
        <item x="6"/>
        <item x="10"/>
        <item x="7"/>
        <item x="13"/>
        <item x="21"/>
        <item x="23"/>
        <item x="2"/>
        <item x="8"/>
        <item x="27"/>
        <item x="16"/>
        <item x="0"/>
        <item x="17"/>
        <item m="1" x="59"/>
        <item x="26"/>
        <item m="1" x="49"/>
        <item x="4"/>
        <item m="1" x="58"/>
        <item m="1" x="55"/>
        <item m="1" x="30"/>
        <item x="25"/>
        <item m="1" x="61"/>
        <item x="2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5">
        <item x="1"/>
        <item h="1" x="4"/>
        <item h="1" x="6"/>
        <item h="1" x="0"/>
        <item h="1" x="8"/>
        <item h="1" x="7"/>
        <item h="1" x="9"/>
        <item h="1" x="5"/>
        <item h="1" x="3"/>
        <item h="1" x="11"/>
        <item h="1" m="1" x="13"/>
        <item h="1" x="10"/>
        <item h="1" x="12"/>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31"/>
  </rowFields>
  <rowItems count="6">
    <i>
      <x v="3"/>
    </i>
    <i>
      <x v="8"/>
    </i>
    <i>
      <x v="9"/>
    </i>
    <i>
      <x v="13"/>
    </i>
    <i>
      <x v="22"/>
    </i>
    <i t="grand">
      <x/>
    </i>
  </rowItems>
  <colFields count="1">
    <field x="52"/>
  </colFields>
  <colItems count="20">
    <i>
      <x v="16"/>
    </i>
    <i>
      <x v="21"/>
    </i>
    <i>
      <x v="23"/>
    </i>
    <i>
      <x v="30"/>
    </i>
    <i>
      <x v="32"/>
    </i>
    <i>
      <x v="37"/>
    </i>
    <i>
      <x v="38"/>
    </i>
    <i>
      <x v="40"/>
    </i>
    <i>
      <x v="41"/>
    </i>
    <i>
      <x v="42"/>
    </i>
    <i>
      <x v="43"/>
    </i>
    <i>
      <x v="44"/>
    </i>
    <i>
      <x v="45"/>
    </i>
    <i>
      <x v="47"/>
    </i>
    <i>
      <x v="48"/>
    </i>
    <i>
      <x v="49"/>
    </i>
    <i>
      <x v="51"/>
    </i>
    <i>
      <x v="52"/>
    </i>
    <i>
      <x v="62"/>
    </i>
    <i t="grand">
      <x/>
    </i>
  </colItems>
  <pageFields count="1">
    <pageField fld="71" item="0" hier="-1"/>
  </pageFields>
  <dataFields count="1">
    <dataField name="Cuenta de ID Demanda" fld="0" subtotal="count" baseField="0" baseItem="0"/>
  </dataFields>
  <formats count="32">
    <format dxfId="1011">
      <pivotArea outline="0" collapsedLevelsAreSubtotals="1" fieldPosition="0"/>
    </format>
    <format dxfId="1012">
      <pivotArea dataOnly="0" labelOnly="1" grandCol="1" outline="0" fieldPosition="0"/>
    </format>
    <format dxfId="1013">
      <pivotArea outline="0" collapsedLevelsAreSubtotals="1" fieldPosition="0"/>
    </format>
    <format dxfId="1014">
      <pivotArea dataOnly="0" labelOnly="1" grandCol="1" outline="0" fieldPosition="0"/>
    </format>
    <format dxfId="1015">
      <pivotArea type="origin" dataOnly="0" labelOnly="1" outline="0" fieldPosition="0"/>
    </format>
    <format dxfId="1016">
      <pivotArea field="27" type="button" dataOnly="0" labelOnly="1" outline="0"/>
    </format>
    <format dxfId="1017">
      <pivotArea field="17" type="button" dataOnly="0" labelOnly="1" outline="0"/>
    </format>
    <format dxfId="1018">
      <pivotArea type="topRight" dataOnly="0" labelOnly="1" outline="0" fieldPosition="0"/>
    </format>
    <format dxfId="1019">
      <pivotArea field="31" type="button" dataOnly="0" labelOnly="1" outline="0" axis="axisRow" fieldPosition="0"/>
    </format>
    <format dxfId="1020">
      <pivotArea dataOnly="0" labelOnly="1" grandCol="1" outline="0" fieldPosition="0"/>
    </format>
    <format dxfId="1021">
      <pivotArea type="origin" dataOnly="0" labelOnly="1" outline="0" fieldPosition="0"/>
    </format>
    <format dxfId="1022">
      <pivotArea field="27" type="button" dataOnly="0" labelOnly="1" outline="0"/>
    </format>
    <format dxfId="1023">
      <pivotArea field="17" type="button" dataOnly="0" labelOnly="1" outline="0"/>
    </format>
    <format dxfId="1024">
      <pivotArea type="topRight" dataOnly="0" labelOnly="1" outline="0" fieldPosition="0"/>
    </format>
    <format dxfId="1025">
      <pivotArea field="31" type="button" dataOnly="0" labelOnly="1" outline="0" axis="axisRow" fieldPosition="0"/>
    </format>
    <format dxfId="1026">
      <pivotArea dataOnly="0" labelOnly="1" grandCol="1" outline="0" fieldPosition="0"/>
    </format>
    <format dxfId="1027">
      <pivotArea grandRow="1" outline="0" collapsedLevelsAreSubtotals="1" fieldPosition="0"/>
    </format>
    <format dxfId="1028">
      <pivotArea dataOnly="0" labelOnly="1" grandRow="1" outline="0" fieldPosition="0"/>
    </format>
    <format dxfId="1029">
      <pivotArea grandRow="1" outline="0" collapsedLevelsAreSubtotals="1" fieldPosition="0"/>
    </format>
    <format dxfId="1030">
      <pivotArea dataOnly="0" labelOnly="1" grandRow="1" outline="0" fieldPosition="0"/>
    </format>
    <format dxfId="1031">
      <pivotArea type="all" dataOnly="0" outline="0" fieldPosition="0"/>
    </format>
    <format dxfId="1032">
      <pivotArea outline="0" collapsedLevelsAreSubtotals="1" fieldPosition="0"/>
    </format>
    <format dxfId="1033">
      <pivotArea type="origin" dataOnly="0" labelOnly="1" outline="0" fieldPosition="0"/>
    </format>
    <format dxfId="1034">
      <pivotArea field="27" type="button" dataOnly="0" labelOnly="1" outline="0"/>
    </format>
    <format dxfId="1035">
      <pivotArea field="17" type="button" dataOnly="0" labelOnly="1" outline="0"/>
    </format>
    <format dxfId="1036">
      <pivotArea type="topRight" dataOnly="0" labelOnly="1" outline="0" fieldPosition="0"/>
    </format>
    <format dxfId="1037">
      <pivotArea field="31" type="button" dataOnly="0" labelOnly="1" outline="0" axis="axisRow" fieldPosition="0"/>
    </format>
    <format dxfId="1038">
      <pivotArea dataOnly="0" labelOnly="1" outline="0" fieldPosition="0">
        <references count="1">
          <reference field="31" count="6">
            <x v="1"/>
            <x v="3"/>
            <x v="8"/>
            <x v="9"/>
            <x v="13"/>
            <x v="22"/>
          </reference>
        </references>
      </pivotArea>
    </format>
    <format dxfId="1039">
      <pivotArea dataOnly="0" labelOnly="1" grandRow="1" outline="0" fieldPosition="0"/>
    </format>
    <format dxfId="1040">
      <pivotArea dataOnly="0" labelOnly="1" grandCol="1" outline="0" fieldPosition="0"/>
    </format>
    <format dxfId="1041">
      <pivotArea dataOnly="0" labelOnly="1" outline="0" fieldPosition="0">
        <references count="1">
          <reference field="52" count="12">
            <x v="21"/>
            <x v="22"/>
            <x v="27"/>
            <x v="29"/>
            <x v="32"/>
            <x v="34"/>
            <x v="35"/>
            <x v="37"/>
            <x v="38"/>
            <x v="42"/>
            <x v="43"/>
            <x v="44"/>
          </reference>
        </references>
      </pivotArea>
    </format>
    <format dxfId="1042">
      <pivotArea dataOnly="0" labelOnly="1" outline="0" fieldPosition="0">
        <references count="1">
          <reference field="52" count="12">
            <x v="21"/>
            <x v="22"/>
            <x v="27"/>
            <x v="29"/>
            <x v="32"/>
            <x v="34"/>
            <x v="35"/>
            <x v="37"/>
            <x v="38"/>
            <x v="42"/>
            <x v="43"/>
            <x v="4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3BDF7FFD-1F0C-463E-8B37-13963E4E75A3}" name="TablaDinámica2" cacheId="1284" applyNumberFormats="0" applyBorderFormats="0" applyFontFormats="0" applyPatternFormats="0" applyAlignmentFormats="0" applyWidthHeightFormats="1" dataCaption="Valores" updatedVersion="7" minRefreshableVersion="3" itemPrintTitles="1" createdVersion="6" indent="3" outline="1" outlineData="1" multipleFieldFilters="0">
  <location ref="A24:I38" firstHeaderRow="1" firstDataRow="2" firstDataCol="1"/>
  <pivotFields count="112">
    <pivotField dataField="1" showAll="0"/>
    <pivotField showAll="0"/>
    <pivotField showAll="0"/>
    <pivotField showAll="0"/>
    <pivotField showAll="0"/>
    <pivotField showAll="0"/>
    <pivotField showAll="0"/>
    <pivotField axis="axisRow" showAll="0">
      <items count="23">
        <item x="6"/>
        <item m="1" x="20"/>
        <item x="2"/>
        <item x="4"/>
        <item x="9"/>
        <item x="10"/>
        <item m="1" x="15"/>
        <item m="1" x="16"/>
        <item m="1" x="14"/>
        <item m="1" x="19"/>
        <item m="1" x="13"/>
        <item m="1" x="21"/>
        <item x="3"/>
        <item x="0"/>
        <item m="1" x="12"/>
        <item m="1" x="17"/>
        <item x="1"/>
        <item x="5"/>
        <item m="1" x="18"/>
        <item x="7"/>
        <item x="8"/>
        <item m="1"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multipleItemSelectionAllowed="1" showAll="0">
      <items count="27">
        <item m="1" x="17"/>
        <item m="1" x="10"/>
        <item x="2"/>
        <item x="5"/>
        <item m="1" x="22"/>
        <item m="1" x="20"/>
        <item m="1" x="24"/>
        <item m="1" x="25"/>
        <item x="7"/>
        <item x="6"/>
        <item m="1" x="14"/>
        <item m="1" x="12"/>
        <item m="1" x="13"/>
        <item x="4"/>
        <item m="1" x="23"/>
        <item m="1" x="19"/>
        <item m="1" x="15"/>
        <item m="1" x="11"/>
        <item x="1"/>
        <item x="0"/>
        <item m="1" x="21"/>
        <item m="1" x="9"/>
        <item x="3"/>
        <item m="1" x="16"/>
        <item m="1" x="18"/>
        <item m="1"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x="3"/>
        <item x="5"/>
        <item m="1" x="12"/>
        <item x="0"/>
        <item x="7"/>
        <item x="6"/>
        <item x="8"/>
        <item x="4"/>
        <item x="2"/>
        <item x="10"/>
        <item m="1" x="13"/>
        <item x="9"/>
        <item x="11"/>
        <item x="1"/>
        <item t="default"/>
      </items>
    </pivotField>
    <pivotField showAll="0"/>
    <pivotField showAll="0"/>
    <pivotField showAll="0"/>
    <pivotField showAll="0"/>
    <pivotField showAll="0"/>
    <pivotField showAll="0"/>
    <pivotField axis="axisRow" showAll="0">
      <items count="9">
        <item x="4"/>
        <item x="2"/>
        <item x="5"/>
        <item x="3"/>
        <item h="1" x="0"/>
        <item h="1" m="1" x="7"/>
        <item h="1" x="1"/>
        <item h="1" x="6"/>
        <item t="default"/>
      </items>
    </pivotField>
    <pivotField showAll="0"/>
    <pivotField showAll="0"/>
    <pivotField showAll="0"/>
    <pivotField showAll="0"/>
    <pivotField showAll="0"/>
    <pivotField showAll="0"/>
    <pivotField showAll="0"/>
    <pivotField numFmtId="9"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s>
  <rowFields count="2">
    <field x="79"/>
    <field x="7"/>
  </rowFields>
  <rowItems count="13">
    <i>
      <x/>
    </i>
    <i r="1">
      <x v="2"/>
    </i>
    <i r="1">
      <x v="13"/>
    </i>
    <i>
      <x v="1"/>
    </i>
    <i r="1">
      <x v="2"/>
    </i>
    <i>
      <x v="2"/>
    </i>
    <i r="1">
      <x v="2"/>
    </i>
    <i r="1">
      <x v="13"/>
    </i>
    <i r="1">
      <x v="20"/>
    </i>
    <i>
      <x v="3"/>
    </i>
    <i r="1">
      <x v="2"/>
    </i>
    <i r="1">
      <x v="20"/>
    </i>
    <i t="grand">
      <x/>
    </i>
  </rowItems>
  <colFields count="1">
    <field x="31"/>
  </colFields>
  <colItems count="8">
    <i>
      <x v="3"/>
    </i>
    <i>
      <x v="8"/>
    </i>
    <i>
      <x v="9"/>
    </i>
    <i>
      <x v="13"/>
    </i>
    <i>
      <x v="18"/>
    </i>
    <i>
      <x v="19"/>
    </i>
    <i>
      <x v="22"/>
    </i>
    <i t="grand">
      <x/>
    </i>
  </colItems>
  <dataFields count="1">
    <dataField name="Cuenta de ID Demanda" fld="0" subtotal="count" baseField="0" baseItem="0"/>
  </dataFields>
  <formats count="40">
    <format dxfId="971">
      <pivotArea type="origin" dataOnly="0" labelOnly="1" outline="0" fieldPosition="0"/>
    </format>
    <format dxfId="972">
      <pivotArea field="72" type="button" dataOnly="0" labelOnly="1" outline="0"/>
    </format>
    <format dxfId="973">
      <pivotArea type="topRight" dataOnly="0" labelOnly="1" outline="0" fieldPosition="0"/>
    </format>
    <format dxfId="974">
      <pivotArea field="79" type="button" dataOnly="0" labelOnly="1" outline="0" axis="axisRow" fieldPosition="0"/>
    </format>
    <format dxfId="975">
      <pivotArea dataOnly="0" labelOnly="1" grandCol="1" outline="0" fieldPosition="0"/>
    </format>
    <format dxfId="976">
      <pivotArea type="origin" dataOnly="0" labelOnly="1" outline="0" fieldPosition="0"/>
    </format>
    <format dxfId="977">
      <pivotArea field="72" type="button" dataOnly="0" labelOnly="1" outline="0"/>
    </format>
    <format dxfId="978">
      <pivotArea type="topRight" dataOnly="0" labelOnly="1" outline="0" fieldPosition="0"/>
    </format>
    <format dxfId="979">
      <pivotArea field="79" type="button" dataOnly="0" labelOnly="1" outline="0" axis="axisRow" fieldPosition="0"/>
    </format>
    <format dxfId="980">
      <pivotArea dataOnly="0" labelOnly="1" grandCol="1" outline="0" fieldPosition="0"/>
    </format>
    <format dxfId="981">
      <pivotArea type="origin" dataOnly="0" labelOnly="1" outline="0" fieldPosition="0"/>
    </format>
    <format dxfId="982">
      <pivotArea field="72" type="button" dataOnly="0" labelOnly="1" outline="0"/>
    </format>
    <format dxfId="983">
      <pivotArea type="topRight" dataOnly="0" labelOnly="1" outline="0" fieldPosition="0"/>
    </format>
    <format dxfId="984">
      <pivotArea field="79" type="button" dataOnly="0" labelOnly="1" outline="0" axis="axisRow" fieldPosition="0"/>
    </format>
    <format dxfId="985">
      <pivotArea dataOnly="0" labelOnly="1" grandCol="1" outline="0" fieldPosition="0"/>
    </format>
    <format dxfId="986">
      <pivotArea type="origin" dataOnly="0" labelOnly="1" outline="0" fieldPosition="0"/>
    </format>
    <format dxfId="987">
      <pivotArea field="72" type="button" dataOnly="0" labelOnly="1" outline="0"/>
    </format>
    <format dxfId="988">
      <pivotArea type="topRight" dataOnly="0" labelOnly="1" outline="0" fieldPosition="0"/>
    </format>
    <format dxfId="989">
      <pivotArea field="79" type="button" dataOnly="0" labelOnly="1" outline="0" axis="axisRow" fieldPosition="0"/>
    </format>
    <format dxfId="990">
      <pivotArea dataOnly="0" labelOnly="1" grandCol="1" outline="0" fieldPosition="0"/>
    </format>
    <format dxfId="991">
      <pivotArea grandRow="1" outline="0" collapsedLevelsAreSubtotals="1" fieldPosition="0"/>
    </format>
    <format dxfId="992">
      <pivotArea dataOnly="0" labelOnly="1" grandRow="1" outline="0" fieldPosition="0"/>
    </format>
    <format dxfId="993">
      <pivotArea grandRow="1" outline="0" collapsedLevelsAreSubtotals="1" fieldPosition="0"/>
    </format>
    <format dxfId="994">
      <pivotArea dataOnly="0" labelOnly="1" grandRow="1" outline="0" fieldPosition="0"/>
    </format>
    <format dxfId="995">
      <pivotArea grandRow="1" outline="0" collapsedLevelsAreSubtotals="1" fieldPosition="0"/>
    </format>
    <format dxfId="996">
      <pivotArea dataOnly="0" labelOnly="1" grandRow="1" outline="0" fieldPosition="0"/>
    </format>
    <format dxfId="997">
      <pivotArea grandRow="1" outline="0" collapsedLevelsAreSubtotals="1" fieldPosition="0"/>
    </format>
    <format dxfId="998">
      <pivotArea dataOnly="0" labelOnly="1" grandRow="1" outline="0" fieldPosition="0"/>
    </format>
    <format dxfId="999">
      <pivotArea outline="0" collapsedLevelsAreSubtotals="1" fieldPosition="0"/>
    </format>
    <format dxfId="1000">
      <pivotArea field="79" type="button" dataOnly="0" labelOnly="1" outline="0" axis="axisRow" fieldPosition="0"/>
    </format>
    <format dxfId="1001">
      <pivotArea dataOnly="0" labelOnly="1" outline="0" fieldPosition="0">
        <references count="1">
          <reference field="79" count="0"/>
        </references>
      </pivotArea>
    </format>
    <format dxfId="1002">
      <pivotArea dataOnly="0" labelOnly="1" grandRow="1" outline="0" fieldPosition="0"/>
    </format>
    <format dxfId="1003">
      <pivotArea dataOnly="0" labelOnly="1" grandCol="1" outline="0" fieldPosition="0"/>
    </format>
    <format dxfId="1004">
      <pivotArea dataOnly="0" labelOnly="1" fieldPosition="0">
        <references count="1">
          <reference field="31" count="0"/>
        </references>
      </pivotArea>
    </format>
    <format dxfId="1005">
      <pivotArea dataOnly="0" labelOnly="1" fieldPosition="0">
        <references count="1">
          <reference field="31" count="0"/>
        </references>
      </pivotArea>
    </format>
    <format dxfId="1006">
      <pivotArea dataOnly="0" labelOnly="1" fieldPosition="0">
        <references count="1">
          <reference field="31" count="0"/>
        </references>
      </pivotArea>
    </format>
    <format dxfId="1007">
      <pivotArea dataOnly="0" labelOnly="1" fieldPosition="0">
        <references count="1">
          <reference field="31" count="0"/>
        </references>
      </pivotArea>
    </format>
    <format dxfId="1008">
      <pivotArea dataOnly="0" labelOnly="1" fieldPosition="0">
        <references count="1">
          <reference field="31" count="0"/>
        </references>
      </pivotArea>
    </format>
    <format dxfId="1009">
      <pivotArea outline="0" collapsedLevelsAreSubtotals="1" fieldPosition="0"/>
    </format>
    <format dxfId="10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2C735B0F-8393-4DC7-880E-954BC089DBB8}" name="TablaDinámica4" cacheId="1284" applyNumberFormats="0" applyBorderFormats="0" applyFontFormats="0" applyPatternFormats="0" applyAlignmentFormats="0" applyWidthHeightFormats="1" dataCaption="Valores" updatedVersion="7" minRefreshableVersion="3" itemPrintTitles="1" createdVersion="6" indent="0" compact="0" compactData="0" multipleFieldFilters="0">
  <location ref="A51:D55" firstHeaderRow="1" firstDataRow="2" firstDataCol="1" rowPageCount="1" colPageCount="1"/>
  <pivotFields count="112">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7"/>
        <item h="1" m="1" x="10"/>
        <item x="2"/>
        <item h="1" x="5"/>
        <item h="1" m="1" x="22"/>
        <item m="1" x="20"/>
        <item m="1" x="24"/>
        <item m="1" x="25"/>
        <item h="1" x="7"/>
        <item h="1" x="6"/>
        <item m="1" x="14"/>
        <item m="1" x="12"/>
        <item m="1" x="13"/>
        <item h="1" x="4"/>
        <item m="1" x="23"/>
        <item m="1" x="19"/>
        <item m="1" x="15"/>
        <item m="1" x="11"/>
        <item x="1"/>
        <item h="1" x="0"/>
        <item m="1" x="21"/>
        <item m="1" x="9"/>
        <item h="1" x="3"/>
        <item m="1" x="16"/>
        <item m="1" x="18"/>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36">
        <item m="1" x="26"/>
        <item m="1" x="31"/>
        <item m="1" x="34"/>
        <item m="1" x="17"/>
        <item m="1" x="20"/>
        <item m="1" x="23"/>
        <item m="1" x="12"/>
        <item m="1" x="15"/>
        <item m="1" x="18"/>
        <item m="1" x="21"/>
        <item m="1" x="24"/>
        <item m="1" x="27"/>
        <item m="1" x="29"/>
        <item m="1" x="32"/>
        <item m="1" x="33"/>
        <item m="1" x="11"/>
        <item m="1" x="14"/>
        <item m="1" x="8"/>
        <item m="1" x="10"/>
        <item m="1" x="13"/>
        <item m="1" x="16"/>
        <item x="0"/>
        <item m="1" x="19"/>
        <item m="1" x="22"/>
        <item m="1" x="25"/>
        <item m="1" x="30"/>
        <item m="1" x="28"/>
        <item x="5"/>
        <item m="1" x="9"/>
        <item x="7"/>
        <item x="4"/>
        <item x="3"/>
        <item x="2"/>
        <item x="1"/>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5">
        <item x="3"/>
        <item x="5"/>
        <item m="1" x="12"/>
        <item x="0"/>
        <item x="7"/>
        <item x="6"/>
        <item x="8"/>
        <item x="4"/>
        <item x="2"/>
        <item x="10"/>
        <item m="1" x="13"/>
        <item x="9"/>
        <item x="11"/>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9">
        <item x="4"/>
        <item x="2"/>
        <item x="5"/>
        <item x="3"/>
        <item h="1" x="0"/>
        <item h="1" m="1" x="7"/>
        <item h="1" x="1"/>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79"/>
  </rowFields>
  <rowItems count="3">
    <i>
      <x v="1"/>
    </i>
    <i>
      <x v="3"/>
    </i>
    <i t="grand">
      <x/>
    </i>
  </rowItems>
  <colFields count="1">
    <field x="51"/>
  </colFields>
  <colItems count="3">
    <i>
      <x v="30"/>
    </i>
    <i>
      <x v="33"/>
    </i>
    <i t="grand">
      <x/>
    </i>
  </colItems>
  <pageFields count="1">
    <pageField fld="31" hier="-1"/>
  </pageFields>
  <dataFields count="1">
    <dataField name="Cuenta de ID Demanda" fld="0" subtotal="count" baseField="0" baseItem="0"/>
  </dataFields>
  <formats count="37">
    <format dxfId="934">
      <pivotArea type="origin" dataOnly="0" labelOnly="1" outline="0" fieldPosition="0"/>
    </format>
    <format dxfId="935">
      <pivotArea field="72" type="button" dataOnly="0" labelOnly="1" outline="0"/>
    </format>
    <format dxfId="936">
      <pivotArea type="topRight" dataOnly="0" labelOnly="1" outline="0" fieldPosition="0"/>
    </format>
    <format dxfId="937">
      <pivotArea field="79" type="button" dataOnly="0" labelOnly="1" outline="0" axis="axisRow" fieldPosition="0"/>
    </format>
    <format dxfId="938">
      <pivotArea dataOnly="0" labelOnly="1" grandCol="1" outline="0" fieldPosition="0"/>
    </format>
    <format dxfId="939">
      <pivotArea type="origin" dataOnly="0" labelOnly="1" outline="0" fieldPosition="0"/>
    </format>
    <format dxfId="940">
      <pivotArea field="72" type="button" dataOnly="0" labelOnly="1" outline="0"/>
    </format>
    <format dxfId="941">
      <pivotArea type="topRight" dataOnly="0" labelOnly="1" outline="0" fieldPosition="0"/>
    </format>
    <format dxfId="942">
      <pivotArea field="79" type="button" dataOnly="0" labelOnly="1" outline="0" axis="axisRow" fieldPosition="0"/>
    </format>
    <format dxfId="943">
      <pivotArea dataOnly="0" labelOnly="1" grandCol="1" outline="0" fieldPosition="0"/>
    </format>
    <format dxfId="944">
      <pivotArea type="origin" dataOnly="0" labelOnly="1" outline="0" fieldPosition="0"/>
    </format>
    <format dxfId="945">
      <pivotArea field="72" type="button" dataOnly="0" labelOnly="1" outline="0"/>
    </format>
    <format dxfId="946">
      <pivotArea type="topRight" dataOnly="0" labelOnly="1" outline="0" fieldPosition="0"/>
    </format>
    <format dxfId="947">
      <pivotArea field="79" type="button" dataOnly="0" labelOnly="1" outline="0" axis="axisRow" fieldPosition="0"/>
    </format>
    <format dxfId="948">
      <pivotArea dataOnly="0" labelOnly="1" grandCol="1" outline="0" fieldPosition="0"/>
    </format>
    <format dxfId="949">
      <pivotArea type="origin" dataOnly="0" labelOnly="1" outline="0" fieldPosition="0"/>
    </format>
    <format dxfId="950">
      <pivotArea field="72" type="button" dataOnly="0" labelOnly="1" outline="0"/>
    </format>
    <format dxfId="951">
      <pivotArea type="topRight" dataOnly="0" labelOnly="1" outline="0" fieldPosition="0"/>
    </format>
    <format dxfId="952">
      <pivotArea field="79" type="button" dataOnly="0" labelOnly="1" outline="0" axis="axisRow" fieldPosition="0"/>
    </format>
    <format dxfId="953">
      <pivotArea dataOnly="0" labelOnly="1" grandCol="1" outline="0" fieldPosition="0"/>
    </format>
    <format dxfId="954">
      <pivotArea grandRow="1" outline="0" collapsedLevelsAreSubtotals="1" fieldPosition="0"/>
    </format>
    <format dxfId="955">
      <pivotArea dataOnly="0" labelOnly="1" grandRow="1" outline="0" fieldPosition="0"/>
    </format>
    <format dxfId="956">
      <pivotArea grandRow="1" outline="0" collapsedLevelsAreSubtotals="1" fieldPosition="0"/>
    </format>
    <format dxfId="957">
      <pivotArea dataOnly="0" labelOnly="1" grandRow="1" outline="0" fieldPosition="0"/>
    </format>
    <format dxfId="958">
      <pivotArea grandRow="1" outline="0" collapsedLevelsAreSubtotals="1" fieldPosition="0"/>
    </format>
    <format dxfId="959">
      <pivotArea dataOnly="0" labelOnly="1" grandRow="1" outline="0" fieldPosition="0"/>
    </format>
    <format dxfId="960">
      <pivotArea grandRow="1" outline="0" collapsedLevelsAreSubtotals="1" fieldPosition="0"/>
    </format>
    <format dxfId="961">
      <pivotArea dataOnly="0" labelOnly="1" grandRow="1" outline="0" fieldPosition="0"/>
    </format>
    <format dxfId="962">
      <pivotArea outline="0" collapsedLevelsAreSubtotals="1" fieldPosition="0"/>
    </format>
    <format dxfId="963">
      <pivotArea field="79" type="button" dataOnly="0" labelOnly="1" outline="0" axis="axisRow" fieldPosition="0"/>
    </format>
    <format dxfId="964">
      <pivotArea dataOnly="0" labelOnly="1" outline="0" fieldPosition="0">
        <references count="1">
          <reference field="79" count="0"/>
        </references>
      </pivotArea>
    </format>
    <format dxfId="965">
      <pivotArea dataOnly="0" labelOnly="1" grandRow="1" outline="0" fieldPosition="0"/>
    </format>
    <format dxfId="966">
      <pivotArea dataOnly="0" labelOnly="1" grandCol="1" outline="0" fieldPosition="0"/>
    </format>
    <format dxfId="967">
      <pivotArea dataOnly="0" labelOnly="1" outline="0" fieldPosition="0">
        <references count="1">
          <reference field="51" count="4">
            <x v="17"/>
            <x v="18"/>
            <x v="19"/>
            <x v="20"/>
          </reference>
        </references>
      </pivotArea>
    </format>
    <format dxfId="968">
      <pivotArea dataOnly="0" labelOnly="1" outline="0" fieldPosition="0">
        <references count="1">
          <reference field="51" count="4">
            <x v="17"/>
            <x v="18"/>
            <x v="19"/>
            <x v="20"/>
          </reference>
        </references>
      </pivotArea>
    </format>
    <format dxfId="969">
      <pivotArea dataOnly="0" labelOnly="1" outline="0" fieldPosition="0">
        <references count="1">
          <reference field="51" count="4">
            <x v="17"/>
            <x v="18"/>
            <x v="19"/>
            <x v="20"/>
          </reference>
        </references>
      </pivotArea>
    </format>
    <format dxfId="970">
      <pivotArea dataOnly="0" labelOnly="1" outline="0" fieldPosition="0">
        <references count="1">
          <reference field="51" count="4">
            <x v="17"/>
            <x v="18"/>
            <x v="19"/>
            <x v="2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625BCC91-E2F2-4B84-AC7B-95E4AD2D63A7}" name="TablaDinámica10" cacheId="1284" applyNumberFormats="0" applyBorderFormats="0" applyFontFormats="0" applyPatternFormats="0" applyAlignmentFormats="0" applyWidthHeightFormats="1" dataCaption="Valores" updatedVersion="7" minRefreshableVersion="3" itemPrintTitles="1" createdVersion="6" indent="0" compact="0" compactData="0" multipleFieldFilters="0">
  <location ref="A190:G197" firstHeaderRow="1" firstDataRow="2" firstDataCol="1" rowPageCount="1" colPageCount="1"/>
  <pivotFields count="112">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0">
        <item h="1" x="1"/>
        <item h="1" x="0"/>
        <item m="1" x="6"/>
        <item h="1" x="2"/>
        <item m="1" x="4"/>
        <item x="3"/>
        <item m="1" x="5"/>
        <item h="1" m="1" x="7"/>
        <item h="1"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9">
        <item m="1" x="7"/>
        <item x="1"/>
        <item x="0"/>
        <item m="1" x="8"/>
        <item x="2"/>
        <item m="1" x="5"/>
        <item m="1" x="6"/>
        <item m="1" x="4"/>
        <item x="3"/>
      </items>
    </pivotField>
    <pivotField compact="0" outline="0" showAll="0"/>
    <pivotField compact="0" outline="0" showAll="0"/>
    <pivotField compact="0" outline="0" showAll="0"/>
    <pivotField axis="axisRow" compact="0" outline="0" showAll="0">
      <items count="27">
        <item m="1" x="17"/>
        <item m="1" x="10"/>
        <item x="2"/>
        <item x="5"/>
        <item m="1" x="22"/>
        <item m="1" x="20"/>
        <item m="1" x="24"/>
        <item m="1" x="25"/>
        <item x="7"/>
        <item x="6"/>
        <item m="1" x="14"/>
        <item m="1" x="12"/>
        <item m="1" x="13"/>
        <item x="4"/>
        <item m="1" x="23"/>
        <item m="1" x="19"/>
        <item m="1" x="15"/>
        <item m="1" x="11"/>
        <item x="1"/>
        <item x="0"/>
        <item m="1" x="21"/>
        <item m="1" x="9"/>
        <item x="3"/>
        <item m="1" x="16"/>
        <item m="1" x="18"/>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7">
        <item x="2"/>
        <item x="3"/>
        <item x="4"/>
        <item x="1"/>
        <item x="0"/>
        <item m="1"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31"/>
  </rowFields>
  <rowItems count="6">
    <i>
      <x v="3"/>
    </i>
    <i>
      <x v="9"/>
    </i>
    <i>
      <x v="13"/>
    </i>
    <i>
      <x v="18"/>
    </i>
    <i>
      <x v="22"/>
    </i>
    <i t="grand">
      <x/>
    </i>
  </rowItems>
  <colFields count="1">
    <field x="65"/>
  </colFields>
  <colItems count="6">
    <i>
      <x/>
    </i>
    <i>
      <x v="1"/>
    </i>
    <i>
      <x v="2"/>
    </i>
    <i>
      <x v="3"/>
    </i>
    <i>
      <x v="4"/>
    </i>
    <i t="grand">
      <x/>
    </i>
  </colItems>
  <pageFields count="1">
    <pageField fld="17" item="5" hier="-1"/>
  </pageFields>
  <dataFields count="1">
    <dataField name="Cuenta de ID Demanda" fld="0" subtotal="count" baseField="0" baseItem="0"/>
  </dataFields>
  <formats count="35">
    <format dxfId="899">
      <pivotArea outline="0" collapsedLevelsAreSubtotals="1" fieldPosition="0"/>
    </format>
    <format dxfId="900">
      <pivotArea dataOnly="0" labelOnly="1" grandCol="1" outline="0" fieldPosition="0"/>
    </format>
    <format dxfId="901">
      <pivotArea outline="0" collapsedLevelsAreSubtotals="1" fieldPosition="0"/>
    </format>
    <format dxfId="902">
      <pivotArea dataOnly="0" labelOnly="1" grandCol="1" outline="0" fieldPosition="0"/>
    </format>
    <format dxfId="903">
      <pivotArea type="origin" dataOnly="0" labelOnly="1" outline="0" fieldPosition="0"/>
    </format>
    <format dxfId="904">
      <pivotArea field="27" type="button" dataOnly="0" labelOnly="1" outline="0"/>
    </format>
    <format dxfId="905">
      <pivotArea field="17" type="button" dataOnly="0" labelOnly="1" outline="0" axis="axisPage" fieldPosition="0"/>
    </format>
    <format dxfId="906">
      <pivotArea type="topRight" dataOnly="0" labelOnly="1" outline="0" fieldPosition="0"/>
    </format>
    <format dxfId="907">
      <pivotArea field="31" type="button" dataOnly="0" labelOnly="1" outline="0" axis="axisRow" fieldPosition="0"/>
    </format>
    <format dxfId="908">
      <pivotArea dataOnly="0" labelOnly="1" grandCol="1" outline="0" fieldPosition="0"/>
    </format>
    <format dxfId="909">
      <pivotArea type="origin" dataOnly="0" labelOnly="1" outline="0" fieldPosition="0"/>
    </format>
    <format dxfId="910">
      <pivotArea field="27" type="button" dataOnly="0" labelOnly="1" outline="0"/>
    </format>
    <format dxfId="911">
      <pivotArea field="17" type="button" dataOnly="0" labelOnly="1" outline="0" axis="axisPage" fieldPosition="0"/>
    </format>
    <format dxfId="912">
      <pivotArea type="topRight" dataOnly="0" labelOnly="1" outline="0" fieldPosition="0"/>
    </format>
    <format dxfId="913">
      <pivotArea field="31" type="button" dataOnly="0" labelOnly="1" outline="0" axis="axisRow" fieldPosition="0"/>
    </format>
    <format dxfId="914">
      <pivotArea dataOnly="0" labelOnly="1" grandCol="1" outline="0" fieldPosition="0"/>
    </format>
    <format dxfId="915">
      <pivotArea grandRow="1" outline="0" collapsedLevelsAreSubtotals="1" fieldPosition="0"/>
    </format>
    <format dxfId="916">
      <pivotArea dataOnly="0" labelOnly="1" grandRow="1" outline="0" fieldPosition="0"/>
    </format>
    <format dxfId="917">
      <pivotArea grandRow="1" outline="0" collapsedLevelsAreSubtotals="1" fieldPosition="0"/>
    </format>
    <format dxfId="918">
      <pivotArea dataOnly="0" labelOnly="1" grandRow="1" outline="0" fieldPosition="0"/>
    </format>
    <format dxfId="919">
      <pivotArea type="all" dataOnly="0" outline="0" fieldPosition="0"/>
    </format>
    <format dxfId="920">
      <pivotArea outline="0" collapsedLevelsAreSubtotals="1" fieldPosition="0"/>
    </format>
    <format dxfId="921">
      <pivotArea type="origin" dataOnly="0" labelOnly="1" outline="0" fieldPosition="0"/>
    </format>
    <format dxfId="922">
      <pivotArea field="27" type="button" dataOnly="0" labelOnly="1" outline="0"/>
    </format>
    <format dxfId="923">
      <pivotArea field="17" type="button" dataOnly="0" labelOnly="1" outline="0" axis="axisPage" fieldPosition="0"/>
    </format>
    <format dxfId="924">
      <pivotArea type="topRight" dataOnly="0" labelOnly="1" outline="0" fieldPosition="0"/>
    </format>
    <format dxfId="925">
      <pivotArea field="31" type="button" dataOnly="0" labelOnly="1" outline="0" axis="axisRow" fieldPosition="0"/>
    </format>
    <format dxfId="926">
      <pivotArea dataOnly="0" labelOnly="1" outline="0" fieldPosition="0">
        <references count="1">
          <reference field="31" count="6">
            <x v="1"/>
            <x v="3"/>
            <x v="8"/>
            <x v="9"/>
            <x v="13"/>
            <x v="22"/>
          </reference>
        </references>
      </pivotArea>
    </format>
    <format dxfId="927">
      <pivotArea dataOnly="0" labelOnly="1" grandRow="1" outline="0" fieldPosition="0"/>
    </format>
    <format dxfId="928">
      <pivotArea dataOnly="0" labelOnly="1" grandCol="1" outline="0" fieldPosition="0"/>
    </format>
    <format dxfId="929">
      <pivotArea dataOnly="0" labelOnly="1" outline="0" fieldPosition="0">
        <references count="1">
          <reference field="65" count="4">
            <x v="0"/>
            <x v="1"/>
            <x v="2"/>
            <x v="3"/>
          </reference>
        </references>
      </pivotArea>
    </format>
    <format dxfId="930">
      <pivotArea dataOnly="0" labelOnly="1" outline="0" fieldPosition="0">
        <references count="1">
          <reference field="65" count="4">
            <x v="0"/>
            <x v="1"/>
            <x v="2"/>
            <x v="3"/>
          </reference>
        </references>
      </pivotArea>
    </format>
    <format dxfId="931">
      <pivotArea dataOnly="0" labelOnly="1" outline="0" fieldPosition="0">
        <references count="1">
          <reference field="65" count="4">
            <x v="0"/>
            <x v="1"/>
            <x v="2"/>
            <x v="3"/>
          </reference>
        </references>
      </pivotArea>
    </format>
    <format dxfId="932">
      <pivotArea dataOnly="0" labelOnly="1" outline="0" fieldPosition="0">
        <references count="1">
          <reference field="65" count="4">
            <x v="0"/>
            <x v="1"/>
            <x v="2"/>
            <x v="3"/>
          </reference>
        </references>
      </pivotArea>
    </format>
    <format dxfId="933">
      <pivotArea dataOnly="0" labelOnly="1" outline="0" fieldPosition="0">
        <references count="1">
          <reference field="65"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26E3FE14-8E9C-49B4-A935-E6FB77283538}" name="TablaDinámica8" cacheId="1284" applyNumberFormats="0" applyBorderFormats="0" applyFontFormats="0" applyPatternFormats="0" applyAlignmentFormats="0" applyWidthHeightFormats="1" dataCaption="Valores" updatedVersion="7" minRefreshableVersion="3" useAutoFormatting="1" itemPrintTitles="1" createdVersion="6" indent="0" compact="0" compactData="0" multipleFieldFilters="0">
  <location ref="A133:N144" firstHeaderRow="1" firstDataRow="2" firstDataCol="1" rowPageCount="1" colPageCount="1"/>
  <pivotFields count="112">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23">
        <item x="6"/>
        <item m="1" x="20"/>
        <item x="2"/>
        <item x="4"/>
        <item x="9"/>
        <item x="10"/>
        <item m="1" x="15"/>
        <item m="1" x="16"/>
        <item m="1" x="14"/>
        <item m="1" x="19"/>
        <item m="1" x="13"/>
        <item m="1" x="21"/>
        <item x="3"/>
        <item x="0"/>
        <item m="1" x="12"/>
        <item m="1" x="17"/>
        <item x="1"/>
        <item x="5"/>
        <item m="1" x="18"/>
        <item x="7"/>
        <item x="8"/>
        <item m="1"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7">
        <item m="1" x="17"/>
        <item h="1" m="1" x="10"/>
        <item x="2"/>
        <item h="1" x="5"/>
        <item h="1" m="1" x="22"/>
        <item m="1" x="20"/>
        <item m="1" x="24"/>
        <item m="1" x="25"/>
        <item h="1" x="7"/>
        <item h="1" x="6"/>
        <item m="1" x="14"/>
        <item m="1" x="12"/>
        <item m="1" x="13"/>
        <item h="1" x="4"/>
        <item m="1" x="23"/>
        <item m="1" x="19"/>
        <item m="1" x="15"/>
        <item m="1" x="11"/>
        <item x="1"/>
        <item h="1" x="0"/>
        <item m="1" x="21"/>
        <item m="1" x="9"/>
        <item h="1" x="3"/>
        <item m="1" x="16"/>
        <item m="1" x="18"/>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6">
        <item m="1" x="26"/>
        <item m="1" x="31"/>
        <item m="1" x="34"/>
        <item m="1" x="17"/>
        <item m="1" x="20"/>
        <item m="1" x="23"/>
        <item m="1" x="12"/>
        <item m="1" x="15"/>
        <item m="1" x="18"/>
        <item m="1" x="21"/>
        <item m="1" x="24"/>
        <item m="1" x="27"/>
        <item m="1" x="29"/>
        <item m="1" x="32"/>
        <item m="1" x="33"/>
        <item m="1" x="11"/>
        <item m="1" x="14"/>
        <item m="1" x="8"/>
        <item m="1" x="10"/>
        <item m="1" x="13"/>
        <item m="1" x="16"/>
        <item x="0"/>
        <item m="1" x="19"/>
        <item m="1" x="22"/>
        <item m="1" x="25"/>
        <item m="1" x="30"/>
        <item m="1" x="28"/>
        <item x="5"/>
        <item m="1" x="9"/>
        <item x="7"/>
        <item x="4"/>
        <item x="3"/>
        <item x="2"/>
        <item x="1"/>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x="1"/>
        <item x="4"/>
        <item x="6"/>
        <item x="0"/>
        <item x="8"/>
        <item x="7"/>
        <item x="9"/>
        <item x="5"/>
        <item x="3"/>
        <item x="11"/>
        <item m="1" x="13"/>
        <item x="10"/>
        <item x="12"/>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7"/>
  </rowFields>
  <rowItems count="10">
    <i>
      <x v="13"/>
    </i>
    <i>
      <x v="17"/>
    </i>
    <i>
      <x v="16"/>
    </i>
    <i>
      <x v="2"/>
    </i>
    <i>
      <x/>
    </i>
    <i>
      <x v="20"/>
    </i>
    <i>
      <x v="19"/>
    </i>
    <i>
      <x v="12"/>
    </i>
    <i>
      <x v="3"/>
    </i>
    <i t="grand">
      <x/>
    </i>
  </rowItems>
  <colFields count="1">
    <field x="71"/>
  </colFields>
  <colItems count="13">
    <i>
      <x/>
    </i>
    <i>
      <x v="1"/>
    </i>
    <i>
      <x v="2"/>
    </i>
    <i>
      <x v="3"/>
    </i>
    <i>
      <x v="4"/>
    </i>
    <i>
      <x v="5"/>
    </i>
    <i>
      <x v="6"/>
    </i>
    <i>
      <x v="7"/>
    </i>
    <i>
      <x v="8"/>
    </i>
    <i>
      <x v="9"/>
    </i>
    <i>
      <x v="12"/>
    </i>
    <i>
      <x v="13"/>
    </i>
    <i t="grand">
      <x/>
    </i>
  </colItems>
  <pageFields count="1">
    <pageField fld="31" item="18" hier="-1"/>
  </pageFields>
  <dataFields count="1">
    <dataField name="Cuenta de ID Demanda" fld="0" subtotal="count" baseField="0" baseItem="0"/>
  </dataFields>
  <formats count="45">
    <format dxfId="854">
      <pivotArea dataOnly="0" labelOnly="1" outline="0" fieldPosition="0">
        <references count="1">
          <reference field="71" count="4">
            <x v="1"/>
            <x v="2"/>
            <x v="3"/>
            <x v="7"/>
          </reference>
        </references>
      </pivotArea>
    </format>
    <format dxfId="855">
      <pivotArea type="origin" dataOnly="0" labelOnly="1" outline="0" fieldPosition="0"/>
    </format>
    <format dxfId="856">
      <pivotArea field="71" type="button" dataOnly="0" labelOnly="1" outline="0" axis="axisCol" fieldPosition="0"/>
    </format>
    <format dxfId="857">
      <pivotArea type="topRight" dataOnly="0" labelOnly="1" outline="0" fieldPosition="0"/>
    </format>
    <format dxfId="858">
      <pivotArea field="51" type="button" dataOnly="0" labelOnly="1" outline="0"/>
    </format>
    <format dxfId="859">
      <pivotArea dataOnly="0" labelOnly="1" outline="0" fieldPosition="0">
        <references count="1">
          <reference field="71" count="5">
            <x v="0"/>
            <x v="1"/>
            <x v="2"/>
            <x v="3"/>
            <x v="7"/>
          </reference>
        </references>
      </pivotArea>
    </format>
    <format dxfId="860">
      <pivotArea dataOnly="0" labelOnly="1" grandCol="1" outline="0" fieldPosition="0"/>
    </format>
    <format dxfId="861">
      <pivotArea type="origin" dataOnly="0" labelOnly="1" outline="0" fieldPosition="0"/>
    </format>
    <format dxfId="862">
      <pivotArea field="71" type="button" dataOnly="0" labelOnly="1" outline="0" axis="axisCol" fieldPosition="0"/>
    </format>
    <format dxfId="863">
      <pivotArea type="topRight" dataOnly="0" labelOnly="1" outline="0" fieldPosition="0"/>
    </format>
    <format dxfId="864">
      <pivotArea field="51" type="button" dataOnly="0" labelOnly="1" outline="0"/>
    </format>
    <format dxfId="865">
      <pivotArea dataOnly="0" labelOnly="1" outline="0" fieldPosition="0">
        <references count="1">
          <reference field="71" count="5">
            <x v="0"/>
            <x v="1"/>
            <x v="2"/>
            <x v="3"/>
            <x v="7"/>
          </reference>
        </references>
      </pivotArea>
    </format>
    <format dxfId="866">
      <pivotArea dataOnly="0" labelOnly="1" grandCol="1" outline="0" fieldPosition="0"/>
    </format>
    <format dxfId="867">
      <pivotArea grandRow="1" outline="0" collapsedLevelsAreSubtotals="1" fieldPosition="0"/>
    </format>
    <format dxfId="868">
      <pivotArea dataOnly="0" labelOnly="1" grandRow="1" outline="0" fieldPosition="0"/>
    </format>
    <format dxfId="869">
      <pivotArea grandRow="1" outline="0" collapsedLevelsAreSubtotals="1" fieldPosition="0"/>
    </format>
    <format dxfId="870">
      <pivotArea dataOnly="0" labelOnly="1" grandRow="1" outline="0" fieldPosition="0"/>
    </format>
    <format dxfId="871">
      <pivotArea outline="0" collapsedLevelsAreSubtotals="1" fieldPosition="0"/>
    </format>
    <format dxfId="872">
      <pivotArea field="51" type="button" dataOnly="0" labelOnly="1" outline="0"/>
    </format>
    <format dxfId="873">
      <pivotArea dataOnly="0" labelOnly="1" grandRow="1" outline="0" fieldPosition="0"/>
    </format>
    <format dxfId="874">
      <pivotArea dataOnly="0" labelOnly="1" outline="0" fieldPosition="0">
        <references count="1">
          <reference field="71" count="5">
            <x v="0"/>
            <x v="1"/>
            <x v="2"/>
            <x v="3"/>
            <x v="7"/>
          </reference>
        </references>
      </pivotArea>
    </format>
    <format dxfId="875">
      <pivotArea dataOnly="0" labelOnly="1" grandCol="1" outline="0" fieldPosition="0"/>
    </format>
    <format dxfId="876">
      <pivotArea field="7" type="button" dataOnly="0" labelOnly="1" outline="0" axis="axisRow" fieldPosition="0"/>
    </format>
    <format dxfId="877">
      <pivotArea field="7" type="button" dataOnly="0" labelOnly="1" outline="0" axis="axisRow" fieldPosition="0"/>
    </format>
    <format dxfId="878">
      <pivotArea outline="0" fieldPosition="0">
        <references count="1">
          <reference field="7" count="11" selected="0">
            <x v="0"/>
            <x v="2"/>
            <x v="3"/>
            <x v="11"/>
            <x v="13"/>
            <x v="15"/>
            <x v="16"/>
            <x v="17"/>
            <x v="18"/>
            <x v="19"/>
            <x v="20"/>
          </reference>
        </references>
      </pivotArea>
    </format>
    <format dxfId="879">
      <pivotArea field="7" type="button" dataOnly="0" labelOnly="1" outline="0" axis="axisRow" fieldPosition="0"/>
    </format>
    <format dxfId="880">
      <pivotArea dataOnly="0" labelOnly="1" outline="0" fieldPosition="0">
        <references count="1">
          <reference field="7" count="11">
            <x v="0"/>
            <x v="2"/>
            <x v="3"/>
            <x v="11"/>
            <x v="13"/>
            <x v="15"/>
            <x v="16"/>
            <x v="17"/>
            <x v="18"/>
            <x v="19"/>
            <x v="20"/>
          </reference>
        </references>
      </pivotArea>
    </format>
    <format dxfId="881">
      <pivotArea dataOnly="0" labelOnly="1" outline="0" fieldPosition="0">
        <references count="1">
          <reference field="71" count="5">
            <x v="0"/>
            <x v="1"/>
            <x v="2"/>
            <x v="3"/>
            <x v="7"/>
          </reference>
        </references>
      </pivotArea>
    </format>
    <format dxfId="882">
      <pivotArea dataOnly="0" labelOnly="1" grandCol="1" outline="0" fieldPosition="0"/>
    </format>
    <format dxfId="883">
      <pivotArea outline="0" fieldPosition="0">
        <references count="1">
          <reference field="7" count="11" selected="0">
            <x v="0"/>
            <x v="2"/>
            <x v="3"/>
            <x v="11"/>
            <x v="13"/>
            <x v="15"/>
            <x v="16"/>
            <x v="17"/>
            <x v="18"/>
            <x v="19"/>
            <x v="20"/>
          </reference>
        </references>
      </pivotArea>
    </format>
    <format dxfId="884">
      <pivotArea field="7" type="button" dataOnly="0" labelOnly="1" outline="0" axis="axisRow" fieldPosition="0"/>
    </format>
    <format dxfId="885">
      <pivotArea dataOnly="0" labelOnly="1" outline="0" fieldPosition="0">
        <references count="1">
          <reference field="7" count="11">
            <x v="0"/>
            <x v="2"/>
            <x v="3"/>
            <x v="11"/>
            <x v="13"/>
            <x v="15"/>
            <x v="16"/>
            <x v="17"/>
            <x v="18"/>
            <x v="19"/>
            <x v="20"/>
          </reference>
        </references>
      </pivotArea>
    </format>
    <format dxfId="886">
      <pivotArea dataOnly="0" labelOnly="1" outline="0" fieldPosition="0">
        <references count="1">
          <reference field="71" count="5">
            <x v="0"/>
            <x v="1"/>
            <x v="2"/>
            <x v="3"/>
            <x v="7"/>
          </reference>
        </references>
      </pivotArea>
    </format>
    <format dxfId="887">
      <pivotArea dataOnly="0" labelOnly="1" grandCol="1" outline="0" fieldPosition="0"/>
    </format>
    <format dxfId="888">
      <pivotArea outline="0" fieldPosition="0">
        <references count="1">
          <reference field="7" count="11" selected="0">
            <x v="0"/>
            <x v="2"/>
            <x v="3"/>
            <x v="11"/>
            <x v="13"/>
            <x v="15"/>
            <x v="16"/>
            <x v="17"/>
            <x v="18"/>
            <x v="19"/>
            <x v="20"/>
          </reference>
        </references>
      </pivotArea>
    </format>
    <format dxfId="889">
      <pivotArea field="7" type="button" dataOnly="0" labelOnly="1" outline="0" axis="axisRow" fieldPosition="0"/>
    </format>
    <format dxfId="890">
      <pivotArea dataOnly="0" labelOnly="1" outline="0" fieldPosition="0">
        <references count="1">
          <reference field="7" count="11">
            <x v="0"/>
            <x v="2"/>
            <x v="3"/>
            <x v="11"/>
            <x v="13"/>
            <x v="15"/>
            <x v="16"/>
            <x v="17"/>
            <x v="18"/>
            <x v="19"/>
            <x v="20"/>
          </reference>
        </references>
      </pivotArea>
    </format>
    <format dxfId="891">
      <pivotArea dataOnly="0" labelOnly="1" outline="0" fieldPosition="0">
        <references count="1">
          <reference field="71" count="5">
            <x v="0"/>
            <x v="1"/>
            <x v="2"/>
            <x v="3"/>
            <x v="7"/>
          </reference>
        </references>
      </pivotArea>
    </format>
    <format dxfId="892">
      <pivotArea dataOnly="0" labelOnly="1" grandCol="1" outline="0" fieldPosition="0"/>
    </format>
    <format dxfId="893">
      <pivotArea outline="0" collapsedLevelsAreSubtotals="1" fieldPosition="0"/>
    </format>
    <format dxfId="894">
      <pivotArea field="7" type="button" dataOnly="0" labelOnly="1" outline="0" axis="axisRow" fieldPosition="0"/>
    </format>
    <format dxfId="895">
      <pivotArea dataOnly="0" labelOnly="1" outline="0" fieldPosition="0">
        <references count="1">
          <reference field="7" count="11">
            <x v="0"/>
            <x v="2"/>
            <x v="3"/>
            <x v="11"/>
            <x v="13"/>
            <x v="15"/>
            <x v="16"/>
            <x v="17"/>
            <x v="18"/>
            <x v="19"/>
            <x v="20"/>
          </reference>
        </references>
      </pivotArea>
    </format>
    <format dxfId="896">
      <pivotArea dataOnly="0" labelOnly="1" grandRow="1" outline="0" fieldPosition="0"/>
    </format>
    <format dxfId="897">
      <pivotArea dataOnly="0" labelOnly="1" outline="0" fieldPosition="0">
        <references count="1">
          <reference field="71" count="5">
            <x v="0"/>
            <x v="1"/>
            <x v="2"/>
            <x v="3"/>
            <x v="7"/>
          </reference>
        </references>
      </pivotArea>
    </format>
    <format dxfId="898">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FFE537A9-5CDC-47D7-9B17-5B474EBDDCA7}" name="TablaDinámica1" cacheId="1284" applyNumberFormats="0" applyBorderFormats="0" applyFontFormats="0" applyPatternFormats="0" applyAlignmentFormats="0" applyWidthHeightFormats="1" dataCaption="Valores" updatedVersion="7" minRefreshableVersion="3" itemPrintTitles="1" createdVersion="6" indent="0" compact="0" compactData="0" multipleFieldFilters="0">
  <location ref="A8:G14" firstHeaderRow="1" firstDataRow="2" firstDataCol="1" rowPageCount="1" colPageCount="1"/>
  <pivotFields count="112">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7"/>
        <item m="1" x="10"/>
        <item x="2"/>
        <item x="5"/>
        <item m="1" x="22"/>
        <item m="1" x="20"/>
        <item m="1" x="24"/>
        <item m="1" x="25"/>
        <item x="7"/>
        <item x="6"/>
        <item m="1" x="14"/>
        <item m="1" x="12"/>
        <item m="1" x="13"/>
        <item x="4"/>
        <item m="1" x="23"/>
        <item m="1" x="19"/>
        <item m="1" x="15"/>
        <item m="1" x="11"/>
        <item h="1" x="1"/>
        <item h="1" x="0"/>
        <item m="1" x="21"/>
        <item m="1" x="9"/>
        <item x="3"/>
        <item m="1" x="16"/>
        <item m="1" x="18"/>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x="3"/>
        <item x="5"/>
        <item m="1" x="12"/>
        <item x="0"/>
        <item x="7"/>
        <item x="6"/>
        <item x="8"/>
        <item x="4"/>
        <item x="2"/>
        <item x="10"/>
        <item m="1" x="13"/>
        <item x="9"/>
        <item x="11"/>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9">
        <item x="4"/>
        <item x="2"/>
        <item x="5"/>
        <item x="3"/>
        <item h="1" x="0"/>
        <item h="1" m="1" x="7"/>
        <item h="1" x="1"/>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79"/>
  </rowFields>
  <rowItems count="5">
    <i>
      <x/>
    </i>
    <i>
      <x v="1"/>
    </i>
    <i>
      <x v="2"/>
    </i>
    <i>
      <x v="3"/>
    </i>
    <i t="grand">
      <x/>
    </i>
  </rowItems>
  <colFields count="1">
    <field x="72"/>
  </colFields>
  <colItems count="6">
    <i>
      <x v="4"/>
    </i>
    <i>
      <x v="5"/>
    </i>
    <i>
      <x v="6"/>
    </i>
    <i>
      <x v="7"/>
    </i>
    <i>
      <x v="13"/>
    </i>
    <i t="grand">
      <x/>
    </i>
  </colItems>
  <pageFields count="1">
    <pageField fld="31" hier="-1"/>
  </pageFields>
  <dataFields count="1">
    <dataField name="Cuenta de ID Demanda" fld="0" subtotal="count" baseField="0" baseItem="0"/>
  </dataFields>
  <formats count="39">
    <format dxfId="815">
      <pivotArea dataOnly="0" labelOnly="1" outline="0" fieldPosition="0">
        <references count="1">
          <reference field="72" count="6">
            <x v="4"/>
            <x v="5"/>
            <x v="6"/>
            <x v="7"/>
            <x v="8"/>
            <x v="10"/>
          </reference>
        </references>
      </pivotArea>
    </format>
    <format dxfId="816">
      <pivotArea type="origin" dataOnly="0" labelOnly="1" outline="0" fieldPosition="0"/>
    </format>
    <format dxfId="817">
      <pivotArea field="72" type="button" dataOnly="0" labelOnly="1" outline="0" axis="axisCol" fieldPosition="0"/>
    </format>
    <format dxfId="818">
      <pivotArea type="topRight" dataOnly="0" labelOnly="1" outline="0" fieldPosition="0"/>
    </format>
    <format dxfId="819">
      <pivotArea field="79" type="button" dataOnly="0" labelOnly="1" outline="0" axis="axisRow" fieldPosition="0"/>
    </format>
    <format dxfId="820">
      <pivotArea dataOnly="0" labelOnly="1" outline="0" fieldPosition="0">
        <references count="1">
          <reference field="72" count="7">
            <x v="4"/>
            <x v="5"/>
            <x v="6"/>
            <x v="7"/>
            <x v="8"/>
            <x v="10"/>
            <x v="13"/>
          </reference>
        </references>
      </pivotArea>
    </format>
    <format dxfId="821">
      <pivotArea dataOnly="0" labelOnly="1" grandCol="1" outline="0" fieldPosition="0"/>
    </format>
    <format dxfId="822">
      <pivotArea type="origin" dataOnly="0" labelOnly="1" outline="0" fieldPosition="0"/>
    </format>
    <format dxfId="823">
      <pivotArea field="72" type="button" dataOnly="0" labelOnly="1" outline="0" axis="axisCol" fieldPosition="0"/>
    </format>
    <format dxfId="824">
      <pivotArea type="topRight" dataOnly="0" labelOnly="1" outline="0" fieldPosition="0"/>
    </format>
    <format dxfId="825">
      <pivotArea field="79" type="button" dataOnly="0" labelOnly="1" outline="0" axis="axisRow" fieldPosition="0"/>
    </format>
    <format dxfId="826">
      <pivotArea dataOnly="0" labelOnly="1" outline="0" fieldPosition="0">
        <references count="1">
          <reference field="72" count="7">
            <x v="4"/>
            <x v="5"/>
            <x v="6"/>
            <x v="7"/>
            <x v="8"/>
            <x v="10"/>
            <x v="13"/>
          </reference>
        </references>
      </pivotArea>
    </format>
    <format dxfId="827">
      <pivotArea dataOnly="0" labelOnly="1" grandCol="1" outline="0" fieldPosition="0"/>
    </format>
    <format dxfId="828">
      <pivotArea type="origin" dataOnly="0" labelOnly="1" outline="0" fieldPosition="0"/>
    </format>
    <format dxfId="829">
      <pivotArea field="72" type="button" dataOnly="0" labelOnly="1" outline="0" axis="axisCol" fieldPosition="0"/>
    </format>
    <format dxfId="830">
      <pivotArea type="topRight" dataOnly="0" labelOnly="1" outline="0" fieldPosition="0"/>
    </format>
    <format dxfId="831">
      <pivotArea field="79" type="button" dataOnly="0" labelOnly="1" outline="0" axis="axisRow" fieldPosition="0"/>
    </format>
    <format dxfId="832">
      <pivotArea dataOnly="0" labelOnly="1" outline="0" fieldPosition="0">
        <references count="1">
          <reference field="72" count="7">
            <x v="4"/>
            <x v="5"/>
            <x v="6"/>
            <x v="7"/>
            <x v="8"/>
            <x v="10"/>
            <x v="13"/>
          </reference>
        </references>
      </pivotArea>
    </format>
    <format dxfId="833">
      <pivotArea dataOnly="0" labelOnly="1" grandCol="1" outline="0" fieldPosition="0"/>
    </format>
    <format dxfId="834">
      <pivotArea type="origin" dataOnly="0" labelOnly="1" outline="0" fieldPosition="0"/>
    </format>
    <format dxfId="835">
      <pivotArea field="72" type="button" dataOnly="0" labelOnly="1" outline="0" axis="axisCol" fieldPosition="0"/>
    </format>
    <format dxfId="836">
      <pivotArea type="topRight" dataOnly="0" labelOnly="1" outline="0" fieldPosition="0"/>
    </format>
    <format dxfId="837">
      <pivotArea field="79" type="button" dataOnly="0" labelOnly="1" outline="0" axis="axisRow" fieldPosition="0"/>
    </format>
    <format dxfId="838">
      <pivotArea dataOnly="0" labelOnly="1" outline="0" fieldPosition="0">
        <references count="1">
          <reference field="72" count="7">
            <x v="4"/>
            <x v="5"/>
            <x v="6"/>
            <x v="7"/>
            <x v="8"/>
            <x v="10"/>
            <x v="13"/>
          </reference>
        </references>
      </pivotArea>
    </format>
    <format dxfId="839">
      <pivotArea dataOnly="0" labelOnly="1" grandCol="1" outline="0" fieldPosition="0"/>
    </format>
    <format dxfId="840">
      <pivotArea grandRow="1" outline="0" collapsedLevelsAreSubtotals="1" fieldPosition="0"/>
    </format>
    <format dxfId="841">
      <pivotArea dataOnly="0" labelOnly="1" grandRow="1" outline="0" fieldPosition="0"/>
    </format>
    <format dxfId="842">
      <pivotArea grandRow="1" outline="0" collapsedLevelsAreSubtotals="1" fieldPosition="0"/>
    </format>
    <format dxfId="843">
      <pivotArea dataOnly="0" labelOnly="1" grandRow="1" outline="0" fieldPosition="0"/>
    </format>
    <format dxfId="844">
      <pivotArea grandRow="1" outline="0" collapsedLevelsAreSubtotals="1" fieldPosition="0"/>
    </format>
    <format dxfId="845">
      <pivotArea dataOnly="0" labelOnly="1" grandRow="1" outline="0" fieldPosition="0"/>
    </format>
    <format dxfId="846">
      <pivotArea grandRow="1" outline="0" collapsedLevelsAreSubtotals="1" fieldPosition="0"/>
    </format>
    <format dxfId="847">
      <pivotArea dataOnly="0" labelOnly="1" grandRow="1" outline="0" fieldPosition="0"/>
    </format>
    <format dxfId="848">
      <pivotArea outline="0" collapsedLevelsAreSubtotals="1" fieldPosition="0"/>
    </format>
    <format dxfId="849">
      <pivotArea field="79" type="button" dataOnly="0" labelOnly="1" outline="0" axis="axisRow" fieldPosition="0"/>
    </format>
    <format dxfId="850">
      <pivotArea dataOnly="0" labelOnly="1" outline="0" fieldPosition="0">
        <references count="1">
          <reference field="79" count="0"/>
        </references>
      </pivotArea>
    </format>
    <format dxfId="851">
      <pivotArea dataOnly="0" labelOnly="1" grandRow="1" outline="0" fieldPosition="0"/>
    </format>
    <format dxfId="852">
      <pivotArea dataOnly="0" labelOnly="1" outline="0" fieldPosition="0">
        <references count="1">
          <reference field="72" count="7">
            <x v="4"/>
            <x v="5"/>
            <x v="6"/>
            <x v="7"/>
            <x v="8"/>
            <x v="10"/>
            <x v="13"/>
          </reference>
        </references>
      </pivotArea>
    </format>
    <format dxfId="853">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608AB56-5E3C-4A0A-9335-DEF540D11C40}" name="TablaDinámica3" cacheId="1284" applyNumberFormats="0" applyBorderFormats="0" applyFontFormats="0" applyPatternFormats="0" applyAlignmentFormats="0" applyWidthHeightFormats="1" dataCaption="Valores" updatedVersion="7" minRefreshableVersion="3" itemPrintTitles="1" createdVersion="6" indent="0" compact="0" compactData="0" multipleFieldFilters="0">
  <location ref="A66:L79" firstHeaderRow="1" firstDataRow="2" firstDataCol="1" rowPageCount="1" colPageCount="1"/>
  <pivotFields count="112">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23">
        <item x="6"/>
        <item m="1" x="20"/>
        <item x="2"/>
        <item x="4"/>
        <item x="9"/>
        <item x="10"/>
        <item m="1" x="15"/>
        <item m="1" x="16"/>
        <item m="1" x="14"/>
        <item m="1" x="19"/>
        <item m="1" x="13"/>
        <item m="1" x="21"/>
        <item x="3"/>
        <item x="0"/>
        <item m="1" x="12"/>
        <item m="1" x="17"/>
        <item x="1"/>
        <item x="5"/>
        <item m="1" x="18"/>
        <item x="7"/>
        <item x="8"/>
        <item m="1"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7"/>
        <item m="1" x="10"/>
        <item x="2"/>
        <item x="5"/>
        <item m="1" x="22"/>
        <item m="1" x="20"/>
        <item m="1" x="24"/>
        <item m="1" x="25"/>
        <item x="7"/>
        <item x="6"/>
        <item m="1" x="14"/>
        <item m="1" x="12"/>
        <item m="1" x="13"/>
        <item x="4"/>
        <item m="1" x="23"/>
        <item m="1" x="19"/>
        <item m="1" x="15"/>
        <item m="1" x="11"/>
        <item h="1" x="1"/>
        <item h="1" x="0"/>
        <item m="1" x="21"/>
        <item m="1" x="9"/>
        <item x="3"/>
        <item m="1" x="16"/>
        <item m="1" x="18"/>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x="1"/>
        <item x="4"/>
        <item x="6"/>
        <item x="0"/>
        <item x="8"/>
        <item x="7"/>
        <item x="9"/>
        <item x="5"/>
        <item x="3"/>
        <item x="11"/>
        <item m="1" x="13"/>
        <item x="10"/>
        <item x="12"/>
        <item x="2"/>
        <item t="default"/>
      </items>
    </pivotField>
    <pivotField compact="0" outline="0" showAll="0">
      <items count="15">
        <item x="3"/>
        <item x="5"/>
        <item m="1" x="12"/>
        <item x="0"/>
        <item x="7"/>
        <item x="6"/>
        <item x="8"/>
        <item x="4"/>
        <item x="2"/>
        <item x="10"/>
        <item m="1" x="13"/>
        <item x="9"/>
        <item x="11"/>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9">
        <item x="4"/>
        <item x="2"/>
        <item x="5"/>
        <item x="3"/>
        <item h="1" x="0"/>
        <item h="1" m="1" x="7"/>
        <item h="1" x="1"/>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7"/>
  </rowFields>
  <rowItems count="12">
    <i>
      <x v="13"/>
    </i>
    <i>
      <x v="2"/>
    </i>
    <i>
      <x v="20"/>
    </i>
    <i>
      <x v="16"/>
    </i>
    <i>
      <x v="17"/>
    </i>
    <i>
      <x v="19"/>
    </i>
    <i>
      <x v="3"/>
    </i>
    <i>
      <x v="12"/>
    </i>
    <i>
      <x/>
    </i>
    <i>
      <x v="5"/>
    </i>
    <i>
      <x v="4"/>
    </i>
    <i t="grand">
      <x/>
    </i>
  </rowItems>
  <colFields count="1">
    <field x="71"/>
  </colFields>
  <colItems count="11">
    <i>
      <x/>
    </i>
    <i>
      <x v="1"/>
    </i>
    <i>
      <x v="2"/>
    </i>
    <i>
      <x v="3"/>
    </i>
    <i>
      <x v="4"/>
    </i>
    <i>
      <x v="5"/>
    </i>
    <i>
      <x v="6"/>
    </i>
    <i>
      <x v="7"/>
    </i>
    <i>
      <x v="11"/>
    </i>
    <i>
      <x v="13"/>
    </i>
    <i t="grand">
      <x/>
    </i>
  </colItems>
  <pageFields count="1">
    <pageField fld="31" hier="-1"/>
  </pageFields>
  <dataFields count="1">
    <dataField name="Cuenta de ID Demanda" fld="0" subtotal="count" baseField="0" baseItem="0"/>
  </dataFields>
  <formats count="56">
    <format dxfId="759">
      <pivotArea type="origin" dataOnly="0" labelOnly="1" outline="0" fieldPosition="0"/>
    </format>
    <format dxfId="760">
      <pivotArea field="72" type="button" dataOnly="0" labelOnly="1" outline="0"/>
    </format>
    <format dxfId="761">
      <pivotArea type="topRight" dataOnly="0" labelOnly="1" outline="0" fieldPosition="0"/>
    </format>
    <format dxfId="762">
      <pivotArea field="79" type="button" dataOnly="0" labelOnly="1" outline="0"/>
    </format>
    <format dxfId="763">
      <pivotArea dataOnly="0" labelOnly="1" grandCol="1" outline="0" fieldPosition="0"/>
    </format>
    <format dxfId="764">
      <pivotArea type="origin" dataOnly="0" labelOnly="1" outline="0" fieldPosition="0"/>
    </format>
    <format dxfId="765">
      <pivotArea field="72" type="button" dataOnly="0" labelOnly="1" outline="0"/>
    </format>
    <format dxfId="766">
      <pivotArea type="topRight" dataOnly="0" labelOnly="1" outline="0" fieldPosition="0"/>
    </format>
    <format dxfId="767">
      <pivotArea field="79" type="button" dataOnly="0" labelOnly="1" outline="0"/>
    </format>
    <format dxfId="768">
      <pivotArea dataOnly="0" labelOnly="1" grandCol="1" outline="0" fieldPosition="0"/>
    </format>
    <format dxfId="769">
      <pivotArea type="origin" dataOnly="0" labelOnly="1" outline="0" fieldPosition="0"/>
    </format>
    <format dxfId="770">
      <pivotArea field="72" type="button" dataOnly="0" labelOnly="1" outline="0"/>
    </format>
    <format dxfId="771">
      <pivotArea type="topRight" dataOnly="0" labelOnly="1" outline="0" fieldPosition="0"/>
    </format>
    <format dxfId="772">
      <pivotArea field="79" type="button" dataOnly="0" labelOnly="1" outline="0"/>
    </format>
    <format dxfId="773">
      <pivotArea dataOnly="0" labelOnly="1" grandCol="1" outline="0" fieldPosition="0"/>
    </format>
    <format dxfId="774">
      <pivotArea type="origin" dataOnly="0" labelOnly="1" outline="0" fieldPosition="0"/>
    </format>
    <format dxfId="775">
      <pivotArea field="72" type="button" dataOnly="0" labelOnly="1" outline="0"/>
    </format>
    <format dxfId="776">
      <pivotArea type="topRight" dataOnly="0" labelOnly="1" outline="0" fieldPosition="0"/>
    </format>
    <format dxfId="777">
      <pivotArea field="79" type="button" dataOnly="0" labelOnly="1" outline="0"/>
    </format>
    <format dxfId="778">
      <pivotArea dataOnly="0" labelOnly="1" grandCol="1" outline="0" fieldPosition="0"/>
    </format>
    <format dxfId="779">
      <pivotArea grandRow="1" outline="0" collapsedLevelsAreSubtotals="1" fieldPosition="0"/>
    </format>
    <format dxfId="780">
      <pivotArea dataOnly="0" labelOnly="1" grandRow="1" outline="0" fieldPosition="0"/>
    </format>
    <format dxfId="781">
      <pivotArea grandRow="1" outline="0" collapsedLevelsAreSubtotals="1" fieldPosition="0"/>
    </format>
    <format dxfId="782">
      <pivotArea dataOnly="0" labelOnly="1" grandRow="1" outline="0" fieldPosition="0"/>
    </format>
    <format dxfId="783">
      <pivotArea grandRow="1" outline="0" collapsedLevelsAreSubtotals="1" fieldPosition="0"/>
    </format>
    <format dxfId="784">
      <pivotArea dataOnly="0" labelOnly="1" grandRow="1" outline="0" fieldPosition="0"/>
    </format>
    <format dxfId="785">
      <pivotArea grandRow="1" outline="0" collapsedLevelsAreSubtotals="1" fieldPosition="0"/>
    </format>
    <format dxfId="786">
      <pivotArea dataOnly="0" labelOnly="1" grandRow="1" outline="0" fieldPosition="0"/>
    </format>
    <format dxfId="787">
      <pivotArea outline="0" collapsedLevelsAreSubtotals="1" fieldPosition="0"/>
    </format>
    <format dxfId="788">
      <pivotArea field="79" type="button" dataOnly="0" labelOnly="1" outline="0"/>
    </format>
    <format dxfId="789">
      <pivotArea dataOnly="0" labelOnly="1" grandRow="1" outline="0" fieldPosition="0"/>
    </format>
    <format dxfId="790">
      <pivotArea dataOnly="0" labelOnly="1" grandCol="1" outline="0" fieldPosition="0"/>
    </format>
    <format dxfId="791">
      <pivotArea dataOnly="0" labelOnly="1" outline="0" fieldPosition="0">
        <references count="1">
          <reference field="71" count="12">
            <x v="1"/>
            <x v="2"/>
            <x v="3"/>
            <x v="4"/>
            <x v="5"/>
            <x v="6"/>
            <x v="7"/>
            <x v="8"/>
            <x v="9"/>
            <x v="10"/>
            <x v="11"/>
            <x v="12"/>
          </reference>
        </references>
      </pivotArea>
    </format>
    <format dxfId="792">
      <pivotArea type="origin" dataOnly="0" labelOnly="1" outline="0" fieldPosition="0"/>
    </format>
    <format dxfId="793">
      <pivotArea field="71" type="button" dataOnly="0" labelOnly="1" outline="0" axis="axisCol" fieldPosition="0"/>
    </format>
    <format dxfId="794">
      <pivotArea field="7" type="button" dataOnly="0" labelOnly="1" outline="0" axis="axisRow" fieldPosition="0"/>
    </format>
    <format dxfId="795">
      <pivotArea dataOnly="0" labelOnly="1" outline="0" fieldPosition="0">
        <references count="1">
          <reference field="71" count="1">
            <x v="0"/>
          </reference>
        </references>
      </pivotArea>
    </format>
    <format dxfId="796">
      <pivotArea type="origin" dataOnly="0" labelOnly="1" outline="0" fieldPosition="0"/>
    </format>
    <format dxfId="797">
      <pivotArea field="71" type="button" dataOnly="0" labelOnly="1" outline="0" axis="axisCol" fieldPosition="0"/>
    </format>
    <format dxfId="798">
      <pivotArea type="topRight" dataOnly="0" labelOnly="1" outline="0" fieldPosition="0"/>
    </format>
    <format dxfId="799">
      <pivotArea field="7" type="button" dataOnly="0" labelOnly="1" outline="0" axis="axisRow" fieldPosition="0"/>
    </format>
    <format dxfId="800">
      <pivotArea dataOnly="0" labelOnly="1" outline="0" fieldPosition="0">
        <references count="1">
          <reference field="71" count="0"/>
        </references>
      </pivotArea>
    </format>
    <format dxfId="801">
      <pivotArea dataOnly="0" labelOnly="1" grandCol="1" outline="0" fieldPosition="0"/>
    </format>
    <format dxfId="802">
      <pivotArea type="origin" dataOnly="0" labelOnly="1" outline="0" fieldPosition="0"/>
    </format>
    <format dxfId="803">
      <pivotArea field="71" type="button" dataOnly="0" labelOnly="1" outline="0" axis="axisCol" fieldPosition="0"/>
    </format>
    <format dxfId="804">
      <pivotArea type="topRight" dataOnly="0" labelOnly="1" outline="0" fieldPosition="0"/>
    </format>
    <format dxfId="805">
      <pivotArea field="7" type="button" dataOnly="0" labelOnly="1" outline="0" axis="axisRow" fieldPosition="0"/>
    </format>
    <format dxfId="806">
      <pivotArea dataOnly="0" labelOnly="1" outline="0" fieldPosition="0">
        <references count="1">
          <reference field="71" count="0"/>
        </references>
      </pivotArea>
    </format>
    <format dxfId="807">
      <pivotArea dataOnly="0" labelOnly="1" grandCol="1" outline="0" fieldPosition="0"/>
    </format>
    <format dxfId="808">
      <pivotArea type="origin" dataOnly="0" labelOnly="1" outline="0" fieldPosition="0"/>
    </format>
    <format dxfId="809">
      <pivotArea field="71" type="button" dataOnly="0" labelOnly="1" outline="0" axis="axisCol" fieldPosition="0"/>
    </format>
    <format dxfId="810">
      <pivotArea type="topRight" dataOnly="0" labelOnly="1" outline="0" fieldPosition="0"/>
    </format>
    <format dxfId="811">
      <pivotArea field="7" type="button" dataOnly="0" labelOnly="1" outline="0" axis="axisRow" fieldPosition="0"/>
    </format>
    <format dxfId="812">
      <pivotArea dataOnly="0" labelOnly="1" outline="0" fieldPosition="0">
        <references count="1">
          <reference field="71" count="0"/>
        </references>
      </pivotArea>
    </format>
    <format dxfId="813">
      <pivotArea dataOnly="0" labelOnly="1" grandCol="1" outline="0" fieldPosition="0"/>
    </format>
    <format dxfId="814">
      <pivotArea dataOnly="0" labelOnly="1" outline="0" fieldPosition="0">
        <references count="1">
          <reference field="71" count="12">
            <x v="1"/>
            <x v="2"/>
            <x v="3"/>
            <x v="4"/>
            <x v="5"/>
            <x v="6"/>
            <x v="7"/>
            <x v="8"/>
            <x v="9"/>
            <x v="10"/>
            <x v="1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D1E4DA44-1C54-4F83-9E79-564A822B4C2C}" name="TablaDinámica6" cacheId="1284" applyNumberFormats="0" applyBorderFormats="0" applyFontFormats="0" applyPatternFormats="0" applyAlignmentFormats="0" applyWidthHeightFormats="1" dataCaption="Valores" updatedVersion="7" minRefreshableVersion="3" useAutoFormatting="1" itemPrintTitles="1" createdVersion="6" indent="0" compact="0" compactData="0" multipleFieldFilters="0">
  <location ref="A88:N96" firstHeaderRow="1" firstDataRow="2" firstDataCol="1" rowPageCount="1" colPageCount="1"/>
  <pivotFields count="112">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7">
        <item m="1" x="17"/>
        <item h="1" m="1" x="10"/>
        <item x="2"/>
        <item h="1" x="5"/>
        <item h="1" m="1" x="22"/>
        <item m="1" x="20"/>
        <item m="1" x="24"/>
        <item m="1" x="25"/>
        <item h="1" x="7"/>
        <item h="1" x="6"/>
        <item m="1" x="14"/>
        <item m="1" x="12"/>
        <item m="1" x="13"/>
        <item h="1" x="4"/>
        <item m="1" x="23"/>
        <item m="1" x="19"/>
        <item m="1" x="15"/>
        <item m="1" x="11"/>
        <item x="1"/>
        <item h="1" x="0"/>
        <item m="1" x="21"/>
        <item m="1" x="9"/>
        <item h="1" x="3"/>
        <item m="1" x="16"/>
        <item m="1" x="18"/>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36">
        <item m="1" x="26"/>
        <item m="1" x="31"/>
        <item m="1" x="34"/>
        <item m="1" x="17"/>
        <item m="1" x="20"/>
        <item m="1" x="23"/>
        <item m="1" x="12"/>
        <item m="1" x="15"/>
        <item m="1" x="18"/>
        <item m="1" x="21"/>
        <item m="1" x="24"/>
        <item m="1" x="27"/>
        <item m="1" x="29"/>
        <item m="1" x="32"/>
        <item m="1" x="33"/>
        <item m="1" x="11"/>
        <item m="1" x="14"/>
        <item m="1" x="8"/>
        <item m="1" x="10"/>
        <item m="1" x="13"/>
        <item m="1" x="16"/>
        <item x="0"/>
        <item m="1" x="19"/>
        <item m="1" x="22"/>
        <item m="1" x="25"/>
        <item m="1" x="30"/>
        <item m="1" x="28"/>
        <item x="5"/>
        <item m="1" x="9"/>
        <item x="7"/>
        <item x="4"/>
        <item x="3"/>
        <item x="2"/>
        <item x="1"/>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x="1"/>
        <item x="4"/>
        <item x="6"/>
        <item x="0"/>
        <item x="8"/>
        <item x="7"/>
        <item x="9"/>
        <item x="5"/>
        <item x="3"/>
        <item x="11"/>
        <item m="1" x="13"/>
        <item x="10"/>
        <item x="12"/>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51"/>
  </rowFields>
  <rowItems count="7">
    <i>
      <x v="29"/>
    </i>
    <i>
      <x v="30"/>
    </i>
    <i>
      <x v="31"/>
    </i>
    <i>
      <x v="32"/>
    </i>
    <i>
      <x v="33"/>
    </i>
    <i>
      <x v="34"/>
    </i>
    <i t="grand">
      <x/>
    </i>
  </rowItems>
  <colFields count="1">
    <field x="71"/>
  </colFields>
  <colItems count="13">
    <i>
      <x/>
    </i>
    <i>
      <x v="1"/>
    </i>
    <i>
      <x v="2"/>
    </i>
    <i>
      <x v="3"/>
    </i>
    <i>
      <x v="4"/>
    </i>
    <i>
      <x v="5"/>
    </i>
    <i>
      <x v="6"/>
    </i>
    <i>
      <x v="7"/>
    </i>
    <i>
      <x v="8"/>
    </i>
    <i>
      <x v="9"/>
    </i>
    <i>
      <x v="12"/>
    </i>
    <i>
      <x v="13"/>
    </i>
    <i t="grand">
      <x/>
    </i>
  </colItems>
  <pageFields count="1">
    <pageField fld="31" item="18" hier="-1"/>
  </pageFields>
  <dataFields count="1">
    <dataField name="Cuenta de ID Demanda" fld="0" subtotal="count" baseField="0" baseItem="0"/>
  </dataFields>
  <formats count="23">
    <format dxfId="736">
      <pivotArea dataOnly="0" labelOnly="1" outline="0" fieldPosition="0">
        <references count="1">
          <reference field="71" count="4">
            <x v="1"/>
            <x v="2"/>
            <x v="3"/>
            <x v="7"/>
          </reference>
        </references>
      </pivotArea>
    </format>
    <format dxfId="737">
      <pivotArea type="origin" dataOnly="0" labelOnly="1" outline="0" fieldPosition="0"/>
    </format>
    <format dxfId="738">
      <pivotArea field="71" type="button" dataOnly="0" labelOnly="1" outline="0" axis="axisCol" fieldPosition="0"/>
    </format>
    <format dxfId="739">
      <pivotArea type="topRight" dataOnly="0" labelOnly="1" outline="0" fieldPosition="0"/>
    </format>
    <format dxfId="740">
      <pivotArea field="51" type="button" dataOnly="0" labelOnly="1" outline="0" axis="axisRow" fieldPosition="0"/>
    </format>
    <format dxfId="741">
      <pivotArea dataOnly="0" labelOnly="1" outline="0" fieldPosition="0">
        <references count="1">
          <reference field="71" count="5">
            <x v="0"/>
            <x v="1"/>
            <x v="2"/>
            <x v="3"/>
            <x v="7"/>
          </reference>
        </references>
      </pivotArea>
    </format>
    <format dxfId="742">
      <pivotArea dataOnly="0" labelOnly="1" grandCol="1" outline="0" fieldPosition="0"/>
    </format>
    <format dxfId="743">
      <pivotArea type="origin" dataOnly="0" labelOnly="1" outline="0" fieldPosition="0"/>
    </format>
    <format dxfId="744">
      <pivotArea field="71" type="button" dataOnly="0" labelOnly="1" outline="0" axis="axisCol" fieldPosition="0"/>
    </format>
    <format dxfId="745">
      <pivotArea type="topRight" dataOnly="0" labelOnly="1" outline="0" fieldPosition="0"/>
    </format>
    <format dxfId="746">
      <pivotArea field="51" type="button" dataOnly="0" labelOnly="1" outline="0" axis="axisRow" fieldPosition="0"/>
    </format>
    <format dxfId="747">
      <pivotArea dataOnly="0" labelOnly="1" outline="0" fieldPosition="0">
        <references count="1">
          <reference field="71" count="5">
            <x v="0"/>
            <x v="1"/>
            <x v="2"/>
            <x v="3"/>
            <x v="7"/>
          </reference>
        </references>
      </pivotArea>
    </format>
    <format dxfId="748">
      <pivotArea dataOnly="0" labelOnly="1" grandCol="1" outline="0" fieldPosition="0"/>
    </format>
    <format dxfId="749">
      <pivotArea grandRow="1" outline="0" collapsedLevelsAreSubtotals="1" fieldPosition="0"/>
    </format>
    <format dxfId="750">
      <pivotArea dataOnly="0" labelOnly="1" grandRow="1" outline="0" fieldPosition="0"/>
    </format>
    <format dxfId="751">
      <pivotArea grandRow="1" outline="0" collapsedLevelsAreSubtotals="1" fieldPosition="0"/>
    </format>
    <format dxfId="752">
      <pivotArea dataOnly="0" labelOnly="1" grandRow="1" outline="0" fieldPosition="0"/>
    </format>
    <format dxfId="753">
      <pivotArea outline="0" collapsedLevelsAreSubtotals="1" fieldPosition="0"/>
    </format>
    <format dxfId="754">
      <pivotArea field="51" type="button" dataOnly="0" labelOnly="1" outline="0" axis="axisRow" fieldPosition="0"/>
    </format>
    <format dxfId="755">
      <pivotArea dataOnly="0" labelOnly="1" outline="0" fieldPosition="0">
        <references count="1">
          <reference field="51" count="5">
            <x v="16"/>
            <x v="17"/>
            <x v="18"/>
            <x v="19"/>
            <x v="20"/>
          </reference>
        </references>
      </pivotArea>
    </format>
    <format dxfId="756">
      <pivotArea dataOnly="0" labelOnly="1" grandRow="1" outline="0" fieldPosition="0"/>
    </format>
    <format dxfId="757">
      <pivotArea dataOnly="0" labelOnly="1" outline="0" fieldPosition="0">
        <references count="1">
          <reference field="71" count="5">
            <x v="0"/>
            <x v="1"/>
            <x v="2"/>
            <x v="3"/>
            <x v="7"/>
          </reference>
        </references>
      </pivotArea>
    </format>
    <format dxfId="758">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E33D01E2-85D2-4F83-B978-86B5E09D3A08}" name="TablaDinámica7" cacheId="1284" applyNumberFormats="0" applyBorderFormats="0" applyFontFormats="0" applyPatternFormats="0" applyAlignmentFormats="0" applyWidthHeightFormats="1" dataCaption="Valores" updatedVersion="7" minRefreshableVersion="3" useAutoFormatting="1" itemPrintTitles="1" createdVersion="6" indent="0" compact="0" compactData="0" multipleFieldFilters="0">
  <location ref="A157:K165" firstHeaderRow="1" firstDataRow="3" firstDataCol="1" rowPageCount="1" colPageCount="1"/>
  <pivotFields count="112">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0">
        <item x="1"/>
        <item x="0"/>
        <item m="1" x="6"/>
        <item x="2"/>
        <item m="1" x="4"/>
        <item x="3"/>
        <item m="1" x="5"/>
        <item m="1" x="7"/>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defaultSubtotal="0">
      <items count="9">
        <item m="1" x="7"/>
        <item x="1"/>
        <item x="0"/>
        <item m="1" x="8"/>
        <item x="2"/>
        <item m="1" x="5"/>
        <item m="1" x="6"/>
        <item m="1" x="4"/>
        <item x="3"/>
      </items>
    </pivotField>
    <pivotField compact="0" outline="0" showAll="0"/>
    <pivotField compact="0" outline="0" showAll="0"/>
    <pivotField compact="0" outline="0" showAll="0"/>
    <pivotField axis="axisRow" compact="0" outline="0" showAll="0">
      <items count="27">
        <item m="1" x="17"/>
        <item m="1" x="10"/>
        <item x="2"/>
        <item x="5"/>
        <item m="1" x="22"/>
        <item m="1" x="20"/>
        <item m="1" x="24"/>
        <item m="1" x="25"/>
        <item x="7"/>
        <item x="6"/>
        <item m="1" x="14"/>
        <item m="1" x="12"/>
        <item m="1" x="13"/>
        <item x="4"/>
        <item m="1" x="23"/>
        <item m="1" x="19"/>
        <item m="1" x="15"/>
        <item m="1" x="11"/>
        <item h="1" x="1"/>
        <item h="1" x="0"/>
        <item m="1" x="21"/>
        <item m="1" x="9"/>
        <item x="3"/>
        <item m="1" x="16"/>
        <item m="1" x="18"/>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5">
        <item x="1"/>
        <item h="1" x="4"/>
        <item h="1" x="6"/>
        <item h="1" x="0"/>
        <item h="1" x="8"/>
        <item h="1" x="7"/>
        <item h="1" x="9"/>
        <item h="1" x="5"/>
        <item h="1" x="3"/>
        <item h="1" x="11"/>
        <item h="1" m="1" x="13"/>
        <item h="1" x="10"/>
        <item h="1" x="12"/>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31"/>
  </rowFields>
  <rowItems count="6">
    <i>
      <x v="3"/>
    </i>
    <i>
      <x v="8"/>
    </i>
    <i>
      <x v="9"/>
    </i>
    <i>
      <x v="13"/>
    </i>
    <i>
      <x v="22"/>
    </i>
    <i t="grand">
      <x/>
    </i>
  </rowItems>
  <colFields count="2">
    <field x="27"/>
    <field x="17"/>
  </colFields>
  <colItems count="10">
    <i>
      <x v="1"/>
      <x/>
    </i>
    <i r="1">
      <x v="1"/>
    </i>
    <i r="1">
      <x v="3"/>
    </i>
    <i>
      <x v="2"/>
      <x/>
    </i>
    <i r="1">
      <x v="1"/>
    </i>
    <i r="1">
      <x v="3"/>
    </i>
    <i r="1">
      <x v="5"/>
    </i>
    <i>
      <x v="4"/>
      <x v="1"/>
    </i>
    <i r="1">
      <x v="3"/>
    </i>
    <i t="grand">
      <x/>
    </i>
  </colItems>
  <pageFields count="1">
    <pageField fld="71" item="0" hier="-1"/>
  </pageFields>
  <dataFields count="1">
    <dataField name="Cuenta de ID Demanda" fld="0" subtotal="count" baseField="0" baseItem="0"/>
  </dataFields>
  <formats count="50">
    <format dxfId="686">
      <pivotArea outline="0" collapsedLevelsAreSubtotals="1" fieldPosition="0"/>
    </format>
    <format dxfId="687">
      <pivotArea dataOnly="0" labelOnly="1" outline="0" fieldPosition="0">
        <references count="1">
          <reference field="27" count="0"/>
        </references>
      </pivotArea>
    </format>
    <format dxfId="688">
      <pivotArea dataOnly="0" labelOnly="1" grandCol="1" outline="0" fieldPosition="0"/>
    </format>
    <format dxfId="689">
      <pivotArea dataOnly="0" labelOnly="1" outline="0" fieldPosition="0">
        <references count="2">
          <reference field="17" count="0"/>
          <reference field="27" count="1" selected="0">
            <x v="1"/>
          </reference>
        </references>
      </pivotArea>
    </format>
    <format dxfId="690">
      <pivotArea dataOnly="0" labelOnly="1" outline="0" fieldPosition="0">
        <references count="2">
          <reference field="17" count="0"/>
          <reference field="27" count="1" selected="0">
            <x v="2"/>
          </reference>
        </references>
      </pivotArea>
    </format>
    <format dxfId="691">
      <pivotArea dataOnly="0" labelOnly="1" outline="0" fieldPosition="0">
        <references count="2">
          <reference field="17" count="3">
            <x v="0"/>
            <x v="1"/>
            <x v="3"/>
          </reference>
          <reference field="27" count="1" selected="0">
            <x v="4"/>
          </reference>
        </references>
      </pivotArea>
    </format>
    <format dxfId="692">
      <pivotArea outline="0" collapsedLevelsAreSubtotals="1" fieldPosition="0"/>
    </format>
    <format dxfId="693">
      <pivotArea dataOnly="0" labelOnly="1" outline="0" fieldPosition="0">
        <references count="1">
          <reference field="27" count="0"/>
        </references>
      </pivotArea>
    </format>
    <format dxfId="694">
      <pivotArea dataOnly="0" labelOnly="1" grandCol="1" outline="0" fieldPosition="0"/>
    </format>
    <format dxfId="695">
      <pivotArea dataOnly="0" labelOnly="1" outline="0" fieldPosition="0">
        <references count="2">
          <reference field="17" count="0"/>
          <reference field="27" count="1" selected="0">
            <x v="1"/>
          </reference>
        </references>
      </pivotArea>
    </format>
    <format dxfId="696">
      <pivotArea dataOnly="0" labelOnly="1" outline="0" fieldPosition="0">
        <references count="2">
          <reference field="17" count="0"/>
          <reference field="27" count="1" selected="0">
            <x v="2"/>
          </reference>
        </references>
      </pivotArea>
    </format>
    <format dxfId="697">
      <pivotArea dataOnly="0" labelOnly="1" outline="0" fieldPosition="0">
        <references count="2">
          <reference field="17" count="3">
            <x v="0"/>
            <x v="1"/>
            <x v="3"/>
          </reference>
          <reference field="27" count="1" selected="0">
            <x v="4"/>
          </reference>
        </references>
      </pivotArea>
    </format>
    <format dxfId="698">
      <pivotArea type="origin" dataOnly="0" labelOnly="1" outline="0" fieldPosition="0"/>
    </format>
    <format dxfId="699">
      <pivotArea field="27" type="button" dataOnly="0" labelOnly="1" outline="0" axis="axisCol" fieldPosition="0"/>
    </format>
    <format dxfId="700">
      <pivotArea field="17" type="button" dataOnly="0" labelOnly="1" outline="0" axis="axisCol" fieldPosition="1"/>
    </format>
    <format dxfId="701">
      <pivotArea type="topRight" dataOnly="0" labelOnly="1" outline="0" fieldPosition="0"/>
    </format>
    <format dxfId="702">
      <pivotArea field="31" type="button" dataOnly="0" labelOnly="1" outline="0" axis="axisRow" fieldPosition="0"/>
    </format>
    <format dxfId="703">
      <pivotArea dataOnly="0" labelOnly="1" outline="0" fieldPosition="0">
        <references count="1">
          <reference field="27" count="0"/>
        </references>
      </pivotArea>
    </format>
    <format dxfId="704">
      <pivotArea dataOnly="0" labelOnly="1" grandCol="1" outline="0" fieldPosition="0"/>
    </format>
    <format dxfId="705">
      <pivotArea dataOnly="0" labelOnly="1" outline="0" fieldPosition="0">
        <references count="2">
          <reference field="17" count="0"/>
          <reference field="27" count="1" selected="0">
            <x v="1"/>
          </reference>
        </references>
      </pivotArea>
    </format>
    <format dxfId="706">
      <pivotArea dataOnly="0" labelOnly="1" outline="0" fieldPosition="0">
        <references count="2">
          <reference field="17" count="0"/>
          <reference field="27" count="1" selected="0">
            <x v="2"/>
          </reference>
        </references>
      </pivotArea>
    </format>
    <format dxfId="707">
      <pivotArea dataOnly="0" labelOnly="1" outline="0" fieldPosition="0">
        <references count="2">
          <reference field="17" count="3">
            <x v="0"/>
            <x v="1"/>
            <x v="3"/>
          </reference>
          <reference field="27" count="1" selected="0">
            <x v="4"/>
          </reference>
        </references>
      </pivotArea>
    </format>
    <format dxfId="708">
      <pivotArea type="origin" dataOnly="0" labelOnly="1" outline="0" fieldPosition="0"/>
    </format>
    <format dxfId="709">
      <pivotArea field="27" type="button" dataOnly="0" labelOnly="1" outline="0" axis="axisCol" fieldPosition="0"/>
    </format>
    <format dxfId="710">
      <pivotArea field="17" type="button" dataOnly="0" labelOnly="1" outline="0" axis="axisCol" fieldPosition="1"/>
    </format>
    <format dxfId="711">
      <pivotArea type="topRight" dataOnly="0" labelOnly="1" outline="0" fieldPosition="0"/>
    </format>
    <format dxfId="712">
      <pivotArea field="31" type="button" dataOnly="0" labelOnly="1" outline="0" axis="axisRow" fieldPosition="0"/>
    </format>
    <format dxfId="713">
      <pivotArea dataOnly="0" labelOnly="1" outline="0" fieldPosition="0">
        <references count="1">
          <reference field="27" count="0"/>
        </references>
      </pivotArea>
    </format>
    <format dxfId="714">
      <pivotArea dataOnly="0" labelOnly="1" grandCol="1" outline="0" fieldPosition="0"/>
    </format>
    <format dxfId="715">
      <pivotArea dataOnly="0" labelOnly="1" outline="0" fieldPosition="0">
        <references count="2">
          <reference field="17" count="0"/>
          <reference field="27" count="1" selected="0">
            <x v="1"/>
          </reference>
        </references>
      </pivotArea>
    </format>
    <format dxfId="716">
      <pivotArea dataOnly="0" labelOnly="1" outline="0" fieldPosition="0">
        <references count="2">
          <reference field="17" count="0"/>
          <reference field="27" count="1" selected="0">
            <x v="2"/>
          </reference>
        </references>
      </pivotArea>
    </format>
    <format dxfId="717">
      <pivotArea dataOnly="0" labelOnly="1" outline="0" fieldPosition="0">
        <references count="2">
          <reference field="17" count="3">
            <x v="0"/>
            <x v="1"/>
            <x v="3"/>
          </reference>
          <reference field="27" count="1" selected="0">
            <x v="4"/>
          </reference>
        </references>
      </pivotArea>
    </format>
    <format dxfId="718">
      <pivotArea grandRow="1" outline="0" collapsedLevelsAreSubtotals="1" fieldPosition="0"/>
    </format>
    <format dxfId="719">
      <pivotArea dataOnly="0" labelOnly="1" grandRow="1" outline="0" fieldPosition="0"/>
    </format>
    <format dxfId="720">
      <pivotArea grandRow="1" outline="0" collapsedLevelsAreSubtotals="1" fieldPosition="0"/>
    </format>
    <format dxfId="721">
      <pivotArea dataOnly="0" labelOnly="1" grandRow="1" outline="0" fieldPosition="0"/>
    </format>
    <format dxfId="722">
      <pivotArea type="all" dataOnly="0" outline="0" fieldPosition="0"/>
    </format>
    <format dxfId="723">
      <pivotArea outline="0" collapsedLevelsAreSubtotals="1" fieldPosition="0"/>
    </format>
    <format dxfId="724">
      <pivotArea type="origin" dataOnly="0" labelOnly="1" outline="0" fieldPosition="0"/>
    </format>
    <format dxfId="725">
      <pivotArea field="27" type="button" dataOnly="0" labelOnly="1" outline="0" axis="axisCol" fieldPosition="0"/>
    </format>
    <format dxfId="726">
      <pivotArea field="17" type="button" dataOnly="0" labelOnly="1" outline="0" axis="axisCol" fieldPosition="1"/>
    </format>
    <format dxfId="727">
      <pivotArea type="topRight" dataOnly="0" labelOnly="1" outline="0" fieldPosition="0"/>
    </format>
    <format dxfId="728">
      <pivotArea field="31" type="button" dataOnly="0" labelOnly="1" outline="0" axis="axisRow" fieldPosition="0"/>
    </format>
    <format dxfId="729">
      <pivotArea dataOnly="0" labelOnly="1" outline="0" fieldPosition="0">
        <references count="1">
          <reference field="31" count="6">
            <x v="1"/>
            <x v="3"/>
            <x v="8"/>
            <x v="9"/>
            <x v="13"/>
            <x v="22"/>
          </reference>
        </references>
      </pivotArea>
    </format>
    <format dxfId="730">
      <pivotArea dataOnly="0" labelOnly="1" grandRow="1" outline="0" fieldPosition="0"/>
    </format>
    <format dxfId="731">
      <pivotArea dataOnly="0" labelOnly="1" outline="0" fieldPosition="0">
        <references count="1">
          <reference field="27" count="0"/>
        </references>
      </pivotArea>
    </format>
    <format dxfId="732">
      <pivotArea dataOnly="0" labelOnly="1" grandCol="1" outline="0" fieldPosition="0"/>
    </format>
    <format dxfId="733">
      <pivotArea dataOnly="0" labelOnly="1" outline="0" fieldPosition="0">
        <references count="2">
          <reference field="17" count="0"/>
          <reference field="27" count="1" selected="0">
            <x v="1"/>
          </reference>
        </references>
      </pivotArea>
    </format>
    <format dxfId="734">
      <pivotArea dataOnly="0" labelOnly="1" outline="0" fieldPosition="0">
        <references count="2">
          <reference field="17" count="0"/>
          <reference field="27" count="1" selected="0">
            <x v="2"/>
          </reference>
        </references>
      </pivotArea>
    </format>
    <format dxfId="735">
      <pivotArea dataOnly="0" labelOnly="1" outline="0" fieldPosition="0">
        <references count="2">
          <reference field="17" count="3">
            <x v="0"/>
            <x v="1"/>
            <x v="3"/>
          </reference>
          <reference field="27"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1018C120-D302-4FBB-89DE-37129B8F2B2A}" name="TablaDinámica5" cacheId="1284" applyNumberFormats="0" applyBorderFormats="0" applyFontFormats="0" applyPatternFormats="0" applyAlignmentFormats="0" applyWidthHeightFormats="1" dataCaption="Valores" updatedVersion="7" minRefreshableVersion="3" itemPrintTitles="1" createdVersion="6" indent="0" compact="0" compactData="0" multipleFieldFilters="0">
  <location ref="A116:E122" firstHeaderRow="1" firstDataRow="2" firstDataCol="1"/>
  <pivotFields count="112">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23">
        <item x="6"/>
        <item m="1" x="20"/>
        <item x="2"/>
        <item x="4"/>
        <item x="9"/>
        <item x="10"/>
        <item m="1" x="15"/>
        <item m="1" x="16"/>
        <item m="1" x="14"/>
        <item m="1" x="19"/>
        <item m="1" x="13"/>
        <item m="1" x="21"/>
        <item x="3"/>
        <item x="0"/>
        <item m="1" x="12"/>
        <item m="1" x="17"/>
        <item x="1"/>
        <item x="5"/>
        <item m="1" x="18"/>
        <item x="7"/>
        <item x="8"/>
        <item m="1"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multipleItemSelectionAllowed="1" showAll="0">
      <items count="27">
        <item m="1" x="17"/>
        <item m="1" x="10"/>
        <item x="2"/>
        <item x="5"/>
        <item m="1" x="22"/>
        <item m="1" x="20"/>
        <item m="1" x="24"/>
        <item m="1" x="25"/>
        <item x="7"/>
        <item x="6"/>
        <item m="1" x="14"/>
        <item m="1" x="12"/>
        <item m="1" x="13"/>
        <item x="4"/>
        <item m="1" x="23"/>
        <item m="1" x="19"/>
        <item m="1" x="15"/>
        <item m="1" x="11"/>
        <item h="1" x="1"/>
        <item h="1" x="0"/>
        <item m="1" x="21"/>
        <item m="1" x="9"/>
        <item x="3"/>
        <item m="1" x="16"/>
        <item m="1" x="18"/>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h="1" x="1"/>
        <item x="4"/>
        <item x="6"/>
        <item x="0"/>
        <item h="1" x="8"/>
        <item h="1" x="7"/>
        <item h="1" x="9"/>
        <item h="1" x="5"/>
        <item h="1" x="3"/>
        <item h="1" x="11"/>
        <item h="1" m="1" x="13"/>
        <item h="1" x="10"/>
        <item h="1" x="12"/>
        <item h="1" x="2"/>
        <item t="default"/>
      </items>
    </pivotField>
    <pivotField compact="0" outline="0" showAll="0">
      <items count="15">
        <item x="3"/>
        <item x="5"/>
        <item m="1" x="12"/>
        <item x="0"/>
        <item x="7"/>
        <item x="6"/>
        <item x="8"/>
        <item x="4"/>
        <item x="2"/>
        <item x="10"/>
        <item m="1" x="13"/>
        <item x="9"/>
        <item x="11"/>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9">
        <item x="4"/>
        <item x="2"/>
        <item x="5"/>
        <item x="3"/>
        <item h="1" x="0"/>
        <item h="1" m="1" x="7"/>
        <item h="1" x="1"/>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31"/>
  </rowFields>
  <rowItems count="5">
    <i>
      <x v="3"/>
    </i>
    <i>
      <x v="9"/>
    </i>
    <i>
      <x v="13"/>
    </i>
    <i>
      <x v="22"/>
    </i>
    <i t="grand">
      <x/>
    </i>
  </rowItems>
  <colFields count="1">
    <field x="71"/>
  </colFields>
  <colItems count="4">
    <i>
      <x v="1"/>
    </i>
    <i>
      <x v="2"/>
    </i>
    <i>
      <x v="3"/>
    </i>
    <i t="grand">
      <x/>
    </i>
  </colItems>
  <dataFields count="1">
    <dataField name="Cuenta de ID Demanda" fld="0" subtotal="count" baseField="0" baseItem="0"/>
  </dataFields>
  <formats count="59">
    <format dxfId="627">
      <pivotArea type="origin" dataOnly="0" labelOnly="1" outline="0" fieldPosition="0"/>
    </format>
    <format dxfId="628">
      <pivotArea field="72" type="button" dataOnly="0" labelOnly="1" outline="0"/>
    </format>
    <format dxfId="629">
      <pivotArea type="topRight" dataOnly="0" labelOnly="1" outline="0" fieldPosition="0"/>
    </format>
    <format dxfId="630">
      <pivotArea field="79" type="button" dataOnly="0" labelOnly="1" outline="0"/>
    </format>
    <format dxfId="631">
      <pivotArea dataOnly="0" labelOnly="1" grandCol="1" outline="0" fieldPosition="0"/>
    </format>
    <format dxfId="632">
      <pivotArea type="origin" dataOnly="0" labelOnly="1" outline="0" fieldPosition="0"/>
    </format>
    <format dxfId="633">
      <pivotArea field="72" type="button" dataOnly="0" labelOnly="1" outline="0"/>
    </format>
    <format dxfId="634">
      <pivotArea type="topRight" dataOnly="0" labelOnly="1" outline="0" fieldPosition="0"/>
    </format>
    <format dxfId="635">
      <pivotArea field="79" type="button" dataOnly="0" labelOnly="1" outline="0"/>
    </format>
    <format dxfId="636">
      <pivotArea dataOnly="0" labelOnly="1" grandCol="1" outline="0" fieldPosition="0"/>
    </format>
    <format dxfId="637">
      <pivotArea type="origin" dataOnly="0" labelOnly="1" outline="0" fieldPosition="0"/>
    </format>
    <format dxfId="638">
      <pivotArea field="72" type="button" dataOnly="0" labelOnly="1" outline="0"/>
    </format>
    <format dxfId="639">
      <pivotArea type="topRight" dataOnly="0" labelOnly="1" outline="0" fieldPosition="0"/>
    </format>
    <format dxfId="640">
      <pivotArea field="79" type="button" dataOnly="0" labelOnly="1" outline="0"/>
    </format>
    <format dxfId="641">
      <pivotArea dataOnly="0" labelOnly="1" grandCol="1" outline="0" fieldPosition="0"/>
    </format>
    <format dxfId="642">
      <pivotArea type="origin" dataOnly="0" labelOnly="1" outline="0" fieldPosition="0"/>
    </format>
    <format dxfId="643">
      <pivotArea field="72" type="button" dataOnly="0" labelOnly="1" outline="0"/>
    </format>
    <format dxfId="644">
      <pivotArea type="topRight" dataOnly="0" labelOnly="1" outline="0" fieldPosition="0"/>
    </format>
    <format dxfId="645">
      <pivotArea field="79" type="button" dataOnly="0" labelOnly="1" outline="0"/>
    </format>
    <format dxfId="646">
      <pivotArea dataOnly="0" labelOnly="1" grandCol="1" outline="0" fieldPosition="0"/>
    </format>
    <format dxfId="647">
      <pivotArea grandRow="1" outline="0" collapsedLevelsAreSubtotals="1" fieldPosition="0"/>
    </format>
    <format dxfId="648">
      <pivotArea dataOnly="0" labelOnly="1" grandRow="1" outline="0" fieldPosition="0"/>
    </format>
    <format dxfId="649">
      <pivotArea grandRow="1" outline="0" collapsedLevelsAreSubtotals="1" fieldPosition="0"/>
    </format>
    <format dxfId="650">
      <pivotArea dataOnly="0" labelOnly="1" grandRow="1" outline="0" fieldPosition="0"/>
    </format>
    <format dxfId="651">
      <pivotArea grandRow="1" outline="0" collapsedLevelsAreSubtotals="1" fieldPosition="0"/>
    </format>
    <format dxfId="652">
      <pivotArea dataOnly="0" labelOnly="1" grandRow="1" outline="0" fieldPosition="0"/>
    </format>
    <format dxfId="653">
      <pivotArea grandRow="1" outline="0" collapsedLevelsAreSubtotals="1" fieldPosition="0"/>
    </format>
    <format dxfId="654">
      <pivotArea dataOnly="0" labelOnly="1" grandRow="1" outline="0" fieldPosition="0"/>
    </format>
    <format dxfId="655">
      <pivotArea outline="0" collapsedLevelsAreSubtotals="1" fieldPosition="0"/>
    </format>
    <format dxfId="656">
      <pivotArea field="79" type="button" dataOnly="0" labelOnly="1" outline="0"/>
    </format>
    <format dxfId="657">
      <pivotArea dataOnly="0" labelOnly="1" grandRow="1" outline="0" fieldPosition="0"/>
    </format>
    <format dxfId="658">
      <pivotArea dataOnly="0" labelOnly="1" grandCol="1" outline="0" fieldPosition="0"/>
    </format>
    <format dxfId="659">
      <pivotArea dataOnly="0" labelOnly="1" outline="0" fieldPosition="0">
        <references count="1">
          <reference field="71" count="12">
            <x v="1"/>
            <x v="2"/>
            <x v="3"/>
            <x v="4"/>
            <x v="5"/>
            <x v="6"/>
            <x v="7"/>
            <x v="8"/>
            <x v="9"/>
            <x v="10"/>
            <x v="11"/>
            <x v="12"/>
          </reference>
        </references>
      </pivotArea>
    </format>
    <format dxfId="660">
      <pivotArea type="origin" dataOnly="0" labelOnly="1" outline="0" fieldPosition="0"/>
    </format>
    <format dxfId="661">
      <pivotArea field="71" type="button" dataOnly="0" labelOnly="1" outline="0" axis="axisCol" fieldPosition="0"/>
    </format>
    <format dxfId="662">
      <pivotArea field="7" type="button" dataOnly="0" labelOnly="1" outline="0"/>
    </format>
    <format dxfId="663">
      <pivotArea dataOnly="0" labelOnly="1" outline="0" fieldPosition="0">
        <references count="1">
          <reference field="71" count="1">
            <x v="0"/>
          </reference>
        </references>
      </pivotArea>
    </format>
    <format dxfId="664">
      <pivotArea type="origin" dataOnly="0" labelOnly="1" outline="0" fieldPosition="0"/>
    </format>
    <format dxfId="665">
      <pivotArea field="71" type="button" dataOnly="0" labelOnly="1" outline="0" axis="axisCol" fieldPosition="0"/>
    </format>
    <format dxfId="666">
      <pivotArea type="topRight" dataOnly="0" labelOnly="1" outline="0" fieldPosition="0"/>
    </format>
    <format dxfId="667">
      <pivotArea field="7" type="button" dataOnly="0" labelOnly="1" outline="0"/>
    </format>
    <format dxfId="668">
      <pivotArea dataOnly="0" labelOnly="1" outline="0" fieldPosition="0">
        <references count="1">
          <reference field="71" count="0"/>
        </references>
      </pivotArea>
    </format>
    <format dxfId="669">
      <pivotArea dataOnly="0" labelOnly="1" grandCol="1" outline="0" fieldPosition="0"/>
    </format>
    <format dxfId="670">
      <pivotArea type="origin" dataOnly="0" labelOnly="1" outline="0" fieldPosition="0"/>
    </format>
    <format dxfId="671">
      <pivotArea field="71" type="button" dataOnly="0" labelOnly="1" outline="0" axis="axisCol" fieldPosition="0"/>
    </format>
    <format dxfId="672">
      <pivotArea type="topRight" dataOnly="0" labelOnly="1" outline="0" fieldPosition="0"/>
    </format>
    <format dxfId="673">
      <pivotArea field="7" type="button" dataOnly="0" labelOnly="1" outline="0"/>
    </format>
    <format dxfId="674">
      <pivotArea dataOnly="0" labelOnly="1" outline="0" fieldPosition="0">
        <references count="1">
          <reference field="71" count="0"/>
        </references>
      </pivotArea>
    </format>
    <format dxfId="675">
      <pivotArea dataOnly="0" labelOnly="1" grandCol="1" outline="0" fieldPosition="0"/>
    </format>
    <format dxfId="676">
      <pivotArea type="origin" dataOnly="0" labelOnly="1" outline="0" fieldPosition="0"/>
    </format>
    <format dxfId="677">
      <pivotArea field="71" type="button" dataOnly="0" labelOnly="1" outline="0" axis="axisCol" fieldPosition="0"/>
    </format>
    <format dxfId="678">
      <pivotArea type="topRight" dataOnly="0" labelOnly="1" outline="0" fieldPosition="0"/>
    </format>
    <format dxfId="679">
      <pivotArea field="7" type="button" dataOnly="0" labelOnly="1" outline="0"/>
    </format>
    <format dxfId="680">
      <pivotArea dataOnly="0" labelOnly="1" outline="0" fieldPosition="0">
        <references count="1">
          <reference field="71" count="0"/>
        </references>
      </pivotArea>
    </format>
    <format dxfId="681">
      <pivotArea dataOnly="0" labelOnly="1" grandCol="1" outline="0" fieldPosition="0"/>
    </format>
    <format dxfId="682">
      <pivotArea dataOnly="0" labelOnly="1" outline="0" fieldPosition="0">
        <references count="1">
          <reference field="71" count="12">
            <x v="1"/>
            <x v="2"/>
            <x v="3"/>
            <x v="4"/>
            <x v="5"/>
            <x v="6"/>
            <x v="7"/>
            <x v="8"/>
            <x v="9"/>
            <x v="10"/>
            <x v="11"/>
            <x v="12"/>
          </reference>
        </references>
      </pivotArea>
    </format>
    <format dxfId="683">
      <pivotArea dataOnly="0" labelOnly="1" grandCol="1" outline="0" fieldPosition="0"/>
    </format>
    <format dxfId="684">
      <pivotArea field="31" type="button" dataOnly="0" labelOnly="1" outline="0" axis="axisRow" fieldPosition="0"/>
    </format>
    <format dxfId="685">
      <pivotArea field="31"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3" connectionId="3" xr16:uid="{00000000-0016-0000-0500-000001000000}" autoFormatId="16" applyNumberFormats="0" applyBorderFormats="0" applyFontFormats="0" applyPatternFormats="0" applyAlignmentFormats="0" applyWidthHeightFormats="0">
  <queryTableRefresh nextId="4">
    <queryTableFields count="3">
      <queryTableField id="1" name="ID Mantenimiento" tableColumnId="1"/>
      <queryTableField id="2" name="Líder Técnico/Analista" tableColumnId="2"/>
      <queryTableField id="3" name="Horas_Mant"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2" connectionId="2" xr16:uid="{00000000-0016-0000-0600-000002000000}" autoFormatId="16" applyNumberFormats="0" applyBorderFormats="0" applyFontFormats="0" applyPatternFormats="0" applyAlignmentFormats="0" applyWidthHeightFormats="0">
  <queryTableRefresh nextId="3">
    <queryTableFields count="2">
      <queryTableField id="1" name="ID Mantenimiento" tableColumnId="1"/>
      <queryTableField id="2" name="Recuento"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1" connectionId="1" xr16:uid="{00000000-0016-0000-0800-000003000000}" autoFormatId="16" applyNumberFormats="0" applyBorderFormats="0" applyFontFormats="0" applyPatternFormats="0" applyAlignmentFormats="0" applyWidthHeightFormats="0">
  <queryTableRefresh nextId="4">
    <queryTableFields count="3">
      <queryTableField id="1" name="Líder Técnico/Analista" tableColumnId="1"/>
      <queryTableField id="2" name="Cant_Mantenimiento" tableColumnId="2"/>
      <queryTableField id="3" name="Horas_Mant"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F87BB74-4E17-4CEC-99FA-BFC05D87B6A4}" name="_07__CRONOGRAMA_2026" displayName="_07__CRONOGRAMA_2026" ref="A5:V152" totalsRowShown="0" headerRowDxfId="624" dataDxfId="623">
  <autoFilter ref="A5:V152" xr:uid="{EF87BB74-4E17-4CEC-99FA-BFC05D87B6A4}">
    <filterColumn colId="3">
      <filters>
        <filter val="Tecnologías de Información"/>
      </filters>
    </filterColumn>
  </autoFilter>
  <tableColumns count="22">
    <tableColumn id="34" xr3:uid="{4DAF2AEE-9546-44F1-8581-5E759BDBC00A}" name="ID Historico" dataDxfId="622"/>
    <tableColumn id="35" xr3:uid="{2721752B-177A-4DD0-84CC-8A4B80106CE8}" name="ID Mantenimiento" dataDxfId="621"/>
    <tableColumn id="36" xr3:uid="{DFC3E8F4-807E-4238-AC1D-A95018E8E826}" name="Nombre del Requerimiento" dataDxfId="620"/>
    <tableColumn id="18" xr3:uid="{1141CD01-870A-492F-85A5-1247FBC26A8F}" name="Gerencia" dataDxfId="619"/>
    <tableColumn id="37" xr3:uid="{6E21FCF0-B1BC-47F6-8DD1-53C79ABAC273}" name="Gestor TI" dataDxfId="618"/>
    <tableColumn id="38" xr3:uid="{299BF442-2DB2-4093-AB48-2DE61A396367}" name="Estado TI" dataDxfId="617"/>
    <tableColumn id="39" xr3:uid="{EA6241D7-15C6-41AC-84C9-2502A168FBEA}" name="% REAL" dataDxfId="616"/>
    <tableColumn id="22" xr3:uid="{5117EFB5-8497-403F-B8D5-1A4146D1DAFA}" name="Validacion" dataDxfId="615"/>
    <tableColumn id="40" xr3:uid="{B53C5D6E-B9E2-4F25-9C97-0CF7F717E008}" name="Fecha Inicio - Desarrollo" dataDxfId="614"/>
    <tableColumn id="41" xr3:uid="{ADCE55CB-DE7E-421B-9555-FBB4AE7766BE}" name="Fecha Fin  - Desarrollo" dataDxfId="613"/>
    <tableColumn id="42" xr3:uid="{ED41A9B0-7F45-458F-B5BD-5FB8E6F85702}" name="Fecha Inicio-Calidad" dataDxfId="612"/>
    <tableColumn id="43" xr3:uid="{FD0DC222-F985-4352-B9D9-02462E4874DA}" name="Fecha Fin-Caldiad" dataDxfId="611"/>
    <tableColumn id="44" xr3:uid="{5B098645-F522-4559-BC8D-86EB6A308BF6}" name="Fecha Inicio - Prod" dataDxfId="610"/>
    <tableColumn id="45" xr3:uid="{D9A09D35-C129-4DB8-B3E6-38071EAEA41B}" name="Fecha Fin - Prod" dataDxfId="609"/>
    <tableColumn id="6" xr3:uid="{E5453E4F-B5B9-479E-B533-D8E5C162357B}" name="Líder Técnico/Analista" dataDxfId="608"/>
    <tableColumn id="46" xr3:uid="{81C2404E-AC38-4B04-875A-F48725157422}" name="Porcentaje de Avance" dataDxfId="607">
      <calculatedColumnFormula>VLOOKUP(_07__CRONOGRAMA_2026[[#This Row],[ID Historico]],Cartera1017[[ID Histórico]:[Porcentaje de Avance]],80,FALSE)</calculatedColumnFormula>
    </tableColumn>
    <tableColumn id="47" xr3:uid="{14909AF0-7A9F-48A5-9FF6-820FA58AE085}" name="% Planificado" dataDxfId="606">
      <calculatedColumnFormula>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calculatedColumnFormula>
    </tableColumn>
    <tableColumn id="48" xr3:uid="{D663D271-1176-4728-8BA5-E262D624B725}" name="% COMPLETADO" dataDxfId="605">
      <calculatedColumnFormula>IF(_07__CRONOGRAMA_2026[[#This Row],[% REAL]]&gt;_07__CRONOGRAMA_2026[[#This Row],[Porcentaje de Avance]],_07__CRONOGRAMA_2026[[#This Row],[% REAL]],_07__CRONOGRAMA_2026[[#This Row],[Porcentaje de Avance]])</calculatedColumnFormula>
    </tableColumn>
    <tableColumn id="49" xr3:uid="{0B4F0A44-713D-4ABB-B5B2-0B33ACF918C5}" name="Indicador de Avance" dataDxfId="604">
      <calculatedColumnFormula>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calculatedColumnFormula>
    </tableColumn>
    <tableColumn id="1" xr3:uid="{71E35E62-E419-43B3-A7B8-15B914CEEA65}" name="Estado TI HOY" dataDxfId="603">
      <calculatedColumnFormula>VLOOKUP(_07__CRONOGRAMA_2026[[#This Row],[ID Historico]],Cartera1017[[ID Histórico]:[Estado TI]],31,FALSE)</calculatedColumnFormula>
    </tableColumn>
    <tableColumn id="2" xr3:uid="{AED59FDD-DDBD-4FC8-BFDA-F74F026D4A84}" name="GESTORES FEBRERO" dataDxfId="602">
      <calculatedColumnFormula>VLOOKUP(_07__CRONOGRAMA_2026[[#This Row],[ID Historico]],Cartera1017[[ID Histórico]:[Estado TI]],30,FALSE)</calculatedColumnFormula>
    </tableColumn>
    <tableColumn id="3" xr3:uid="{F51BCC0C-2791-42EF-BD57-7083F9F49828}" name="Analistas" dataDxfId="601">
      <calculatedColumnFormula>VLOOKUP(_07__CRONOGRAMA_2026[[#This Row],[ID Historico]],Cartera1017[[ID Histórico]:[Estado TI]],29,FALSE)</calculatedColumnFormula>
    </tableColumn>
  </tableColumns>
  <tableStyleInfo name="Estilo de tabla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9000000}" name="Cartera1017" displayName="Cartera1017" ref="A5:DH267" totalsRowShown="0" headerRowDxfId="574" dataDxfId="573" tableBorderDxfId="572">
  <autoFilter ref="A5:DH267" xr:uid="{00000000-0009-0000-0100-000010000000}">
    <filterColumn colId="7">
      <filters>
        <filter val="Riesgos"/>
      </filters>
    </filterColumn>
  </autoFilter>
  <tableColumns count="112">
    <tableColumn id="99" xr3:uid="{69D81536-1487-4E75-B509-4FFA29137B61}" name="ID Demanda" dataDxfId="571"/>
    <tableColumn id="7" xr3:uid="{00000000-0010-0000-0900-000007000000}" name="ID Histórico" dataDxfId="570"/>
    <tableColumn id="6" xr3:uid="{00000000-0010-0000-0900-000006000000}" name="Tipo de Requerimiento" dataDxfId="569"/>
    <tableColumn id="38" xr3:uid="{00000000-0010-0000-0900-000026000000}" name="ID Trámite" dataDxfId="568"/>
    <tableColumn id="3" xr3:uid="{00000000-0010-0000-0900-000003000000}" name="ID Mantenimiento" dataDxfId="567"/>
    <tableColumn id="1" xr3:uid="{00000000-0010-0000-0900-000001000000}" name="Nombre del Requerimiento" dataDxfId="566"/>
    <tableColumn id="5" xr3:uid="{00000000-0010-0000-0900-000005000000}" name="Descripción del Requerimiento" dataDxfId="565"/>
    <tableColumn id="9" xr3:uid="{00000000-0010-0000-0900-000009000000}" name="Gerencia" dataDxfId="564"/>
    <tableColumn id="10" xr3:uid="{00000000-0010-0000-0900-00000A000000}" name="Subgerencia" dataDxfId="563"/>
    <tableColumn id="11" xr3:uid="{00000000-0010-0000-0900-00000B000000}" name="Sección" dataDxfId="562"/>
    <tableColumn id="18" xr3:uid="{00000000-0010-0000-0900-000012000000}" name="Fecha de Solicitud" dataDxfId="561"/>
    <tableColumn id="24" xr3:uid="{00000000-0010-0000-0900-000018000000}" name="Memorando STD" dataDxfId="560"/>
    <tableColumn id="85" xr3:uid="{00000000-0010-0000-0900-000055000000}" name="Aplicativo" dataDxfId="559"/>
    <tableColumn id="86" xr3:uid="{00000000-0010-0000-0900-000056000000}" name="Cartera" dataDxfId="558"/>
    <tableColumn id="20" xr3:uid="{00000000-0010-0000-0900-000014000000}" name="Canal de Atención" dataDxfId="557"/>
    <tableColumn id="23" xr3:uid="{00000000-0010-0000-0900-000017000000}" name="Producto" dataDxfId="556"/>
    <tableColumn id="21" xr3:uid="{00000000-0010-0000-0900-000015000000}" name="Servicio" dataDxfId="555"/>
    <tableColumn id="69" xr3:uid="{00000000-0010-0000-0900-000045000000}" name="Categoría" dataDxfId="554"/>
    <tableColumn id="88" xr3:uid="{00000000-0010-0000-0900-000058000000}" name="Tipo" dataDxfId="553"/>
    <tableColumn id="71" xr3:uid="{00000000-0010-0000-0900-000047000000}" name="Entidad reguladora / Organo de Control" dataDxfId="552"/>
    <tableColumn id="72" xr3:uid="{00000000-0010-0000-0900-000048000000}" name="N° Norma / N° Informe - N° recomendación" dataDxfId="551"/>
    <tableColumn id="51" xr3:uid="{00000000-0010-0000-0900-000033000000}" name="Tïtulo de Informe" dataDxfId="550"/>
    <tableColumn id="64" xr3:uid="{00000000-0010-0000-0900-000040000000}" name="Nro Rec" dataDxfId="549"/>
    <tableColumn id="54" xr3:uid="{00000000-0010-0000-0900-000036000000}" name="Nro Rec Numeral" dataDxfId="548"/>
    <tableColumn id="70" xr3:uid="{00000000-0010-0000-0900-000046000000}" name="Fecha de Implem.Requerida" dataDxfId="547"/>
    <tableColumn id="22" xr3:uid="{00000000-0010-0000-0900-000016000000}" name="Tipo de atención" dataDxfId="546"/>
    <tableColumn id="76" xr3:uid="{00000000-0010-0000-0900-00004C000000}" name="Fecha de Priorización Comité" dataDxfId="545"/>
    <tableColumn id="13" xr3:uid="{00000000-0010-0000-0900-00000D000000}" name="Área Responsable TI" dataDxfId="544"/>
    <tableColumn id="40" xr3:uid="{00000000-0010-0000-0900-000028000000}" name="Entidad Asignado" dataDxfId="543"/>
    <tableColumn id="14" xr3:uid="{00000000-0010-0000-0900-00000E000000}" name="Líder Técnico/Analista" dataDxfId="542"/>
    <tableColumn id="39" xr3:uid="{00000000-0010-0000-0900-000027000000}" name="Gestor TI" dataDxfId="541"/>
    <tableColumn id="29" xr3:uid="{00000000-0010-0000-0900-00001D000000}" name="Estado TI" dataDxfId="540"/>
    <tableColumn id="92" xr3:uid="{00000000-0010-0000-0900-00005C000000}" name="Macroestado" dataDxfId="539">
      <calculatedColumnFormula>VLOOKUP(AF6,Tabla3[[Estado Requerimiento]:[Macro estado]],2,FALSE)</calculatedColumnFormula>
    </tableColumn>
    <tableColumn id="30" xr3:uid="{00000000-0010-0000-0900-00001E000000}" name="Motivo según estado" dataDxfId="538"/>
    <tableColumn id="41" xr3:uid="{00000000-0010-0000-0900-000029000000}" name="Fecha registro trámite" dataDxfId="537"/>
    <tableColumn id="27" xr3:uid="{76FC7518-D226-4015-AE13-A1A149166A61}" name="Fecha Inicio- Desarrollo (PLANIFICADA)" dataDxfId="536"/>
    <tableColumn id="31" xr3:uid="{00000000-0010-0000-0900-00001F000000}" name="Fecha Inicio- Desarrollo" dataDxfId="535"/>
    <tableColumn id="32" xr3:uid="{00000000-0010-0000-0900-000020000000}" name="Fecha Fin- Desarrollo" dataDxfId="534"/>
    <tableColumn id="90" xr3:uid="{00000000-0010-0000-0900-00005A000000}" name="Fecha Fin- Desarrollo (PLANIFICADA)" dataDxfId="533"/>
    <tableColumn id="33" xr3:uid="{00000000-0010-0000-0900-000021000000}" name="Fecha Inicio- Calidad" dataDxfId="532"/>
    <tableColumn id="34" xr3:uid="{00000000-0010-0000-0900-000022000000}" name="Fecha Fin- Calidad" dataDxfId="531"/>
    <tableColumn id="91" xr3:uid="{00000000-0010-0000-0900-00005B000000}" name="Fecha Fin- Calidad (PLANIFICADA)" dataDxfId="530">
      <calculatedColumnFormula>IF(AND(ISNUMBER(AK6),ISNUMBER(AM6)),AM6+(AM6- AK6)*0.4,IF(AND(ISNUMBER(AK6),ISNUMBER(AL6)),AL6+(AL6-AK6)*0.4,""))</calculatedColumnFormula>
    </tableColumn>
    <tableColumn id="35" xr3:uid="{00000000-0010-0000-0900-000023000000}" name="Fecha Inicio- Producción" dataDxfId="529"/>
    <tableColumn id="36" xr3:uid="{00000000-0010-0000-0900-000024000000}" name="Fecha Fin- Producción" dataDxfId="528"/>
    <tableColumn id="16" xr3:uid="{00000000-0010-0000-0900-000010000000}" name="Fecha Fin-Planificada" dataDxfId="527">
      <calculatedColumnFormula>IF(ISNUMBER(AP6),AP6+7,"")</calculatedColumnFormula>
    </tableColumn>
    <tableColumn id="73" xr3:uid="{00000000-0010-0000-0900-000049000000}" name="Comentarios OPP" dataDxfId="526"/>
    <tableColumn id="53" xr3:uid="{00000000-0010-0000-0900-000035000000}" name="Gerencia Abr" dataDxfId="525">
      <calculatedColumnFormula>VLOOKUP(Cartera1017[[#This Row],[Gerencia]],tbGerencia[#All],3,FALSE)</calculatedColumnFormula>
    </tableColumn>
    <tableColumn id="17" xr3:uid="{00000000-0010-0000-0900-000011000000}" name="Subgerencia Abr" dataDxfId="524">
      <calculatedColumnFormula>IFERROR(VLOOKUP(Cartera1017[[#This Row],[Subgerencia]],Definiciones!$A$90:$B$144,2,FALSE),"")</calculatedColumnFormula>
    </tableColumn>
    <tableColumn id="56" xr3:uid="{00000000-0010-0000-0900-000038000000}" name="Mes Ingreso" dataDxfId="523">
      <calculatedColumnFormula>IF(OR(LEN(Cartera1017[[#This Row],[Fecha de Solicitud]])=0,(Cartera1017[[#This Row],[Fecha de Solicitud]])="No definido"),"No definido",IF(YEAR(Cartera1017[[#This Row],[Fecha de Solicitud]])&lt;2023," &lt;  2023",TEXT(Cartera1017[[#This Row],[Fecha de Solicitud]],"yyyy-mm")))</calculatedColumnFormula>
    </tableColumn>
    <tableColumn id="57" xr3:uid="{00000000-0010-0000-0900-000039000000}" name="Mes Priorización" dataDxfId="522">
      <calculatedColumnFormula>IF(Cartera1017[[#This Row],[Fecha de Priorización Comité]]="","No definido",TEXT(Cartera1017[[#This Row],[Fecha de Priorización Comité]],"yyyy-mm"))</calculatedColumnFormula>
    </tableColumn>
    <tableColumn id="58" xr3:uid="{00000000-0010-0000-0900-00003A000000}" name="Mes Fin Desa" dataDxfId="521">
      <calculatedColumnFormula>IF(Cartera1017[[#This Row],[Fecha Fin- Desarrollo]]="","No definido",TEXT(Cartera1017[[#This Row],[Fecha Fin- Desarrollo]],"yyyy-mm"))</calculatedColumnFormula>
    </tableColumn>
    <tableColumn id="59" xr3:uid="{00000000-0010-0000-0900-00003B000000}" name="Mes Fin Prod" dataDxfId="520">
      <calculatedColumnFormula>IF(Cartera1017[[#This Row],[Fecha Fin- Producción]]="","No definido",TEXT(Cartera1017[[#This Row],[Fecha Fin- Producción]],"yyyy-mm"))</calculatedColumnFormula>
    </tableColumn>
    <tableColumn id="25" xr3:uid="{00000000-0010-0000-0900-000019000000}" name="Mes Fin Plan" dataDxfId="519">
      <calculatedColumnFormula>IF(Cartera1017[[#This Row],[Fecha Fin-Planificada]]="","No definido",TEXT(Cartera1017[[#This Row],[Fecha Fin-Planificada]],"yyyy-mm"))</calculatedColumnFormula>
    </tableColumn>
    <tableColumn id="63" xr3:uid="{00000000-0010-0000-0900-00003F000000}" name="ESTADO FS_INDRA" dataDxfId="518"/>
    <tableColumn id="66" xr3:uid="{00000000-0010-0000-0900-000042000000}" name="FECHA INICIO" dataDxfId="517"/>
    <tableColumn id="67" xr3:uid="{00000000-0010-0000-0900-000043000000}" name="FECHA ENTREGA PLANIFICADA" dataDxfId="516"/>
    <tableColumn id="68" xr3:uid="{00000000-0010-0000-0900-000044000000}" name="FECHA ENTREGA REAL" dataDxfId="515"/>
    <tableColumn id="52" xr3:uid="{00000000-0010-0000-0900-000034000000}" name="Fecha Ingreso a la Demanda" dataDxfId="514"/>
    <tableColumn id="79" xr3:uid="{00000000-0010-0000-0900-00004F000000}" name="Ingreso x Trimestre" dataDxfId="513"/>
    <tableColumn id="83" xr3:uid="{00000000-0010-0000-0900-000053000000}" name="Duracion en Dias" dataDxfId="512">
      <calculatedColumnFormula>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calculatedColumnFormula>
    </tableColumn>
    <tableColumn id="84" xr3:uid="{00000000-0010-0000-0900-000054000000}" name="Duracion en Meses" dataDxfId="511">
      <calculatedColumnFormula>IF(ISNUMBER(Cartera1017[[#This Row],[Duracion en Dias]]),Cartera1017[[#This Row],[Duracion en Dias]]/30, "No Aplica")</calculatedColumnFormula>
    </tableColumn>
    <tableColumn id="28" xr3:uid="{00000000-0010-0000-0900-00001C000000}" name="PLANEAMIENTO RQs" dataDxfId="510"/>
    <tableColumn id="42" xr3:uid="{00000000-0010-0000-0900-00002A000000}" name="Última Actividad" dataDxfId="509"/>
    <tableColumn id="43" xr3:uid="{00000000-0010-0000-0900-00002B000000}" name="Último Estado ClearQuest" dataDxfId="508"/>
    <tableColumn id="45" xr3:uid="{00000000-0010-0000-0900-00002D000000}" name="Fecha de último Estado" dataDxfId="507"/>
    <tableColumn id="49" xr3:uid="{00000000-0010-0000-0900-000031000000}" name="Estado Recomendaciones" dataDxfId="506"/>
    <tableColumn id="75" xr3:uid="{00000000-0010-0000-0900-00004B000000}" name="ID Recomendacion" dataDxfId="505"/>
    <tableColumn id="4" xr3:uid="{5D65E148-E5DC-4B96-8C9D-8BC1CEB4B5CB}" name="BDG2026" dataDxfId="504"/>
    <tableColumn id="65" xr3:uid="{00000000-0010-0000-0900-000041000000}" name="Fechas Vencidas" dataDxfId="503">
      <calculatedColumnFormula>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calculatedColumnFormula>
    </tableColumn>
    <tableColumn id="2" xr3:uid="{00000000-0010-0000-0900-000002000000}" name="MicroCanal" dataDxfId="502">
      <calculatedColumnFormula>IFERROR(VLOOKUP(Cartera1017[[#This Row],[Aplicativo]],Tabla76[],2,FALSE),"Sin Aplicativo")</calculatedColumnFormula>
    </tableColumn>
    <tableColumn id="12" xr3:uid="{00000000-0010-0000-0900-00000C000000}" name="MacroCanal" dataDxfId="501">
      <calculatedColumnFormula>IFERROR(VLOOKUP(Cartera1017[[#This Row],[Aplicativo]],Tabla76[],3,FALSE),"Sin Aplicativo")</calculatedColumnFormula>
    </tableColumn>
    <tableColumn id="82" xr3:uid="{00000000-0010-0000-0900-000052000000}" name="Compromiso 180225" dataDxfId="500"/>
    <tableColumn id="87" xr3:uid="{00000000-0010-0000-0900-000057000000}" name="Compromiso" dataDxfId="499"/>
    <tableColumn id="94" xr3:uid="{00000000-0010-0000-0900-00005E000000}" name="Comentario Compromiso" dataDxfId="498"/>
    <tableColumn id="89" xr3:uid="{00000000-0010-0000-0900-000059000000}" name="Fecha Fin2" dataDxfId="497">
      <calculatedColumnFormula>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calculatedColumnFormula>
    </tableColumn>
    <tableColumn id="93" xr3:uid="{00000000-0010-0000-0900-00005D000000}" name="Fecha Vencida 2" dataDxfId="496">
      <calculatedColumnFormula>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calculatedColumnFormula>
    </tableColumn>
    <tableColumn id="95" xr3:uid="{00000000-0010-0000-0900-00005F000000}" name="Mes" dataDxfId="495">
      <calculatedColumnFormula>IF(Cartera1017[[#This Row],[Fecha Fin2]]="","No definido",CONCATENATE(TEXT(Cartera1017[[#This Row],[Fecha Fin2]],"mmm")," ",YEAR(Cartera1017[[#This Row],[Fecha Fin2]])))</calculatedColumnFormula>
    </tableColumn>
    <tableColumn id="96" xr3:uid="{97D51E93-E59E-4522-9CCD-0C7BB198D08B}" name="Compromiso de Pedro Encalada al 01/04/252_x000a_" dataDxfId="494"/>
    <tableColumn id="97" xr3:uid="{0DAD0A3D-25EF-48B4-86D8-91F18A61A9EB}" name="Tabla 2" dataDxfId="493">
      <calculatedColumnFormula>IF(Cartera1017[[#This Row],[Estado TI]] = "08. Producción Finalizada","Culminado",IF(Cartera1017[[#This Row],[Estado TI]]= "09. Descartado","Descartado","Activos"))</calculatedColumnFormula>
    </tableColumn>
    <tableColumn id="98" xr3:uid="{EFCCA64A-14DA-4FC7-972F-68784B9EE62B}" name="CARTERA PPT" dataDxfId="492"/>
    <tableColumn id="15" xr3:uid="{7773CB13-D761-4237-95C1-D8BA83A9FF4B}" name="Porcentaje de Avance" dataDxfId="491">
      <calculatedColumnFormula>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calculatedColumnFormula>
    </tableColumn>
    <tableColumn id="8" xr3:uid="{DC9796E9-BEA4-47D3-B92B-743E6282B314}" name="FILTRO 27/10" dataDxfId="490">
      <calculatedColumnFormula>IF(
AND(
Cartera1017[[#This Row],[DEVOLVER 27]]="NO",
NOT(ISBLANK(Cartera1017[[#This Row],[ESTADO NO DEVUELTOS 27]]))
),
"PRE",
"POST"
)</calculatedColumnFormula>
    </tableColumn>
    <tableColumn id="19" xr3:uid="{012082C0-62B7-4593-8ADC-68A7769A44B1}" name="DEVOLVER 27" dataDxfId="489"/>
    <tableColumn id="26" xr3:uid="{6D67BD9D-F95B-4689-B5CE-1F1ECD8B0BC3}" name="ESTADO NO DEVUELTOS 27" dataDxfId="488"/>
    <tableColumn id="78" xr3:uid="{F62D4D94-0F06-4FFB-8877-0DF20782A36E}" name="CRONOGRAMA" dataDxfId="487">
      <calculatedColumnFormula>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calculatedColumnFormula>
    </tableColumn>
    <tableColumn id="55" xr3:uid="{FF15BA96-1B19-431E-A9CD-D6D144AE502F}" name="indicador de Avance" dataDxfId="486">
      <calculatedColumnFormula>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calculatedColumnFormula>
    </tableColumn>
    <tableColumn id="62" xr3:uid="{3029E44A-F8EC-42C5-8C4B-C036C758B439}" name="% PLANIFICADO" dataDxfId="485">
      <calculatedColumnFormula>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calculatedColumnFormula>
    </tableColumn>
    <tableColumn id="74" xr3:uid="{F0212426-07C1-4CFB-AB61-65E0C3866095}" name="% COMPLETADO" dataDxfId="484">
      <calculatedColumnFormula>Cartera1017[[#This Row],[Porcentaje de Avance]]</calculatedColumnFormula>
    </tableColumn>
    <tableColumn id="113" xr3:uid="{CEE476C0-97A0-42B4-9161-E16BA50F2F80}" name="GAP" dataDxfId="483">
      <calculatedColumnFormula>IF(
   OR(
     Cartera1017[[#This Row],[Estado TI]]="09. Descartado",
     Cartera1017[[#This Row],[Comienzo Desarrollo]]="",
     Cartera1017[[#This Row],[Fin Producción]]=""
   ),
   "",
   Cartera1017[[#This Row],[% PLANIFICADO]]-Cartera1017[[#This Row],[% COMPLETADO]]
)</calculatedColumnFormula>
    </tableColumn>
    <tableColumn id="114" xr3:uid="{B392CB47-F983-46C5-A452-F04D62223812}" name="RATIO" dataDxfId="482">
      <calculatedColumnFormula>IF(
   OR(
     Cartera1017[[#This Row],[Estado TI]]="09. Descartado",
     Cartera1017[[#This Row],[Comienzo Desarrollo]]="",
     Cartera1017[[#This Row],[Fin Producción]]="",
     Cartera1017[[#This Row],[% PLANIFICADO]]=0
   ),
   "",
   MIN(Cartera1017[[#This Row],[% COMPLETADO]]/Cartera1017[[#This Row],[% PLANIFICADO]],1.2)
)</calculatedColumnFormula>
    </tableColumn>
    <tableColumn id="81" xr3:uid="{1BE6ABAF-0F49-4EE1-802D-0BECDCB093E6}" name="Comienzo Desarrollo OG" dataDxfId="481"/>
    <tableColumn id="37" xr3:uid="{4EC5C717-0304-4AC9-B9FF-A74E9997BC1A}" name="Comienzo Desarrollo" dataDxfId="480"/>
    <tableColumn id="44" xr3:uid="{6D1E53DD-92CF-4078-8354-F8B0E678B056}" name="Fin Desarrollo" dataDxfId="479"/>
    <tableColumn id="46" xr3:uid="{9333D58E-37A5-4C6D-8B03-2987901EE51D}" name="Comienzo Calidad" dataDxfId="478"/>
    <tableColumn id="47" xr3:uid="{7DB1442A-C179-4799-8642-DC44BCF1B552}" name="Fin Calidad" dataDxfId="477"/>
    <tableColumn id="48" xr3:uid="{6F7E6A01-5AE2-49A8-8113-63D3DE11F1D6}" name="Comienzo Producción" dataDxfId="476"/>
    <tableColumn id="50" xr3:uid="{C806CE9A-A250-40CB-8B3D-5A0A207B2132}" name="Fin Producción" dataDxfId="475"/>
    <tableColumn id="77" xr3:uid="{4D27B4CB-B1A9-4992-A4BB-7593970FCE78}" name="DURACIÓN DESARROLLO DIAS" dataDxfId="474">
      <calculatedColumnFormula>IF(Cartera1017[[#This Row],[Fin Desarrollo]]="",25,IFERROR(NETWORKDAYS(Cartera1017[[#This Row],[Comienzo Desarrollo]],Cartera1017[[#This Row],[Fin Desarrollo]],FERIADOS[Fecha]),""))</calculatedColumnFormula>
    </tableColumn>
    <tableColumn id="102" xr3:uid="{001C6899-BE86-479A-B3CD-CF7367F1F028}" name="Porcentaje avanzado desarrollo" dataDxfId="473">
      <calculatedColumnFormula>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calculatedColumnFormula>
    </tableColumn>
    <tableColumn id="61" xr3:uid="{25EF8A59-607D-4A36-9F69-9BFF5761D114}" name="DURACIÓN DESARROLLO HORAS" dataDxfId="472">
      <calculatedColumnFormula>IF(OR(Cartera1017[[#This Row],[Comienzo Desarrollo]]="",Cartera1017[[#This Row],[Fin Desarrollo]]=""),200,IFERROR(Cartera1017[[#This Row],[DURACIÓN DESARROLLO DIAS]]*VLOOKUP(Cartera1017[[#This Row],[ID Mantenimiento]],MANT_HORAS[],2,FALSE),200))</calculatedColumnFormula>
    </tableColumn>
    <tableColumn id="60" xr3:uid="{6CEEC119-FB7D-47C3-BFE4-4DDAC08EF343}" name="BANCA DIGITAL CRONOGRAMA 20" dataDxfId="471"/>
    <tableColumn id="80" xr3:uid="{9A6B3C16-728E-4D94-9971-CD167DFE50A6}" name="ESTADO AMCRO" dataDxfId="470">
      <calculatedColumnFormula>VLOOKUP(Cartera1017[[#This Row],[Estado TI]],Definiciones!$A$549:$B$559,2,FALSE)</calculatedColumnFormula>
    </tableColumn>
    <tableColumn id="105" xr3:uid="{23BE75BC-A9AE-4147-BD30-F841CA8B3722}" name="Prcentaje faltante desarrollo" dataDxfId="469">
      <calculatedColumnFormula>1-Cartera1017[[#This Row],[Porcentaje avanzado desarrollo]]</calculatedColumnFormula>
    </tableColumn>
    <tableColumn id="106" xr3:uid="{5084F569-2AF5-45F3-AA1D-1994C5631F68}" name="Dias avanzados" dataDxfId="468">
      <calculatedColumnFormula>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calculatedColumnFormula>
    </tableColumn>
    <tableColumn id="107" xr3:uid="{BA2905B4-3402-4EA4-A5D0-97F574EA17B6}" name="Dias faltantes" dataDxfId="467">
      <calculatedColumnFormula>MAX(0,Cartera1017[[#This Row],[DURACIÓN DESARROLLO DIAS]]-Cartera1017[[#This Row],[Dias avanzados]])</calculatedColumnFormula>
    </tableColumn>
    <tableColumn id="108" xr3:uid="{A9F48ECC-7B94-4B9C-A023-AABAE9DD29B9}" name="HORAS AVANZADAS" dataDxfId="466">
      <calculatedColumnFormula>Cartera1017[[#This Row],[Dias avanzados]]*IFERROR(VLOOKUP(Cartera1017[[#This Row],[ID Mantenimiento]],MANT_HORAS[],2,FALSE),8)</calculatedColumnFormula>
    </tableColumn>
    <tableColumn id="109" xr3:uid="{A6B722E3-C77D-4752-99EC-79BA5CF4AB21}" name="HORAS RESTANTES" dataDxfId="465">
      <calculatedColumnFormula>Cartera1017[[#This Row],[Dias faltantes]]*IFERROR(VLOOKUP(Cartera1017[[#This Row],[ID Mantenimiento]],MANT_HORAS[],2,FALSE),8)</calculatedColumnFormula>
    </tableColumn>
    <tableColumn id="110" xr3:uid="{15A75F04-E2BA-4E76-A059-1B79D3FF7CC0}" name="mes fin prod cronograma" dataDxfId="464">
      <calculatedColumnFormula>IF(Cartera1017[[#This Row],[Fin Producción]]=0,"Por definir",CONCATENATE(YEAR(Cartera1017[[#This Row],[Fin Producción]]),"-",ROUNDUP(MONTH(Cartera1017[[#This Row],[Fin Producción]]),0)))</calculatedColumnFormula>
    </tableColumn>
    <tableColumn id="104" xr3:uid="{97D1D75D-585F-4892-9AEA-480A554032DC}" name="Demanda Táctica" dataDxfId="463"/>
    <tableColumn id="103" xr3:uid="{25F0414A-6D57-4244-B7A3-1E01EE4C5C18}" name="COMENTARIO CALIDAD / PROD" dataDxfId="462"/>
    <tableColumn id="111" xr3:uid="{53709B95-562B-4BC1-858B-E800A36A7055}" name="STATUS CAL/PROD" dataDxfId="461"/>
    <tableColumn id="100" xr3:uid="{9A50E740-CF35-480F-810F-00189EB2451C}" name="Inicitivas" dataDxfId="460"/>
  </tableColumns>
  <tableStyleInfo name="Estilo de tabla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3FF0096-2591-403E-848F-027091FF0F53}" name="Proyectos_DE" displayName="Proyectos_DE" ref="A1:L41" totalsRowShown="0" headerRowDxfId="453" dataDxfId="452" headerRowBorderDxfId="450" tableBorderDxfId="451">
  <autoFilter ref="A1:L41" xr:uid="{83FF0096-2591-403E-848F-027091FF0F53}"/>
  <tableColumns count="12">
    <tableColumn id="2" xr3:uid="{106B41D7-908A-4C88-890E-E30F63E98371}" name="N°" dataDxfId="448" totalsRowDxfId="449"/>
    <tableColumn id="26" xr3:uid="{9CE897DF-857F-4D5F-BC21-8015567202FB}" name="Indicador" dataDxfId="446" totalsRowDxfId="447"/>
    <tableColumn id="1" xr3:uid="{F48E51AA-401B-4FA4-B972-93701F869FE8}" name="PROYECTO" dataDxfId="444" totalsRowDxfId="445"/>
    <tableColumn id="3" xr3:uid="{A8B312AB-C24D-41E1-98CD-5FC0C7E46E08}" name="Gerencia" dataDxfId="442" totalsRowDxfId="443"/>
    <tableColumn id="10" xr3:uid="{E504007E-C9FA-4D6F-A64A-C2A893B051F4}" name="Gestor" dataDxfId="440" totalsRowDxfId="441"/>
    <tableColumn id="4" xr3:uid="{190BCA1C-F6FD-452E-977F-9364A5CD4837}" name="% Planificado" dataDxfId="438" totalsRowDxfId="439"/>
    <tableColumn id="5" xr3:uid="{9A0C98BF-8EC4-40CD-961D-99FE93A8B11D}" name="% Completado" dataDxfId="436" totalsRowDxfId="437"/>
    <tableColumn id="6" xr3:uid="{DF9ACC33-0D2E-4BC3-820C-5FA87D979CEE}" name="Fecha Inicio" dataDxfId="434" totalsRowDxfId="435"/>
    <tableColumn id="11" xr3:uid="{67E664A9-449A-4560-8882-84C168BCF114}" name="Fecha Fin" dataDxfId="432" totalsRowDxfId="433"/>
    <tableColumn id="8" xr3:uid="{D618A11C-F249-4994-B257-288E40359242}" name="Esfuerzo Total" dataDxfId="430" totalsRowDxfId="431"/>
    <tableColumn id="9" xr3:uid="{633C78CF-3A9D-4A8C-9FB2-6D1718D3C95D}" name="Esfuerzo Utilizado" dataDxfId="428" totalsRowDxfId="429"/>
    <tableColumn id="13" xr3:uid="{63132F19-5CE5-4BCC-B968-732FDAF7094A}" name="Total Esfuerzo Pendiente _x000a_(horas desarrollo)" dataDxfId="426" totalsRowDxfId="427">
      <calculatedColumnFormula>SUM(#REF!)</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89FE8896-85E1-4719-8488-554D99EC2C17}" name="FERIADOS" displayName="FERIADOS" ref="B60:D119" totalsRowShown="0">
  <autoFilter ref="B60:D119" xr:uid="{89FE8896-85E1-4719-8488-554D99EC2C17}"/>
  <tableColumns count="3">
    <tableColumn id="1" xr3:uid="{5E7563B7-C1A9-4E6F-890E-3253DF10DFA1}" name="Festivo"/>
    <tableColumn id="3" xr3:uid="{D63F68CA-4E8D-42C4-B4F6-26DA0197C050}" name="Columna1"/>
    <tableColumn id="2" xr3:uid="{89FAF113-3874-498E-AB1F-78C2A57A4D44}" name="Fecha" dataDxfId="4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25FEC7C-2B68-43E7-9739-BD855295CEA2}" name="MANT_HORAS_ANALISTAS" displayName="MANT_HORAS_ANALISTAS" ref="A1:C75" tableType="queryTable" totalsRowShown="0">
  <autoFilter ref="A1:C75" xr:uid="{025FEC7C-2B68-43E7-9739-BD855295CEA2}"/>
  <tableColumns count="3">
    <tableColumn id="1" xr3:uid="{FD859175-E489-45B6-B8B3-3C2803A69BBD}" uniqueName="1" name="ID Mantenimiento" queryTableFieldId="1" dataDxfId="417"/>
    <tableColumn id="2" xr3:uid="{595F188C-3E38-4172-B34D-3A2A9D51E689}" uniqueName="2" name="Líder Técnico/Analista" queryTableFieldId="2" dataDxfId="416"/>
    <tableColumn id="3" xr3:uid="{EE82617D-93C5-4758-8DCD-6B2E9A373B35}" uniqueName="3" name="Horas_Mant" queryTableField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5A7938A6-213E-4125-BD21-293A29C29728}" name="MANT_HORAS" displayName="MANT_HORAS" ref="A1:B68" tableType="queryTable" totalsRowShown="0">
  <autoFilter ref="A1:B68" xr:uid="{5A7938A6-213E-4125-BD21-293A29C29728}"/>
  <tableColumns count="2">
    <tableColumn id="1" xr3:uid="{913A111C-C4C5-4215-A770-30A6BB6B151F}" uniqueName="1" name="ID Mantenimiento" queryTableFieldId="1" dataDxfId="415"/>
    <tableColumn id="2" xr3:uid="{9ABE4997-46A5-4FDA-972A-C3C440673093}" uniqueName="2" name="Recuento"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31AD92F1-06D4-476B-830C-BC703894929D}" name="INCIDENCIAS" displayName="INCIDENCIAS" ref="A1:G106" totalsRowShown="0">
  <autoFilter ref="A1:G106" xr:uid="{31AD92F1-06D4-476B-830C-BC703894929D}"/>
  <tableColumns count="7">
    <tableColumn id="1" xr3:uid="{08C0D0BF-8FBB-4687-8C9E-4227B0D4A0BF}" name="ID Mantenimiento"/>
    <tableColumn id="2" xr3:uid="{9234BD16-5357-4CC4-BAD2-CDE1632A3AB2}" name="Estado"/>
    <tableColumn id="3" xr3:uid="{C761D780-D6B2-4AA0-B413-0CB4005F4B06}" name="Fecha Registro" dataDxfId="414"/>
    <tableColumn id="4" xr3:uid="{1ACAB038-E98F-4DE6-A13D-0F64656C8064}" name="FechaUltimoEstado" dataDxfId="413"/>
    <tableColumn id="5" xr3:uid="{5867712B-11E5-4F40-A8E8-0E2EEE482819}" name="Duración"/>
    <tableColumn id="6" xr3:uid="{BCA40EA8-B30E-49A2-AB00-55F4FBC4AB90}" name="Gerencia"/>
    <tableColumn id="7" xr3:uid="{CFE8F3FB-81FD-40ED-A75E-DED8AF3DAE05}" name="Duración horas" dataDxfId="412">
      <calculatedColumnFormula>VLOOKUP(INCIDENCIAS[[#This Row],[Gerencia]],$L$3:$M$12,2,FALSE)*8</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55AD823-2E18-4AF8-B0B8-86598F2DF772}" name="ANALISTAS_ACTIVOS" displayName="ANALISTAS_ACTIVOS" ref="A1:C25" tableType="queryTable" totalsRowShown="0">
  <autoFilter ref="A1:C25" xr:uid="{555AD823-2E18-4AF8-B0B8-86598F2DF772}"/>
  <tableColumns count="3">
    <tableColumn id="1" xr3:uid="{708BD547-3C19-4127-8A98-B05417073EAA}" uniqueName="1" name="Líder Técnico/Analista" queryTableFieldId="1" dataDxfId="411"/>
    <tableColumn id="2" xr3:uid="{6F06705F-BD3A-427E-B3DD-06DF0EBED913}" uniqueName="2" name="Cant_Mantenimiento" queryTableFieldId="2"/>
    <tableColumn id="3" xr3:uid="{C6F2714C-011A-4A5C-BE30-444EE81563AD}" uniqueName="3" name="Horas_Mant"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0A000000}" name="Cartera101774" displayName="Cartera101774" ref="A5:BQ19" totalsRowShown="0" headerRowDxfId="387" dataDxfId="386" tableBorderDxfId="385">
  <autoFilter ref="A5:BQ19" xr:uid="{00000000-0009-0000-0100-000049000000}"/>
  <tableColumns count="69">
    <tableColumn id="7" xr3:uid="{00000000-0010-0000-0A00-000007000000}" name="ID Demanda" dataDxfId="384"/>
    <tableColumn id="6" xr3:uid="{00000000-0010-0000-0A00-000006000000}" name="ID Histórico" dataDxfId="383"/>
    <tableColumn id="38" xr3:uid="{00000000-0010-0000-0A00-000026000000}" name="ID Trámite" dataDxfId="382"/>
    <tableColumn id="3" xr3:uid="{00000000-0010-0000-0A00-000003000000}" name="ID Mantenimiento" dataDxfId="381"/>
    <tableColumn id="4" xr3:uid="{00000000-0010-0000-0A00-000004000000}" name="Tipo de Requerimiento" dataDxfId="380"/>
    <tableColumn id="1" xr3:uid="{00000000-0010-0000-0A00-000001000000}" name="Nombre del Requerimiento" dataDxfId="379"/>
    <tableColumn id="5" xr3:uid="{00000000-0010-0000-0A00-000005000000}" name="Descripción del Requerimiento" dataDxfId="378"/>
    <tableColumn id="9" xr3:uid="{00000000-0010-0000-0A00-000009000000}" name="Gerencia" dataDxfId="377"/>
    <tableColumn id="10" xr3:uid="{00000000-0010-0000-0A00-00000A000000}" name="Subgerencia" dataDxfId="376"/>
    <tableColumn id="11" xr3:uid="{00000000-0010-0000-0A00-00000B000000}" name="Sección" dataDxfId="375"/>
    <tableColumn id="12" xr3:uid="{00000000-0010-0000-0A00-00000C000000}" name="Líder Usuario" dataDxfId="374"/>
    <tableColumn id="18" xr3:uid="{00000000-0010-0000-0A00-000012000000}" name="Fecha de Solicitud" dataDxfId="373"/>
    <tableColumn id="24" xr3:uid="{00000000-0010-0000-0A00-000018000000}" name="Memorando STD" dataDxfId="372"/>
    <tableColumn id="85" xr3:uid="{00000000-0010-0000-0A00-000055000000}" name="Aplicativo" dataDxfId="371"/>
    <tableColumn id="86" xr3:uid="{00000000-0010-0000-0A00-000056000000}" name="Cartera" dataDxfId="370"/>
    <tableColumn id="69" xr3:uid="{00000000-0010-0000-0A00-000045000000}" name="Categoría" dataDxfId="369"/>
    <tableColumn id="22" xr3:uid="{00000000-0010-0000-0A00-000016000000}" name="Tipo de atención" dataDxfId="368"/>
    <tableColumn id="76" xr3:uid="{00000000-0010-0000-0A00-00004C000000}" name="Fecha de Priorización Comité" dataDxfId="367"/>
    <tableColumn id="13" xr3:uid="{00000000-0010-0000-0A00-00000D000000}" name="Área Responsable TI" dataDxfId="366"/>
    <tableColumn id="40" xr3:uid="{00000000-0010-0000-0A00-000028000000}" name="Entidad Asignado" dataDxfId="365"/>
    <tableColumn id="89" xr3:uid="{00000000-0010-0000-0A00-000059000000}" name="Recurso Indra" dataDxfId="364"/>
    <tableColumn id="14" xr3:uid="{00000000-0010-0000-0A00-00000E000000}" name="Líder Técnico/Analista" dataDxfId="363"/>
    <tableColumn id="39" xr3:uid="{00000000-0010-0000-0A00-000027000000}" name="Gestor TI" dataDxfId="362"/>
    <tableColumn id="29" xr3:uid="{00000000-0010-0000-0A00-00001D000000}" name="Estado TI" dataDxfId="361"/>
    <tableColumn id="92" xr3:uid="{00000000-0010-0000-0A00-00005C000000}" name="Macroestado" dataDxfId="360">
      <calculatedColumnFormula>VLOOKUP(X6,Tabla3[[Estado Requerimiento]:[Macro estado]],2,FALSE)</calculatedColumnFormula>
    </tableColumn>
    <tableColumn id="30" xr3:uid="{00000000-0010-0000-0A00-00001E000000}" name="Motivo según estado" dataDxfId="359"/>
    <tableColumn id="41" xr3:uid="{00000000-0010-0000-0A00-000029000000}" name="Fecha registro trámite" dataDxfId="358"/>
    <tableColumn id="31" xr3:uid="{00000000-0010-0000-0A00-00001F000000}" name="Fecha Inicio- Desarrollo" dataDxfId="357"/>
    <tableColumn id="32" xr3:uid="{00000000-0010-0000-0A00-000020000000}" name="Fecha Fin- Desarrollo" dataDxfId="356"/>
    <tableColumn id="90" xr3:uid="{00000000-0010-0000-0A00-00005A000000}" name="Fecha Fin- Desarrollo (PLANIFICADA)" dataDxfId="355"/>
    <tableColumn id="33" xr3:uid="{00000000-0010-0000-0A00-000021000000}" name="Fecha Inicio- Calidad" dataDxfId="354"/>
    <tableColumn id="34" xr3:uid="{00000000-0010-0000-0A00-000022000000}" name="Fecha Fin- Calidad" dataDxfId="353"/>
    <tableColumn id="91" xr3:uid="{00000000-0010-0000-0A00-00005B000000}" name="Fecha Fin- Calidad (PLANIFICADA)" dataDxfId="352">
      <calculatedColumnFormula>IF(AND(ISNUMBER(AB6),ISNUMBER(AD6)),AD6+(AD6- AB6)*0.4,IF(AND(ISNUMBER(AB6),ISNUMBER(AC6)),AC6+(AC6-AB6)*0.4,""))</calculatedColumnFormula>
    </tableColumn>
    <tableColumn id="35" xr3:uid="{00000000-0010-0000-0A00-000023000000}" name="Fecha Inicio- Producción" dataDxfId="351"/>
    <tableColumn id="36" xr3:uid="{00000000-0010-0000-0A00-000024000000}" name="Fecha Fin- Producción" dataDxfId="350"/>
    <tableColumn id="16" xr3:uid="{00000000-0010-0000-0A00-000010000000}" name="Fecha Fin-Planificada" dataDxfId="349">
      <calculatedColumnFormula>IF(ISNUMBER(AG6),AG6+7,"")</calculatedColumnFormula>
    </tableColumn>
    <tableColumn id="37" xr3:uid="{00000000-0010-0000-0A00-000025000000}" name="Comentarios OPP" dataDxfId="348"/>
    <tableColumn id="61" xr3:uid="{00000000-0010-0000-0A00-00003D000000}" name="Es MMCC de Otras Gerencias? " dataDxfId="347"/>
    <tableColumn id="62" xr3:uid="{00000000-0010-0000-0A00-00003E000000}" name="Proviene del Comité de Riesgos?" dataDxfId="346"/>
    <tableColumn id="53" xr3:uid="{00000000-0010-0000-0A00-000035000000}" name="Gerencia Abr" dataDxfId="345">
      <calculatedColumnFormula>VLOOKUP(Cartera101774[[#This Row],[Gerencia]],tbGerencia[#All],3,FALSE)</calculatedColumnFormula>
    </tableColumn>
    <tableColumn id="17" xr3:uid="{00000000-0010-0000-0A00-000011000000}" name="Subgerencia Abr" dataDxfId="344">
      <calculatedColumnFormula>IFERROR(VLOOKUP(Cartera101774[[#This Row],[Subgerencia]],Definiciones!$A$90:$B$144,2,FALSE),"")</calculatedColumnFormula>
    </tableColumn>
    <tableColumn id="55" xr3:uid="{00000000-0010-0000-0A00-000037000000}" name="Macroestado2" dataDxfId="343">
      <calculatedColumnFormula>+VLOOKUP(Cartera101774[[#This Row],[Estado TI]],Definiciones!$A$4:$B$15,2,FALSE)</calculatedColumnFormula>
    </tableColumn>
    <tableColumn id="56" xr3:uid="{00000000-0010-0000-0A00-000038000000}" name="Mes Ingreso" dataDxfId="342">
      <calculatedColumnFormula>IF(OR(LEN(Cartera101774[[#This Row],[Fecha de Solicitud]])=0,(Cartera101774[[#This Row],[Fecha de Solicitud]])="No definido"),"No definido",IF(YEAR(Cartera101774[[#This Row],[Fecha de Solicitud]])&lt;2023," &lt;  2023",TEXT(Cartera101774[[#This Row],[Fecha de Solicitud]],"yyyy-mm")))</calculatedColumnFormula>
    </tableColumn>
    <tableColumn id="57" xr3:uid="{00000000-0010-0000-0A00-000039000000}" name="Mes Priorización" dataDxfId="341">
      <calculatedColumnFormula>IF(Cartera101774[[#This Row],[Fecha de Priorización Comité]]="","No definido",TEXT(Cartera101774[[#This Row],[Fecha de Priorización Comité]],"yyyy-mm"))</calculatedColumnFormula>
    </tableColumn>
    <tableColumn id="58" xr3:uid="{00000000-0010-0000-0A00-00003A000000}" name="Mes Fin Desa" dataDxfId="340">
      <calculatedColumnFormula>IF(Cartera101774[[#This Row],[Fecha Fin- Desarrollo]]="","No definido",TEXT(AC6,"yyyy-mm"))</calculatedColumnFormula>
    </tableColumn>
    <tableColumn id="59" xr3:uid="{00000000-0010-0000-0A00-00003B000000}" name="Mes Fin Prod" dataDxfId="339">
      <calculatedColumnFormula>IF(Cartera101774[[#This Row],[Fecha Fin- Producción]]="","No definido",TEXT(AI6,"yyyy-mm"))</calculatedColumnFormula>
    </tableColumn>
    <tableColumn id="25" xr3:uid="{00000000-0010-0000-0A00-000019000000}" name="Mes Fin Plan" dataDxfId="338">
      <calculatedColumnFormula>IF(Cartera101774[[#This Row],[Fecha Fin-Planificada]]="","No definido",TEXT(AJ6,"yyyy-mm"))</calculatedColumnFormula>
    </tableColumn>
    <tableColumn id="19" xr3:uid="{00000000-0010-0000-0A00-000013000000}" name="Grupo PAG. TIC 2023" dataDxfId="337"/>
    <tableColumn id="26" xr3:uid="{00000000-0010-0000-0A00-00001A000000}" name="Estado PAG. TIC 2024" dataDxfId="336">
      <calculatedColumnFormula>+VLOOKUP(Cartera101774[[#This Row],[Estado TI]],Definiciones!$A$5:$D$15,4,FALSE)</calculatedColumnFormula>
    </tableColumn>
    <tableColumn id="50" xr3:uid="{00000000-0010-0000-0A00-000032000000}" name="Grupo PAG. TIC 2024" dataDxfId="335">
      <calculatedColumnFormula>+IF(Cartera101774[[#This Row],[Categoría]]="Evolutivo","II","I")</calculatedColumnFormula>
    </tableColumn>
    <tableColumn id="27" xr3:uid="{00000000-0010-0000-0A00-00001B000000}" name="Estado TI 2023" dataDxfId="334"/>
    <tableColumn id="48" xr3:uid="{00000000-0010-0000-0A00-000030000000}" name="Nro Mantenimiento" dataDxfId="333"/>
    <tableColumn id="44" xr3:uid="{00000000-0010-0000-0A00-00002C000000}" name="Producción Según CQ" dataDxfId="332"/>
    <tableColumn id="46" xr3:uid="{00000000-0010-0000-0A00-00002E000000}" name="Estado según INDRA" dataDxfId="331"/>
    <tableColumn id="47" xr3:uid="{00000000-0010-0000-0A00-00002F000000}" name="Estado según OLSSA" dataDxfId="330"/>
    <tableColumn id="63" xr3:uid="{00000000-0010-0000-0A00-00003F000000}" name="ESTADO FS_INDRA" dataDxfId="329"/>
    <tableColumn id="66" xr3:uid="{00000000-0010-0000-0A00-000042000000}" name="FECHA INICIO" dataDxfId="328"/>
    <tableColumn id="67" xr3:uid="{00000000-0010-0000-0A00-000043000000}" name="FECHA ENTREGA PLANIFICADA" dataDxfId="327"/>
    <tableColumn id="68" xr3:uid="{00000000-0010-0000-0A00-000044000000}" name="FECHA ENTREGA REAL" dataDxfId="326"/>
    <tableColumn id="77" xr3:uid="{00000000-0010-0000-0A00-00004D000000}" name="Últ. Estado CQ" dataDxfId="325"/>
    <tableColumn id="78" xr3:uid="{00000000-0010-0000-0A00-00004E000000}" name="Gerencia PAGTIC" dataDxfId="324">
      <calculatedColumnFormula>+VLOOKUP(Cartera101774[[#This Row],[Gerencia]],tbGerencia[#All],4,FALSE)</calculatedColumnFormula>
    </tableColumn>
    <tableColumn id="52" xr3:uid="{00000000-0010-0000-0A00-000034000000}" name="Fecha Ingreso a  la Demanda" dataDxfId="323"/>
    <tableColumn id="79" xr3:uid="{00000000-0010-0000-0A00-00004F000000}" name="Ingreso x Trimestre" dataDxfId="322"/>
    <tableColumn id="83" xr3:uid="{00000000-0010-0000-0A00-000053000000}" name="Duracion en Dias" dataDxfId="321"/>
    <tableColumn id="84" xr3:uid="{00000000-0010-0000-0A00-000054000000}" name="Duracion en Meses" dataDxfId="320"/>
    <tableColumn id="60" xr3:uid="{00000000-0010-0000-0A00-00003C000000}" name="Validación ISA" dataDxfId="319"/>
    <tableColumn id="8" xr3:uid="{00000000-0010-0000-0A00-000008000000}" name="Fecha de Informe de Recomendacion" dataDxfId="318">
      <calculatedColumnFormula>IFERROR(VLOOKUP(D6,#REF!,4,FALSE),"")</calculatedColumnFormula>
    </tableColumn>
    <tableColumn id="15" xr3:uid="{00000000-0010-0000-0A00-00000F000000}" name="Fecha de Compromiso" dataDxfId="317">
      <calculatedColumnFormula>IFERROR(VLOOKUP(D6,#REF!,12,FALSE),"")</calculatedColumnFormula>
    </tableColumn>
    <tableColumn id="65" xr3:uid="{00000000-0010-0000-0A00-000041000000}" name="Fechas Vencidas" dataDxfId="316">
      <calculatedColumnFormula>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calculatedColumnFormula>
    </tableColumn>
  </tableColumns>
  <tableStyleInfo name="Estilo de tabla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Tabla3" displayName="Tabla3" ref="A18:F36" totalsRowShown="0" headerRowDxfId="302" headerRowBorderDxfId="300" tableBorderDxfId="301" totalsRowBorderDxfId="299">
  <autoFilter ref="A18:F36" xr:uid="{00000000-0009-0000-0100-000003000000}"/>
  <sortState xmlns:xlrd2="http://schemas.microsoft.com/office/spreadsheetml/2017/richdata2" ref="A19:E36">
    <sortCondition ref="B18:B36"/>
  </sortState>
  <tableColumns count="6">
    <tableColumn id="1" xr3:uid="{00000000-0010-0000-0B00-000001000000}" name="Estado CQ" dataDxfId="298"/>
    <tableColumn id="2" xr3:uid="{00000000-0010-0000-0B00-000002000000}" name="Estado Requerimiento" dataDxfId="297"/>
    <tableColumn id="3" xr3:uid="{00000000-0010-0000-0B00-000003000000}" name="Macro estado" dataDxfId="296"/>
    <tableColumn id="4" xr3:uid="{00000000-0010-0000-0B00-000004000000}" name="Comentarios" dataDxfId="295"/>
    <tableColumn id="5" xr3:uid="{00000000-0010-0000-0B00-000005000000}" name="Actualizar Demanda?" dataDxfId="294"/>
    <tableColumn id="6" xr3:uid="{069C0CC0-EC89-4800-A6B1-7627B996A040}" name="ESTADOS MACRO" dataDxfId="293">
      <calculatedColumnFormula>VLOOKUP(Tabla3[[#This Row],[Estado Requerimiento]],$A$549:$B$557,2,FALSE)</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C000000}" name="Tabla4" displayName="Tabla4" ref="A49:B64" totalsRowShown="0" headerRowDxfId="292" headerRowBorderDxfId="290" tableBorderDxfId="291" totalsRowBorderDxfId="289">
  <autoFilter ref="A49:B64" xr:uid="{00000000-0009-0000-0100-000004000000}"/>
  <tableColumns count="2">
    <tableColumn id="1" xr3:uid="{00000000-0010-0000-0C00-000001000000}" name="Motivo de paralización"/>
    <tableColumn id="2" xr3:uid="{00000000-0010-0000-0C00-000002000000}" name="Estado TI"/>
  </tableColumns>
  <tableStyleInfo name="TableStyleMedium2"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D000000}" name="tbGerencia" displayName="tbGerencia" ref="A68:D87" totalsRowShown="0">
  <autoFilter ref="A68:D87" xr:uid="{00000000-0009-0000-0100-000006000000}"/>
  <tableColumns count="4">
    <tableColumn id="1" xr3:uid="{00000000-0010-0000-0D00-000001000000}" name="Gerencia"/>
    <tableColumn id="2" xr3:uid="{00000000-0010-0000-0D00-000002000000}" name="Nombre corto"/>
    <tableColumn id="3" xr3:uid="{00000000-0010-0000-0D00-000003000000}" name="Nombre Validación"/>
    <tableColumn id="4" xr3:uid="{00000000-0010-0000-0D00-000004000000}" name="Nombre Reporte PAGTIC"/>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blCanal" displayName="tblCanal" ref="A171:A186" totalsRowShown="0">
  <autoFilter ref="A171:A186" xr:uid="{00000000-0009-0000-0100-000011000000}"/>
  <tableColumns count="1">
    <tableColumn id="1" xr3:uid="{00000000-0010-0000-0E00-000001000000}" name="Canal de atenció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F000000}" name="Logística" displayName="Logística" ref="A239:A243" totalsRowShown="0" headerRowDxfId="288" dataDxfId="287" headerRowBorderDxfId="285" tableBorderDxfId="286">
  <autoFilter ref="A239:A243" xr:uid="{00000000-0009-0000-0100-000008000000}"/>
  <tableColumns count="1">
    <tableColumn id="1" xr3:uid="{00000000-0010-0000-0F00-000001000000}" name="Logística" dataDxfId="284"/>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10000000}" name="Auditoria" displayName="Auditoria" ref="B239:B241" totalsRowShown="0" headerRowDxfId="283" dataDxfId="282" headerRowBorderDxfId="280" tableBorderDxfId="281">
  <autoFilter ref="B239:B241" xr:uid="{00000000-0009-0000-0100-000009000000}"/>
  <tableColumns count="1">
    <tableColumn id="1" xr3:uid="{00000000-0010-0000-1000-000001000000}" name="Auditoria" dataDxfId="279"/>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1000000}" name="B.Digital" displayName="B.Digital" ref="C239:C242" totalsRowShown="0" headerRowDxfId="278" dataDxfId="277" headerRowBorderDxfId="275" tableBorderDxfId="276">
  <autoFilter ref="C239:C242" xr:uid="{00000000-0009-0000-0100-00000A000000}"/>
  <tableColumns count="1">
    <tableColumn id="1" xr3:uid="{00000000-0010-0000-1100-000001000000}" name="B.Digital" dataDxfId="274"/>
  </tableColumns>
  <tableStyleInfo name="TableStyleMedium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2000000}" name="Comunicac." displayName="Comunicac." ref="D239:D241" totalsRowShown="0" headerRowDxfId="273" dataDxfId="272" headerRowBorderDxfId="270" tableBorderDxfId="271">
  <autoFilter ref="D239:D241" xr:uid="{00000000-0009-0000-0100-00000B000000}"/>
  <tableColumns count="1">
    <tableColumn id="1" xr3:uid="{00000000-0010-0000-1200-000001000000}" name="Comunicac." dataDxfId="269"/>
  </tableColumns>
  <tableStyleInfo name="TableStyleMedium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3000000}" name="Finanzas" displayName="Finanzas" ref="E239:E243" totalsRowShown="0" headerRowDxfId="268" dataDxfId="267" headerRowBorderDxfId="265" tableBorderDxfId="266">
  <autoFilter ref="E239:E243" xr:uid="{00000000-0009-0000-0100-00000C000000}"/>
  <tableColumns count="1">
    <tableColumn id="1" xr3:uid="{00000000-0010-0000-1300-000001000000}" name="Finanzas" dataDxfId="264"/>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4000000}" name="Operac." displayName="Operac." ref="F239:F243" totalsRowShown="0" headerRowDxfId="263" dataDxfId="262" headerRowBorderDxfId="260" tableBorderDxfId="261">
  <autoFilter ref="F239:F243" xr:uid="{00000000-0009-0000-0100-00000D000000}"/>
  <tableColumns count="1">
    <tableColumn id="1" xr3:uid="{00000000-0010-0000-1400-000001000000}" name="Operac." dataDxfId="259"/>
  </tableColumns>
  <tableStyleInfo name="TableStyleMedium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5000000}" name="GerenciaGral." displayName="GerenciaGral." ref="G239:G240" totalsRowShown="0" headerRowDxfId="258" dataDxfId="257" headerRowBorderDxfId="255" tableBorderDxfId="256">
  <autoFilter ref="G239:G240" xr:uid="{00000000-0009-0000-0100-00000F000000}"/>
  <tableColumns count="1">
    <tableColumn id="1" xr3:uid="{00000000-0010-0000-1500-000001000000}" name="GerenciaGral." dataDxfId="254"/>
  </tableColumns>
  <tableStyleInfo name="TableStyleMedium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6000000}" name="Innovación" displayName="Innovación" ref="H239:H240" totalsRowShown="0" headerRowDxfId="253" dataDxfId="252" headerRowBorderDxfId="250" tableBorderDxfId="251">
  <autoFilter ref="H239:H240" xr:uid="{00000000-0009-0000-0100-000012000000}"/>
  <tableColumns count="1">
    <tableColumn id="1" xr3:uid="{00000000-0010-0000-1600-000001000000}" name="Innovación" dataDxfId="249"/>
  </tableColumns>
  <tableStyleInfo name="TableStyleMedium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7000000}" name="Legal" displayName="Legal" ref="I239:I242" totalsRowShown="0" headerRowDxfId="248" dataDxfId="247" headerRowBorderDxfId="245" tableBorderDxfId="246">
  <autoFilter ref="I239:I242" xr:uid="{00000000-0009-0000-0100-000013000000}"/>
  <tableColumns count="1">
    <tableColumn id="1" xr3:uid="{00000000-0010-0000-1700-000001000000}" name="Legal" dataDxfId="244"/>
  </tableColumns>
  <tableStyleInfo name="TableStyleMedium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8000000}" name="PLAFT" displayName="PLAFT" ref="J239:J240" totalsRowShown="0" headerRowDxfId="243" dataDxfId="242" headerRowBorderDxfId="240" tableBorderDxfId="241">
  <autoFilter ref="J239:J240" xr:uid="{00000000-0009-0000-0100-00001B000000}"/>
  <tableColumns count="1">
    <tableColumn id="1" xr3:uid="{00000000-0010-0000-1800-000001000000}" name="PLAFT" dataDxfId="239"/>
  </tableColumns>
  <tableStyleInfo name="TableStyleMedium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9000000}" name="Planeamiento" displayName="Planeamiento" ref="K239:K242" totalsRowShown="0" headerRowDxfId="238" dataDxfId="237" headerRowBorderDxfId="235" tableBorderDxfId="236">
  <autoFilter ref="K239:K242" xr:uid="{00000000-0009-0000-0100-00001C000000}"/>
  <tableColumns count="1">
    <tableColumn id="1" xr3:uid="{00000000-0010-0000-1900-000001000000}" name="Planeamiento" dataDxfId="234"/>
  </tableColumns>
  <tableStyleInfo name="TableStyleMedium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A000000}" name="Productos" displayName="Productos" ref="L239:L243" totalsRowShown="0" headerRowDxfId="233" dataDxfId="232" headerRowBorderDxfId="230" tableBorderDxfId="231">
  <autoFilter ref="L239:L243" xr:uid="{00000000-0009-0000-0100-00001D000000}"/>
  <tableColumns count="1">
    <tableColumn id="1" xr3:uid="{00000000-0010-0000-1A00-000001000000}" name="Productos" dataDxfId="229"/>
  </tableColumns>
  <tableStyleInfo name="TableStyleMedium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RRHH" displayName="RRHH" ref="M239:M242" totalsRowShown="0" headerRowDxfId="228" dataDxfId="227" headerRowBorderDxfId="225" tableBorderDxfId="226">
  <autoFilter ref="M239:M242" xr:uid="{00000000-0009-0000-0100-00001E000000}"/>
  <tableColumns count="1">
    <tableColumn id="1" xr3:uid="{00000000-0010-0000-1B00-000001000000}" name="RRHH" dataDxfId="224"/>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RedAg." displayName="RedAg." ref="N239:N241" totalsRowShown="0" headerRowDxfId="223" dataDxfId="222" headerRowBorderDxfId="220" tableBorderDxfId="221">
  <autoFilter ref="N239:N241" xr:uid="{00000000-0009-0000-0100-00001F000000}"/>
  <tableColumns count="1">
    <tableColumn id="1" xr3:uid="{00000000-0010-0000-1C00-000001000000}" name="RedAg." dataDxfId="219"/>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Riesgos" displayName="Riesgos" ref="O239:O243" totalsRowShown="0" headerRowDxfId="218" dataDxfId="217" headerRowBorderDxfId="215" tableBorderDxfId="216">
  <autoFilter ref="O239:O243" xr:uid="{00000000-0009-0000-0100-000020000000}"/>
  <tableColumns count="1">
    <tableColumn id="1" xr3:uid="{00000000-0010-0000-1D00-000001000000}" name="Riesgos" dataDxfId="214"/>
  </tableColumns>
  <tableStyleInfo name="TableStyleMedium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OficialíaCN" displayName="OficialíaCN" ref="Q239:Q241" totalsRowShown="0" headerRowDxfId="213" dataDxfId="212" headerRowBorderDxfId="210" tableBorderDxfId="211">
  <autoFilter ref="Q239:Q241" xr:uid="{00000000-0009-0000-0100-000021000000}"/>
  <tableColumns count="1">
    <tableColumn id="1" xr3:uid="{00000000-0010-0000-1E00-000001000000}" name="OficialíaCN" dataDxfId="20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Seguridad" displayName="Seguridad" ref="A252:A254" totalsRowShown="0" headerRowDxfId="208" dataDxfId="207" headerRowBorderDxfId="205" tableBorderDxfId="206">
  <autoFilter ref="A252:A254" xr:uid="{00000000-0009-0000-0100-000022000000}"/>
  <tableColumns count="1">
    <tableColumn id="1" xr3:uid="{00000000-0010-0000-1F00-000001000000}" name="Seguridad" dataDxfId="204"/>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Compras" displayName="Compras" ref="C252:C255" totalsRowShown="0" headerRowDxfId="203" dataDxfId="202" headerRowBorderDxfId="200" tableBorderDxfId="201">
  <autoFilter ref="C252:C255" xr:uid="{00000000-0009-0000-0100-000023000000}"/>
  <tableColumns count="1">
    <tableColumn id="1" xr3:uid="{00000000-0010-0000-2000-000001000000}" name="Compras" dataDxfId="199"/>
  </tableColumns>
  <tableStyleInfo name="TableStyleMedium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Servicios" displayName="Servicios" ref="D252:D258" totalsRowShown="0" headerRowDxfId="198" dataDxfId="197" headerRowBorderDxfId="195" tableBorderDxfId="196">
  <autoFilter ref="D252:D258" xr:uid="{00000000-0009-0000-0100-000024000000}"/>
  <tableColumns count="1">
    <tableColumn id="1" xr3:uid="{00000000-0010-0000-2100-000001000000}" name="Servicios" dataDxfId="194"/>
  </tableColumns>
  <tableStyleInfo name="TableStyleMedium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la39" displayName="Tabla39" ref="F252:F254" totalsRowShown="0" headerRowDxfId="193" dataDxfId="192" headerRowBorderDxfId="190" tableBorderDxfId="191">
  <autoFilter ref="F252:F254" xr:uid="{00000000-0009-0000-0100-000025000000}"/>
  <tableColumns count="1">
    <tableColumn id="1" xr3:uid="{00000000-0010-0000-2200-000001000000}" name="AuditoríaForense" dataDxfId="189"/>
  </tableColumns>
  <tableStyleInfo name="TableStyleMedium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CanalesAlternos" displayName="CanalesAlternos" ref="I252:I255" totalsRowShown="0" headerRowDxfId="188" dataDxfId="187" headerRowBorderDxfId="185" tableBorderDxfId="186">
  <autoFilter ref="I252:I255" xr:uid="{00000000-0009-0000-0100-000026000000}"/>
  <tableColumns count="1">
    <tableColumn id="1" xr3:uid="{00000000-0010-0000-2300-000001000000}" name="CanalesAlternos" dataDxfId="184"/>
  </tableColumns>
  <tableStyleInfo name="TableStyleMedium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4000000}" name="Presupuesto" displayName="Presupuesto" ref="L252:L254" totalsRowShown="0" headerRowDxfId="183" dataDxfId="182" headerRowBorderDxfId="180" tableBorderDxfId="181">
  <autoFilter ref="L252:L254" xr:uid="{00000000-0009-0000-0100-000027000000}"/>
  <tableColumns count="1">
    <tableColumn id="1" xr3:uid="{00000000-0010-0000-2400-000001000000}" name="Presupuesto" dataDxfId="179"/>
  </tableColumns>
  <tableStyleInfo name="TableStyleMedium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5000000}" name="EconómicosFinancieros" displayName="EconómicosFinancieros" ref="M252:M254" totalsRowShown="0" headerRowDxfId="178" dataDxfId="177" headerRowBorderDxfId="175" tableBorderDxfId="176">
  <autoFilter ref="M252:M254" xr:uid="{00000000-0009-0000-0100-000028000000}"/>
  <tableColumns count="1">
    <tableColumn id="1" xr3:uid="{00000000-0010-0000-2500-000001000000}" name="EconómicosFinancieros" dataDxfId="174"/>
  </tableColumns>
  <tableStyleInfo name="TableStyleMedium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6000000}" name="Contabilidad" displayName="Contabilidad" ref="O252:O257" totalsRowShown="0" headerRowDxfId="173" dataDxfId="172" headerRowBorderDxfId="170" tableBorderDxfId="171">
  <autoFilter ref="O252:O257" xr:uid="{00000000-0009-0000-0100-000029000000}"/>
  <tableColumns count="1">
    <tableColumn id="1" xr3:uid="{00000000-0010-0000-2600-000001000000}" name="Contabilidad" dataDxfId="169"/>
  </tableColumns>
  <tableStyleInfo name="TableStyleMedium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7000000}" name="CaptacionesPagaduría" displayName="CaptacionesPagaduría" ref="P252:P255" totalsRowShown="0" headerRowDxfId="168" dataDxfId="167" headerRowBorderDxfId="165" tableBorderDxfId="166">
  <autoFilter ref="P252:P255" xr:uid="{00000000-0009-0000-0100-00002A000000}"/>
  <tableColumns count="1">
    <tableColumn id="1" xr3:uid="{00000000-0010-0000-2700-000001000000}" name="CaptacionesPagaduría" dataDxfId="164"/>
  </tableColumns>
  <tableStyleInfo name="TableStyleMedium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8000000}" name="BancariosRecaudación" displayName="BancariosRecaudación" ref="Q252:Q256" totalsRowShown="0" headerRowDxfId="163" dataDxfId="162" headerRowBorderDxfId="160" tableBorderDxfId="161">
  <autoFilter ref="Q252:Q256" xr:uid="{00000000-0009-0000-0100-00002B000000}"/>
  <tableColumns count="1">
    <tableColumn id="1" xr3:uid="{00000000-0010-0000-2800-000001000000}" name="BancariosRecaudación" dataDxfId="159"/>
  </tableColumns>
  <tableStyleInfo name="TableStyleMedium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9000000}" name="Internacional" displayName="Internacional" ref="R252:R254" totalsRowShown="0" headerRowDxfId="158" dataDxfId="157" headerRowBorderDxfId="155" tableBorderDxfId="156">
  <autoFilter ref="R252:R254" xr:uid="{00000000-0009-0000-0100-00002C000000}"/>
  <tableColumns count="1">
    <tableColumn id="1" xr3:uid="{00000000-0010-0000-2900-000001000000}" name="Internacional" dataDxfId="154"/>
  </tableColumns>
  <tableStyleInfo name="TableStyleMedium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A000000}" name="CajaValores" displayName="CajaValores" ref="S252:S255" totalsRowShown="0" headerRowDxfId="153" dataDxfId="152" headerRowBorderDxfId="150" tableBorderDxfId="151">
  <autoFilter ref="S252:S255" xr:uid="{00000000-0009-0000-0100-00002D000000}"/>
  <tableColumns count="1">
    <tableColumn id="1" xr3:uid="{00000000-0010-0000-2A00-000001000000}" name="CajaValores" dataDxfId="149"/>
  </tableColumns>
  <tableStyleInfo name="TableStyleMedium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B000000}" name="ClienteReclamos" displayName="ClienteReclamos" ref="T252:T254" totalsRowShown="0" headerRowDxfId="148" dataDxfId="147" headerRowBorderDxfId="145" tableBorderDxfId="146">
  <autoFilter ref="T252:T254" xr:uid="{00000000-0009-0000-0100-00002E000000}"/>
  <tableColumns count="1">
    <tableColumn id="1" xr3:uid="{00000000-0010-0000-2B00-000001000000}" name="ClienteReclamos" dataDxfId="144"/>
  </tableColumns>
  <tableStyleInfo name="TableStyleMedium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C000000}" name="DatosAvanzada" displayName="DatosAvanzada" ref="U252:U254" totalsRowShown="0" headerRowDxfId="143" dataDxfId="142" headerRowBorderDxfId="140" tableBorderDxfId="141">
  <autoFilter ref="U252:U254" xr:uid="{00000000-0009-0000-0100-00002F000000}"/>
  <tableColumns count="1">
    <tableColumn id="1" xr3:uid="{00000000-0010-0000-2C00-000001000000}" name="DatosAvanzada" dataDxfId="139"/>
  </tableColumns>
  <tableStyleInfo name="TableStyleMedium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D000000}" name="AsuntosProcesales" displayName="AsuntosProcesales" ref="V252:V254" totalsRowShown="0" headerRowDxfId="138" dataDxfId="137" headerRowBorderDxfId="135" tableBorderDxfId="136">
  <autoFilter ref="V252:V254" xr:uid="{00000000-0009-0000-0100-000030000000}"/>
  <tableColumns count="1">
    <tableColumn id="1" xr3:uid="{00000000-0010-0000-2D00-000001000000}" name="AsuntosProcesales" dataDxfId="134"/>
  </tableColumns>
  <tableStyleInfo name="TableStyleMedium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E000000}" name="BancaInstitucional" displayName="BancaInstitucional" ref="AC252:AC254" totalsRowShown="0" headerRowDxfId="133" dataDxfId="132" headerRowBorderDxfId="130" tableBorderDxfId="131">
  <autoFilter ref="AC252:AC254" xr:uid="{00000000-0009-0000-0100-000031000000}"/>
  <tableColumns count="1">
    <tableColumn id="1" xr3:uid="{00000000-0010-0000-2E00-000001000000}" name="BancaInstitucional" dataDxfId="129"/>
  </tableColumns>
  <tableStyleInfo name="TableStyleMedium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F000000}" name="BancaPersonal" displayName="BancaPersonal" ref="AD252:AD257" totalsRowShown="0" headerRowDxfId="128" dataDxfId="127" headerRowBorderDxfId="125" tableBorderDxfId="126">
  <autoFilter ref="AD252:AD257" xr:uid="{00000000-0009-0000-0100-000032000000}"/>
  <tableColumns count="1">
    <tableColumn id="1" xr3:uid="{00000000-0010-0000-2F00-000001000000}" name="BancaPersonal" dataDxfId="124"/>
  </tableColumns>
  <tableStyleInfo name="TableStyleMedium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0000000}" name="InclusiónFinanciera" displayName="InclusiónFinanciera" ref="AE252:AE254" totalsRowShown="0" headerRowDxfId="123" dataDxfId="122" headerRowBorderDxfId="120" tableBorderDxfId="121">
  <autoFilter ref="AE252:AE254" xr:uid="{00000000-0009-0000-0100-000033000000}"/>
  <tableColumns count="1">
    <tableColumn id="1" xr3:uid="{00000000-0010-0000-3000-000001000000}" name="InclusiónFinanciera" dataDxfId="119"/>
  </tableColumns>
  <tableStyleInfo name="TableStyleMedium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1000000}" name="AdministraciónPersonal" displayName="AdministraciónPersonal" ref="AG252:AG255" totalsRowShown="0" headerRowDxfId="118" dataDxfId="117" headerRowBorderDxfId="115" tableBorderDxfId="116">
  <autoFilter ref="AG252:AG255" xr:uid="{00000000-0009-0000-0100-000034000000}"/>
  <tableColumns count="1">
    <tableColumn id="1" xr3:uid="{00000000-0010-0000-3100-000001000000}" name="AdministraciónPersonal" dataDxfId="114"/>
  </tableColumns>
  <tableStyleInfo name="TableStyleMedium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2000000}" name="DesarrolloTalento" displayName="DesarrolloTalento" ref="AH252:AH256" totalsRowShown="0" headerRowDxfId="113" dataDxfId="112" headerRowBorderDxfId="110" tableBorderDxfId="111">
  <autoFilter ref="AH252:AH256" xr:uid="{00000000-0009-0000-0100-000035000000}"/>
  <tableColumns count="1">
    <tableColumn id="1" xr3:uid="{00000000-0010-0000-3200-000001000000}" name="DesarrolloTalento" dataDxfId="109"/>
  </tableColumns>
  <tableStyleInfo name="TableStyleMedium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3000000}" name="Compensaciones" displayName="Compensaciones" ref="AI252:AI254" totalsRowShown="0" headerRowDxfId="108" dataDxfId="107" headerRowBorderDxfId="105" tableBorderDxfId="106">
  <autoFilter ref="AI252:AI254" xr:uid="{00000000-0009-0000-0100-000036000000}"/>
  <tableColumns count="1">
    <tableColumn id="1" xr3:uid="{00000000-0010-0000-3300-000001000000}" name="Compensaciones" dataDxfId="104"/>
  </tableColumns>
  <tableStyleInfo name="TableStyleMedium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4000000}" name="PrevenciónFraude" displayName="PrevenciónFraude" ref="AL252:AL254" totalsRowShown="0" headerRowDxfId="103" dataDxfId="102" headerRowBorderDxfId="100" tableBorderDxfId="101">
  <autoFilter ref="AL252:AL254" xr:uid="{00000000-0009-0000-0100-000037000000}"/>
  <tableColumns count="1">
    <tableColumn id="1" xr3:uid="{00000000-0010-0000-3400-000001000000}" name="PrevenciónFraude" dataDxfId="99"/>
  </tableColumns>
  <tableStyleInfo name="TableStyleMedium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5000000}" name="OperacionesTecnología" displayName="OperacionesTecnología" ref="AM252:AM255" totalsRowShown="0" headerRowDxfId="98" dataDxfId="97" headerRowBorderDxfId="95" tableBorderDxfId="96">
  <autoFilter ref="AM252:AM255" xr:uid="{00000000-0009-0000-0100-000038000000}"/>
  <tableColumns count="1">
    <tableColumn id="1" xr3:uid="{00000000-0010-0000-3500-000001000000}" name="OperacionesTecnología" dataDxfId="94"/>
  </tableColumns>
  <tableStyleInfo name="TableStyleMedium1"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6000000}" name="CrediticiosFinancieros" displayName="CrediticiosFinancieros" ref="AN252:AN255" totalsRowShown="0" headerRowDxfId="93" dataDxfId="92" headerRowBorderDxfId="90" tableBorderDxfId="91">
  <autoFilter ref="AN252:AN255" xr:uid="{00000000-0009-0000-0100-000039000000}"/>
  <tableColumns count="1">
    <tableColumn id="1" xr3:uid="{00000000-0010-0000-3600-000001000000}" name="CrediticiosFinancieros" dataDxfId="89"/>
  </tableColumns>
  <tableStyleInfo name="TableStyleMedium1"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37000000}" name="CobranzasRecuperaciones" displayName="CobranzasRecuperaciones" ref="AO252:AO255" totalsRowShown="0" headerRowDxfId="88" dataDxfId="87" headerRowBorderDxfId="85" tableBorderDxfId="86">
  <autoFilter ref="AO252:AO255" xr:uid="{00000000-0009-0000-0100-00003A000000}"/>
  <tableColumns count="1">
    <tableColumn id="1" xr3:uid="{00000000-0010-0000-3700-000001000000}" name="CobranzasRecuperaciones" dataDxfId="84"/>
  </tableColumns>
  <tableStyleInfo name="TableStyleMedium1"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8000000}" name="SeguridadInformática" displayName="SeguridadInformática" ref="AP252:AP254" totalsRowShown="0" headerRowDxfId="83" dataDxfId="82" headerRowBorderDxfId="80" tableBorderDxfId="81">
  <autoFilter ref="AP252:AP254" xr:uid="{00000000-0009-0000-0100-00003B000000}"/>
  <tableColumns count="1">
    <tableColumn id="1" xr3:uid="{00000000-0010-0000-3800-000001000000}" name="SeguridadInformática" dataDxfId="79"/>
  </tableColumns>
  <tableStyleInfo name="TableStyleMedium1"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9000000}" name="ProyectosProcesosTIC" displayName="ProyectosProcesosTIC" ref="AQ252:AQ254" totalsRowShown="0" headerRowDxfId="78" dataDxfId="77" headerRowBorderDxfId="75" tableBorderDxfId="76">
  <autoFilter ref="AQ252:AQ254" xr:uid="{00000000-0009-0000-0100-00003C000000}"/>
  <tableColumns count="1">
    <tableColumn id="1" xr3:uid="{00000000-0010-0000-3900-000001000000}" name="ProyectosProcesosTIC" dataDxfId="74"/>
  </tableColumns>
  <tableStyleInfo name="TableStyleMedium1"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A000000}" name="ArquitecturaTIC" displayName="ArquitecturaTIC" ref="AR252:AR254" totalsRowShown="0" headerRowDxfId="73" dataDxfId="72" headerRowBorderDxfId="70" tableBorderDxfId="71">
  <autoFilter ref="AR252:AR254" xr:uid="{00000000-0009-0000-0100-00003D000000}"/>
  <tableColumns count="1">
    <tableColumn id="1" xr3:uid="{00000000-0010-0000-3A00-000001000000}" name="ArquitecturaTIC" dataDxfId="69"/>
  </tableColumns>
  <tableStyleInfo name="TableStyleMedium1"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B000000}" name="ConstrucciónAplicaciones" displayName="ConstrucciónAplicaciones" ref="AS252:AS256" totalsRowShown="0" headerRowDxfId="68" dataDxfId="67" headerRowBorderDxfId="65" tableBorderDxfId="66">
  <autoFilter ref="AS252:AS256" xr:uid="{00000000-0009-0000-0100-00003E000000}"/>
  <tableColumns count="1">
    <tableColumn id="1" xr3:uid="{00000000-0010-0000-3B00-000001000000}" name="ConstrucciónAplicaciones" dataDxfId="64"/>
  </tableColumns>
  <tableStyleInfo name="TableStyleMedium1"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C000000}" name="Producción" displayName="Producción" ref="AT252:AT255" totalsRowShown="0" headerRowDxfId="63" dataDxfId="62" headerRowBorderDxfId="60" tableBorderDxfId="61">
  <autoFilter ref="AT252:AT255" xr:uid="{00000000-0009-0000-0100-00003F000000}"/>
  <tableColumns count="1">
    <tableColumn id="1" xr3:uid="{00000000-0010-0000-3C00-000001000000}" name="Producción" dataDxfId="59"/>
  </tableColumns>
  <tableStyleInfo name="TableStyleMedium1"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D000000}" name="TI" displayName="TI" ref="P239:P244" totalsRowShown="0" headerRowDxfId="58" dataDxfId="57" headerRowBorderDxfId="56">
  <autoFilter ref="P239:P244" xr:uid="{00000000-0009-0000-0100-000040000000}"/>
  <tableColumns count="1">
    <tableColumn id="1" xr3:uid="{00000000-0010-0000-3D00-000001000000}" name="TI" dataDxfId="55"/>
  </tableColumns>
  <tableStyleInfo name="TableStyleMedium1"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E000000}" name="SubgList" displayName="SubgList" ref="A90:B144" totalsRowShown="0" headerRowDxfId="54" headerRowBorderDxfId="52" tableBorderDxfId="53" totalsRowBorderDxfId="51">
  <autoFilter ref="A90:B144" xr:uid="{00000000-0009-0000-0100-000043000000}"/>
  <tableColumns count="2">
    <tableColumn id="1" xr3:uid="{00000000-0010-0000-3E00-000001000000}" name="Subgerencia" dataDxfId="50"/>
    <tableColumn id="2" xr3:uid="{00000000-0010-0000-3E00-000002000000}" name="Nombre corto" dataDxfId="4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F000000}" name="ConductaMercado" displayName="ConductaMercado" ref="AU252:AU253" totalsRowShown="0" headerRowDxfId="48" dataDxfId="47" headerRowBorderDxfId="45" tableBorderDxfId="46">
  <autoFilter ref="AU252:AU253" xr:uid="{00000000-0009-0000-0100-000044000000}"/>
  <tableColumns count="1">
    <tableColumn id="1" xr3:uid="{00000000-0010-0000-3F00-000001000000}" name="ConductaMercado" dataDxfId="44"/>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0000000}" name="Table69" displayName="Table69" ref="AV252:AV253" totalsRowShown="0" headerRowDxfId="43" dataDxfId="42" headerRowBorderDxfId="40" tableBorderDxfId="41">
  <autoFilter ref="AV252:AV253" xr:uid="{00000000-0009-0000-0100-000045000000}"/>
  <tableColumns count="1">
    <tableColumn id="1" xr3:uid="{00000000-0010-0000-4000-000001000000}" name="CumplimientoNormativoIntegridad" dataDxfId="39"/>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1000000}" name="OrganoControl" displayName="OrganoControl" ref="R239:R240" totalsRowShown="0" headerRowDxfId="38" dataDxfId="37" headerRowBorderDxfId="36">
  <autoFilter ref="R239:R240" xr:uid="{00000000-0009-0000-0100-000048000000}"/>
  <tableColumns count="1">
    <tableColumn id="1" xr3:uid="{00000000-0010-0000-4100-000001000000}" name="Órgano de Control Institucional" dataDxfId="35"/>
  </tableColumns>
  <tableStyleInfo name="TableStyleMedium1"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42000000}" name="Tabla74" displayName="Tabla74" ref="A274:A294" totalsRowShown="0" headerRowDxfId="34" dataDxfId="33" headerRowBorderDxfId="31" tableBorderDxfId="32">
  <autoFilter ref="A274:A294" xr:uid="{00000000-0009-0000-0100-00004A000000}"/>
  <tableColumns count="1">
    <tableColumn id="1" xr3:uid="{00000000-0010-0000-4200-000001000000}" name="Entidad reguladora / Organo de Control" dataDxfId="30"/>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43000000}" name="Tabla75" displayName="Tabla75" ref="A299:B317" totalsRowShown="0">
  <autoFilter ref="A299:B317" xr:uid="{00000000-0009-0000-0100-00004B000000}"/>
  <tableColumns count="2">
    <tableColumn id="1" xr3:uid="{00000000-0010-0000-4300-000001000000}" name="Microcanal"/>
    <tableColumn id="2" xr3:uid="{00000000-0010-0000-4300-000002000000}" name="Macrocanal2"/>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44000000}" name="Tabla76" displayName="Tabla76" ref="A324:C441" totalsRowShown="0">
  <autoFilter ref="A324:C441" xr:uid="{00000000-0009-0000-0100-00004C000000}"/>
  <tableColumns count="3">
    <tableColumn id="1" xr3:uid="{00000000-0010-0000-4400-000001000000}" name="Aplicativos"/>
    <tableColumn id="2" xr3:uid="{00000000-0010-0000-4400-000002000000}" name="Micro"/>
    <tableColumn id="3" xr3:uid="{00000000-0010-0000-4400-000003000000}" name="Macro" dataDxfId="29">
      <calculatedColumnFormula>VLOOKUP(Tabla76[[#This Row],[Micro]],Tabla75[],2,FALSE)</calculatedColumnFormula>
    </tableColumn>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45000000}" name="Tabla7" displayName="Tabla7" ref="G68:I86" totalsRowShown="0" tableBorderDxfId="28">
  <autoFilter ref="G68:I86" xr:uid="{00000000-0009-0000-0100-000007000000}"/>
  <tableColumns count="3">
    <tableColumn id="1" xr3:uid="{00000000-0010-0000-4500-000001000000}" name="Nombre Gerencia" dataDxfId="27"/>
    <tableColumn id="2" xr3:uid="{00000000-0010-0000-4500-000002000000}" name="Titular" dataDxfId="26"/>
    <tableColumn id="3" xr3:uid="{00000000-0010-0000-4500-000003000000}" name="Gestor TI" dataDxfId="25"/>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6000000}" name="Gestores" displayName="Gestores" ref="A224:A236" totalsRowShown="0" headerRowDxfId="24" headerRowBorderDxfId="22" tableBorderDxfId="23" totalsRowBorderDxfId="21">
  <autoFilter ref="A224:A236" xr:uid="{00000000-0009-0000-0100-00004E000000}"/>
  <tableColumns count="1">
    <tableColumn id="1" xr3:uid="{00000000-0010-0000-4600-000001000000}" name="Gestores" dataDxfId="20"/>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47000000}" name="Tabla1" displayName="Tabla1" ref="A446:E524" totalsRowShown="0" headerRowDxfId="19" headerRowBorderDxfId="17" tableBorderDxfId="18" totalsRowBorderDxfId="16">
  <autoFilter ref="A446:E524" xr:uid="{00000000-0009-0000-0100-000001000000}"/>
  <tableColumns count="5">
    <tableColumn id="1" xr3:uid="{00000000-0010-0000-4700-000001000000}" name="Demanda Táctica" dataDxfId="15"/>
    <tableColumn id="2" xr3:uid="{00000000-0010-0000-4700-000002000000}" name="Descripción" dataDxfId="14"/>
    <tableColumn id="3" xr3:uid="{00000000-0010-0000-4700-000003000000}" name="Tipo de Dato" dataDxfId="13"/>
    <tableColumn id="4" xr3:uid="{00000000-0010-0000-4700-000004000000}" name="Columna en Tabla" dataDxfId="12">
      <calculatedColumnFormula>ADDRESS(5,MATCH(Tabla1[[#This Row],[Demanda Táctica]],#REF!, 0),4)</calculatedColumnFormula>
    </tableColumn>
    <tableColumn id="5" xr3:uid="{F8B7C49E-57F2-4AE2-BAF9-3C3C32A5C61A}" name="Información obtenida" dataDxfId="11"/>
  </tableColumns>
  <tableStyleInfo name="TableStyleLight8"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7E3D47-7AF6-4E78-8692-ED6BF6033E7B}" name="Tabla2" displayName="Tabla2" ref="A532:D543" totalsRowShown="0" headerRowDxfId="10" tableBorderDxfId="9">
  <autoFilter ref="A532:D543" xr:uid="{397E3D47-7AF6-4E78-8692-ED6BF6033E7B}"/>
  <tableColumns count="4">
    <tableColumn id="1" xr3:uid="{BEC7F8C9-F122-44A8-BED0-855B345B32FC}" name="Estado TI" dataDxfId="8"/>
    <tableColumn id="2" xr3:uid="{3BF5EEF8-D0BA-460E-BF53-51458F5F72A3}" name="Porcentaje de Avance" dataDxfId="7"/>
    <tableColumn id="3" xr3:uid="{8BEE0073-FF80-4FF3-98CA-BB3A522629CD}" name="Descripción" dataDxfId="6"/>
    <tableColumn id="4" xr3:uid="{E7B72DE2-1FD5-4A33-8933-27425C23A68F}" name="MacroEstado" dataDxfId="5"/>
  </tableColumns>
  <tableStyleInfo name="Estilo de tabla 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7E7D01D-68BA-4EDE-AC0D-3B2644B7B33D}" name="TablaEquivalencia" displayName="TablaEquivalencia" ref="A618:E637" totalsRowShown="0" tableBorderDxfId="4">
  <autoFilter ref="A618:E637" xr:uid="{27E7D01D-68BA-4EDE-AC0D-3B2644B7B33D}"/>
  <tableColumns count="5">
    <tableColumn id="1" xr3:uid="{FEF7F062-DEF5-4BD7-BEA9-5F651D5C7A1E}" name="Estado CQ"/>
    <tableColumn id="2" xr3:uid="{4DA6CB41-4AA5-4473-B7AA-FD26B3E11776}" name="Actividad" dataDxfId="3"/>
    <tableColumn id="3" xr3:uid="{E1266E8A-0C76-4985-86B5-912ECFF3C1F2}" name="Estado TI" dataDxfId="2"/>
    <tableColumn id="4" xr3:uid="{819A9712-8259-45D7-91A8-66E7671B3991}" name="Porcentaje de avance" dataDxfId="1"/>
    <tableColumn id="5" xr3:uid="{0F987CA3-3AA5-43DB-A33A-843A1B830F88}" name="ESTADOS CICLO DE VIDA" dataDxfId="0">
      <calculatedColumnFormula>VLOOKUP(TablaEquivalencia[[#This Row],[Estado TI]],$A$605:$C$613,3,FALSE)</calculatedColumnFormula>
    </tableColumn>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61" dT="2026-04-07T14:11:52.46" personId="{DBFE7418-96D3-4B51-8E8D-BE014FFC6DAE}" id="{3A7293C4-6C49-4935-99E0-F9063513561E}">
    <text>SUNAT indicó el inicio de pruebas conjuntas para el 17/12/2025; no obstante, a la fecha no se ha recibido comunicación formal que confirme dicha coordinación, por lo que no es posible dar inicio al proceso de pruebas. </text>
  </threadedComment>
</ThreadedComments>
</file>

<file path=xl/worksheets/_rels/sheet1.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microsoft.com/office/2019/04/relationships/namedSheetView" Target="../namedSheetViews/namedSheetView2.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9/04/relationships/namedSheetView" Target="../namedSheetViews/namedSheetView3.xml"/><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13.xml.rels><?xml version="1.0" encoding="UTF-8" standalone="yes"?>
<Relationships xmlns="http://schemas.openxmlformats.org/package/2006/relationships"><Relationship Id="rId8" Type="http://schemas.openxmlformats.org/officeDocument/2006/relationships/pivotTable" Target="../pivotTables/pivotTable13.xml"/><Relationship Id="rId13" Type="http://schemas.openxmlformats.org/officeDocument/2006/relationships/pivotTable" Target="../pivotTables/pivotTable18.xml"/><Relationship Id="rId18" Type="http://schemas.openxmlformats.org/officeDocument/2006/relationships/pivotTable" Target="../pivotTables/pivotTable23.xml"/><Relationship Id="rId3" Type="http://schemas.openxmlformats.org/officeDocument/2006/relationships/pivotTable" Target="../pivotTables/pivotTable8.xml"/><Relationship Id="rId7" Type="http://schemas.openxmlformats.org/officeDocument/2006/relationships/pivotTable" Target="../pivotTables/pivotTable12.xml"/><Relationship Id="rId12" Type="http://schemas.openxmlformats.org/officeDocument/2006/relationships/pivotTable" Target="../pivotTables/pivotTable17.xml"/><Relationship Id="rId17" Type="http://schemas.openxmlformats.org/officeDocument/2006/relationships/pivotTable" Target="../pivotTables/pivotTable22.xml"/><Relationship Id="rId2" Type="http://schemas.openxmlformats.org/officeDocument/2006/relationships/pivotTable" Target="../pivotTables/pivotTable7.xml"/><Relationship Id="rId16" Type="http://schemas.openxmlformats.org/officeDocument/2006/relationships/pivotTable" Target="../pivotTables/pivotTable21.xml"/><Relationship Id="rId20" Type="http://schemas.openxmlformats.org/officeDocument/2006/relationships/printerSettings" Target="../printerSettings/printerSettings3.bin"/><Relationship Id="rId1" Type="http://schemas.openxmlformats.org/officeDocument/2006/relationships/pivotTable" Target="../pivotTables/pivotTable6.xml"/><Relationship Id="rId6" Type="http://schemas.openxmlformats.org/officeDocument/2006/relationships/pivotTable" Target="../pivotTables/pivotTable11.xml"/><Relationship Id="rId11" Type="http://schemas.openxmlformats.org/officeDocument/2006/relationships/pivotTable" Target="../pivotTables/pivotTable16.xml"/><Relationship Id="rId5" Type="http://schemas.openxmlformats.org/officeDocument/2006/relationships/pivotTable" Target="../pivotTables/pivotTable10.xml"/><Relationship Id="rId15" Type="http://schemas.openxmlformats.org/officeDocument/2006/relationships/pivotTable" Target="../pivotTables/pivotTable20.xml"/><Relationship Id="rId10" Type="http://schemas.openxmlformats.org/officeDocument/2006/relationships/pivotTable" Target="../pivotTables/pivotTable15.xml"/><Relationship Id="rId19" Type="http://schemas.openxmlformats.org/officeDocument/2006/relationships/pivotTable" Target="../pivotTables/pivotTable24.xml"/><Relationship Id="rId4" Type="http://schemas.openxmlformats.org/officeDocument/2006/relationships/pivotTable" Target="../pivotTables/pivotTable9.xml"/><Relationship Id="rId9" Type="http://schemas.openxmlformats.org/officeDocument/2006/relationships/pivotTable" Target="../pivotTables/pivotTable14.xml"/><Relationship Id="rId14" Type="http://schemas.openxmlformats.org/officeDocument/2006/relationships/pivotTable" Target="../pivotTables/pivotTable19.xml"/></Relationships>
</file>

<file path=xl/worksheets/_rels/sheet14.xml.rels><?xml version="1.0" encoding="UTF-8" standalone="yes"?>
<Relationships xmlns="http://schemas.openxmlformats.org/package/2006/relationships"><Relationship Id="rId8" Type="http://schemas.openxmlformats.org/officeDocument/2006/relationships/pivotTable" Target="../pivotTables/pivotTable32.xml"/><Relationship Id="rId3" Type="http://schemas.openxmlformats.org/officeDocument/2006/relationships/pivotTable" Target="../pivotTables/pivotTable27.xml"/><Relationship Id="rId7" Type="http://schemas.openxmlformats.org/officeDocument/2006/relationships/pivotTable" Target="../pivotTables/pivotTable31.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ivotTable" Target="../pivotTables/pivotTable30.xml"/><Relationship Id="rId5" Type="http://schemas.openxmlformats.org/officeDocument/2006/relationships/pivotTable" Target="../pivotTables/pivotTable29.xml"/><Relationship Id="rId10" Type="http://schemas.openxmlformats.org/officeDocument/2006/relationships/pivotTable" Target="../pivotTables/pivotTable34.xml"/><Relationship Id="rId4" Type="http://schemas.openxmlformats.org/officeDocument/2006/relationships/pivotTable" Target="../pivotTables/pivotTable28.xml"/><Relationship Id="rId9" Type="http://schemas.openxmlformats.org/officeDocument/2006/relationships/pivotTable" Target="../pivotTables/pivotTable33.xml"/></Relationships>
</file>

<file path=xl/worksheets/_rels/sheet15.xml.rels><?xml version="1.0" encoding="UTF-8" standalone="yes"?>
<Relationships xmlns="http://schemas.openxmlformats.org/package/2006/relationships"><Relationship Id="rId13" Type="http://schemas.openxmlformats.org/officeDocument/2006/relationships/table" Target="../tables/table21.xml"/><Relationship Id="rId18" Type="http://schemas.openxmlformats.org/officeDocument/2006/relationships/table" Target="../tables/table26.xml"/><Relationship Id="rId26" Type="http://schemas.openxmlformats.org/officeDocument/2006/relationships/table" Target="../tables/table34.xml"/><Relationship Id="rId39" Type="http://schemas.openxmlformats.org/officeDocument/2006/relationships/table" Target="../tables/table47.xml"/><Relationship Id="rId21" Type="http://schemas.openxmlformats.org/officeDocument/2006/relationships/table" Target="../tables/table29.xml"/><Relationship Id="rId34" Type="http://schemas.openxmlformats.org/officeDocument/2006/relationships/table" Target="../tables/table42.xml"/><Relationship Id="rId42" Type="http://schemas.openxmlformats.org/officeDocument/2006/relationships/table" Target="../tables/table50.xml"/><Relationship Id="rId47" Type="http://schemas.openxmlformats.org/officeDocument/2006/relationships/table" Target="../tables/table55.xml"/><Relationship Id="rId50" Type="http://schemas.openxmlformats.org/officeDocument/2006/relationships/table" Target="../tables/table58.xml"/><Relationship Id="rId55" Type="http://schemas.openxmlformats.org/officeDocument/2006/relationships/table" Target="../tables/table63.xml"/><Relationship Id="rId63" Type="http://schemas.openxmlformats.org/officeDocument/2006/relationships/table" Target="../tables/table71.xml"/><Relationship Id="rId7" Type="http://schemas.openxmlformats.org/officeDocument/2006/relationships/table" Target="../tables/table15.xml"/><Relationship Id="rId2" Type="http://schemas.openxmlformats.org/officeDocument/2006/relationships/table" Target="../tables/table10.xml"/><Relationship Id="rId16" Type="http://schemas.openxmlformats.org/officeDocument/2006/relationships/table" Target="../tables/table24.xml"/><Relationship Id="rId29" Type="http://schemas.openxmlformats.org/officeDocument/2006/relationships/table" Target="../tables/table37.xml"/><Relationship Id="rId11" Type="http://schemas.openxmlformats.org/officeDocument/2006/relationships/table" Target="../tables/table19.xml"/><Relationship Id="rId24" Type="http://schemas.openxmlformats.org/officeDocument/2006/relationships/table" Target="../tables/table32.xml"/><Relationship Id="rId32" Type="http://schemas.openxmlformats.org/officeDocument/2006/relationships/table" Target="../tables/table40.xml"/><Relationship Id="rId37" Type="http://schemas.openxmlformats.org/officeDocument/2006/relationships/table" Target="../tables/table45.xml"/><Relationship Id="rId40" Type="http://schemas.openxmlformats.org/officeDocument/2006/relationships/table" Target="../tables/table48.xml"/><Relationship Id="rId45" Type="http://schemas.openxmlformats.org/officeDocument/2006/relationships/table" Target="../tables/table53.xml"/><Relationship Id="rId53" Type="http://schemas.openxmlformats.org/officeDocument/2006/relationships/table" Target="../tables/table61.xml"/><Relationship Id="rId58" Type="http://schemas.openxmlformats.org/officeDocument/2006/relationships/table" Target="../tables/table66.xml"/><Relationship Id="rId5" Type="http://schemas.openxmlformats.org/officeDocument/2006/relationships/table" Target="../tables/table13.xml"/><Relationship Id="rId61" Type="http://schemas.openxmlformats.org/officeDocument/2006/relationships/table" Target="../tables/table69.xml"/><Relationship Id="rId19" Type="http://schemas.openxmlformats.org/officeDocument/2006/relationships/table" Target="../tables/table27.xml"/><Relationship Id="rId14" Type="http://schemas.openxmlformats.org/officeDocument/2006/relationships/table" Target="../tables/table22.xml"/><Relationship Id="rId22" Type="http://schemas.openxmlformats.org/officeDocument/2006/relationships/table" Target="../tables/table30.xml"/><Relationship Id="rId27" Type="http://schemas.openxmlformats.org/officeDocument/2006/relationships/table" Target="../tables/table35.xml"/><Relationship Id="rId30" Type="http://schemas.openxmlformats.org/officeDocument/2006/relationships/table" Target="../tables/table38.xml"/><Relationship Id="rId35" Type="http://schemas.openxmlformats.org/officeDocument/2006/relationships/table" Target="../tables/table43.xml"/><Relationship Id="rId43" Type="http://schemas.openxmlformats.org/officeDocument/2006/relationships/table" Target="../tables/table51.xml"/><Relationship Id="rId48" Type="http://schemas.openxmlformats.org/officeDocument/2006/relationships/table" Target="../tables/table56.xml"/><Relationship Id="rId56" Type="http://schemas.openxmlformats.org/officeDocument/2006/relationships/table" Target="../tables/table64.xml"/><Relationship Id="rId64" Type="http://schemas.openxmlformats.org/officeDocument/2006/relationships/table" Target="../tables/table72.xml"/><Relationship Id="rId8" Type="http://schemas.openxmlformats.org/officeDocument/2006/relationships/table" Target="../tables/table16.xml"/><Relationship Id="rId51" Type="http://schemas.openxmlformats.org/officeDocument/2006/relationships/table" Target="../tables/table59.xml"/><Relationship Id="rId3" Type="http://schemas.openxmlformats.org/officeDocument/2006/relationships/table" Target="../tables/table11.xml"/><Relationship Id="rId12" Type="http://schemas.openxmlformats.org/officeDocument/2006/relationships/table" Target="../tables/table20.xml"/><Relationship Id="rId17" Type="http://schemas.openxmlformats.org/officeDocument/2006/relationships/table" Target="../tables/table25.xml"/><Relationship Id="rId25" Type="http://schemas.openxmlformats.org/officeDocument/2006/relationships/table" Target="../tables/table33.xml"/><Relationship Id="rId33" Type="http://schemas.openxmlformats.org/officeDocument/2006/relationships/table" Target="../tables/table41.xml"/><Relationship Id="rId38" Type="http://schemas.openxmlformats.org/officeDocument/2006/relationships/table" Target="../tables/table46.xml"/><Relationship Id="rId46" Type="http://schemas.openxmlformats.org/officeDocument/2006/relationships/table" Target="../tables/table54.xml"/><Relationship Id="rId59" Type="http://schemas.openxmlformats.org/officeDocument/2006/relationships/table" Target="../tables/table67.xml"/><Relationship Id="rId20" Type="http://schemas.openxmlformats.org/officeDocument/2006/relationships/table" Target="../tables/table28.xml"/><Relationship Id="rId41" Type="http://schemas.openxmlformats.org/officeDocument/2006/relationships/table" Target="../tables/table49.xml"/><Relationship Id="rId54" Type="http://schemas.openxmlformats.org/officeDocument/2006/relationships/table" Target="../tables/table62.xml"/><Relationship Id="rId62" Type="http://schemas.openxmlformats.org/officeDocument/2006/relationships/table" Target="../tables/table70.xml"/><Relationship Id="rId1" Type="http://schemas.openxmlformats.org/officeDocument/2006/relationships/printerSettings" Target="../printerSettings/printerSettings4.bin"/><Relationship Id="rId6" Type="http://schemas.openxmlformats.org/officeDocument/2006/relationships/table" Target="../tables/table14.xml"/><Relationship Id="rId15" Type="http://schemas.openxmlformats.org/officeDocument/2006/relationships/table" Target="../tables/table23.xml"/><Relationship Id="rId23" Type="http://schemas.openxmlformats.org/officeDocument/2006/relationships/table" Target="../tables/table31.xml"/><Relationship Id="rId28" Type="http://schemas.openxmlformats.org/officeDocument/2006/relationships/table" Target="../tables/table36.xml"/><Relationship Id="rId36" Type="http://schemas.openxmlformats.org/officeDocument/2006/relationships/table" Target="../tables/table44.xml"/><Relationship Id="rId49" Type="http://schemas.openxmlformats.org/officeDocument/2006/relationships/table" Target="../tables/table57.xml"/><Relationship Id="rId57" Type="http://schemas.openxmlformats.org/officeDocument/2006/relationships/table" Target="../tables/table65.xml"/><Relationship Id="rId10" Type="http://schemas.openxmlformats.org/officeDocument/2006/relationships/table" Target="../tables/table18.xml"/><Relationship Id="rId31" Type="http://schemas.openxmlformats.org/officeDocument/2006/relationships/table" Target="../tables/table39.xml"/><Relationship Id="rId44" Type="http://schemas.openxmlformats.org/officeDocument/2006/relationships/table" Target="../tables/table52.xml"/><Relationship Id="rId52" Type="http://schemas.openxmlformats.org/officeDocument/2006/relationships/table" Target="../tables/table60.xml"/><Relationship Id="rId60" Type="http://schemas.openxmlformats.org/officeDocument/2006/relationships/table" Target="../tables/table68.xml"/><Relationship Id="rId4" Type="http://schemas.openxmlformats.org/officeDocument/2006/relationships/table" Target="../tables/table12.xml"/><Relationship Id="rId9"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14AB7-4A6C-4280-8BC0-47F1BFA789D4}">
  <sheetPr codeName="Hoja2"/>
  <dimension ref="A1:V155"/>
  <sheetViews>
    <sheetView workbookViewId="0">
      <pane xSplit="3" ySplit="5" topLeftCell="M34" activePane="bottomRight" state="frozen"/>
      <selection pane="bottomRight" activeCell="Q34" sqref="Q34"/>
      <selection pane="bottomLeft" activeCell="A6" sqref="A6"/>
      <selection pane="topRight" activeCell="D1" sqref="D1"/>
    </sheetView>
  </sheetViews>
  <sheetFormatPr defaultColWidth="11.42578125" defaultRowHeight="15"/>
  <cols>
    <col min="1" max="1" width="13.42578125" bestFit="1" customWidth="1"/>
    <col min="2" max="2" width="17.140625" customWidth="1"/>
    <col min="3" max="3" width="37.85546875" customWidth="1"/>
    <col min="4" max="4" width="23.28515625" customWidth="1"/>
    <col min="5" max="5" width="18.85546875" bestFit="1" customWidth="1"/>
    <col min="6" max="6" width="19.5703125" customWidth="1"/>
    <col min="7" max="7" width="9.5703125" bestFit="1" customWidth="1"/>
    <col min="8" max="8" width="12.5703125" bestFit="1" customWidth="1"/>
    <col min="9" max="9" width="17.5703125" customWidth="1"/>
    <col min="10" max="11" width="15.5703125" customWidth="1"/>
    <col min="12" max="13" width="15.85546875" customWidth="1"/>
    <col min="14" max="14" width="13.42578125" customWidth="1"/>
    <col min="15" max="15" width="19.42578125" customWidth="1"/>
    <col min="16" max="16" width="13.42578125" customWidth="1"/>
    <col min="17" max="17" width="18.85546875" customWidth="1"/>
    <col min="18" max="18" width="17.140625" customWidth="1"/>
    <col min="19" max="19" width="15.5703125" customWidth="1"/>
    <col min="20" max="20" width="16" hidden="1" customWidth="1"/>
    <col min="21" max="21" width="15.5703125" hidden="1" customWidth="1"/>
    <col min="22" max="22" width="26.140625" hidden="1" customWidth="1"/>
    <col min="23" max="23" width="34.85546875" bestFit="1" customWidth="1"/>
    <col min="24" max="24" width="33" bestFit="1" customWidth="1"/>
    <col min="25" max="25" width="12.5703125" bestFit="1" customWidth="1"/>
    <col min="26" max="26" width="18.85546875" bestFit="1" customWidth="1"/>
    <col min="27" max="27" width="22.85546875" bestFit="1" customWidth="1"/>
    <col min="28" max="28" width="33.140625" bestFit="1" customWidth="1"/>
    <col min="29" max="29" width="6.140625" bestFit="1" customWidth="1"/>
    <col min="30" max="31" width="12" bestFit="1" customWidth="1"/>
    <col min="32" max="32" width="11.140625" bestFit="1" customWidth="1"/>
    <col min="33" max="33" width="10.28515625" bestFit="1" customWidth="1"/>
    <col min="34" max="34" width="25" bestFit="1" customWidth="1"/>
    <col min="35" max="35" width="14.5703125" bestFit="1" customWidth="1"/>
    <col min="36" max="36" width="38.42578125" bestFit="1" customWidth="1"/>
  </cols>
  <sheetData>
    <row r="1" spans="1:22" ht="20.25">
      <c r="A1" s="259" t="s">
        <v>0</v>
      </c>
      <c r="B1" s="259"/>
      <c r="C1" s="258">
        <f>COUNTA(_07__CRONOGRAMA_2026[ID Historico])</f>
        <v>147</v>
      </c>
    </row>
    <row r="2" spans="1:22" ht="20.25">
      <c r="A2" s="581" t="s">
        <v>1</v>
      </c>
      <c r="B2" s="581"/>
      <c r="C2" s="581"/>
      <c r="D2" s="260"/>
      <c r="E2" s="260"/>
    </row>
    <row r="3" spans="1:22" ht="20.25">
      <c r="A3" s="581"/>
      <c r="B3" s="581"/>
      <c r="C3" s="581"/>
      <c r="D3" s="260"/>
      <c r="E3" s="260"/>
    </row>
    <row r="5" spans="1:22" ht="47.25" customHeight="1">
      <c r="A5" s="261" t="s">
        <v>2</v>
      </c>
      <c r="B5" s="261" t="s">
        <v>3</v>
      </c>
      <c r="C5" s="261" t="s">
        <v>4</v>
      </c>
      <c r="D5" s="261" t="s">
        <v>5</v>
      </c>
      <c r="E5" s="261" t="s">
        <v>6</v>
      </c>
      <c r="F5" s="261" t="s">
        <v>7</v>
      </c>
      <c r="G5" s="261" t="s">
        <v>8</v>
      </c>
      <c r="H5" s="261" t="s">
        <v>9</v>
      </c>
      <c r="I5" s="359" t="s">
        <v>10</v>
      </c>
      <c r="J5" s="359" t="s">
        <v>11</v>
      </c>
      <c r="K5" s="359" t="s">
        <v>12</v>
      </c>
      <c r="L5" s="359" t="s">
        <v>13</v>
      </c>
      <c r="M5" s="359" t="s">
        <v>14</v>
      </c>
      <c r="N5" s="359" t="s">
        <v>15</v>
      </c>
      <c r="O5" s="261" t="s">
        <v>16</v>
      </c>
      <c r="P5" s="276" t="s">
        <v>17</v>
      </c>
      <c r="Q5" s="276" t="s">
        <v>18</v>
      </c>
      <c r="R5" s="276" t="s">
        <v>19</v>
      </c>
      <c r="S5" s="276" t="s">
        <v>20</v>
      </c>
      <c r="T5" s="261" t="s">
        <v>21</v>
      </c>
      <c r="U5" s="261" t="s">
        <v>22</v>
      </c>
      <c r="V5" s="261" t="s">
        <v>23</v>
      </c>
    </row>
    <row r="6" spans="1:22" ht="45" hidden="1" customHeight="1">
      <c r="A6" s="62">
        <v>970</v>
      </c>
      <c r="B6" s="62" t="s">
        <v>24</v>
      </c>
      <c r="C6" s="62" t="s">
        <v>25</v>
      </c>
      <c r="D6" s="62" t="s">
        <v>26</v>
      </c>
      <c r="E6" s="62" t="s">
        <v>27</v>
      </c>
      <c r="F6" s="62" t="s">
        <v>28</v>
      </c>
      <c r="G6" s="262">
        <v>0.12</v>
      </c>
      <c r="H6" s="62" t="s">
        <v>29</v>
      </c>
      <c r="I6" s="358">
        <v>45964</v>
      </c>
      <c r="J6" s="358">
        <v>46127</v>
      </c>
      <c r="K6" s="358">
        <v>46128</v>
      </c>
      <c r="L6" s="358">
        <v>46142</v>
      </c>
      <c r="M6" s="358">
        <v>46142</v>
      </c>
      <c r="N6" s="358">
        <v>46156</v>
      </c>
      <c r="O6" s="62" t="s">
        <v>30</v>
      </c>
      <c r="P6" s="262">
        <f>VLOOKUP(_07__CRONOGRAMA_2026[[#This Row],[ID Historico]],Cartera1017[[ID Histórico]:[Porcentaje de Avance]],80,FALSE)</f>
        <v>0.12</v>
      </c>
      <c r="Q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 s="262">
        <f>IF(_07__CRONOGRAMA_2026[[#This Row],[% REAL]]&gt;_07__CRONOGRAMA_2026[[#This Row],[Porcentaje de Avance]],_07__CRONOGRAMA_2026[[#This Row],[% REAL]],_07__CRONOGRAMA_2026[[#This Row],[Porcentaje de Avance]])</f>
        <v>0.12</v>
      </c>
      <c r="S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6" s="62" t="str">
        <f>VLOOKUP(_07__CRONOGRAMA_2026[[#This Row],[ID Historico]],Cartera1017[[ID Histórico]:[Estado TI]],31,FALSE)</f>
        <v>10. Paralizado</v>
      </c>
      <c r="U6" s="62" t="str">
        <f>VLOOKUP(_07__CRONOGRAMA_2026[[#This Row],[ID Historico]],Cartera1017[[ID Histórico]:[Estado TI]],30,FALSE)</f>
        <v>Omar Sarmiento</v>
      </c>
      <c r="V6" s="62" t="str">
        <f>VLOOKUP(_07__CRONOGRAMA_2026[[#This Row],[ID Historico]],Cartera1017[[ID Histórico]:[Estado TI]],29,FALSE)</f>
        <v>Vladimir Ronald Cajavilca Cajavilca</v>
      </c>
    </row>
    <row r="7" spans="1:22" ht="60" hidden="1" customHeight="1">
      <c r="A7" s="62">
        <v>1059</v>
      </c>
      <c r="B7" s="62" t="s">
        <v>31</v>
      </c>
      <c r="C7" s="62" t="s">
        <v>32</v>
      </c>
      <c r="D7" s="62" t="s">
        <v>33</v>
      </c>
      <c r="E7" s="62" t="s">
        <v>34</v>
      </c>
      <c r="F7" s="62" t="s">
        <v>35</v>
      </c>
      <c r="G7" s="262">
        <v>0.9</v>
      </c>
      <c r="H7" s="62" t="s">
        <v>36</v>
      </c>
      <c r="I7" s="358">
        <v>44487</v>
      </c>
      <c r="J7" s="358">
        <v>45797</v>
      </c>
      <c r="K7" s="358">
        <v>45832</v>
      </c>
      <c r="L7" s="358">
        <v>45853</v>
      </c>
      <c r="M7" s="358">
        <v>45887</v>
      </c>
      <c r="N7" s="358">
        <v>46091</v>
      </c>
      <c r="O7" s="62" t="s">
        <v>37</v>
      </c>
      <c r="P7" s="262">
        <f>VLOOKUP(_07__CRONOGRAMA_2026[[#This Row],[ID Historico]],Cartera1017[[ID Histórico]:[Porcentaje de Avance]],80,FALSE)</f>
        <v>1</v>
      </c>
      <c r="Q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 s="262">
        <f>IF(_07__CRONOGRAMA_2026[[#This Row],[% REAL]]&gt;_07__CRONOGRAMA_2026[[#This Row],[Porcentaje de Avance]],_07__CRONOGRAMA_2026[[#This Row],[% REAL]],_07__CRONOGRAMA_2026[[#This Row],[Porcentaje de Avance]])</f>
        <v>1</v>
      </c>
      <c r="S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7" s="62" t="str">
        <f>VLOOKUP(_07__CRONOGRAMA_2026[[#This Row],[ID Historico]],Cartera1017[[ID Histórico]:[Estado TI]],31,FALSE)</f>
        <v>08. Producción Finalizada</v>
      </c>
      <c r="U7" s="62" t="str">
        <f>VLOOKUP(_07__CRONOGRAMA_2026[[#This Row],[ID Historico]],Cartera1017[[ID Histórico]:[Estado TI]],30,FALSE)</f>
        <v>Milagros Huamani</v>
      </c>
      <c r="V7" s="62" t="str">
        <f>VLOOKUP(_07__CRONOGRAMA_2026[[#This Row],[ID Historico]],Cartera1017[[ID Histórico]:[Estado TI]],29,FALSE)</f>
        <v>Jorge Mora Ruelas</v>
      </c>
    </row>
    <row r="8" spans="1:22" ht="30" hidden="1" customHeight="1">
      <c r="A8" s="62">
        <v>1194</v>
      </c>
      <c r="B8" s="62" t="s">
        <v>38</v>
      </c>
      <c r="C8" s="62" t="s">
        <v>39</v>
      </c>
      <c r="D8" s="62" t="s">
        <v>40</v>
      </c>
      <c r="E8" s="62" t="s">
        <v>41</v>
      </c>
      <c r="F8" s="62" t="s">
        <v>42</v>
      </c>
      <c r="G8" s="262">
        <v>0.85</v>
      </c>
      <c r="H8" s="62" t="s">
        <v>36</v>
      </c>
      <c r="I8" s="358">
        <v>45187</v>
      </c>
      <c r="J8" s="358">
        <v>45226</v>
      </c>
      <c r="K8" s="358">
        <v>45240</v>
      </c>
      <c r="L8" s="358">
        <v>45252</v>
      </c>
      <c r="M8" s="358">
        <v>46083</v>
      </c>
      <c r="N8" s="358">
        <v>46084</v>
      </c>
      <c r="O8" s="62" t="s">
        <v>43</v>
      </c>
      <c r="P8" s="262">
        <f>VLOOKUP(_07__CRONOGRAMA_2026[[#This Row],[ID Historico]],Cartera1017[[ID Histórico]:[Porcentaje de Avance]],80,FALSE)</f>
        <v>0.9</v>
      </c>
      <c r="Q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 s="262">
        <f>IF(_07__CRONOGRAMA_2026[[#This Row],[% REAL]]&gt;_07__CRONOGRAMA_2026[[#This Row],[Porcentaje de Avance]],_07__CRONOGRAMA_2026[[#This Row],[% REAL]],_07__CRONOGRAMA_2026[[#This Row],[Porcentaje de Avance]])</f>
        <v>0.9</v>
      </c>
      <c r="S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8" s="62" t="str">
        <f>VLOOKUP(_07__CRONOGRAMA_2026[[#This Row],[ID Historico]],Cartera1017[[ID Histórico]:[Estado TI]],31,FALSE)</f>
        <v>07. En Despliegue</v>
      </c>
      <c r="U8" s="62" t="str">
        <f>VLOOKUP(_07__CRONOGRAMA_2026[[#This Row],[ID Historico]],Cartera1017[[ID Histórico]:[Estado TI]],30,FALSE)</f>
        <v>Junior Quicaño</v>
      </c>
      <c r="V8" s="62" t="str">
        <f>VLOOKUP(_07__CRONOGRAMA_2026[[#This Row],[ID Historico]],Cartera1017[[ID Histórico]:[Estado TI]],29,FALSE)</f>
        <v>Johnny Luis Rocca Surco</v>
      </c>
    </row>
    <row r="9" spans="1:22" ht="30" hidden="1" customHeight="1">
      <c r="A9" s="62">
        <v>1246</v>
      </c>
      <c r="B9" s="62" t="s">
        <v>44</v>
      </c>
      <c r="C9" s="62" t="s">
        <v>45</v>
      </c>
      <c r="D9" s="62" t="s">
        <v>46</v>
      </c>
      <c r="E9" s="62" t="s">
        <v>47</v>
      </c>
      <c r="F9" s="62" t="s">
        <v>48</v>
      </c>
      <c r="G9" s="262">
        <v>0.15</v>
      </c>
      <c r="H9" s="62" t="s">
        <v>36</v>
      </c>
      <c r="I9" s="358">
        <v>45964</v>
      </c>
      <c r="J9" s="358">
        <v>46203</v>
      </c>
      <c r="K9" s="358">
        <v>46207</v>
      </c>
      <c r="L9" s="358">
        <v>46228</v>
      </c>
      <c r="M9" s="358">
        <v>46236</v>
      </c>
      <c r="N9" s="358">
        <v>46243</v>
      </c>
      <c r="O9" s="62" t="s">
        <v>49</v>
      </c>
      <c r="P9" s="262">
        <f>VLOOKUP(_07__CRONOGRAMA_2026[[#This Row],[ID Historico]],Cartera1017[[ID Histórico]:[Porcentaje de Avance]],80,FALSE)</f>
        <v>0.15</v>
      </c>
      <c r="Q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0.7172774869109948</v>
      </c>
      <c r="R9" s="262">
        <f>IF(_07__CRONOGRAMA_2026[[#This Row],[% REAL]]&gt;_07__CRONOGRAMA_2026[[#This Row],[Porcentaje de Avance]],_07__CRONOGRAMA_2026[[#This Row],[% REAL]],_07__CRONOGRAMA_2026[[#This Row],[Porcentaje de Avance]])</f>
        <v>0.15</v>
      </c>
      <c r="S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 s="62" t="str">
        <f>VLOOKUP(_07__CRONOGRAMA_2026[[#This Row],[ID Historico]],Cartera1017[[ID Histórico]:[Estado TI]],31,FALSE)</f>
        <v>03. En Desarrollo</v>
      </c>
      <c r="U9" s="62" t="str">
        <f>VLOOKUP(_07__CRONOGRAMA_2026[[#This Row],[ID Historico]],Cartera1017[[ID Histórico]:[Estado TI]],30,FALSE)</f>
        <v>Juan Carlos Zavaleta</v>
      </c>
      <c r="V9" s="62" t="str">
        <f>VLOOKUP(_07__CRONOGRAMA_2026[[#This Row],[ID Historico]],Cartera1017[[ID Histórico]:[Estado TI]],29,FALSE)</f>
        <v>Paul Alminagorta Cabezas</v>
      </c>
    </row>
    <row r="10" spans="1:22" ht="30" hidden="1" customHeight="1">
      <c r="A10" s="62">
        <v>1319</v>
      </c>
      <c r="B10" s="62" t="s">
        <v>50</v>
      </c>
      <c r="C10" s="62" t="s">
        <v>51</v>
      </c>
      <c r="D10" s="62" t="s">
        <v>52</v>
      </c>
      <c r="E10" s="62" t="s">
        <v>47</v>
      </c>
      <c r="F10" s="62" t="s">
        <v>53</v>
      </c>
      <c r="G10" s="262">
        <v>1</v>
      </c>
      <c r="H10" s="62" t="s">
        <v>36</v>
      </c>
      <c r="I10" s="358">
        <v>46027</v>
      </c>
      <c r="J10" s="358">
        <v>46059</v>
      </c>
      <c r="K10" s="358">
        <v>46063</v>
      </c>
      <c r="L10" s="358">
        <v>46101</v>
      </c>
      <c r="M10" s="358">
        <v>46113</v>
      </c>
      <c r="N10" s="358">
        <v>46122</v>
      </c>
      <c r="O10" s="62" t="s">
        <v>54</v>
      </c>
      <c r="P10" s="262">
        <f>VLOOKUP(_07__CRONOGRAMA_2026[[#This Row],[ID Historico]],Cartera1017[[ID Histórico]:[Porcentaje de Avance]],80,FALSE)</f>
        <v>1</v>
      </c>
      <c r="Q1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 s="262">
        <f>IF(_07__CRONOGRAMA_2026[[#This Row],[% REAL]]&gt;_07__CRONOGRAMA_2026[[#This Row],[Porcentaje de Avance]],_07__CRONOGRAMA_2026[[#This Row],[% REAL]],_07__CRONOGRAMA_2026[[#This Row],[Porcentaje de Avance]])</f>
        <v>1</v>
      </c>
      <c r="S1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 s="62" t="str">
        <f>VLOOKUP(_07__CRONOGRAMA_2026[[#This Row],[ID Historico]],Cartera1017[[ID Histórico]:[Estado TI]],31,FALSE)</f>
        <v>08. Producción Finalizada</v>
      </c>
      <c r="U10" s="62" t="str">
        <f>VLOOKUP(_07__CRONOGRAMA_2026[[#This Row],[ID Historico]],Cartera1017[[ID Histórico]:[Estado TI]],30,FALSE)</f>
        <v>Juan Carlos Zavaleta</v>
      </c>
      <c r="V10" s="62" t="str">
        <f>VLOOKUP(_07__CRONOGRAMA_2026[[#This Row],[ID Historico]],Cartera1017[[ID Histórico]:[Estado TI]],29,FALSE)</f>
        <v>Eduardo Saul Cardenas Manrique</v>
      </c>
    </row>
    <row r="11" spans="1:22" ht="45" hidden="1" customHeight="1">
      <c r="A11" s="62">
        <v>1462</v>
      </c>
      <c r="B11" s="62" t="s">
        <v>55</v>
      </c>
      <c r="C11" s="62" t="s">
        <v>56</v>
      </c>
      <c r="D11" s="62" t="s">
        <v>26</v>
      </c>
      <c r="E11" s="62" t="s">
        <v>27</v>
      </c>
      <c r="F11" s="62" t="s">
        <v>48</v>
      </c>
      <c r="G11" s="262">
        <v>0.14000000000000001</v>
      </c>
      <c r="H11" s="62" t="s">
        <v>36</v>
      </c>
      <c r="I11" s="358">
        <v>45971</v>
      </c>
      <c r="J11" s="358">
        <v>46135</v>
      </c>
      <c r="K11" s="358">
        <v>46136</v>
      </c>
      <c r="L11" s="358">
        <v>46171</v>
      </c>
      <c r="M11" s="358">
        <v>46174</v>
      </c>
      <c r="N11" s="358">
        <v>46196</v>
      </c>
      <c r="O11" s="62" t="s">
        <v>54</v>
      </c>
      <c r="P11" s="262">
        <f>VLOOKUP(_07__CRONOGRAMA_2026[[#This Row],[ID Historico]],Cartera1017[[ID Histórico]:[Porcentaje de Avance]],80,FALSE)</f>
        <v>0.25</v>
      </c>
      <c r="Q1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0.84615384615384615</v>
      </c>
      <c r="R11" s="262">
        <f>IF(_07__CRONOGRAMA_2026[[#This Row],[% REAL]]&gt;_07__CRONOGRAMA_2026[[#This Row],[Porcentaje de Avance]],_07__CRONOGRAMA_2026[[#This Row],[% REAL]],_07__CRONOGRAMA_2026[[#This Row],[Porcentaje de Avance]])</f>
        <v>0.25</v>
      </c>
      <c r="S1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 s="62" t="str">
        <f>VLOOKUP(_07__CRONOGRAMA_2026[[#This Row],[ID Historico]],Cartera1017[[ID Histórico]:[Estado TI]],31,FALSE)</f>
        <v>03. En Desarrollo</v>
      </c>
      <c r="U11" s="62" t="str">
        <f>VLOOKUP(_07__CRONOGRAMA_2026[[#This Row],[ID Historico]],Cartera1017[[ID Histórico]:[Estado TI]],30,FALSE)</f>
        <v>Omar Sarmiento</v>
      </c>
      <c r="V11" s="62" t="str">
        <f>VLOOKUP(_07__CRONOGRAMA_2026[[#This Row],[ID Historico]],Cartera1017[[ID Histórico]:[Estado TI]],29,FALSE)</f>
        <v>Eduardo Saul Cardenas Manrique</v>
      </c>
    </row>
    <row r="12" spans="1:22" ht="30" hidden="1" customHeight="1">
      <c r="A12" s="62">
        <v>1501</v>
      </c>
      <c r="B12" s="62" t="s">
        <v>57</v>
      </c>
      <c r="C12" s="62" t="s">
        <v>58</v>
      </c>
      <c r="D12" s="62" t="s">
        <v>59</v>
      </c>
      <c r="E12" s="62" t="s">
        <v>47</v>
      </c>
      <c r="F12" s="62" t="s">
        <v>48</v>
      </c>
      <c r="G12" s="262">
        <v>0.15</v>
      </c>
      <c r="H12" s="62" t="s">
        <v>36</v>
      </c>
      <c r="I12" s="358">
        <v>46174</v>
      </c>
      <c r="J12" s="358">
        <v>46234</v>
      </c>
      <c r="K12" s="358">
        <v>46235</v>
      </c>
      <c r="L12" s="358">
        <v>46254</v>
      </c>
      <c r="M12" s="358">
        <v>46266</v>
      </c>
      <c r="N12" s="358">
        <v>46272</v>
      </c>
      <c r="O12" s="62" t="s">
        <v>49</v>
      </c>
      <c r="P12" s="262">
        <f>VLOOKUP(_07__CRONOGRAMA_2026[[#This Row],[ID Historico]],Cartera1017[[ID Histórico]:[Porcentaje de Avance]],80,FALSE)</f>
        <v>0.15</v>
      </c>
      <c r="Q1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12" s="262">
        <f>IF(_07__CRONOGRAMA_2026[[#This Row],[% REAL]]&gt;_07__CRONOGRAMA_2026[[#This Row],[Porcentaje de Avance]],_07__CRONOGRAMA_2026[[#This Row],[% REAL]],_07__CRONOGRAMA_2026[[#This Row],[Porcentaje de Avance]])</f>
        <v>0.15</v>
      </c>
      <c r="S1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2" s="62" t="str">
        <f>VLOOKUP(_07__CRONOGRAMA_2026[[#This Row],[ID Historico]],Cartera1017[[ID Histórico]:[Estado TI]],31,FALSE)</f>
        <v>03. En Desarrollo</v>
      </c>
      <c r="U12" s="62" t="str">
        <f>VLOOKUP(_07__CRONOGRAMA_2026[[#This Row],[ID Historico]],Cartera1017[[ID Histórico]:[Estado TI]],30,FALSE)</f>
        <v>Juan Carlos Zavaleta</v>
      </c>
      <c r="V12" s="62" t="str">
        <f>VLOOKUP(_07__CRONOGRAMA_2026[[#This Row],[ID Historico]],Cartera1017[[ID Histórico]:[Estado TI]],29,FALSE)</f>
        <v>Paul Alminagorta Cabezas</v>
      </c>
    </row>
    <row r="13" spans="1:22" ht="30" hidden="1" customHeight="1">
      <c r="A13" s="62">
        <v>1516</v>
      </c>
      <c r="B13" s="62" t="s">
        <v>60</v>
      </c>
      <c r="C13" s="62" t="s">
        <v>61</v>
      </c>
      <c r="D13" s="62" t="s">
        <v>62</v>
      </c>
      <c r="E13" s="62" t="s">
        <v>63</v>
      </c>
      <c r="F13" s="62" t="s">
        <v>35</v>
      </c>
      <c r="G13" s="262">
        <v>0.9</v>
      </c>
      <c r="H13" s="62" t="s">
        <v>36</v>
      </c>
      <c r="I13" s="358">
        <v>45702</v>
      </c>
      <c r="J13" s="358">
        <v>45708</v>
      </c>
      <c r="K13" s="358">
        <v>45709</v>
      </c>
      <c r="L13" s="358">
        <v>45714</v>
      </c>
      <c r="M13" s="358">
        <v>45715</v>
      </c>
      <c r="N13" s="358">
        <v>46084</v>
      </c>
      <c r="O13" s="62" t="s">
        <v>49</v>
      </c>
      <c r="P13" s="262">
        <f>VLOOKUP(_07__CRONOGRAMA_2026[[#This Row],[ID Historico]],Cartera1017[[ID Histórico]:[Porcentaje de Avance]],80,FALSE)</f>
        <v>1</v>
      </c>
      <c r="Q1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 s="262">
        <f>IF(_07__CRONOGRAMA_2026[[#This Row],[% REAL]]&gt;_07__CRONOGRAMA_2026[[#This Row],[Porcentaje de Avance]],_07__CRONOGRAMA_2026[[#This Row],[% REAL]],_07__CRONOGRAMA_2026[[#This Row],[Porcentaje de Avance]])</f>
        <v>1</v>
      </c>
      <c r="S1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3" s="62" t="str">
        <f>VLOOKUP(_07__CRONOGRAMA_2026[[#This Row],[ID Historico]],Cartera1017[[ID Histórico]:[Estado TI]],31,FALSE)</f>
        <v>08. Producción Finalizada</v>
      </c>
      <c r="U13" s="62" t="str">
        <f>VLOOKUP(_07__CRONOGRAMA_2026[[#This Row],[ID Historico]],Cartera1017[[ID Histórico]:[Estado TI]],30,FALSE)</f>
        <v>Maria Barboza</v>
      </c>
      <c r="V13" s="62" t="str">
        <f>VLOOKUP(_07__CRONOGRAMA_2026[[#This Row],[ID Historico]],Cartera1017[[ID Histórico]:[Estado TI]],29,FALSE)</f>
        <v>Paul Alminagorta Cabezas</v>
      </c>
    </row>
    <row r="14" spans="1:22" ht="45" hidden="1" customHeight="1">
      <c r="A14" s="62">
        <v>1590</v>
      </c>
      <c r="B14" s="62" t="s">
        <v>64</v>
      </c>
      <c r="C14" s="62" t="s">
        <v>65</v>
      </c>
      <c r="D14" s="62" t="s">
        <v>26</v>
      </c>
      <c r="E14" s="62" t="s">
        <v>27</v>
      </c>
      <c r="F14" s="62" t="s">
        <v>28</v>
      </c>
      <c r="G14" s="262">
        <v>0.12</v>
      </c>
      <c r="H14" s="62" t="s">
        <v>29</v>
      </c>
      <c r="I14" s="358">
        <v>46001</v>
      </c>
      <c r="J14" s="358">
        <v>46233</v>
      </c>
      <c r="K14" s="358">
        <v>46234</v>
      </c>
      <c r="L14" s="358">
        <v>46248</v>
      </c>
      <c r="M14" s="358">
        <v>46262</v>
      </c>
      <c r="N14" s="358">
        <v>46265</v>
      </c>
      <c r="O14" s="62" t="s">
        <v>49</v>
      </c>
      <c r="P14" s="262">
        <f>VLOOKUP(_07__CRONOGRAMA_2026[[#This Row],[ID Historico]],Cartera1017[[ID Histórico]:[Porcentaje de Avance]],80,FALSE)</f>
        <v>0.12</v>
      </c>
      <c r="Q1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0.61325966850828728</v>
      </c>
      <c r="R14" s="262">
        <f>IF(_07__CRONOGRAMA_2026[[#This Row],[% REAL]]&gt;_07__CRONOGRAMA_2026[[#This Row],[Porcentaje de Avance]],_07__CRONOGRAMA_2026[[#This Row],[% REAL]],_07__CRONOGRAMA_2026[[#This Row],[Porcentaje de Avance]])</f>
        <v>0.12</v>
      </c>
      <c r="S1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 s="62" t="str">
        <f>VLOOKUP(_07__CRONOGRAMA_2026[[#This Row],[ID Historico]],Cartera1017[[ID Histórico]:[Estado TI]],31,FALSE)</f>
        <v>10. Paralizado</v>
      </c>
      <c r="U14" s="62" t="str">
        <f>VLOOKUP(_07__CRONOGRAMA_2026[[#This Row],[ID Historico]],Cartera1017[[ID Histórico]:[Estado TI]],30,FALSE)</f>
        <v>Omar Sarmiento</v>
      </c>
      <c r="V14" s="62" t="str">
        <f>VLOOKUP(_07__CRONOGRAMA_2026[[#This Row],[ID Historico]],Cartera1017[[ID Histórico]:[Estado TI]],29,FALSE)</f>
        <v>Paul Alminagorta Cabezas</v>
      </c>
    </row>
    <row r="15" spans="1:22" ht="30" hidden="1" customHeight="1">
      <c r="A15" s="62">
        <v>1715</v>
      </c>
      <c r="B15" s="62" t="s">
        <v>66</v>
      </c>
      <c r="C15" s="62" t="s">
        <v>67</v>
      </c>
      <c r="D15" s="62" t="s">
        <v>26</v>
      </c>
      <c r="E15" s="62" t="s">
        <v>27</v>
      </c>
      <c r="F15" s="62" t="s">
        <v>42</v>
      </c>
      <c r="G15" s="262">
        <v>0.85</v>
      </c>
      <c r="H15" s="62" t="s">
        <v>36</v>
      </c>
      <c r="I15" s="358">
        <v>45490</v>
      </c>
      <c r="J15" s="358">
        <v>45863</v>
      </c>
      <c r="K15" s="358">
        <v>45872</v>
      </c>
      <c r="L15" s="358">
        <v>45902</v>
      </c>
      <c r="M15" s="358">
        <v>46072</v>
      </c>
      <c r="N15" s="358">
        <v>46084</v>
      </c>
      <c r="O15" s="62" t="s">
        <v>30</v>
      </c>
      <c r="P15" s="262">
        <f>VLOOKUP(_07__CRONOGRAMA_2026[[#This Row],[ID Historico]],Cartera1017[[ID Histórico]:[Porcentaje de Avance]],80,FALSE)</f>
        <v>0.85</v>
      </c>
      <c r="Q1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5" s="262">
        <f>IF(_07__CRONOGRAMA_2026[[#This Row],[% REAL]]&gt;_07__CRONOGRAMA_2026[[#This Row],[Porcentaje de Avance]],_07__CRONOGRAMA_2026[[#This Row],[% REAL]],_07__CRONOGRAMA_2026[[#This Row],[Porcentaje de Avance]])</f>
        <v>0.85</v>
      </c>
      <c r="S1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5" s="62" t="str">
        <f>VLOOKUP(_07__CRONOGRAMA_2026[[#This Row],[ID Historico]],Cartera1017[[ID Histórico]:[Estado TI]],31,FALSE)</f>
        <v>06. Calidad Finalizado</v>
      </c>
      <c r="U15" s="62" t="str">
        <f>VLOOKUP(_07__CRONOGRAMA_2026[[#This Row],[ID Historico]],Cartera1017[[ID Histórico]:[Estado TI]],30,FALSE)</f>
        <v>Omar Sarmiento</v>
      </c>
      <c r="V15" s="62" t="str">
        <f>VLOOKUP(_07__CRONOGRAMA_2026[[#This Row],[ID Historico]],Cartera1017[[ID Histórico]:[Estado TI]],29,FALSE)</f>
        <v>Vladimir Ronald Cajavilca Cajavilca</v>
      </c>
    </row>
    <row r="16" spans="1:22" ht="30" hidden="1" customHeight="1">
      <c r="A16" s="62">
        <v>1779</v>
      </c>
      <c r="B16" s="62" t="s">
        <v>68</v>
      </c>
      <c r="C16" s="62" t="s">
        <v>69</v>
      </c>
      <c r="D16" s="62" t="s">
        <v>40</v>
      </c>
      <c r="E16" s="62" t="s">
        <v>41</v>
      </c>
      <c r="F16" s="62" t="s">
        <v>42</v>
      </c>
      <c r="G16" s="262">
        <v>0.9</v>
      </c>
      <c r="H16" s="62" t="s">
        <v>36</v>
      </c>
      <c r="I16" s="358">
        <v>45470</v>
      </c>
      <c r="J16" s="358">
        <v>45624</v>
      </c>
      <c r="K16" s="358">
        <v>45659</v>
      </c>
      <c r="L16" s="358">
        <v>45660</v>
      </c>
      <c r="M16" s="358">
        <v>46084</v>
      </c>
      <c r="N16" s="358">
        <v>46099</v>
      </c>
      <c r="O16" s="62" t="s">
        <v>54</v>
      </c>
      <c r="P16" s="262">
        <f>VLOOKUP(_07__CRONOGRAMA_2026[[#This Row],[ID Historico]],Cartera1017[[ID Histórico]:[Porcentaje de Avance]],80,FALSE)</f>
        <v>0.15</v>
      </c>
      <c r="Q1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6" s="262">
        <f>IF(_07__CRONOGRAMA_2026[[#This Row],[% REAL]]&gt;_07__CRONOGRAMA_2026[[#This Row],[Porcentaje de Avance]],_07__CRONOGRAMA_2026[[#This Row],[% REAL]],_07__CRONOGRAMA_2026[[#This Row],[Porcentaje de Avance]])</f>
        <v>0.9</v>
      </c>
      <c r="S1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6" s="62" t="str">
        <f>VLOOKUP(_07__CRONOGRAMA_2026[[#This Row],[ID Historico]],Cartera1017[[ID Histórico]:[Estado TI]],31,FALSE)</f>
        <v>03. En Desarrollo</v>
      </c>
      <c r="U16" s="62" t="str">
        <f>VLOOKUP(_07__CRONOGRAMA_2026[[#This Row],[ID Historico]],Cartera1017[[ID Histórico]:[Estado TI]],30,FALSE)</f>
        <v>Junior Quicaño</v>
      </c>
      <c r="V16" s="62" t="str">
        <f>VLOOKUP(_07__CRONOGRAMA_2026[[#This Row],[ID Historico]],Cartera1017[[ID Histórico]:[Estado TI]],29,FALSE)</f>
        <v>Eduardo Saul Cardenas Manrique</v>
      </c>
    </row>
    <row r="17" spans="1:22" ht="30" hidden="1" customHeight="1">
      <c r="A17" s="62">
        <v>1824</v>
      </c>
      <c r="B17" s="62" t="s">
        <v>70</v>
      </c>
      <c r="C17" s="62" t="s">
        <v>71</v>
      </c>
      <c r="D17" s="62" t="s">
        <v>26</v>
      </c>
      <c r="E17" s="62" t="s">
        <v>27</v>
      </c>
      <c r="F17" s="62" t="s">
        <v>42</v>
      </c>
      <c r="G17" s="262">
        <v>0.85</v>
      </c>
      <c r="H17" s="62" t="s">
        <v>36</v>
      </c>
      <c r="I17" s="358">
        <v>45673</v>
      </c>
      <c r="J17" s="358">
        <v>45890</v>
      </c>
      <c r="K17" s="358">
        <v>45892</v>
      </c>
      <c r="L17" s="358">
        <v>45902</v>
      </c>
      <c r="M17" s="358">
        <v>46072</v>
      </c>
      <c r="N17" s="358">
        <v>46084</v>
      </c>
      <c r="O17" s="62" t="s">
        <v>30</v>
      </c>
      <c r="P17" s="262">
        <f>VLOOKUP(_07__CRONOGRAMA_2026[[#This Row],[ID Historico]],Cartera1017[[ID Histórico]:[Porcentaje de Avance]],80,FALSE)</f>
        <v>0.85</v>
      </c>
      <c r="Q1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7" s="262">
        <f>IF(_07__CRONOGRAMA_2026[[#This Row],[% REAL]]&gt;_07__CRONOGRAMA_2026[[#This Row],[Porcentaje de Avance]],_07__CRONOGRAMA_2026[[#This Row],[% REAL]],_07__CRONOGRAMA_2026[[#This Row],[Porcentaje de Avance]])</f>
        <v>0.85</v>
      </c>
      <c r="S1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7" s="62" t="str">
        <f>VLOOKUP(_07__CRONOGRAMA_2026[[#This Row],[ID Historico]],Cartera1017[[ID Histórico]:[Estado TI]],31,FALSE)</f>
        <v>06. Calidad Finalizado</v>
      </c>
      <c r="U17" s="62" t="str">
        <f>VLOOKUP(_07__CRONOGRAMA_2026[[#This Row],[ID Historico]],Cartera1017[[ID Histórico]:[Estado TI]],30,FALSE)</f>
        <v>Omar Sarmiento</v>
      </c>
      <c r="V17" s="62" t="str">
        <f>VLOOKUP(_07__CRONOGRAMA_2026[[#This Row],[ID Historico]],Cartera1017[[ID Histórico]:[Estado TI]],29,FALSE)</f>
        <v>Vladimir Ronald Cajavilca Cajavilca</v>
      </c>
    </row>
    <row r="18" spans="1:22" ht="30" hidden="1" customHeight="1">
      <c r="A18" s="62">
        <v>1825</v>
      </c>
      <c r="B18" s="62" t="s">
        <v>72</v>
      </c>
      <c r="C18" s="62" t="s">
        <v>73</v>
      </c>
      <c r="D18" s="62" t="s">
        <v>26</v>
      </c>
      <c r="E18" s="62" t="s">
        <v>27</v>
      </c>
      <c r="F18" s="62" t="s">
        <v>42</v>
      </c>
      <c r="G18" s="262">
        <v>0.85</v>
      </c>
      <c r="H18" s="62" t="s">
        <v>36</v>
      </c>
      <c r="I18" s="358">
        <v>45761</v>
      </c>
      <c r="J18" s="358">
        <v>45890</v>
      </c>
      <c r="K18" s="358">
        <v>45892</v>
      </c>
      <c r="L18" s="358">
        <v>45902</v>
      </c>
      <c r="M18" s="358">
        <v>46072</v>
      </c>
      <c r="N18" s="358">
        <v>46084</v>
      </c>
      <c r="O18" s="62" t="s">
        <v>30</v>
      </c>
      <c r="P18" s="262">
        <f>VLOOKUP(_07__CRONOGRAMA_2026[[#This Row],[ID Historico]],Cartera1017[[ID Histórico]:[Porcentaje de Avance]],80,FALSE)</f>
        <v>0.85</v>
      </c>
      <c r="Q1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8" s="262">
        <f>IF(_07__CRONOGRAMA_2026[[#This Row],[% REAL]]&gt;_07__CRONOGRAMA_2026[[#This Row],[Porcentaje de Avance]],_07__CRONOGRAMA_2026[[#This Row],[% REAL]],_07__CRONOGRAMA_2026[[#This Row],[Porcentaje de Avance]])</f>
        <v>0.85</v>
      </c>
      <c r="S1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8" s="62" t="str">
        <f>VLOOKUP(_07__CRONOGRAMA_2026[[#This Row],[ID Historico]],Cartera1017[[ID Histórico]:[Estado TI]],31,FALSE)</f>
        <v>06. Calidad Finalizado</v>
      </c>
      <c r="U18" s="62" t="str">
        <f>VLOOKUP(_07__CRONOGRAMA_2026[[#This Row],[ID Historico]],Cartera1017[[ID Histórico]:[Estado TI]],30,FALSE)</f>
        <v>Omar Sarmiento</v>
      </c>
      <c r="V18" s="62" t="str">
        <f>VLOOKUP(_07__CRONOGRAMA_2026[[#This Row],[ID Historico]],Cartera1017[[ID Histórico]:[Estado TI]],29,FALSE)</f>
        <v>Vladimir Ronald Cajavilca Cajavilca</v>
      </c>
    </row>
    <row r="19" spans="1:22" ht="60" hidden="1" customHeight="1">
      <c r="A19" s="62">
        <v>1827</v>
      </c>
      <c r="B19" s="62" t="s">
        <v>74</v>
      </c>
      <c r="C19" s="62" t="s">
        <v>75</v>
      </c>
      <c r="D19" s="62" t="s">
        <v>26</v>
      </c>
      <c r="E19" s="62" t="s">
        <v>27</v>
      </c>
      <c r="F19" s="62" t="s">
        <v>42</v>
      </c>
      <c r="G19" s="262">
        <v>0.85</v>
      </c>
      <c r="H19" s="62" t="s">
        <v>36</v>
      </c>
      <c r="I19" s="358">
        <v>45798</v>
      </c>
      <c r="J19" s="358">
        <v>45859</v>
      </c>
      <c r="K19" s="358">
        <v>45861</v>
      </c>
      <c r="L19" s="358">
        <v>45931</v>
      </c>
      <c r="M19" s="358">
        <v>46072</v>
      </c>
      <c r="N19" s="358">
        <v>46084</v>
      </c>
      <c r="O19" s="62" t="s">
        <v>76</v>
      </c>
      <c r="P19" s="262">
        <f>VLOOKUP(_07__CRONOGRAMA_2026[[#This Row],[ID Historico]],Cartera1017[[ID Histórico]:[Porcentaje de Avance]],80,FALSE)</f>
        <v>1</v>
      </c>
      <c r="Q1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9" s="262">
        <f>IF(_07__CRONOGRAMA_2026[[#This Row],[% REAL]]&gt;_07__CRONOGRAMA_2026[[#This Row],[Porcentaje de Avance]],_07__CRONOGRAMA_2026[[#This Row],[% REAL]],_07__CRONOGRAMA_2026[[#This Row],[Porcentaje de Avance]])</f>
        <v>1</v>
      </c>
      <c r="S1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9" s="62" t="str">
        <f>VLOOKUP(_07__CRONOGRAMA_2026[[#This Row],[ID Historico]],Cartera1017[[ID Histórico]:[Estado TI]],31,FALSE)</f>
        <v>08. Producción Finalizada</v>
      </c>
      <c r="U19" s="62" t="str">
        <f>VLOOKUP(_07__CRONOGRAMA_2026[[#This Row],[ID Historico]],Cartera1017[[ID Histórico]:[Estado TI]],30,FALSE)</f>
        <v>Omar Sarmiento</v>
      </c>
      <c r="V19" s="62" t="str">
        <f>VLOOKUP(_07__CRONOGRAMA_2026[[#This Row],[ID Historico]],Cartera1017[[ID Histórico]:[Estado TI]],29,FALSE)</f>
        <v>Emerson Quecara Choquetico</v>
      </c>
    </row>
    <row r="20" spans="1:22" ht="30" hidden="1" customHeight="1">
      <c r="A20" s="62">
        <v>2102</v>
      </c>
      <c r="B20" s="62" t="s">
        <v>77</v>
      </c>
      <c r="C20" s="62" t="s">
        <v>78</v>
      </c>
      <c r="D20" s="62" t="s">
        <v>40</v>
      </c>
      <c r="E20" s="62" t="s">
        <v>47</v>
      </c>
      <c r="F20" s="62" t="s">
        <v>42</v>
      </c>
      <c r="G20" s="262">
        <v>0.85</v>
      </c>
      <c r="H20" s="62" t="s">
        <v>36</v>
      </c>
      <c r="I20" s="358">
        <v>45329</v>
      </c>
      <c r="J20" s="358">
        <v>45890</v>
      </c>
      <c r="K20" s="358">
        <v>45931</v>
      </c>
      <c r="L20" s="358">
        <v>45933</v>
      </c>
      <c r="M20" s="358">
        <v>46072</v>
      </c>
      <c r="N20" s="358">
        <v>46084</v>
      </c>
      <c r="O20" s="62" t="s">
        <v>79</v>
      </c>
      <c r="P20" s="262">
        <f>VLOOKUP(_07__CRONOGRAMA_2026[[#This Row],[ID Historico]],Cartera1017[[ID Histórico]:[Porcentaje de Avance]],80,FALSE)</f>
        <v>1</v>
      </c>
      <c r="Q2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0" s="262">
        <f>IF(_07__CRONOGRAMA_2026[[#This Row],[% REAL]]&gt;_07__CRONOGRAMA_2026[[#This Row],[Porcentaje de Avance]],_07__CRONOGRAMA_2026[[#This Row],[% REAL]],_07__CRONOGRAMA_2026[[#This Row],[Porcentaje de Avance]])</f>
        <v>1</v>
      </c>
      <c r="S2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20" s="62" t="str">
        <f>VLOOKUP(_07__CRONOGRAMA_2026[[#This Row],[ID Historico]],Cartera1017[[ID Histórico]:[Estado TI]],31,FALSE)</f>
        <v>08. Producción Finalizada</v>
      </c>
      <c r="U20" s="62" t="str">
        <f>VLOOKUP(_07__CRONOGRAMA_2026[[#This Row],[ID Historico]],Cartera1017[[ID Histórico]:[Estado TI]],30,FALSE)</f>
        <v>Juan Carlos Zavaleta</v>
      </c>
      <c r="V20" s="62" t="str">
        <f>VLOOKUP(_07__CRONOGRAMA_2026[[#This Row],[ID Historico]],Cartera1017[[ID Histórico]:[Estado TI]],29,FALSE)</f>
        <v>María Eva Alfaro Apaza</v>
      </c>
    </row>
    <row r="21" spans="1:22" ht="60" hidden="1" customHeight="1">
      <c r="A21" s="62">
        <v>2011</v>
      </c>
      <c r="B21" s="62" t="s">
        <v>80</v>
      </c>
      <c r="C21" s="62" t="s">
        <v>81</v>
      </c>
      <c r="D21" s="62" t="s">
        <v>82</v>
      </c>
      <c r="E21" s="62" t="s">
        <v>63</v>
      </c>
      <c r="F21" s="62" t="s">
        <v>48</v>
      </c>
      <c r="G21" s="262">
        <v>0.85</v>
      </c>
      <c r="H21" s="62" t="s">
        <v>83</v>
      </c>
      <c r="I21" s="358">
        <v>45896</v>
      </c>
      <c r="J21" s="358">
        <v>45957</v>
      </c>
      <c r="K21" s="358">
        <v>45958</v>
      </c>
      <c r="L21" s="358">
        <v>45981</v>
      </c>
      <c r="M21" s="358">
        <v>46013</v>
      </c>
      <c r="N21" s="358">
        <v>46022</v>
      </c>
      <c r="O21" s="62" t="s">
        <v>84</v>
      </c>
      <c r="P21" s="262">
        <f>VLOOKUP(_07__CRONOGRAMA_2026[[#This Row],[ID Historico]],Cartera1017[[ID Histórico]:[Porcentaje de Avance]],80,FALSE)</f>
        <v>0.85</v>
      </c>
      <c r="Q2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1" s="262">
        <f>IF(_07__CRONOGRAMA_2026[[#This Row],[% REAL]]&gt;_07__CRONOGRAMA_2026[[#This Row],[Porcentaje de Avance]],_07__CRONOGRAMA_2026[[#This Row],[% REAL]],_07__CRONOGRAMA_2026[[#This Row],[Porcentaje de Avance]])</f>
        <v>0.85</v>
      </c>
      <c r="S2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1" s="62" t="str">
        <f>VLOOKUP(_07__CRONOGRAMA_2026[[#This Row],[ID Historico]],Cartera1017[[ID Histórico]:[Estado TI]],31,FALSE)</f>
        <v>06. Calidad Finalizado</v>
      </c>
      <c r="U21" s="62" t="str">
        <f>VLOOKUP(_07__CRONOGRAMA_2026[[#This Row],[ID Historico]],Cartera1017[[ID Histórico]:[Estado TI]],30,FALSE)</f>
        <v>Maria Barboza</v>
      </c>
      <c r="V21" s="62" t="str">
        <f>VLOOKUP(_07__CRONOGRAMA_2026[[#This Row],[ID Historico]],Cartera1017[[ID Histórico]:[Estado TI]],29,FALSE)</f>
        <v>Andrés Quiñones Gonzales</v>
      </c>
    </row>
    <row r="22" spans="1:22" ht="60" hidden="1" customHeight="1">
      <c r="A22" s="62">
        <v>2074</v>
      </c>
      <c r="B22" s="62" t="s">
        <v>85</v>
      </c>
      <c r="C22" s="62" t="s">
        <v>86</v>
      </c>
      <c r="D22" s="62" t="s">
        <v>26</v>
      </c>
      <c r="E22" s="62" t="s">
        <v>27</v>
      </c>
      <c r="F22" s="62" t="s">
        <v>87</v>
      </c>
      <c r="G22" s="262">
        <v>0.7</v>
      </c>
      <c r="H22" s="62" t="s">
        <v>36</v>
      </c>
      <c r="I22" s="358">
        <v>46014</v>
      </c>
      <c r="J22" s="358">
        <v>46014</v>
      </c>
      <c r="K22" s="358">
        <v>46029</v>
      </c>
      <c r="L22" s="358">
        <v>46100</v>
      </c>
      <c r="M22" s="358">
        <v>46101</v>
      </c>
      <c r="N22" s="358">
        <v>46112</v>
      </c>
      <c r="O22" s="62" t="s">
        <v>88</v>
      </c>
      <c r="P22" s="262">
        <f>VLOOKUP(_07__CRONOGRAMA_2026[[#This Row],[ID Historico]],Cartera1017[[ID Histórico]:[Porcentaje de Avance]],80,FALSE)</f>
        <v>0.85</v>
      </c>
      <c r="Q2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2" s="262">
        <f>IF(_07__CRONOGRAMA_2026[[#This Row],[% REAL]]&gt;_07__CRONOGRAMA_2026[[#This Row],[Porcentaje de Avance]],_07__CRONOGRAMA_2026[[#This Row],[% REAL]],_07__CRONOGRAMA_2026[[#This Row],[Porcentaje de Avance]])</f>
        <v>0.85</v>
      </c>
      <c r="S2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2" s="62" t="str">
        <f>VLOOKUP(_07__CRONOGRAMA_2026[[#This Row],[ID Historico]],Cartera1017[[ID Histórico]:[Estado TI]],31,FALSE)</f>
        <v>06. Calidad Finalizado</v>
      </c>
      <c r="U22" s="62" t="str">
        <f>VLOOKUP(_07__CRONOGRAMA_2026[[#This Row],[ID Historico]],Cartera1017[[ID Histórico]:[Estado TI]],30,FALSE)</f>
        <v>Omar Sarmiento</v>
      </c>
      <c r="V22" s="62" t="str">
        <f>VLOOKUP(_07__CRONOGRAMA_2026[[#This Row],[ID Historico]],Cartera1017[[ID Histórico]:[Estado TI]],29,FALSE)</f>
        <v>Marilu Cordova Quispe</v>
      </c>
    </row>
    <row r="23" spans="1:22" ht="60" hidden="1" customHeight="1">
      <c r="A23" s="62">
        <v>2076</v>
      </c>
      <c r="B23" s="62" t="s">
        <v>85</v>
      </c>
      <c r="C23" s="62" t="s">
        <v>89</v>
      </c>
      <c r="D23" s="62" t="s">
        <v>26</v>
      </c>
      <c r="E23" s="62" t="s">
        <v>27</v>
      </c>
      <c r="F23" s="62" t="s">
        <v>87</v>
      </c>
      <c r="G23" s="262">
        <v>0.7</v>
      </c>
      <c r="H23" s="62" t="s">
        <v>36</v>
      </c>
      <c r="I23" s="358">
        <v>46014</v>
      </c>
      <c r="J23" s="358">
        <v>46014</v>
      </c>
      <c r="K23" s="358">
        <v>46029</v>
      </c>
      <c r="L23" s="358">
        <v>46100</v>
      </c>
      <c r="M23" s="358">
        <v>46101</v>
      </c>
      <c r="N23" s="358">
        <v>46112</v>
      </c>
      <c r="O23" s="62" t="s">
        <v>88</v>
      </c>
      <c r="P23" s="262">
        <f>VLOOKUP(_07__CRONOGRAMA_2026[[#This Row],[ID Historico]],Cartera1017[[ID Histórico]:[Porcentaje de Avance]],80,FALSE)</f>
        <v>0.85</v>
      </c>
      <c r="Q2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3" s="262">
        <f>IF(_07__CRONOGRAMA_2026[[#This Row],[% REAL]]&gt;_07__CRONOGRAMA_2026[[#This Row],[Porcentaje de Avance]],_07__CRONOGRAMA_2026[[#This Row],[% REAL]],_07__CRONOGRAMA_2026[[#This Row],[Porcentaje de Avance]])</f>
        <v>0.85</v>
      </c>
      <c r="S2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3" s="62" t="str">
        <f>VLOOKUP(_07__CRONOGRAMA_2026[[#This Row],[ID Historico]],Cartera1017[[ID Histórico]:[Estado TI]],31,FALSE)</f>
        <v>06. Calidad Finalizado</v>
      </c>
      <c r="U23" s="62" t="str">
        <f>VLOOKUP(_07__CRONOGRAMA_2026[[#This Row],[ID Historico]],Cartera1017[[ID Histórico]:[Estado TI]],30,FALSE)</f>
        <v>Omar Sarmiento</v>
      </c>
      <c r="V23" s="62" t="str">
        <f>VLOOKUP(_07__CRONOGRAMA_2026[[#This Row],[ID Historico]],Cartera1017[[ID Histórico]:[Estado TI]],29,FALSE)</f>
        <v>Marilu Cordova Quispe</v>
      </c>
    </row>
    <row r="24" spans="1:22" ht="30" hidden="1" customHeight="1">
      <c r="A24" s="62">
        <v>2086</v>
      </c>
      <c r="B24" s="62" t="s">
        <v>90</v>
      </c>
      <c r="C24" s="62" t="s">
        <v>91</v>
      </c>
      <c r="D24" s="62" t="s">
        <v>33</v>
      </c>
      <c r="E24" s="62" t="s">
        <v>34</v>
      </c>
      <c r="F24" s="62" t="s">
        <v>35</v>
      </c>
      <c r="G24" s="262">
        <v>0.9</v>
      </c>
      <c r="H24" s="62" t="s">
        <v>36</v>
      </c>
      <c r="I24" s="358">
        <v>45371</v>
      </c>
      <c r="J24" s="358">
        <v>45471</v>
      </c>
      <c r="K24" s="358">
        <v>45553</v>
      </c>
      <c r="L24" s="358">
        <v>45699</v>
      </c>
      <c r="M24" s="358">
        <v>45974</v>
      </c>
      <c r="N24" s="358">
        <v>46084</v>
      </c>
      <c r="O24" s="62" t="s">
        <v>79</v>
      </c>
      <c r="P24" s="262">
        <f>VLOOKUP(_07__CRONOGRAMA_2026[[#This Row],[ID Historico]],Cartera1017[[ID Histórico]:[Porcentaje de Avance]],80,FALSE)</f>
        <v>0.9</v>
      </c>
      <c r="Q2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4" s="262">
        <f>IF(_07__CRONOGRAMA_2026[[#This Row],[% REAL]]&gt;_07__CRONOGRAMA_2026[[#This Row],[Porcentaje de Avance]],_07__CRONOGRAMA_2026[[#This Row],[% REAL]],_07__CRONOGRAMA_2026[[#This Row],[Porcentaje de Avance]])</f>
        <v>0.9</v>
      </c>
      <c r="S2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4" s="62" t="str">
        <f>VLOOKUP(_07__CRONOGRAMA_2026[[#This Row],[ID Historico]],Cartera1017[[ID Histórico]:[Estado TI]],31,FALSE)</f>
        <v>07. En Despliegue</v>
      </c>
      <c r="U24" s="62" t="str">
        <f>VLOOKUP(_07__CRONOGRAMA_2026[[#This Row],[ID Historico]],Cartera1017[[ID Histórico]:[Estado TI]],30,FALSE)</f>
        <v>Milagros Huamani</v>
      </c>
      <c r="V24" s="62" t="str">
        <f>VLOOKUP(_07__CRONOGRAMA_2026[[#This Row],[ID Historico]],Cartera1017[[ID Histórico]:[Estado TI]],29,FALSE)</f>
        <v>Maribel Marlene Medina Molina</v>
      </c>
    </row>
    <row r="25" spans="1:22" ht="45" hidden="1" customHeight="1">
      <c r="A25" s="62">
        <v>2097</v>
      </c>
      <c r="B25" s="62" t="s">
        <v>92</v>
      </c>
      <c r="C25" s="62" t="s">
        <v>93</v>
      </c>
      <c r="D25" s="62" t="s">
        <v>40</v>
      </c>
      <c r="E25" s="62" t="s">
        <v>41</v>
      </c>
      <c r="F25" s="62" t="s">
        <v>53</v>
      </c>
      <c r="G25" s="262">
        <v>1</v>
      </c>
      <c r="H25" s="62" t="s">
        <v>36</v>
      </c>
      <c r="I25" s="358">
        <v>45366</v>
      </c>
      <c r="J25" s="358">
        <v>45714</v>
      </c>
      <c r="K25" s="358">
        <v>45854</v>
      </c>
      <c r="L25" s="358">
        <v>45855</v>
      </c>
      <c r="M25" s="358">
        <v>46055</v>
      </c>
      <c r="N25" s="358">
        <v>46059</v>
      </c>
      <c r="O25" s="62" t="s">
        <v>94</v>
      </c>
      <c r="P25" s="262">
        <f>VLOOKUP(_07__CRONOGRAMA_2026[[#This Row],[ID Historico]],Cartera1017[[ID Histórico]:[Porcentaje de Avance]],80,FALSE)</f>
        <v>0.45</v>
      </c>
      <c r="Q2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5" s="262">
        <f>IF(_07__CRONOGRAMA_2026[[#This Row],[% REAL]]&gt;_07__CRONOGRAMA_2026[[#This Row],[Porcentaje de Avance]],_07__CRONOGRAMA_2026[[#This Row],[% REAL]],_07__CRONOGRAMA_2026[[#This Row],[Porcentaje de Avance]])</f>
        <v>1</v>
      </c>
      <c r="S2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25" s="62" t="str">
        <f>VLOOKUP(_07__CRONOGRAMA_2026[[#This Row],[ID Historico]],Cartera1017[[ID Histórico]:[Estado TI]],31,FALSE)</f>
        <v>03. En Desarrollo</v>
      </c>
      <c r="U25" s="62" t="str">
        <f>VLOOKUP(_07__CRONOGRAMA_2026[[#This Row],[ID Historico]],Cartera1017[[ID Histórico]:[Estado TI]],30,FALSE)</f>
        <v>Junior Quicaño</v>
      </c>
      <c r="V25" s="62" t="str">
        <f>VLOOKUP(_07__CRONOGRAMA_2026[[#This Row],[ID Historico]],Cartera1017[[ID Histórico]:[Estado TI]],29,FALSE)</f>
        <v>Angela Rocio Risco Vega/Jorge Lucio Ruedas Fernandez</v>
      </c>
    </row>
    <row r="26" spans="1:22" ht="30" hidden="1" customHeight="1">
      <c r="A26" s="62">
        <v>2140</v>
      </c>
      <c r="B26" s="62" t="s">
        <v>95</v>
      </c>
      <c r="C26" s="62" t="s">
        <v>96</v>
      </c>
      <c r="D26" s="62" t="s">
        <v>26</v>
      </c>
      <c r="E26" s="62" t="s">
        <v>27</v>
      </c>
      <c r="F26" s="62" t="s">
        <v>28</v>
      </c>
      <c r="G26" s="262">
        <v>0.12</v>
      </c>
      <c r="H26" s="62" t="s">
        <v>29</v>
      </c>
      <c r="I26" s="358">
        <v>45964</v>
      </c>
      <c r="J26" s="358">
        <v>46226</v>
      </c>
      <c r="K26" s="358">
        <v>46227</v>
      </c>
      <c r="L26" s="358">
        <v>46262</v>
      </c>
      <c r="M26" s="358">
        <v>46289</v>
      </c>
      <c r="N26" s="358">
        <v>46276</v>
      </c>
      <c r="O26" s="62" t="s">
        <v>30</v>
      </c>
      <c r="P26" s="262">
        <f>VLOOKUP(_07__CRONOGRAMA_2026[[#This Row],[ID Historico]],Cartera1017[[ID Histórico]:[Porcentaje de Avance]],80,FALSE)</f>
        <v>0.12</v>
      </c>
      <c r="Q2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0.6342592592592593</v>
      </c>
      <c r="R26" s="262">
        <f>IF(_07__CRONOGRAMA_2026[[#This Row],[% REAL]]&gt;_07__CRONOGRAMA_2026[[#This Row],[Porcentaje de Avance]],_07__CRONOGRAMA_2026[[#This Row],[% REAL]],_07__CRONOGRAMA_2026[[#This Row],[Porcentaje de Avance]])</f>
        <v>0.12</v>
      </c>
      <c r="S2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26" s="62" t="str">
        <f>VLOOKUP(_07__CRONOGRAMA_2026[[#This Row],[ID Historico]],Cartera1017[[ID Histórico]:[Estado TI]],31,FALSE)</f>
        <v>10. Paralizado</v>
      </c>
      <c r="U26" s="62" t="str">
        <f>VLOOKUP(_07__CRONOGRAMA_2026[[#This Row],[ID Historico]],Cartera1017[[ID Histórico]:[Estado TI]],30,FALSE)</f>
        <v>Omar Sarmiento</v>
      </c>
      <c r="V26" s="62" t="str">
        <f>VLOOKUP(_07__CRONOGRAMA_2026[[#This Row],[ID Historico]],Cartera1017[[ID Histórico]:[Estado TI]],29,FALSE)</f>
        <v>Vladimir Ronald Cajavilca Cajavilca</v>
      </c>
    </row>
    <row r="27" spans="1:22" ht="30" hidden="1" customHeight="1">
      <c r="A27" s="62">
        <v>2008</v>
      </c>
      <c r="B27" s="62" t="s">
        <v>97</v>
      </c>
      <c r="C27" s="62" t="s">
        <v>98</v>
      </c>
      <c r="D27" s="62" t="s">
        <v>59</v>
      </c>
      <c r="E27" s="62" t="s">
        <v>47</v>
      </c>
      <c r="F27" s="62" t="s">
        <v>48</v>
      </c>
      <c r="G27" s="262">
        <v>0.15</v>
      </c>
      <c r="H27" s="62" t="s">
        <v>36</v>
      </c>
      <c r="I27" s="358">
        <v>46174</v>
      </c>
      <c r="J27" s="358">
        <v>46234</v>
      </c>
      <c r="K27" s="358">
        <v>46235</v>
      </c>
      <c r="L27" s="358">
        <v>46254</v>
      </c>
      <c r="M27" s="358">
        <v>46266</v>
      </c>
      <c r="N27" s="358">
        <v>46272</v>
      </c>
      <c r="O27" s="62" t="s">
        <v>49</v>
      </c>
      <c r="P27" s="262">
        <f>VLOOKUP(_07__CRONOGRAMA_2026[[#This Row],[ID Historico]],Cartera1017[[ID Histórico]:[Porcentaje de Avance]],80,FALSE)</f>
        <v>0.15</v>
      </c>
      <c r="Q2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27" s="262">
        <f>IF(_07__CRONOGRAMA_2026[[#This Row],[% REAL]]&gt;_07__CRONOGRAMA_2026[[#This Row],[Porcentaje de Avance]],_07__CRONOGRAMA_2026[[#This Row],[% REAL]],_07__CRONOGRAMA_2026[[#This Row],[Porcentaje de Avance]])</f>
        <v>0.15</v>
      </c>
      <c r="S2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27" s="62" t="str">
        <f>VLOOKUP(_07__CRONOGRAMA_2026[[#This Row],[ID Historico]],Cartera1017[[ID Histórico]:[Estado TI]],31,FALSE)</f>
        <v>03. En Desarrollo</v>
      </c>
      <c r="U27" s="62" t="str">
        <f>VLOOKUP(_07__CRONOGRAMA_2026[[#This Row],[ID Historico]],Cartera1017[[ID Histórico]:[Estado TI]],30,FALSE)</f>
        <v>Juan Carlos Zavaleta</v>
      </c>
      <c r="V27" s="62" t="str">
        <f>VLOOKUP(_07__CRONOGRAMA_2026[[#This Row],[ID Historico]],Cartera1017[[ID Histórico]:[Estado TI]],29,FALSE)</f>
        <v>Paul Alminagorta Cabezas</v>
      </c>
    </row>
    <row r="28" spans="1:22" ht="45" hidden="1" customHeight="1">
      <c r="A28" s="62">
        <v>2058</v>
      </c>
      <c r="B28" s="62" t="s">
        <v>99</v>
      </c>
      <c r="C28" s="62" t="s">
        <v>100</v>
      </c>
      <c r="D28" s="62" t="s">
        <v>26</v>
      </c>
      <c r="E28" s="62" t="s">
        <v>27</v>
      </c>
      <c r="F28" s="62" t="s">
        <v>42</v>
      </c>
      <c r="G28" s="262">
        <v>0.85</v>
      </c>
      <c r="H28" s="62" t="s">
        <v>36</v>
      </c>
      <c r="I28" s="358">
        <v>45884</v>
      </c>
      <c r="J28" s="358">
        <v>46038</v>
      </c>
      <c r="K28" s="358">
        <v>46041</v>
      </c>
      <c r="L28" s="358">
        <v>46045</v>
      </c>
      <c r="M28" s="358">
        <v>46084</v>
      </c>
      <c r="N28" s="358">
        <v>46091</v>
      </c>
      <c r="O28" s="62" t="s">
        <v>30</v>
      </c>
      <c r="P28" s="262">
        <f>VLOOKUP(_07__CRONOGRAMA_2026[[#This Row],[ID Historico]],Cartera1017[[ID Histórico]:[Porcentaje de Avance]],80,FALSE)</f>
        <v>0.85</v>
      </c>
      <c r="Q2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8" s="262">
        <f>IF(_07__CRONOGRAMA_2026[[#This Row],[% REAL]]&gt;_07__CRONOGRAMA_2026[[#This Row],[Porcentaje de Avance]],_07__CRONOGRAMA_2026[[#This Row],[% REAL]],_07__CRONOGRAMA_2026[[#This Row],[Porcentaje de Avance]])</f>
        <v>0.85</v>
      </c>
      <c r="S2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8" s="62" t="str">
        <f>VLOOKUP(_07__CRONOGRAMA_2026[[#This Row],[ID Historico]],Cartera1017[[ID Histórico]:[Estado TI]],31,FALSE)</f>
        <v>06. Calidad Finalizado</v>
      </c>
      <c r="U28" s="62" t="str">
        <f>VLOOKUP(_07__CRONOGRAMA_2026[[#This Row],[ID Historico]],Cartera1017[[ID Histórico]:[Estado TI]],30,FALSE)</f>
        <v>Omar Sarmiento</v>
      </c>
      <c r="V28" s="62" t="str">
        <f>VLOOKUP(_07__CRONOGRAMA_2026[[#This Row],[ID Historico]],Cartera1017[[ID Histórico]:[Estado TI]],29,FALSE)</f>
        <v>Vladimir Ronald Cajavilca Cajavilca</v>
      </c>
    </row>
    <row r="29" spans="1:22" ht="90" hidden="1" customHeight="1">
      <c r="A29" s="62">
        <v>2059</v>
      </c>
      <c r="B29" s="62" t="s">
        <v>101</v>
      </c>
      <c r="C29" s="62" t="s">
        <v>102</v>
      </c>
      <c r="D29" s="62" t="s">
        <v>26</v>
      </c>
      <c r="E29" s="62" t="s">
        <v>27</v>
      </c>
      <c r="F29" s="62" t="s">
        <v>48</v>
      </c>
      <c r="G29" s="262">
        <v>0.15</v>
      </c>
      <c r="H29" s="62" t="s">
        <v>36</v>
      </c>
      <c r="I29" s="358">
        <v>46021</v>
      </c>
      <c r="J29" s="358">
        <v>46141</v>
      </c>
      <c r="K29" s="358">
        <v>46142</v>
      </c>
      <c r="L29" s="358">
        <v>46171</v>
      </c>
      <c r="M29" s="358">
        <v>46176</v>
      </c>
      <c r="N29" s="358">
        <v>46203</v>
      </c>
      <c r="O29" s="62" t="s">
        <v>49</v>
      </c>
      <c r="P29" s="262">
        <f>VLOOKUP(_07__CRONOGRAMA_2026[[#This Row],[ID Historico]],Cartera1017[[ID Histórico]:[Porcentaje de Avance]],80,FALSE)</f>
        <v>0.12</v>
      </c>
      <c r="Q2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0.77952755905511806</v>
      </c>
      <c r="R29" s="262">
        <f>IF(_07__CRONOGRAMA_2026[[#This Row],[% REAL]]&gt;_07__CRONOGRAMA_2026[[#This Row],[Porcentaje de Avance]],_07__CRONOGRAMA_2026[[#This Row],[% REAL]],_07__CRONOGRAMA_2026[[#This Row],[Porcentaje de Avance]])</f>
        <v>0.15</v>
      </c>
      <c r="S2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29" s="62" t="str">
        <f>VLOOKUP(_07__CRONOGRAMA_2026[[#This Row],[ID Historico]],Cartera1017[[ID Histórico]:[Estado TI]],31,FALSE)</f>
        <v>10. Paralizado</v>
      </c>
      <c r="U29" s="62" t="str">
        <f>VLOOKUP(_07__CRONOGRAMA_2026[[#This Row],[ID Historico]],Cartera1017[[ID Histórico]:[Estado TI]],30,FALSE)</f>
        <v>Omar Sarmiento</v>
      </c>
      <c r="V29" s="62" t="str">
        <f>VLOOKUP(_07__CRONOGRAMA_2026[[#This Row],[ID Historico]],Cartera1017[[ID Histórico]:[Estado TI]],29,FALSE)</f>
        <v>Paul Alminagorta Cabezas</v>
      </c>
    </row>
    <row r="30" spans="1:22" ht="45" hidden="1" customHeight="1">
      <c r="A30" s="62">
        <v>2182</v>
      </c>
      <c r="B30" s="62" t="s">
        <v>103</v>
      </c>
      <c r="C30" s="62" t="s">
        <v>104</v>
      </c>
      <c r="D30" s="62" t="s">
        <v>26</v>
      </c>
      <c r="E30" s="62" t="s">
        <v>27</v>
      </c>
      <c r="F30" s="62" t="s">
        <v>48</v>
      </c>
      <c r="G30" s="262">
        <v>0.15</v>
      </c>
      <c r="H30" s="62" t="s">
        <v>36</v>
      </c>
      <c r="I30" s="358">
        <v>45971</v>
      </c>
      <c r="J30" s="358">
        <v>46199</v>
      </c>
      <c r="K30" s="358">
        <v>46052</v>
      </c>
      <c r="L30" s="358">
        <v>46072</v>
      </c>
      <c r="M30" s="358">
        <v>46072</v>
      </c>
      <c r="N30" s="358">
        <v>46084</v>
      </c>
      <c r="O30" s="62" t="s">
        <v>105</v>
      </c>
      <c r="P30" s="262">
        <f>VLOOKUP(_07__CRONOGRAMA_2026[[#This Row],[ID Historico]],Cartera1017[[ID Histórico]:[Porcentaje de Avance]],80,FALSE)</f>
        <v>0.45</v>
      </c>
      <c r="Q3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0" s="262">
        <f>IF(_07__CRONOGRAMA_2026[[#This Row],[% REAL]]&gt;_07__CRONOGRAMA_2026[[#This Row],[Porcentaje de Avance]],_07__CRONOGRAMA_2026[[#This Row],[% REAL]],_07__CRONOGRAMA_2026[[#This Row],[Porcentaje de Avance]])</f>
        <v>0.45</v>
      </c>
      <c r="S3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0" s="62" t="str">
        <f>VLOOKUP(_07__CRONOGRAMA_2026[[#This Row],[ID Historico]],Cartera1017[[ID Histórico]:[Estado TI]],31,FALSE)</f>
        <v>03. En Desarrollo</v>
      </c>
      <c r="U30" s="62" t="str">
        <f>VLOOKUP(_07__CRONOGRAMA_2026[[#This Row],[ID Historico]],Cartera1017[[ID Histórico]:[Estado TI]],30,FALSE)</f>
        <v>Omar Sarmiento</v>
      </c>
      <c r="V30" s="62" t="str">
        <f>VLOOKUP(_07__CRONOGRAMA_2026[[#This Row],[ID Historico]],Cartera1017[[ID Histórico]:[Estado TI]],29,FALSE)</f>
        <v>Monica del Pilar Garcia Campana</v>
      </c>
    </row>
    <row r="31" spans="1:22" ht="30" customHeight="1">
      <c r="A31" s="62">
        <v>2212</v>
      </c>
      <c r="B31" s="62" t="s">
        <v>106</v>
      </c>
      <c r="C31" s="62" t="s">
        <v>107</v>
      </c>
      <c r="D31" s="62" t="s">
        <v>108</v>
      </c>
      <c r="E31" s="62" t="s">
        <v>109</v>
      </c>
      <c r="F31" s="62" t="s">
        <v>28</v>
      </c>
      <c r="G31" s="262">
        <v>0.12</v>
      </c>
      <c r="H31" s="62" t="s">
        <v>29</v>
      </c>
      <c r="I31" s="358">
        <v>45964</v>
      </c>
      <c r="J31" s="358">
        <v>46064</v>
      </c>
      <c r="K31" s="358">
        <v>46069</v>
      </c>
      <c r="L31" s="358">
        <v>46074</v>
      </c>
      <c r="M31" s="358">
        <v>46075</v>
      </c>
      <c r="N31" s="358">
        <v>46078</v>
      </c>
      <c r="O31" s="62" t="s">
        <v>30</v>
      </c>
      <c r="P31" s="262">
        <f>VLOOKUP(_07__CRONOGRAMA_2026[[#This Row],[ID Historico]],Cartera1017[[ID Histórico]:[Porcentaje de Avance]],80,FALSE)</f>
        <v>0.12</v>
      </c>
      <c r="Q3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1" s="262">
        <f>IF(_07__CRONOGRAMA_2026[[#This Row],[% REAL]]&gt;_07__CRONOGRAMA_2026[[#This Row],[Porcentaje de Avance]],_07__CRONOGRAMA_2026[[#This Row],[% REAL]],_07__CRONOGRAMA_2026[[#This Row],[Porcentaje de Avance]])</f>
        <v>0.12</v>
      </c>
      <c r="S3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1" s="62" t="str">
        <f>VLOOKUP(_07__CRONOGRAMA_2026[[#This Row],[ID Historico]],Cartera1017[[ID Histórico]:[Estado TI]],31,FALSE)</f>
        <v>10. Paralizado</v>
      </c>
      <c r="U31" s="62" t="str">
        <f>VLOOKUP(_07__CRONOGRAMA_2026[[#This Row],[ID Historico]],Cartera1017[[ID Histórico]:[Estado TI]],30,FALSE)</f>
        <v>Tomas Calvera</v>
      </c>
      <c r="V31" s="62" t="str">
        <f>VLOOKUP(_07__CRONOGRAMA_2026[[#This Row],[ID Historico]],Cartera1017[[ID Histórico]:[Estado TI]],29,FALSE)</f>
        <v>Vladimir Ronald Cajavilca Cajavilca</v>
      </c>
    </row>
    <row r="32" spans="1:22" ht="60" hidden="1" customHeight="1">
      <c r="A32" s="62">
        <v>2216</v>
      </c>
      <c r="B32" s="62" t="s">
        <v>110</v>
      </c>
      <c r="C32" s="62" t="s">
        <v>111</v>
      </c>
      <c r="D32" s="62" t="s">
        <v>40</v>
      </c>
      <c r="E32" s="62" t="s">
        <v>41</v>
      </c>
      <c r="F32" s="62" t="s">
        <v>42</v>
      </c>
      <c r="G32" s="262">
        <v>0.85</v>
      </c>
      <c r="H32" s="62" t="s">
        <v>36</v>
      </c>
      <c r="I32" s="358">
        <v>45405</v>
      </c>
      <c r="J32" s="358">
        <v>45554</v>
      </c>
      <c r="K32" s="358">
        <v>45566</v>
      </c>
      <c r="L32" s="358">
        <v>45890</v>
      </c>
      <c r="M32" s="358">
        <v>46072</v>
      </c>
      <c r="N32" s="358">
        <v>46084</v>
      </c>
      <c r="O32" s="62" t="s">
        <v>112</v>
      </c>
      <c r="P32" s="262">
        <f>VLOOKUP(_07__CRONOGRAMA_2026[[#This Row],[ID Historico]],Cartera1017[[ID Histórico]:[Porcentaje de Avance]],80,FALSE)</f>
        <v>1</v>
      </c>
      <c r="Q3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2" s="262">
        <f>IF(_07__CRONOGRAMA_2026[[#This Row],[% REAL]]&gt;_07__CRONOGRAMA_2026[[#This Row],[Porcentaje de Avance]],_07__CRONOGRAMA_2026[[#This Row],[% REAL]],_07__CRONOGRAMA_2026[[#This Row],[Porcentaje de Avance]])</f>
        <v>1</v>
      </c>
      <c r="S3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2" s="62" t="str">
        <f>VLOOKUP(_07__CRONOGRAMA_2026[[#This Row],[ID Historico]],Cartera1017[[ID Histórico]:[Estado TI]],31,FALSE)</f>
        <v>08. Producción Finalizada</v>
      </c>
      <c r="U32" s="62" t="str">
        <f>VLOOKUP(_07__CRONOGRAMA_2026[[#This Row],[ID Historico]],Cartera1017[[ID Histórico]:[Estado TI]],30,FALSE)</f>
        <v>Junior Quicaño</v>
      </c>
      <c r="V32" s="62" t="str">
        <f>VLOOKUP(_07__CRONOGRAMA_2026[[#This Row],[ID Historico]],Cartera1017[[ID Histórico]:[Estado TI]],29,FALSE)</f>
        <v>Jorge Lucio Ruedas Fernandez/Fiorella Emma Galvan Soto</v>
      </c>
    </row>
    <row r="33" spans="1:22" ht="60" hidden="1" customHeight="1">
      <c r="A33" s="62">
        <v>2224</v>
      </c>
      <c r="B33" s="62" t="s">
        <v>113</v>
      </c>
      <c r="C33" s="62" t="s">
        <v>114</v>
      </c>
      <c r="D33" s="62" t="s">
        <v>40</v>
      </c>
      <c r="E33" s="62" t="s">
        <v>41</v>
      </c>
      <c r="F33" s="62" t="s">
        <v>35</v>
      </c>
      <c r="G33" s="262">
        <v>0.9</v>
      </c>
      <c r="H33" s="62" t="s">
        <v>36</v>
      </c>
      <c r="I33" s="358">
        <v>45405</v>
      </c>
      <c r="J33" s="358">
        <v>45824</v>
      </c>
      <c r="K33" s="358">
        <v>45838</v>
      </c>
      <c r="L33" s="358">
        <v>45838</v>
      </c>
      <c r="M33" s="358">
        <v>45839</v>
      </c>
      <c r="N33" s="358">
        <v>46084</v>
      </c>
      <c r="O33" s="62" t="s">
        <v>112</v>
      </c>
      <c r="P33" s="262">
        <f>VLOOKUP(_07__CRONOGRAMA_2026[[#This Row],[ID Historico]],Cartera1017[[ID Histórico]:[Porcentaje de Avance]],80,FALSE)</f>
        <v>1</v>
      </c>
      <c r="Q3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3" s="262">
        <f>IF(_07__CRONOGRAMA_2026[[#This Row],[% REAL]]&gt;_07__CRONOGRAMA_2026[[#This Row],[Porcentaje de Avance]],_07__CRONOGRAMA_2026[[#This Row],[% REAL]],_07__CRONOGRAMA_2026[[#This Row],[Porcentaje de Avance]])</f>
        <v>1</v>
      </c>
      <c r="S3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3" s="62" t="str">
        <f>VLOOKUP(_07__CRONOGRAMA_2026[[#This Row],[ID Historico]],Cartera1017[[ID Histórico]:[Estado TI]],31,FALSE)</f>
        <v>08. Producción Finalizada</v>
      </c>
      <c r="U33" s="62" t="str">
        <f>VLOOKUP(_07__CRONOGRAMA_2026[[#This Row],[ID Historico]],Cartera1017[[ID Histórico]:[Estado TI]],30,FALSE)</f>
        <v>Junior Quicaño</v>
      </c>
      <c r="V33" s="62" t="str">
        <f>VLOOKUP(_07__CRONOGRAMA_2026[[#This Row],[ID Historico]],Cartera1017[[ID Histórico]:[Estado TI]],29,FALSE)</f>
        <v>Jorge Lucio Ruedas Fernandez/Fiorella Emma Galvan Soto</v>
      </c>
    </row>
    <row r="34" spans="1:22" ht="60" customHeight="1">
      <c r="A34" s="62">
        <v>2286</v>
      </c>
      <c r="B34" s="62" t="s">
        <v>115</v>
      </c>
      <c r="C34" s="62" t="s">
        <v>116</v>
      </c>
      <c r="D34" s="62" t="s">
        <v>108</v>
      </c>
      <c r="E34" s="62" t="s">
        <v>109</v>
      </c>
      <c r="F34" s="62" t="s">
        <v>48</v>
      </c>
      <c r="G34" s="262">
        <v>0.15</v>
      </c>
      <c r="H34" s="62" t="s">
        <v>83</v>
      </c>
      <c r="I34" s="358">
        <v>45995</v>
      </c>
      <c r="J34" s="358">
        <v>46066</v>
      </c>
      <c r="K34" s="358">
        <v>46069</v>
      </c>
      <c r="L34" s="358">
        <v>46101</v>
      </c>
      <c r="M34" s="358">
        <v>46104</v>
      </c>
      <c r="N34" s="358">
        <v>46111</v>
      </c>
      <c r="O34" s="62" t="s">
        <v>30</v>
      </c>
      <c r="P34" s="262">
        <f>VLOOKUP(_07__CRONOGRAMA_2026[[#This Row],[ID Historico]],Cartera1017[[ID Histórico]:[Porcentaje de Avance]],80,FALSE)</f>
        <v>0.12</v>
      </c>
      <c r="Q3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4" s="262">
        <f>IF(_07__CRONOGRAMA_2026[[#This Row],[% REAL]]&gt;_07__CRONOGRAMA_2026[[#This Row],[Porcentaje de Avance]],_07__CRONOGRAMA_2026[[#This Row],[% REAL]],_07__CRONOGRAMA_2026[[#This Row],[Porcentaje de Avance]])</f>
        <v>0.15</v>
      </c>
      <c r="S3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4" s="62" t="str">
        <f>VLOOKUP(_07__CRONOGRAMA_2026[[#This Row],[ID Historico]],Cartera1017[[ID Histórico]:[Estado TI]],31,FALSE)</f>
        <v>10. Paralizado</v>
      </c>
      <c r="U34" s="62" t="str">
        <f>VLOOKUP(_07__CRONOGRAMA_2026[[#This Row],[ID Historico]],Cartera1017[[ID Histórico]:[Estado TI]],30,FALSE)</f>
        <v>Tomas Calvera</v>
      </c>
      <c r="V34" s="62" t="str">
        <f>VLOOKUP(_07__CRONOGRAMA_2026[[#This Row],[ID Historico]],Cartera1017[[ID Histórico]:[Estado TI]],29,FALSE)</f>
        <v>Vladimir Ronald Cajavilca Cajavilca</v>
      </c>
    </row>
    <row r="35" spans="1:22" ht="30" hidden="1" customHeight="1">
      <c r="A35" s="62">
        <v>2238</v>
      </c>
      <c r="B35" s="62" t="s">
        <v>117</v>
      </c>
      <c r="C35" s="62" t="s">
        <v>118</v>
      </c>
      <c r="D35" s="62" t="s">
        <v>40</v>
      </c>
      <c r="E35" s="62" t="s">
        <v>41</v>
      </c>
      <c r="F35" s="62" t="s">
        <v>35</v>
      </c>
      <c r="G35" s="262">
        <v>0.9</v>
      </c>
      <c r="H35" s="62" t="s">
        <v>36</v>
      </c>
      <c r="I35" s="358">
        <v>46037</v>
      </c>
      <c r="J35" s="358">
        <v>46044</v>
      </c>
      <c r="K35" s="358">
        <v>46045</v>
      </c>
      <c r="L35" s="358">
        <v>46050</v>
      </c>
      <c r="M35" s="358">
        <v>46051</v>
      </c>
      <c r="N35" s="358">
        <v>46125</v>
      </c>
      <c r="O35" s="62" t="s">
        <v>76</v>
      </c>
      <c r="P35" s="262">
        <f>VLOOKUP(_07__CRONOGRAMA_2026[[#This Row],[ID Historico]],Cartera1017[[ID Histórico]:[Porcentaje de Avance]],80,FALSE)</f>
        <v>1</v>
      </c>
      <c r="Q3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5" s="262">
        <f>IF(_07__CRONOGRAMA_2026[[#This Row],[% REAL]]&gt;_07__CRONOGRAMA_2026[[#This Row],[Porcentaje de Avance]],_07__CRONOGRAMA_2026[[#This Row],[% REAL]],_07__CRONOGRAMA_2026[[#This Row],[Porcentaje de Avance]])</f>
        <v>1</v>
      </c>
      <c r="S3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5" s="62" t="str">
        <f>VLOOKUP(_07__CRONOGRAMA_2026[[#This Row],[ID Historico]],Cartera1017[[ID Histórico]:[Estado TI]],31,FALSE)</f>
        <v>08. Producción Finalizada</v>
      </c>
      <c r="U35" s="62" t="str">
        <f>VLOOKUP(_07__CRONOGRAMA_2026[[#This Row],[ID Historico]],Cartera1017[[ID Histórico]:[Estado TI]],30,FALSE)</f>
        <v>Junior Quicaño</v>
      </c>
      <c r="V35" s="62" t="str">
        <f>VLOOKUP(_07__CRONOGRAMA_2026[[#This Row],[ID Historico]],Cartera1017[[ID Histórico]:[Estado TI]],29,FALSE)</f>
        <v>Emerson Quecara Choquetico</v>
      </c>
    </row>
    <row r="36" spans="1:22" ht="45" hidden="1" customHeight="1">
      <c r="A36" s="62">
        <v>2289</v>
      </c>
      <c r="B36" s="62" t="s">
        <v>119</v>
      </c>
      <c r="C36" s="62" t="s">
        <v>120</v>
      </c>
      <c r="D36" s="62" t="s">
        <v>40</v>
      </c>
      <c r="E36" s="62" t="s">
        <v>41</v>
      </c>
      <c r="F36" s="62" t="s">
        <v>48</v>
      </c>
      <c r="G36" s="262">
        <v>0.45</v>
      </c>
      <c r="H36" s="62" t="s">
        <v>83</v>
      </c>
      <c r="I36" s="358">
        <v>45964</v>
      </c>
      <c r="J36" s="358">
        <v>45981</v>
      </c>
      <c r="K36" s="358">
        <v>45985</v>
      </c>
      <c r="L36" s="358">
        <v>46086</v>
      </c>
      <c r="M36" s="358">
        <v>46087</v>
      </c>
      <c r="N36" s="358">
        <v>46093</v>
      </c>
      <c r="O36" s="62" t="s">
        <v>43</v>
      </c>
      <c r="P36" s="262">
        <f>VLOOKUP(_07__CRONOGRAMA_2026[[#This Row],[ID Historico]],Cartera1017[[ID Histórico]:[Porcentaje de Avance]],80,FALSE)</f>
        <v>0.45</v>
      </c>
      <c r="Q3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6" s="262">
        <f>IF(_07__CRONOGRAMA_2026[[#This Row],[% REAL]]&gt;_07__CRONOGRAMA_2026[[#This Row],[Porcentaje de Avance]],_07__CRONOGRAMA_2026[[#This Row],[% REAL]],_07__CRONOGRAMA_2026[[#This Row],[Porcentaje de Avance]])</f>
        <v>0.45</v>
      </c>
      <c r="S3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6" s="62" t="str">
        <f>VLOOKUP(_07__CRONOGRAMA_2026[[#This Row],[ID Historico]],Cartera1017[[ID Histórico]:[Estado TI]],31,FALSE)</f>
        <v>03. En Desarrollo</v>
      </c>
      <c r="U36" s="62" t="str">
        <f>VLOOKUP(_07__CRONOGRAMA_2026[[#This Row],[ID Historico]],Cartera1017[[ID Histórico]:[Estado TI]],30,FALSE)</f>
        <v>Junior Quicaño</v>
      </c>
      <c r="V36" s="62" t="str">
        <f>VLOOKUP(_07__CRONOGRAMA_2026[[#This Row],[ID Historico]],Cartera1017[[ID Histórico]:[Estado TI]],29,FALSE)</f>
        <v>Johnny Luis Rocca Surco</v>
      </c>
    </row>
    <row r="37" spans="1:22" ht="30" hidden="1" customHeight="1">
      <c r="A37" s="62">
        <v>2290</v>
      </c>
      <c r="B37" s="62" t="s">
        <v>121</v>
      </c>
      <c r="C37" s="62" t="s">
        <v>122</v>
      </c>
      <c r="D37" s="62" t="s">
        <v>40</v>
      </c>
      <c r="E37" s="62" t="s">
        <v>41</v>
      </c>
      <c r="F37" s="62" t="s">
        <v>35</v>
      </c>
      <c r="G37" s="262">
        <v>0.9</v>
      </c>
      <c r="H37" s="62" t="s">
        <v>36</v>
      </c>
      <c r="I37" s="358">
        <v>45468</v>
      </c>
      <c r="J37" s="358">
        <v>45708</v>
      </c>
      <c r="K37" s="358">
        <v>45714</v>
      </c>
      <c r="L37" s="358">
        <v>45763</v>
      </c>
      <c r="M37" s="358">
        <v>46050</v>
      </c>
      <c r="N37" s="358">
        <v>46084</v>
      </c>
      <c r="O37" s="62" t="s">
        <v>123</v>
      </c>
      <c r="P37" s="262">
        <f>VLOOKUP(_07__CRONOGRAMA_2026[[#This Row],[ID Historico]],Cartera1017[[ID Histórico]:[Porcentaje de Avance]],80,FALSE)</f>
        <v>1</v>
      </c>
      <c r="Q3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7" s="262">
        <f>IF(_07__CRONOGRAMA_2026[[#This Row],[% REAL]]&gt;_07__CRONOGRAMA_2026[[#This Row],[Porcentaje de Avance]],_07__CRONOGRAMA_2026[[#This Row],[% REAL]],_07__CRONOGRAMA_2026[[#This Row],[Porcentaje de Avance]])</f>
        <v>1</v>
      </c>
      <c r="S3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7" s="62" t="str">
        <f>VLOOKUP(_07__CRONOGRAMA_2026[[#This Row],[ID Historico]],Cartera1017[[ID Histórico]:[Estado TI]],31,FALSE)</f>
        <v>08. Producción Finalizada</v>
      </c>
      <c r="U37" s="62" t="str">
        <f>VLOOKUP(_07__CRONOGRAMA_2026[[#This Row],[ID Historico]],Cartera1017[[ID Histórico]:[Estado TI]],30,FALSE)</f>
        <v>Junior Quicaño</v>
      </c>
      <c r="V37" s="62" t="str">
        <f>VLOOKUP(_07__CRONOGRAMA_2026[[#This Row],[ID Historico]],Cartera1017[[ID Histórico]:[Estado TI]],29,FALSE)</f>
        <v>Norma Fukunaga Fuentes</v>
      </c>
    </row>
    <row r="38" spans="1:22" ht="30" hidden="1" customHeight="1">
      <c r="A38" s="62">
        <v>2282</v>
      </c>
      <c r="B38" s="62" t="s">
        <v>124</v>
      </c>
      <c r="C38" s="62" t="s">
        <v>125</v>
      </c>
      <c r="D38" s="62" t="s">
        <v>40</v>
      </c>
      <c r="E38" s="62" t="s">
        <v>41</v>
      </c>
      <c r="F38" s="62" t="s">
        <v>48</v>
      </c>
      <c r="G38" s="262">
        <v>0.5</v>
      </c>
      <c r="H38" s="62" t="s">
        <v>83</v>
      </c>
      <c r="I38" s="358">
        <v>45964</v>
      </c>
      <c r="J38" s="358">
        <v>46073</v>
      </c>
      <c r="K38" s="358">
        <v>46076</v>
      </c>
      <c r="L38" s="358">
        <v>46112</v>
      </c>
      <c r="M38" s="358">
        <v>46118</v>
      </c>
      <c r="N38" s="358">
        <v>46122</v>
      </c>
      <c r="O38" s="62" t="s">
        <v>126</v>
      </c>
      <c r="P38" s="262">
        <f>VLOOKUP(_07__CRONOGRAMA_2026[[#This Row],[ID Historico]],Cartera1017[[ID Histórico]:[Porcentaje de Avance]],80,FALSE)</f>
        <v>0.4</v>
      </c>
      <c r="Q3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8" s="262">
        <f>IF(_07__CRONOGRAMA_2026[[#This Row],[% REAL]]&gt;_07__CRONOGRAMA_2026[[#This Row],[Porcentaje de Avance]],_07__CRONOGRAMA_2026[[#This Row],[% REAL]],_07__CRONOGRAMA_2026[[#This Row],[Porcentaje de Avance]])</f>
        <v>0.5</v>
      </c>
      <c r="S3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8" s="62" t="str">
        <f>VLOOKUP(_07__CRONOGRAMA_2026[[#This Row],[ID Historico]],Cartera1017[[ID Histórico]:[Estado TI]],31,FALSE)</f>
        <v>03. En Desarrollo</v>
      </c>
      <c r="U38" s="62" t="str">
        <f>VLOOKUP(_07__CRONOGRAMA_2026[[#This Row],[ID Historico]],Cartera1017[[ID Histórico]:[Estado TI]],30,FALSE)</f>
        <v>Junior Quicaño</v>
      </c>
      <c r="V38" s="62" t="str">
        <f>VLOOKUP(_07__CRONOGRAMA_2026[[#This Row],[ID Historico]],Cartera1017[[ID Histórico]:[Estado TI]],29,FALSE)</f>
        <v>Maribel Marlene Medina Molina</v>
      </c>
    </row>
    <row r="39" spans="1:22" ht="30" hidden="1" customHeight="1">
      <c r="A39" s="62">
        <v>2333</v>
      </c>
      <c r="B39" s="62" t="s">
        <v>127</v>
      </c>
      <c r="C39" s="62" t="s">
        <v>128</v>
      </c>
      <c r="D39" s="62" t="s">
        <v>40</v>
      </c>
      <c r="E39" s="62" t="s">
        <v>47</v>
      </c>
      <c r="F39" s="62" t="s">
        <v>53</v>
      </c>
      <c r="G39" s="262">
        <v>1</v>
      </c>
      <c r="H39" s="62" t="s">
        <v>36</v>
      </c>
      <c r="I39" s="358">
        <v>45531</v>
      </c>
      <c r="J39" s="358">
        <v>45825</v>
      </c>
      <c r="K39" s="358">
        <v>45882</v>
      </c>
      <c r="L39" s="358">
        <v>45882</v>
      </c>
      <c r="M39" s="358">
        <v>46055</v>
      </c>
      <c r="N39" s="358">
        <v>46059</v>
      </c>
      <c r="O39" s="62" t="s">
        <v>123</v>
      </c>
      <c r="P39" s="262">
        <f>VLOOKUP(_07__CRONOGRAMA_2026[[#This Row],[ID Historico]],Cartera1017[[ID Histórico]:[Porcentaje de Avance]],80,FALSE)</f>
        <v>1</v>
      </c>
      <c r="Q3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9" s="262">
        <f>IF(_07__CRONOGRAMA_2026[[#This Row],[% REAL]]&gt;_07__CRONOGRAMA_2026[[#This Row],[Porcentaje de Avance]],_07__CRONOGRAMA_2026[[#This Row],[% REAL]],_07__CRONOGRAMA_2026[[#This Row],[Porcentaje de Avance]])</f>
        <v>1</v>
      </c>
      <c r="S3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9" s="62" t="str">
        <f>VLOOKUP(_07__CRONOGRAMA_2026[[#This Row],[ID Historico]],Cartera1017[[ID Histórico]:[Estado TI]],31,FALSE)</f>
        <v>08. Producción Finalizada</v>
      </c>
      <c r="U39" s="62" t="str">
        <f>VLOOKUP(_07__CRONOGRAMA_2026[[#This Row],[ID Historico]],Cartera1017[[ID Histórico]:[Estado TI]],30,FALSE)</f>
        <v>Juan Carlos Zavaleta</v>
      </c>
      <c r="V39" s="62" t="str">
        <f>VLOOKUP(_07__CRONOGRAMA_2026[[#This Row],[ID Historico]],Cartera1017[[ID Histórico]:[Estado TI]],29,FALSE)</f>
        <v>Norma Fukunaga Fuentes</v>
      </c>
    </row>
    <row r="40" spans="1:22" ht="90" hidden="1" customHeight="1">
      <c r="A40" s="62">
        <v>2235</v>
      </c>
      <c r="B40" s="62" t="s">
        <v>129</v>
      </c>
      <c r="C40" s="62" t="s">
        <v>130</v>
      </c>
      <c r="D40" s="62" t="s">
        <v>40</v>
      </c>
      <c r="E40" s="62" t="s">
        <v>41</v>
      </c>
      <c r="F40" s="62" t="s">
        <v>42</v>
      </c>
      <c r="G40" s="262">
        <v>0.85</v>
      </c>
      <c r="H40" s="62" t="s">
        <v>36</v>
      </c>
      <c r="I40" s="358">
        <v>45565</v>
      </c>
      <c r="J40" s="358">
        <v>45621</v>
      </c>
      <c r="K40" s="358">
        <v>45644</v>
      </c>
      <c r="L40" s="358">
        <v>45663</v>
      </c>
      <c r="M40" s="358">
        <v>46072</v>
      </c>
      <c r="N40" s="358">
        <v>46084</v>
      </c>
      <c r="O40" s="62" t="s">
        <v>79</v>
      </c>
      <c r="P40" s="262">
        <f>VLOOKUP(_07__CRONOGRAMA_2026[[#This Row],[ID Historico]],Cartera1017[[ID Histórico]:[Porcentaje de Avance]],80,FALSE)</f>
        <v>0.85</v>
      </c>
      <c r="Q4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0" s="262">
        <f>IF(_07__CRONOGRAMA_2026[[#This Row],[% REAL]]&gt;_07__CRONOGRAMA_2026[[#This Row],[Porcentaje de Avance]],_07__CRONOGRAMA_2026[[#This Row],[% REAL]],_07__CRONOGRAMA_2026[[#This Row],[Porcentaje de Avance]])</f>
        <v>0.85</v>
      </c>
      <c r="S4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0" s="62" t="str">
        <f>VLOOKUP(_07__CRONOGRAMA_2026[[#This Row],[ID Historico]],Cartera1017[[ID Histórico]:[Estado TI]],31,FALSE)</f>
        <v>06. Calidad Finalizado</v>
      </c>
      <c r="U40" s="62" t="str">
        <f>VLOOKUP(_07__CRONOGRAMA_2026[[#This Row],[ID Historico]],Cartera1017[[ID Histórico]:[Estado TI]],30,FALSE)</f>
        <v>Junior Quicaño</v>
      </c>
      <c r="V40" s="62" t="str">
        <f>VLOOKUP(_07__CRONOGRAMA_2026[[#This Row],[ID Historico]],Cartera1017[[ID Histórico]:[Estado TI]],29,FALSE)</f>
        <v>María Eva Alfaro Apaza</v>
      </c>
    </row>
    <row r="41" spans="1:22" ht="30" customHeight="1">
      <c r="A41" s="62">
        <v>2361</v>
      </c>
      <c r="B41" s="62" t="s">
        <v>131</v>
      </c>
      <c r="C41" s="62" t="s">
        <v>132</v>
      </c>
      <c r="D41" s="62" t="s">
        <v>108</v>
      </c>
      <c r="E41" s="62" t="s">
        <v>109</v>
      </c>
      <c r="F41" s="62" t="s">
        <v>48</v>
      </c>
      <c r="G41" s="262">
        <v>0.15</v>
      </c>
      <c r="H41" s="62" t="s">
        <v>83</v>
      </c>
      <c r="I41" s="358">
        <v>46013</v>
      </c>
      <c r="J41" s="358">
        <v>46059</v>
      </c>
      <c r="K41" s="358">
        <v>46063</v>
      </c>
      <c r="L41" s="358">
        <v>46073</v>
      </c>
      <c r="M41" s="358">
        <v>46075</v>
      </c>
      <c r="N41" s="358">
        <v>46078</v>
      </c>
      <c r="O41" s="62" t="s">
        <v>133</v>
      </c>
      <c r="P41" s="262">
        <f>VLOOKUP(_07__CRONOGRAMA_2026[[#This Row],[ID Historico]],Cartera1017[[ID Histórico]:[Porcentaje de Avance]],80,FALSE)</f>
        <v>-0.01</v>
      </c>
      <c r="Q4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1" s="262">
        <f>IF(_07__CRONOGRAMA_2026[[#This Row],[% REAL]]&gt;_07__CRONOGRAMA_2026[[#This Row],[Porcentaje de Avance]],_07__CRONOGRAMA_2026[[#This Row],[% REAL]],_07__CRONOGRAMA_2026[[#This Row],[Porcentaje de Avance]])</f>
        <v>0.15</v>
      </c>
      <c r="S4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41" s="62" t="str">
        <f>VLOOKUP(_07__CRONOGRAMA_2026[[#This Row],[ID Historico]],Cartera1017[[ID Histórico]:[Estado TI]],31,FALSE)</f>
        <v>09. Descartado</v>
      </c>
      <c r="U41" s="62" t="str">
        <f>VLOOKUP(_07__CRONOGRAMA_2026[[#This Row],[ID Historico]],Cartera1017[[ID Histórico]:[Estado TI]],30,FALSE)</f>
        <v>Tomas Calvera</v>
      </c>
      <c r="V41" s="62" t="str">
        <f>VLOOKUP(_07__CRONOGRAMA_2026[[#This Row],[ID Historico]],Cartera1017[[ID Histórico]:[Estado TI]],29,FALSE)</f>
        <v>Javier Baltazar Urquiaga Salazar</v>
      </c>
    </row>
    <row r="42" spans="1:22" ht="45" hidden="1" customHeight="1">
      <c r="A42" s="62">
        <v>2388</v>
      </c>
      <c r="B42" s="62" t="s">
        <v>134</v>
      </c>
      <c r="C42" s="62" t="s">
        <v>135</v>
      </c>
      <c r="D42" s="62" t="s">
        <v>136</v>
      </c>
      <c r="E42" s="62" t="s">
        <v>63</v>
      </c>
      <c r="F42" s="62" t="s">
        <v>48</v>
      </c>
      <c r="G42" s="262">
        <v>0.15</v>
      </c>
      <c r="H42" s="62" t="s">
        <v>83</v>
      </c>
      <c r="I42" s="358">
        <v>45967</v>
      </c>
      <c r="J42" s="358">
        <v>46008</v>
      </c>
      <c r="K42" s="358">
        <v>46009</v>
      </c>
      <c r="L42" s="358">
        <v>46048</v>
      </c>
      <c r="M42" s="358">
        <v>46049</v>
      </c>
      <c r="N42" s="358">
        <v>46055</v>
      </c>
      <c r="O42" s="62" t="s">
        <v>49</v>
      </c>
      <c r="P42" s="262">
        <f>VLOOKUP(_07__CRONOGRAMA_2026[[#This Row],[ID Historico]],Cartera1017[[ID Histórico]:[Porcentaje de Avance]],80,FALSE)</f>
        <v>-0.01</v>
      </c>
      <c r="Q4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2" s="262">
        <f>IF(_07__CRONOGRAMA_2026[[#This Row],[% REAL]]&gt;_07__CRONOGRAMA_2026[[#This Row],[Porcentaje de Avance]],_07__CRONOGRAMA_2026[[#This Row],[% REAL]],_07__CRONOGRAMA_2026[[#This Row],[Porcentaje de Avance]])</f>
        <v>0.15</v>
      </c>
      <c r="S4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42" s="62" t="str">
        <f>VLOOKUP(_07__CRONOGRAMA_2026[[#This Row],[ID Historico]],Cartera1017[[ID Histórico]:[Estado TI]],31,FALSE)</f>
        <v>09. Descartado</v>
      </c>
      <c r="U42" s="62" t="str">
        <f>VLOOKUP(_07__CRONOGRAMA_2026[[#This Row],[ID Historico]],Cartera1017[[ID Histórico]:[Estado TI]],30,FALSE)</f>
        <v>Maria Barboza</v>
      </c>
      <c r="V42" s="62" t="str">
        <f>VLOOKUP(_07__CRONOGRAMA_2026[[#This Row],[ID Historico]],Cartera1017[[ID Histórico]:[Estado TI]],29,FALSE)</f>
        <v>Paul Alminagorta Cabezas</v>
      </c>
    </row>
    <row r="43" spans="1:22" ht="30" hidden="1" customHeight="1">
      <c r="A43" s="62">
        <v>2391</v>
      </c>
      <c r="B43" s="62" t="s">
        <v>137</v>
      </c>
      <c r="C43" s="62" t="s">
        <v>138</v>
      </c>
      <c r="D43" s="62" t="s">
        <v>40</v>
      </c>
      <c r="E43" s="62" t="s">
        <v>41</v>
      </c>
      <c r="F43" s="62" t="s">
        <v>42</v>
      </c>
      <c r="G43" s="262">
        <v>0.85</v>
      </c>
      <c r="H43" s="62" t="s">
        <v>36</v>
      </c>
      <c r="I43" s="358">
        <v>45533</v>
      </c>
      <c r="J43" s="358">
        <v>45719</v>
      </c>
      <c r="K43" s="358">
        <v>45722</v>
      </c>
      <c r="L43" s="358">
        <v>45734</v>
      </c>
      <c r="M43" s="358">
        <v>46072</v>
      </c>
      <c r="N43" s="358">
        <v>46084</v>
      </c>
      <c r="O43" s="62" t="s">
        <v>139</v>
      </c>
      <c r="P43" s="262">
        <f>VLOOKUP(_07__CRONOGRAMA_2026[[#This Row],[ID Historico]],Cartera1017[[ID Histórico]:[Porcentaje de Avance]],80,FALSE)</f>
        <v>0.45</v>
      </c>
      <c r="Q4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3" s="262">
        <f>IF(_07__CRONOGRAMA_2026[[#This Row],[% REAL]]&gt;_07__CRONOGRAMA_2026[[#This Row],[Porcentaje de Avance]],_07__CRONOGRAMA_2026[[#This Row],[% REAL]],_07__CRONOGRAMA_2026[[#This Row],[Porcentaje de Avance]])</f>
        <v>0.85</v>
      </c>
      <c r="S4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3" s="62" t="str">
        <f>VLOOKUP(_07__CRONOGRAMA_2026[[#This Row],[ID Historico]],Cartera1017[[ID Histórico]:[Estado TI]],31,FALSE)</f>
        <v>03. En Desarrollo</v>
      </c>
      <c r="U43" s="62" t="str">
        <f>VLOOKUP(_07__CRONOGRAMA_2026[[#This Row],[ID Historico]],Cartera1017[[ID Histórico]:[Estado TI]],30,FALSE)</f>
        <v>Junior Quicaño</v>
      </c>
      <c r="V43" s="62" t="str">
        <f>VLOOKUP(_07__CRONOGRAMA_2026[[#This Row],[ID Historico]],Cartera1017[[ID Histórico]:[Estado TI]],29,FALSE)</f>
        <v>Jorge Lucio Ruedas Fernandez</v>
      </c>
    </row>
    <row r="44" spans="1:22" ht="60" hidden="1" customHeight="1">
      <c r="A44" s="62">
        <v>2402</v>
      </c>
      <c r="B44" s="62" t="s">
        <v>140</v>
      </c>
      <c r="C44" s="62" t="s">
        <v>141</v>
      </c>
      <c r="D44" s="62" t="s">
        <v>26</v>
      </c>
      <c r="E44" s="62" t="s">
        <v>47</v>
      </c>
      <c r="F44" s="62" t="s">
        <v>42</v>
      </c>
      <c r="G44" s="262">
        <v>0.85</v>
      </c>
      <c r="H44" s="62" t="s">
        <v>36</v>
      </c>
      <c r="I44" s="358">
        <v>45540</v>
      </c>
      <c r="J44" s="358">
        <v>45876</v>
      </c>
      <c r="K44" s="358">
        <v>45877</v>
      </c>
      <c r="L44" s="358">
        <v>45883</v>
      </c>
      <c r="M44" s="358">
        <v>46072</v>
      </c>
      <c r="N44" s="358">
        <v>46084</v>
      </c>
      <c r="O44" s="62" t="s">
        <v>30</v>
      </c>
      <c r="P44" s="262">
        <f>VLOOKUP(_07__CRONOGRAMA_2026[[#This Row],[ID Historico]],Cartera1017[[ID Histórico]:[Porcentaje de Avance]],80,FALSE)</f>
        <v>0.85</v>
      </c>
      <c r="Q4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4" s="262">
        <f>IF(_07__CRONOGRAMA_2026[[#This Row],[% REAL]]&gt;_07__CRONOGRAMA_2026[[#This Row],[Porcentaje de Avance]],_07__CRONOGRAMA_2026[[#This Row],[% REAL]],_07__CRONOGRAMA_2026[[#This Row],[Porcentaje de Avance]])</f>
        <v>0.85</v>
      </c>
      <c r="S4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4" s="62" t="str">
        <f>VLOOKUP(_07__CRONOGRAMA_2026[[#This Row],[ID Historico]],Cartera1017[[ID Histórico]:[Estado TI]],31,FALSE)</f>
        <v>06. Calidad Finalizado</v>
      </c>
      <c r="U44" s="62" t="str">
        <f>VLOOKUP(_07__CRONOGRAMA_2026[[#This Row],[ID Historico]],Cartera1017[[ID Histórico]:[Estado TI]],30,FALSE)</f>
        <v>Juan Carlos Zavaleta</v>
      </c>
      <c r="V44" s="62" t="str">
        <f>VLOOKUP(_07__CRONOGRAMA_2026[[#This Row],[ID Historico]],Cartera1017[[ID Histórico]:[Estado TI]],29,FALSE)</f>
        <v>Vladimir Ronald Cajavilca Cajavilca</v>
      </c>
    </row>
    <row r="45" spans="1:22" ht="30" hidden="1" customHeight="1">
      <c r="A45" s="62">
        <v>2416</v>
      </c>
      <c r="B45" s="62" t="s">
        <v>142</v>
      </c>
      <c r="C45" s="62" t="s">
        <v>143</v>
      </c>
      <c r="D45" s="62" t="s">
        <v>52</v>
      </c>
      <c r="E45" s="62" t="s">
        <v>47</v>
      </c>
      <c r="F45" s="62" t="s">
        <v>48</v>
      </c>
      <c r="G45" s="262">
        <v>0.15</v>
      </c>
      <c r="H45" s="62" t="s">
        <v>36</v>
      </c>
      <c r="I45" s="358">
        <v>46038</v>
      </c>
      <c r="J45" s="358">
        <v>46112</v>
      </c>
      <c r="K45" s="358">
        <v>46112</v>
      </c>
      <c r="L45" s="358">
        <v>46185</v>
      </c>
      <c r="M45" s="358">
        <v>46185</v>
      </c>
      <c r="N45" s="358">
        <v>46203</v>
      </c>
      <c r="O45" s="62" t="s">
        <v>79</v>
      </c>
      <c r="P45" s="262">
        <f>VLOOKUP(_07__CRONOGRAMA_2026[[#This Row],[ID Historico]],Cartera1017[[ID Histórico]:[Porcentaje de Avance]],80,FALSE)</f>
        <v>0.12</v>
      </c>
      <c r="Q4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0.75862068965517238</v>
      </c>
      <c r="R45" s="262">
        <f>IF(_07__CRONOGRAMA_2026[[#This Row],[% REAL]]&gt;_07__CRONOGRAMA_2026[[#This Row],[Porcentaje de Avance]],_07__CRONOGRAMA_2026[[#This Row],[% REAL]],_07__CRONOGRAMA_2026[[#This Row],[Porcentaje de Avance]])</f>
        <v>0.15</v>
      </c>
      <c r="S4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45" s="62" t="str">
        <f>VLOOKUP(_07__CRONOGRAMA_2026[[#This Row],[ID Historico]],Cartera1017[[ID Histórico]:[Estado TI]],31,FALSE)</f>
        <v>10. Paralizado</v>
      </c>
      <c r="U45" s="62" t="str">
        <f>VLOOKUP(_07__CRONOGRAMA_2026[[#This Row],[ID Historico]],Cartera1017[[ID Histórico]:[Estado TI]],30,FALSE)</f>
        <v>Juan Carlos Zavaleta</v>
      </c>
      <c r="V45" s="62" t="str">
        <f>VLOOKUP(_07__CRONOGRAMA_2026[[#This Row],[ID Historico]],Cartera1017[[ID Histórico]:[Estado TI]],29,FALSE)</f>
        <v>Maribel Marlene Medina Molina</v>
      </c>
    </row>
    <row r="46" spans="1:22" ht="60" hidden="1" customHeight="1">
      <c r="A46" s="62">
        <v>2478</v>
      </c>
      <c r="B46" s="62" t="s">
        <v>144</v>
      </c>
      <c r="C46" s="62" t="s">
        <v>145</v>
      </c>
      <c r="D46" s="62" t="s">
        <v>40</v>
      </c>
      <c r="E46" s="62" t="s">
        <v>47</v>
      </c>
      <c r="F46" s="62" t="s">
        <v>42</v>
      </c>
      <c r="G46" s="262">
        <v>0.9</v>
      </c>
      <c r="H46" s="62" t="s">
        <v>36</v>
      </c>
      <c r="I46" s="358">
        <v>45796</v>
      </c>
      <c r="J46" s="358">
        <v>45796</v>
      </c>
      <c r="K46" s="358">
        <v>45803</v>
      </c>
      <c r="L46" s="358">
        <v>45817</v>
      </c>
      <c r="M46" s="358">
        <v>46072</v>
      </c>
      <c r="N46" s="358">
        <v>46084</v>
      </c>
      <c r="O46" s="62" t="s">
        <v>76</v>
      </c>
      <c r="P46" s="262">
        <f>VLOOKUP(_07__CRONOGRAMA_2026[[#This Row],[ID Historico]],Cartera1017[[ID Histórico]:[Porcentaje de Avance]],80,FALSE)</f>
        <v>0.85</v>
      </c>
      <c r="Q4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6" s="262">
        <f>IF(_07__CRONOGRAMA_2026[[#This Row],[% REAL]]&gt;_07__CRONOGRAMA_2026[[#This Row],[Porcentaje de Avance]],_07__CRONOGRAMA_2026[[#This Row],[% REAL]],_07__CRONOGRAMA_2026[[#This Row],[Porcentaje de Avance]])</f>
        <v>0.9</v>
      </c>
      <c r="S4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6" s="62" t="str">
        <f>VLOOKUP(_07__CRONOGRAMA_2026[[#This Row],[ID Historico]],Cartera1017[[ID Histórico]:[Estado TI]],31,FALSE)</f>
        <v>06. Calidad Finalizado</v>
      </c>
      <c r="U46" s="62" t="str">
        <f>VLOOKUP(_07__CRONOGRAMA_2026[[#This Row],[ID Historico]],Cartera1017[[ID Histórico]:[Estado TI]],30,FALSE)</f>
        <v>Juan Carlos Zavaleta</v>
      </c>
      <c r="V46" s="62" t="str">
        <f>VLOOKUP(_07__CRONOGRAMA_2026[[#This Row],[ID Historico]],Cartera1017[[ID Histórico]:[Estado TI]],29,FALSE)</f>
        <v>Emerson Quecara Choquetico</v>
      </c>
    </row>
    <row r="47" spans="1:22" ht="45" hidden="1" customHeight="1">
      <c r="A47" s="62">
        <v>2412</v>
      </c>
      <c r="B47" s="62" t="s">
        <v>146</v>
      </c>
      <c r="C47" s="62" t="s">
        <v>147</v>
      </c>
      <c r="D47" s="62" t="s">
        <v>46</v>
      </c>
      <c r="E47" s="62" t="s">
        <v>47</v>
      </c>
      <c r="F47" s="62" t="s">
        <v>48</v>
      </c>
      <c r="G47" s="262">
        <v>0.7</v>
      </c>
      <c r="H47" s="62" t="s">
        <v>83</v>
      </c>
      <c r="I47" s="358">
        <v>45964</v>
      </c>
      <c r="J47" s="358">
        <v>46003</v>
      </c>
      <c r="K47" s="358">
        <v>46007</v>
      </c>
      <c r="L47" s="358">
        <v>46045</v>
      </c>
      <c r="M47" s="358">
        <v>46048</v>
      </c>
      <c r="N47" s="358">
        <v>46056</v>
      </c>
      <c r="O47" s="62" t="s">
        <v>43</v>
      </c>
      <c r="P47" s="262">
        <f>VLOOKUP(_07__CRONOGRAMA_2026[[#This Row],[ID Historico]],Cartera1017[[ID Histórico]:[Porcentaje de Avance]],80,FALSE)</f>
        <v>0.99</v>
      </c>
      <c r="Q4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7" s="262">
        <f>IF(_07__CRONOGRAMA_2026[[#This Row],[% REAL]]&gt;_07__CRONOGRAMA_2026[[#This Row],[Porcentaje de Avance]],_07__CRONOGRAMA_2026[[#This Row],[% REAL]],_07__CRONOGRAMA_2026[[#This Row],[Porcentaje de Avance]])</f>
        <v>0.99</v>
      </c>
      <c r="S4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47" s="62" t="str">
        <f>VLOOKUP(_07__CRONOGRAMA_2026[[#This Row],[ID Historico]],Cartera1017[[ID Histórico]:[Estado TI]],31,FALSE)</f>
        <v>06. Calidad Finalizado</v>
      </c>
      <c r="U47" s="62" t="str">
        <f>VLOOKUP(_07__CRONOGRAMA_2026[[#This Row],[ID Historico]],Cartera1017[[ID Histórico]:[Estado TI]],30,FALSE)</f>
        <v>Juan Carlos Zavaleta</v>
      </c>
      <c r="V47" s="62" t="str">
        <f>VLOOKUP(_07__CRONOGRAMA_2026[[#This Row],[ID Historico]],Cartera1017[[ID Histórico]:[Estado TI]],29,FALSE)</f>
        <v>Johnny Luis Rocca Surco</v>
      </c>
    </row>
    <row r="48" spans="1:22" ht="45" hidden="1" customHeight="1">
      <c r="A48" s="62">
        <v>2499</v>
      </c>
      <c r="B48" s="62" t="s">
        <v>148</v>
      </c>
      <c r="C48" s="62" t="s">
        <v>149</v>
      </c>
      <c r="D48" s="62" t="s">
        <v>40</v>
      </c>
      <c r="E48" s="62" t="s">
        <v>41</v>
      </c>
      <c r="F48" s="62" t="s">
        <v>87</v>
      </c>
      <c r="G48" s="262">
        <v>0.6</v>
      </c>
      <c r="H48" s="62" t="s">
        <v>36</v>
      </c>
      <c r="I48" s="358">
        <v>45964</v>
      </c>
      <c r="J48" s="358">
        <v>46063</v>
      </c>
      <c r="K48" s="358">
        <v>46070</v>
      </c>
      <c r="L48" s="358">
        <v>46112</v>
      </c>
      <c r="M48" s="358">
        <v>46113</v>
      </c>
      <c r="N48" s="358">
        <v>46115</v>
      </c>
      <c r="O48" s="62" t="s">
        <v>150</v>
      </c>
      <c r="P48" s="262">
        <f>VLOOKUP(_07__CRONOGRAMA_2026[[#This Row],[ID Historico]],Cartera1017[[ID Histórico]:[Porcentaje de Avance]],80,FALSE)</f>
        <v>1</v>
      </c>
      <c r="Q4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8" s="262">
        <f>IF(_07__CRONOGRAMA_2026[[#This Row],[% REAL]]&gt;_07__CRONOGRAMA_2026[[#This Row],[Porcentaje de Avance]],_07__CRONOGRAMA_2026[[#This Row],[% REAL]],_07__CRONOGRAMA_2026[[#This Row],[Porcentaje de Avance]])</f>
        <v>1</v>
      </c>
      <c r="S4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48" s="62" t="str">
        <f>VLOOKUP(_07__CRONOGRAMA_2026[[#This Row],[ID Historico]],Cartera1017[[ID Histórico]:[Estado TI]],31,FALSE)</f>
        <v>08. Producción Finalizada</v>
      </c>
      <c r="U48" s="62" t="str">
        <f>VLOOKUP(_07__CRONOGRAMA_2026[[#This Row],[ID Historico]],Cartera1017[[ID Histórico]:[Estado TI]],30,FALSE)</f>
        <v>Junior Quicaño</v>
      </c>
      <c r="V48" s="62" t="str">
        <f>VLOOKUP(_07__CRONOGRAMA_2026[[#This Row],[ID Historico]],Cartera1017[[ID Histórico]:[Estado TI]],29,FALSE)</f>
        <v>Pedro Jose Encalada Huertas</v>
      </c>
    </row>
    <row r="49" spans="1:22" ht="30" customHeight="1">
      <c r="A49" s="62">
        <v>2530</v>
      </c>
      <c r="B49" s="62" t="s">
        <v>151</v>
      </c>
      <c r="C49" s="62" t="s">
        <v>152</v>
      </c>
      <c r="D49" s="62" t="s">
        <v>108</v>
      </c>
      <c r="E49" s="62" t="s">
        <v>109</v>
      </c>
      <c r="F49" s="62" t="s">
        <v>35</v>
      </c>
      <c r="G49" s="262">
        <v>0.9</v>
      </c>
      <c r="H49" s="62" t="s">
        <v>36</v>
      </c>
      <c r="I49" s="358">
        <v>45601</v>
      </c>
      <c r="J49" s="358">
        <v>45616</v>
      </c>
      <c r="K49" s="358">
        <v>45621</v>
      </c>
      <c r="L49" s="358">
        <v>45644</v>
      </c>
      <c r="M49" s="358">
        <v>45672</v>
      </c>
      <c r="N49" s="358">
        <v>46084</v>
      </c>
      <c r="O49" s="62" t="s">
        <v>153</v>
      </c>
      <c r="P49" s="262">
        <f>VLOOKUP(_07__CRONOGRAMA_2026[[#This Row],[ID Historico]],Cartera1017[[ID Histórico]:[Porcentaje de Avance]],80,FALSE)</f>
        <v>0.9</v>
      </c>
      <c r="Q4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9" s="262">
        <f>IF(_07__CRONOGRAMA_2026[[#This Row],[% REAL]]&gt;_07__CRONOGRAMA_2026[[#This Row],[Porcentaje de Avance]],_07__CRONOGRAMA_2026[[#This Row],[% REAL]],_07__CRONOGRAMA_2026[[#This Row],[Porcentaje de Avance]])</f>
        <v>0.9</v>
      </c>
      <c r="S4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9" s="62" t="str">
        <f>VLOOKUP(_07__CRONOGRAMA_2026[[#This Row],[ID Historico]],Cartera1017[[ID Histórico]:[Estado TI]],31,FALSE)</f>
        <v>07. En Despliegue</v>
      </c>
      <c r="U49" s="62" t="str">
        <f>VLOOKUP(_07__CRONOGRAMA_2026[[#This Row],[ID Historico]],Cartera1017[[ID Histórico]:[Estado TI]],30,FALSE)</f>
        <v>Tomas Calvera</v>
      </c>
      <c r="V49" s="62" t="str">
        <f>VLOOKUP(_07__CRONOGRAMA_2026[[#This Row],[ID Historico]],Cartera1017[[ID Histórico]:[Estado TI]],29,FALSE)</f>
        <v>Angela Rocio Risco Vega</v>
      </c>
    </row>
    <row r="50" spans="1:22" ht="45" hidden="1" customHeight="1">
      <c r="A50" s="62">
        <v>2544</v>
      </c>
      <c r="B50" s="62" t="s">
        <v>154</v>
      </c>
      <c r="C50" s="62" t="s">
        <v>155</v>
      </c>
      <c r="D50" s="62" t="s">
        <v>26</v>
      </c>
      <c r="E50" s="62" t="s">
        <v>27</v>
      </c>
      <c r="F50" s="62" t="s">
        <v>53</v>
      </c>
      <c r="G50" s="262">
        <v>1</v>
      </c>
      <c r="H50" s="62" t="s">
        <v>36</v>
      </c>
      <c r="I50" s="358">
        <v>45748</v>
      </c>
      <c r="J50" s="358">
        <v>45873</v>
      </c>
      <c r="K50" s="358">
        <v>45876</v>
      </c>
      <c r="L50" s="358">
        <v>45957</v>
      </c>
      <c r="M50" s="358">
        <v>45989</v>
      </c>
      <c r="N50" s="358">
        <v>45996</v>
      </c>
      <c r="O50" s="62" t="s">
        <v>30</v>
      </c>
      <c r="P50" s="262">
        <f>VLOOKUP(_07__CRONOGRAMA_2026[[#This Row],[ID Historico]],Cartera1017[[ID Histórico]:[Porcentaje de Avance]],80,FALSE)</f>
        <v>1</v>
      </c>
      <c r="Q5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0" s="262">
        <f>IF(_07__CRONOGRAMA_2026[[#This Row],[% REAL]]&gt;_07__CRONOGRAMA_2026[[#This Row],[Porcentaje de Avance]],_07__CRONOGRAMA_2026[[#This Row],[% REAL]],_07__CRONOGRAMA_2026[[#This Row],[Porcentaje de Avance]])</f>
        <v>1</v>
      </c>
      <c r="S5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0" s="62" t="str">
        <f>VLOOKUP(_07__CRONOGRAMA_2026[[#This Row],[ID Historico]],Cartera1017[[ID Histórico]:[Estado TI]],31,FALSE)</f>
        <v>08. Producción Finalizada</v>
      </c>
      <c r="U50" s="62" t="str">
        <f>VLOOKUP(_07__CRONOGRAMA_2026[[#This Row],[ID Historico]],Cartera1017[[ID Histórico]:[Estado TI]],30,FALSE)</f>
        <v>Omar Sarmiento</v>
      </c>
      <c r="V50" s="62" t="str">
        <f>VLOOKUP(_07__CRONOGRAMA_2026[[#This Row],[ID Historico]],Cartera1017[[ID Histórico]:[Estado TI]],29,FALSE)</f>
        <v>Vladimir Ronald Cajavilca Cajavilca</v>
      </c>
    </row>
    <row r="51" spans="1:22" ht="30" hidden="1" customHeight="1">
      <c r="A51" s="62">
        <v>2554</v>
      </c>
      <c r="B51" s="62" t="s">
        <v>156</v>
      </c>
      <c r="C51" s="62" t="s">
        <v>157</v>
      </c>
      <c r="D51" s="62" t="s">
        <v>40</v>
      </c>
      <c r="E51" s="62" t="s">
        <v>41</v>
      </c>
      <c r="F51" s="62" t="s">
        <v>48</v>
      </c>
      <c r="G51" s="262">
        <v>0.5</v>
      </c>
      <c r="H51" s="62" t="s">
        <v>83</v>
      </c>
      <c r="I51" s="358">
        <v>45964</v>
      </c>
      <c r="J51" s="358">
        <v>46022</v>
      </c>
      <c r="K51" s="358">
        <v>46024</v>
      </c>
      <c r="L51" s="358">
        <v>46086</v>
      </c>
      <c r="M51" s="358">
        <v>46087</v>
      </c>
      <c r="N51" s="358">
        <v>46093</v>
      </c>
      <c r="O51" s="62" t="s">
        <v>43</v>
      </c>
      <c r="P51" s="262">
        <f>VLOOKUP(_07__CRONOGRAMA_2026[[#This Row],[ID Historico]],Cartera1017[[ID Histórico]:[Porcentaje de Avance]],80,FALSE)</f>
        <v>0.3</v>
      </c>
      <c r="Q5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1" s="262">
        <f>IF(_07__CRONOGRAMA_2026[[#This Row],[% REAL]]&gt;_07__CRONOGRAMA_2026[[#This Row],[Porcentaje de Avance]],_07__CRONOGRAMA_2026[[#This Row],[% REAL]],_07__CRONOGRAMA_2026[[#This Row],[Porcentaje de Avance]])</f>
        <v>0.5</v>
      </c>
      <c r="S5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51" s="62" t="str">
        <f>VLOOKUP(_07__CRONOGRAMA_2026[[#This Row],[ID Historico]],Cartera1017[[ID Histórico]:[Estado TI]],31,FALSE)</f>
        <v>03. En Desarrollo</v>
      </c>
      <c r="U51" s="62" t="str">
        <f>VLOOKUP(_07__CRONOGRAMA_2026[[#This Row],[ID Historico]],Cartera1017[[ID Histórico]:[Estado TI]],30,FALSE)</f>
        <v>Junior Quicaño</v>
      </c>
      <c r="V51" s="62" t="str">
        <f>VLOOKUP(_07__CRONOGRAMA_2026[[#This Row],[ID Historico]],Cartera1017[[ID Histórico]:[Estado TI]],29,FALSE)</f>
        <v>Johnny Luis Rocca Surco</v>
      </c>
    </row>
    <row r="52" spans="1:22" ht="45" customHeight="1">
      <c r="A52" s="62">
        <v>2563</v>
      </c>
      <c r="B52" s="62" t="s">
        <v>158</v>
      </c>
      <c r="C52" s="62" t="s">
        <v>159</v>
      </c>
      <c r="D52" s="62" t="s">
        <v>108</v>
      </c>
      <c r="E52" s="62" t="s">
        <v>109</v>
      </c>
      <c r="F52" s="62" t="s">
        <v>48</v>
      </c>
      <c r="G52" s="262">
        <v>0.7</v>
      </c>
      <c r="H52" s="62" t="s">
        <v>83</v>
      </c>
      <c r="I52" s="358">
        <v>46014</v>
      </c>
      <c r="J52" s="358">
        <v>46014</v>
      </c>
      <c r="K52" s="358">
        <v>46014</v>
      </c>
      <c r="L52" s="358">
        <v>46098</v>
      </c>
      <c r="M52" s="358">
        <v>46099</v>
      </c>
      <c r="N52" s="358">
        <v>46106</v>
      </c>
      <c r="O52" s="62" t="s">
        <v>43</v>
      </c>
      <c r="P52" s="262">
        <f>VLOOKUP(_07__CRONOGRAMA_2026[[#This Row],[ID Historico]],Cartera1017[[ID Histórico]:[Porcentaje de Avance]],80,FALSE)</f>
        <v>1</v>
      </c>
      <c r="Q5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2" s="262">
        <f>IF(_07__CRONOGRAMA_2026[[#This Row],[% REAL]]&gt;_07__CRONOGRAMA_2026[[#This Row],[Porcentaje de Avance]],_07__CRONOGRAMA_2026[[#This Row],[% REAL]],_07__CRONOGRAMA_2026[[#This Row],[Porcentaje de Avance]])</f>
        <v>1</v>
      </c>
      <c r="S5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2" s="62" t="str">
        <f>VLOOKUP(_07__CRONOGRAMA_2026[[#This Row],[ID Historico]],Cartera1017[[ID Histórico]:[Estado TI]],31,FALSE)</f>
        <v>08. Producción Finalizada</v>
      </c>
      <c r="U52" s="62" t="str">
        <f>VLOOKUP(_07__CRONOGRAMA_2026[[#This Row],[ID Historico]],Cartera1017[[ID Histórico]:[Estado TI]],30,FALSE)</f>
        <v>Tomas Calvera</v>
      </c>
      <c r="V52" s="62" t="str">
        <f>VLOOKUP(_07__CRONOGRAMA_2026[[#This Row],[ID Historico]],Cartera1017[[ID Histórico]:[Estado TI]],29,FALSE)</f>
        <v>Johnny Luis Rocca Surco</v>
      </c>
    </row>
    <row r="53" spans="1:22" ht="45" hidden="1" customHeight="1">
      <c r="A53" s="62">
        <v>2565</v>
      </c>
      <c r="B53" s="62" t="s">
        <v>160</v>
      </c>
      <c r="C53" s="62" t="s">
        <v>161</v>
      </c>
      <c r="D53" s="62" t="s">
        <v>40</v>
      </c>
      <c r="E53" s="62" t="s">
        <v>41</v>
      </c>
      <c r="F53" s="62" t="s">
        <v>42</v>
      </c>
      <c r="G53" s="262">
        <v>0.85</v>
      </c>
      <c r="H53" s="62" t="s">
        <v>36</v>
      </c>
      <c r="I53" s="358">
        <v>46055</v>
      </c>
      <c r="J53" s="358">
        <v>46055</v>
      </c>
      <c r="K53" s="358">
        <v>46069</v>
      </c>
      <c r="L53" s="358">
        <v>46098</v>
      </c>
      <c r="M53" s="358">
        <v>46099</v>
      </c>
      <c r="N53" s="358">
        <v>46111</v>
      </c>
      <c r="O53" s="62" t="s">
        <v>162</v>
      </c>
      <c r="P53" s="262">
        <f>VLOOKUP(_07__CRONOGRAMA_2026[[#This Row],[ID Historico]],Cartera1017[[ID Histórico]:[Porcentaje de Avance]],80,FALSE)</f>
        <v>1</v>
      </c>
      <c r="Q5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3" s="262">
        <f>IF(_07__CRONOGRAMA_2026[[#This Row],[% REAL]]&gt;_07__CRONOGRAMA_2026[[#This Row],[Porcentaje de Avance]],_07__CRONOGRAMA_2026[[#This Row],[% REAL]],_07__CRONOGRAMA_2026[[#This Row],[Porcentaje de Avance]])</f>
        <v>1</v>
      </c>
      <c r="S5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3" s="62" t="str">
        <f>VLOOKUP(_07__CRONOGRAMA_2026[[#This Row],[ID Historico]],Cartera1017[[ID Histórico]:[Estado TI]],31,FALSE)</f>
        <v>08. Producción Finalizada</v>
      </c>
      <c r="U53" s="62" t="str">
        <f>VLOOKUP(_07__CRONOGRAMA_2026[[#This Row],[ID Historico]],Cartera1017[[ID Histórico]:[Estado TI]],30,FALSE)</f>
        <v>Junior Quicaño</v>
      </c>
      <c r="V53" s="62" t="str">
        <f>VLOOKUP(_07__CRONOGRAMA_2026[[#This Row],[ID Historico]],Cartera1017[[ID Histórico]:[Estado TI]],29,FALSE)</f>
        <v>Waldo Antonio Basurto Valverde</v>
      </c>
    </row>
    <row r="54" spans="1:22" ht="30" hidden="1" customHeight="1">
      <c r="A54" s="62">
        <v>2595</v>
      </c>
      <c r="B54" s="62" t="s">
        <v>163</v>
      </c>
      <c r="C54" s="62" t="s">
        <v>164</v>
      </c>
      <c r="D54" s="62" t="s">
        <v>40</v>
      </c>
      <c r="E54" s="62" t="s">
        <v>41</v>
      </c>
      <c r="F54" s="62" t="s">
        <v>87</v>
      </c>
      <c r="G54" s="262">
        <v>0.7</v>
      </c>
      <c r="H54" s="62" t="s">
        <v>36</v>
      </c>
      <c r="I54" s="358">
        <v>45855</v>
      </c>
      <c r="J54" s="358">
        <v>45994</v>
      </c>
      <c r="K54" s="358">
        <v>46013</v>
      </c>
      <c r="L54" s="358">
        <v>46097</v>
      </c>
      <c r="M54" s="358">
        <v>46098</v>
      </c>
      <c r="N54" s="358">
        <v>46108</v>
      </c>
      <c r="O54" s="62" t="s">
        <v>165</v>
      </c>
      <c r="P54" s="262">
        <f>VLOOKUP(_07__CRONOGRAMA_2026[[#This Row],[ID Historico]],Cartera1017[[ID Histórico]:[Porcentaje de Avance]],80,FALSE)</f>
        <v>1</v>
      </c>
      <c r="Q5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4" s="262">
        <f>IF(_07__CRONOGRAMA_2026[[#This Row],[% REAL]]&gt;_07__CRONOGRAMA_2026[[#This Row],[Porcentaje de Avance]],_07__CRONOGRAMA_2026[[#This Row],[% REAL]],_07__CRONOGRAMA_2026[[#This Row],[Porcentaje de Avance]])</f>
        <v>1</v>
      </c>
      <c r="S5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4" s="62" t="str">
        <f>VLOOKUP(_07__CRONOGRAMA_2026[[#This Row],[ID Historico]],Cartera1017[[ID Histórico]:[Estado TI]],31,FALSE)</f>
        <v>08. Producción Finalizada</v>
      </c>
      <c r="U54" s="62" t="str">
        <f>VLOOKUP(_07__CRONOGRAMA_2026[[#This Row],[ID Historico]],Cartera1017[[ID Histórico]:[Estado TI]],30,FALSE)</f>
        <v>Junior Quicaño</v>
      </c>
      <c r="V54" s="62" t="str">
        <f>VLOOKUP(_07__CRONOGRAMA_2026[[#This Row],[ID Historico]],Cartera1017[[ID Histórico]:[Estado TI]],29,FALSE)</f>
        <v>Fiorella Emma Galvan Soto</v>
      </c>
    </row>
    <row r="55" spans="1:22" ht="45" hidden="1" customHeight="1">
      <c r="A55" s="62">
        <v>2596</v>
      </c>
      <c r="B55" s="62" t="s">
        <v>166</v>
      </c>
      <c r="C55" s="62" t="s">
        <v>167</v>
      </c>
      <c r="D55" s="62" t="s">
        <v>40</v>
      </c>
      <c r="E55" s="62" t="s">
        <v>41</v>
      </c>
      <c r="F55" s="62" t="s">
        <v>48</v>
      </c>
      <c r="G55" s="262">
        <v>0.31</v>
      </c>
      <c r="H55" s="62" t="s">
        <v>83</v>
      </c>
      <c r="I55" s="358">
        <v>45964</v>
      </c>
      <c r="J55" s="358">
        <v>46055</v>
      </c>
      <c r="K55" s="358">
        <v>46056</v>
      </c>
      <c r="L55" s="358">
        <v>46118</v>
      </c>
      <c r="M55" s="358">
        <v>46119</v>
      </c>
      <c r="N55" s="358">
        <v>46125</v>
      </c>
      <c r="O55" s="62" t="s">
        <v>54</v>
      </c>
      <c r="P55" s="262">
        <f>VLOOKUP(_07__CRONOGRAMA_2026[[#This Row],[ID Historico]],Cartera1017[[ID Histórico]:[Porcentaje de Avance]],80,FALSE)</f>
        <v>1</v>
      </c>
      <c r="Q5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5" s="262">
        <f>IF(_07__CRONOGRAMA_2026[[#This Row],[% REAL]]&gt;_07__CRONOGRAMA_2026[[#This Row],[Porcentaje de Avance]],_07__CRONOGRAMA_2026[[#This Row],[% REAL]],_07__CRONOGRAMA_2026[[#This Row],[Porcentaje de Avance]])</f>
        <v>1</v>
      </c>
      <c r="S5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5" s="62" t="str">
        <f>VLOOKUP(_07__CRONOGRAMA_2026[[#This Row],[ID Historico]],Cartera1017[[ID Histórico]:[Estado TI]],31,FALSE)</f>
        <v>08. Producción Finalizada</v>
      </c>
      <c r="U55" s="62" t="str">
        <f>VLOOKUP(_07__CRONOGRAMA_2026[[#This Row],[ID Historico]],Cartera1017[[ID Histórico]:[Estado TI]],30,FALSE)</f>
        <v>Junior Quicaño</v>
      </c>
      <c r="V55" s="62" t="str">
        <f>VLOOKUP(_07__CRONOGRAMA_2026[[#This Row],[ID Historico]],Cartera1017[[ID Histórico]:[Estado TI]],29,FALSE)</f>
        <v>Eduardo Saul Cardenas Manrique</v>
      </c>
    </row>
    <row r="56" spans="1:22" ht="30" hidden="1" customHeight="1">
      <c r="A56" s="62">
        <v>1792</v>
      </c>
      <c r="B56" s="62" t="s">
        <v>168</v>
      </c>
      <c r="C56" s="62" t="s">
        <v>169</v>
      </c>
      <c r="D56" s="62" t="s">
        <v>40</v>
      </c>
      <c r="E56" s="62" t="s">
        <v>41</v>
      </c>
      <c r="F56" s="62" t="s">
        <v>35</v>
      </c>
      <c r="G56" s="262">
        <v>0.9</v>
      </c>
      <c r="H56" s="62" t="s">
        <v>36</v>
      </c>
      <c r="I56" s="358">
        <v>46014</v>
      </c>
      <c r="J56" s="358">
        <v>46038</v>
      </c>
      <c r="K56" s="358">
        <v>46041</v>
      </c>
      <c r="L56" s="358">
        <v>46056</v>
      </c>
      <c r="M56" s="358">
        <v>46063</v>
      </c>
      <c r="N56" s="358">
        <v>46084</v>
      </c>
      <c r="O56" s="62" t="s">
        <v>43</v>
      </c>
      <c r="P56" s="262">
        <f>VLOOKUP(_07__CRONOGRAMA_2026[[#This Row],[ID Historico]],Cartera1017[[ID Histórico]:[Porcentaje de Avance]],80,FALSE)</f>
        <v>0.9</v>
      </c>
      <c r="Q5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6" s="262">
        <f>IF(_07__CRONOGRAMA_2026[[#This Row],[% REAL]]&gt;_07__CRONOGRAMA_2026[[#This Row],[Porcentaje de Avance]],_07__CRONOGRAMA_2026[[#This Row],[% REAL]],_07__CRONOGRAMA_2026[[#This Row],[Porcentaje de Avance]])</f>
        <v>0.9</v>
      </c>
      <c r="S5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56" s="62" t="str">
        <f>VLOOKUP(_07__CRONOGRAMA_2026[[#This Row],[ID Historico]],Cartera1017[[ID Histórico]:[Estado TI]],31,FALSE)</f>
        <v>07. En Despliegue</v>
      </c>
      <c r="U56" s="62" t="str">
        <f>VLOOKUP(_07__CRONOGRAMA_2026[[#This Row],[ID Historico]],Cartera1017[[ID Histórico]:[Estado TI]],30,FALSE)</f>
        <v>Junior Quicaño</v>
      </c>
      <c r="V56" s="62" t="str">
        <f>VLOOKUP(_07__CRONOGRAMA_2026[[#This Row],[ID Historico]],Cartera1017[[ID Histórico]:[Estado TI]],29,FALSE)</f>
        <v>Johnny Luis Rocca Surco</v>
      </c>
    </row>
    <row r="57" spans="1:22" ht="30" hidden="1" customHeight="1">
      <c r="A57" s="62">
        <v>2546</v>
      </c>
      <c r="B57" s="62" t="s">
        <v>170</v>
      </c>
      <c r="C57" s="62" t="s">
        <v>171</v>
      </c>
      <c r="D57" s="62" t="s">
        <v>26</v>
      </c>
      <c r="E57" s="62" t="s">
        <v>27</v>
      </c>
      <c r="F57" s="62" t="s">
        <v>42</v>
      </c>
      <c r="G57" s="262">
        <v>0.85</v>
      </c>
      <c r="H57" s="62" t="s">
        <v>83</v>
      </c>
      <c r="I57" s="358">
        <v>45971</v>
      </c>
      <c r="J57" s="358">
        <v>46037</v>
      </c>
      <c r="K57" s="358">
        <v>46037</v>
      </c>
      <c r="L57" s="358">
        <v>46043</v>
      </c>
      <c r="M57" s="358">
        <v>46072</v>
      </c>
      <c r="N57" s="358">
        <v>46084</v>
      </c>
      <c r="O57" s="62" t="s">
        <v>30</v>
      </c>
      <c r="P57" s="262">
        <f>VLOOKUP(_07__CRONOGRAMA_2026[[#This Row],[ID Historico]],Cartera1017[[ID Histórico]:[Porcentaje de Avance]],80,FALSE)</f>
        <v>0.85</v>
      </c>
      <c r="Q5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7" s="262">
        <f>IF(_07__CRONOGRAMA_2026[[#This Row],[% REAL]]&gt;_07__CRONOGRAMA_2026[[#This Row],[Porcentaje de Avance]],_07__CRONOGRAMA_2026[[#This Row],[% REAL]],_07__CRONOGRAMA_2026[[#This Row],[Porcentaje de Avance]])</f>
        <v>0.85</v>
      </c>
      <c r="S5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57" s="62" t="str">
        <f>VLOOKUP(_07__CRONOGRAMA_2026[[#This Row],[ID Historico]],Cartera1017[[ID Histórico]:[Estado TI]],31,FALSE)</f>
        <v>06. Calidad Finalizado</v>
      </c>
      <c r="U57" s="62" t="str">
        <f>VLOOKUP(_07__CRONOGRAMA_2026[[#This Row],[ID Historico]],Cartera1017[[ID Histórico]:[Estado TI]],30,FALSE)</f>
        <v>Omar Sarmiento</v>
      </c>
      <c r="V57" s="62" t="str">
        <f>VLOOKUP(_07__CRONOGRAMA_2026[[#This Row],[ID Historico]],Cartera1017[[ID Histórico]:[Estado TI]],29,FALSE)</f>
        <v>Vladimir Ronald Cajavilca Cajavilca</v>
      </c>
    </row>
    <row r="58" spans="1:22" ht="45" hidden="1" customHeight="1">
      <c r="A58" s="62">
        <v>2632</v>
      </c>
      <c r="B58" s="62" t="s">
        <v>172</v>
      </c>
      <c r="C58" s="62" t="s">
        <v>173</v>
      </c>
      <c r="D58" s="62" t="s">
        <v>26</v>
      </c>
      <c r="E58" s="62" t="s">
        <v>27</v>
      </c>
      <c r="F58" s="62" t="s">
        <v>28</v>
      </c>
      <c r="G58" s="262">
        <v>0.12</v>
      </c>
      <c r="H58" s="62" t="s">
        <v>29</v>
      </c>
      <c r="I58" s="358">
        <v>45964</v>
      </c>
      <c r="J58" s="358">
        <v>46199</v>
      </c>
      <c r="K58" s="358">
        <v>46020</v>
      </c>
      <c r="L58" s="358">
        <v>46037</v>
      </c>
      <c r="M58" s="358">
        <v>46038</v>
      </c>
      <c r="N58" s="358">
        <v>46051</v>
      </c>
      <c r="O58" s="62" t="s">
        <v>30</v>
      </c>
      <c r="P58" s="262">
        <f>VLOOKUP(_07__CRONOGRAMA_2026[[#This Row],[ID Historico]],Cartera1017[[ID Histórico]:[Porcentaje de Avance]],80,FALSE)</f>
        <v>0.12</v>
      </c>
      <c r="Q5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8" s="262">
        <f>IF(_07__CRONOGRAMA_2026[[#This Row],[% REAL]]&gt;_07__CRONOGRAMA_2026[[#This Row],[Porcentaje de Avance]],_07__CRONOGRAMA_2026[[#This Row],[% REAL]],_07__CRONOGRAMA_2026[[#This Row],[Porcentaje de Avance]])</f>
        <v>0.12</v>
      </c>
      <c r="S5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58" s="62" t="str">
        <f>VLOOKUP(_07__CRONOGRAMA_2026[[#This Row],[ID Historico]],Cartera1017[[ID Histórico]:[Estado TI]],31,FALSE)</f>
        <v>10. Paralizado</v>
      </c>
      <c r="U58" s="62" t="str">
        <f>VLOOKUP(_07__CRONOGRAMA_2026[[#This Row],[ID Historico]],Cartera1017[[ID Histórico]:[Estado TI]],30,FALSE)</f>
        <v>Omar Sarmiento</v>
      </c>
      <c r="V58" s="62" t="str">
        <f>VLOOKUP(_07__CRONOGRAMA_2026[[#This Row],[ID Historico]],Cartera1017[[ID Histórico]:[Estado TI]],29,FALSE)</f>
        <v>Vladimir Ronald Cajavilca Cajavilca</v>
      </c>
    </row>
    <row r="59" spans="1:22" ht="45" hidden="1" customHeight="1">
      <c r="A59" s="62">
        <v>2673</v>
      </c>
      <c r="B59" s="62" t="s">
        <v>174</v>
      </c>
      <c r="C59" s="62" t="s">
        <v>175</v>
      </c>
      <c r="D59" s="62" t="s">
        <v>40</v>
      </c>
      <c r="E59" s="62" t="s">
        <v>41</v>
      </c>
      <c r="F59" s="62" t="s">
        <v>48</v>
      </c>
      <c r="G59" s="262">
        <v>0.4</v>
      </c>
      <c r="H59" s="62" t="s">
        <v>83</v>
      </c>
      <c r="I59" s="358">
        <v>45988</v>
      </c>
      <c r="J59" s="358">
        <v>46022</v>
      </c>
      <c r="K59" s="358">
        <v>46024</v>
      </c>
      <c r="L59" s="358">
        <v>46081</v>
      </c>
      <c r="M59" s="358">
        <v>46083</v>
      </c>
      <c r="N59" s="358">
        <v>46087</v>
      </c>
      <c r="O59" s="62" t="s">
        <v>123</v>
      </c>
      <c r="P59" s="262">
        <f>VLOOKUP(_07__CRONOGRAMA_2026[[#This Row],[ID Historico]],Cartera1017[[ID Histórico]:[Porcentaje de Avance]],80,FALSE)</f>
        <v>-0.01</v>
      </c>
      <c r="Q5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9" s="262">
        <f>IF(_07__CRONOGRAMA_2026[[#This Row],[% REAL]]&gt;_07__CRONOGRAMA_2026[[#This Row],[Porcentaje de Avance]],_07__CRONOGRAMA_2026[[#This Row],[% REAL]],_07__CRONOGRAMA_2026[[#This Row],[Porcentaje de Avance]])</f>
        <v>0.4</v>
      </c>
      <c r="S5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59" s="62" t="str">
        <f>VLOOKUP(_07__CRONOGRAMA_2026[[#This Row],[ID Historico]],Cartera1017[[ID Histórico]:[Estado TI]],31,FALSE)</f>
        <v>09. Descartado</v>
      </c>
      <c r="U59" s="62" t="str">
        <f>VLOOKUP(_07__CRONOGRAMA_2026[[#This Row],[ID Historico]],Cartera1017[[ID Histórico]:[Estado TI]],30,FALSE)</f>
        <v>Junior Quicaño</v>
      </c>
      <c r="V59" s="62" t="str">
        <f>VLOOKUP(_07__CRONOGRAMA_2026[[#This Row],[ID Historico]],Cartera1017[[ID Histórico]:[Estado TI]],29,FALSE)</f>
        <v>Norma Fukunaga Fuentes</v>
      </c>
    </row>
    <row r="60" spans="1:22" ht="60" hidden="1" customHeight="1">
      <c r="A60" s="62">
        <v>2689</v>
      </c>
      <c r="B60" s="62" t="s">
        <v>176</v>
      </c>
      <c r="C60" s="62" t="s">
        <v>177</v>
      </c>
      <c r="D60" s="62" t="s">
        <v>40</v>
      </c>
      <c r="E60" s="62" t="s">
        <v>41</v>
      </c>
      <c r="F60" s="62" t="s">
        <v>178</v>
      </c>
      <c r="G60" s="262">
        <v>0.5</v>
      </c>
      <c r="H60" s="62" t="s">
        <v>36</v>
      </c>
      <c r="I60" s="358">
        <v>45958</v>
      </c>
      <c r="J60" s="358">
        <v>46064</v>
      </c>
      <c r="K60" s="358">
        <v>46072</v>
      </c>
      <c r="L60" s="358">
        <v>46100</v>
      </c>
      <c r="M60" s="358">
        <v>46101</v>
      </c>
      <c r="N60" s="358">
        <v>46112</v>
      </c>
      <c r="O60" s="62" t="s">
        <v>179</v>
      </c>
      <c r="P60" s="262">
        <f>VLOOKUP(_07__CRONOGRAMA_2026[[#This Row],[ID Historico]],Cartera1017[[ID Histórico]:[Porcentaje de Avance]],80,FALSE)</f>
        <v>0.15</v>
      </c>
      <c r="Q6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0" s="262">
        <f>IF(_07__CRONOGRAMA_2026[[#This Row],[% REAL]]&gt;_07__CRONOGRAMA_2026[[#This Row],[Porcentaje de Avance]],_07__CRONOGRAMA_2026[[#This Row],[% REAL]],_07__CRONOGRAMA_2026[[#This Row],[Porcentaje de Avance]])</f>
        <v>0.5</v>
      </c>
      <c r="S6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60" s="62" t="str">
        <f>VLOOKUP(_07__CRONOGRAMA_2026[[#This Row],[ID Historico]],Cartera1017[[ID Histórico]:[Estado TI]],31,FALSE)</f>
        <v>03. En Desarrollo</v>
      </c>
      <c r="U60" s="62" t="str">
        <f>VLOOKUP(_07__CRONOGRAMA_2026[[#This Row],[ID Historico]],Cartera1017[[ID Histórico]:[Estado TI]],30,FALSE)</f>
        <v>Junior Quicaño</v>
      </c>
      <c r="V60" s="62" t="str">
        <f>VLOOKUP(_07__CRONOGRAMA_2026[[#This Row],[ID Historico]],Cartera1017[[ID Histórico]:[Estado TI]],29,FALSE)</f>
        <v>Maribel Marlene Medina Molina/Pedro Jose Encalada Huertas</v>
      </c>
    </row>
    <row r="61" spans="1:22" ht="45" customHeight="1">
      <c r="A61" s="62">
        <v>2696</v>
      </c>
      <c r="B61" s="62" t="s">
        <v>180</v>
      </c>
      <c r="C61" s="62" t="s">
        <v>181</v>
      </c>
      <c r="D61" s="62" t="s">
        <v>108</v>
      </c>
      <c r="E61" s="62" t="s">
        <v>109</v>
      </c>
      <c r="F61" s="62" t="s">
        <v>35</v>
      </c>
      <c r="G61" s="262">
        <v>0.9</v>
      </c>
      <c r="H61" s="62" t="s">
        <v>36</v>
      </c>
      <c r="I61" s="358">
        <v>45873</v>
      </c>
      <c r="J61" s="358">
        <v>45938</v>
      </c>
      <c r="K61" s="358">
        <v>45950</v>
      </c>
      <c r="L61" s="358">
        <v>46021</v>
      </c>
      <c r="M61" s="358">
        <v>46053</v>
      </c>
      <c r="N61" s="358">
        <v>46084</v>
      </c>
      <c r="O61" s="62" t="s">
        <v>133</v>
      </c>
      <c r="P61" s="262">
        <f>VLOOKUP(_07__CRONOGRAMA_2026[[#This Row],[ID Historico]],Cartera1017[[ID Histórico]:[Porcentaje de Avance]],80,FALSE)</f>
        <v>1</v>
      </c>
      <c r="Q6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1" s="262">
        <f>IF(_07__CRONOGRAMA_2026[[#This Row],[% REAL]]&gt;_07__CRONOGRAMA_2026[[#This Row],[Porcentaje de Avance]],_07__CRONOGRAMA_2026[[#This Row],[% REAL]],_07__CRONOGRAMA_2026[[#This Row],[Porcentaje de Avance]])</f>
        <v>1</v>
      </c>
      <c r="S6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1" s="62" t="str">
        <f>VLOOKUP(_07__CRONOGRAMA_2026[[#This Row],[ID Historico]],Cartera1017[[ID Histórico]:[Estado TI]],31,FALSE)</f>
        <v>08. Producción Finalizada</v>
      </c>
      <c r="U61" s="62" t="str">
        <f>VLOOKUP(_07__CRONOGRAMA_2026[[#This Row],[ID Historico]],Cartera1017[[ID Histórico]:[Estado TI]],30,FALSE)</f>
        <v>Tomas Calvera</v>
      </c>
      <c r="V61" s="62" t="str">
        <f>VLOOKUP(_07__CRONOGRAMA_2026[[#This Row],[ID Historico]],Cartera1017[[ID Histórico]:[Estado TI]],29,FALSE)</f>
        <v>Javier Baltazar Urquiaga Salazar</v>
      </c>
    </row>
    <row r="62" spans="1:22" ht="60" customHeight="1">
      <c r="A62" s="62">
        <v>2698</v>
      </c>
      <c r="B62" s="62" t="s">
        <v>182</v>
      </c>
      <c r="C62" s="62" t="s">
        <v>183</v>
      </c>
      <c r="D62" s="62" t="s">
        <v>108</v>
      </c>
      <c r="E62" s="62" t="s">
        <v>109</v>
      </c>
      <c r="F62" s="62" t="s">
        <v>35</v>
      </c>
      <c r="G62" s="262">
        <v>0.9</v>
      </c>
      <c r="H62" s="62" t="s">
        <v>36</v>
      </c>
      <c r="I62" s="358">
        <v>45873</v>
      </c>
      <c r="J62" s="358">
        <v>45938</v>
      </c>
      <c r="K62" s="358">
        <v>45950</v>
      </c>
      <c r="L62" s="358">
        <v>46021</v>
      </c>
      <c r="M62" s="358">
        <v>46052</v>
      </c>
      <c r="N62" s="358">
        <v>46084</v>
      </c>
      <c r="O62" s="62" t="s">
        <v>133</v>
      </c>
      <c r="P62" s="262">
        <f>VLOOKUP(_07__CRONOGRAMA_2026[[#This Row],[ID Historico]],Cartera1017[[ID Histórico]:[Porcentaje de Avance]],80,FALSE)</f>
        <v>1</v>
      </c>
      <c r="Q6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2" s="262">
        <f>IF(_07__CRONOGRAMA_2026[[#This Row],[% REAL]]&gt;_07__CRONOGRAMA_2026[[#This Row],[Porcentaje de Avance]],_07__CRONOGRAMA_2026[[#This Row],[% REAL]],_07__CRONOGRAMA_2026[[#This Row],[Porcentaje de Avance]])</f>
        <v>1</v>
      </c>
      <c r="S6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2" s="62" t="str">
        <f>VLOOKUP(_07__CRONOGRAMA_2026[[#This Row],[ID Historico]],Cartera1017[[ID Histórico]:[Estado TI]],31,FALSE)</f>
        <v>08. Producción Finalizada</v>
      </c>
      <c r="U62" s="62" t="str">
        <f>VLOOKUP(_07__CRONOGRAMA_2026[[#This Row],[ID Historico]],Cartera1017[[ID Histórico]:[Estado TI]],30,FALSE)</f>
        <v>Tomas Calvera</v>
      </c>
      <c r="V62" s="62" t="str">
        <f>VLOOKUP(_07__CRONOGRAMA_2026[[#This Row],[ID Historico]],Cartera1017[[ID Histórico]:[Estado TI]],29,FALSE)</f>
        <v>Javier Baltazar Urquiaga Salazar</v>
      </c>
    </row>
    <row r="63" spans="1:22" ht="45" hidden="1" customHeight="1">
      <c r="A63" s="62">
        <v>2234</v>
      </c>
      <c r="B63" s="62" t="s">
        <v>184</v>
      </c>
      <c r="C63" s="62" t="s">
        <v>185</v>
      </c>
      <c r="D63" s="62" t="s">
        <v>40</v>
      </c>
      <c r="E63" s="62" t="s">
        <v>41</v>
      </c>
      <c r="F63" s="62" t="s">
        <v>28</v>
      </c>
      <c r="G63" s="262">
        <v>0.47</v>
      </c>
      <c r="H63" s="62" t="s">
        <v>29</v>
      </c>
      <c r="I63" s="358">
        <v>45964</v>
      </c>
      <c r="J63" s="358">
        <v>46022</v>
      </c>
      <c r="K63" s="358">
        <v>46027</v>
      </c>
      <c r="L63" s="358">
        <v>46052</v>
      </c>
      <c r="M63" s="358">
        <v>46055</v>
      </c>
      <c r="N63" s="358">
        <v>46059</v>
      </c>
      <c r="O63" s="62" t="s">
        <v>139</v>
      </c>
      <c r="P63" s="262">
        <f>VLOOKUP(_07__CRONOGRAMA_2026[[#This Row],[ID Historico]],Cartera1017[[ID Histórico]:[Porcentaje de Avance]],80,FALSE)</f>
        <v>0.12</v>
      </c>
      <c r="Q6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3" s="262">
        <f>IF(_07__CRONOGRAMA_2026[[#This Row],[% REAL]]&gt;_07__CRONOGRAMA_2026[[#This Row],[Porcentaje de Avance]],_07__CRONOGRAMA_2026[[#This Row],[% REAL]],_07__CRONOGRAMA_2026[[#This Row],[Porcentaje de Avance]])</f>
        <v>0.47</v>
      </c>
      <c r="S6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63" s="62" t="str">
        <f>VLOOKUP(_07__CRONOGRAMA_2026[[#This Row],[ID Historico]],Cartera1017[[ID Histórico]:[Estado TI]],31,FALSE)</f>
        <v>10. Paralizado</v>
      </c>
      <c r="U63" s="62" t="str">
        <f>VLOOKUP(_07__CRONOGRAMA_2026[[#This Row],[ID Historico]],Cartera1017[[ID Histórico]:[Estado TI]],30,FALSE)</f>
        <v>Junior Quicaño</v>
      </c>
      <c r="V63" s="62" t="str">
        <f>VLOOKUP(_07__CRONOGRAMA_2026[[#This Row],[ID Historico]],Cartera1017[[ID Histórico]:[Estado TI]],29,FALSE)</f>
        <v>Jorge Lucio Ruedas Fernandez</v>
      </c>
    </row>
    <row r="64" spans="1:22" ht="45" hidden="1" customHeight="1">
      <c r="A64" s="62">
        <v>2638</v>
      </c>
      <c r="B64" s="62" t="s">
        <v>186</v>
      </c>
      <c r="C64" s="62" t="s">
        <v>187</v>
      </c>
      <c r="D64" s="62" t="s">
        <v>82</v>
      </c>
      <c r="E64" s="62" t="s">
        <v>63</v>
      </c>
      <c r="F64" s="62" t="s">
        <v>48</v>
      </c>
      <c r="G64" s="262">
        <v>0.15</v>
      </c>
      <c r="H64" s="62" t="s">
        <v>36</v>
      </c>
      <c r="I64" s="358">
        <v>45964</v>
      </c>
      <c r="J64" s="358">
        <v>46081</v>
      </c>
      <c r="K64" s="358">
        <v>46083</v>
      </c>
      <c r="L64" s="358">
        <v>46128</v>
      </c>
      <c r="M64" s="358">
        <v>46129</v>
      </c>
      <c r="N64" s="358">
        <v>46142</v>
      </c>
      <c r="O64" s="62" t="s">
        <v>84</v>
      </c>
      <c r="P64" s="262">
        <f>VLOOKUP(_07__CRONOGRAMA_2026[[#This Row],[ID Historico]],Cartera1017[[ID Histórico]:[Porcentaje de Avance]],80,FALSE)</f>
        <v>0.15</v>
      </c>
      <c r="Q6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4" s="262">
        <f>IF(_07__CRONOGRAMA_2026[[#This Row],[% REAL]]&gt;_07__CRONOGRAMA_2026[[#This Row],[Porcentaje de Avance]],_07__CRONOGRAMA_2026[[#This Row],[% REAL]],_07__CRONOGRAMA_2026[[#This Row],[Porcentaje de Avance]])</f>
        <v>0.15</v>
      </c>
      <c r="S6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64" s="62" t="str">
        <f>VLOOKUP(_07__CRONOGRAMA_2026[[#This Row],[ID Historico]],Cartera1017[[ID Histórico]:[Estado TI]],31,FALSE)</f>
        <v>03. En Desarrollo</v>
      </c>
      <c r="U64" s="62" t="str">
        <f>VLOOKUP(_07__CRONOGRAMA_2026[[#This Row],[ID Historico]],Cartera1017[[ID Histórico]:[Estado TI]],30,FALSE)</f>
        <v>Maria Barboza</v>
      </c>
      <c r="V64" s="62" t="str">
        <f>VLOOKUP(_07__CRONOGRAMA_2026[[#This Row],[ID Historico]],Cartera1017[[ID Histórico]:[Estado TI]],29,FALSE)</f>
        <v>Andrés Quiñones Gonzales</v>
      </c>
    </row>
    <row r="65" spans="1:22" ht="30" hidden="1" customHeight="1">
      <c r="A65" s="62">
        <v>2652</v>
      </c>
      <c r="B65" s="62" t="s">
        <v>188</v>
      </c>
      <c r="C65" s="62" t="s">
        <v>189</v>
      </c>
      <c r="D65" s="62" t="s">
        <v>59</v>
      </c>
      <c r="E65" s="62" t="s">
        <v>47</v>
      </c>
      <c r="F65" s="62" t="s">
        <v>53</v>
      </c>
      <c r="G65" s="262">
        <v>1</v>
      </c>
      <c r="H65" s="62" t="s">
        <v>36</v>
      </c>
      <c r="I65" s="358">
        <v>45943</v>
      </c>
      <c r="J65" s="358">
        <v>45951</v>
      </c>
      <c r="K65" s="358">
        <v>45959</v>
      </c>
      <c r="L65" s="358">
        <v>45980</v>
      </c>
      <c r="M65" s="358">
        <v>46042</v>
      </c>
      <c r="N65" s="358">
        <v>46052</v>
      </c>
      <c r="O65" s="62" t="s">
        <v>190</v>
      </c>
      <c r="P65" s="262">
        <f>VLOOKUP(_07__CRONOGRAMA_2026[[#This Row],[ID Historico]],Cartera1017[[ID Histórico]:[Porcentaje de Avance]],80,FALSE)</f>
        <v>1</v>
      </c>
      <c r="Q6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5" s="262">
        <f>IF(_07__CRONOGRAMA_2026[[#This Row],[% REAL]]&gt;_07__CRONOGRAMA_2026[[#This Row],[Porcentaje de Avance]],_07__CRONOGRAMA_2026[[#This Row],[% REAL]],_07__CRONOGRAMA_2026[[#This Row],[Porcentaje de Avance]])</f>
        <v>1</v>
      </c>
      <c r="S6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5" s="62" t="str">
        <f>VLOOKUP(_07__CRONOGRAMA_2026[[#This Row],[ID Historico]],Cartera1017[[ID Histórico]:[Estado TI]],31,FALSE)</f>
        <v>08. Producción Finalizada</v>
      </c>
      <c r="U65" s="62" t="str">
        <f>VLOOKUP(_07__CRONOGRAMA_2026[[#This Row],[ID Historico]],Cartera1017[[ID Histórico]:[Estado TI]],30,FALSE)</f>
        <v>Juan Carlos Zavaleta</v>
      </c>
      <c r="V65" s="62" t="str">
        <f>VLOOKUP(_07__CRONOGRAMA_2026[[#This Row],[ID Historico]],Cartera1017[[ID Histórico]:[Estado TI]],29,FALSE)</f>
        <v>Luis Enrique Almeyda Pachas</v>
      </c>
    </row>
    <row r="66" spans="1:22" ht="45" hidden="1" customHeight="1">
      <c r="A66" s="62">
        <v>2653</v>
      </c>
      <c r="B66" s="62" t="s">
        <v>191</v>
      </c>
      <c r="C66" s="62" t="s">
        <v>192</v>
      </c>
      <c r="D66" s="62" t="s">
        <v>59</v>
      </c>
      <c r="E66" s="62" t="s">
        <v>47</v>
      </c>
      <c r="F66" s="62" t="s">
        <v>35</v>
      </c>
      <c r="G66" s="262">
        <v>0.9</v>
      </c>
      <c r="H66" s="62" t="s">
        <v>36</v>
      </c>
      <c r="I66" s="358">
        <v>45943</v>
      </c>
      <c r="J66" s="358">
        <v>45945</v>
      </c>
      <c r="K66" s="358">
        <v>45953</v>
      </c>
      <c r="L66" s="358">
        <v>45980</v>
      </c>
      <c r="M66" s="358">
        <v>46051</v>
      </c>
      <c r="N66" s="358">
        <v>46084</v>
      </c>
      <c r="O66" s="62" t="s">
        <v>76</v>
      </c>
      <c r="P66" s="262">
        <f>VLOOKUP(_07__CRONOGRAMA_2026[[#This Row],[ID Historico]],Cartera1017[[ID Histórico]:[Porcentaje de Avance]],80,FALSE)</f>
        <v>1</v>
      </c>
      <c r="Q6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6" s="262">
        <f>IF(_07__CRONOGRAMA_2026[[#This Row],[% REAL]]&gt;_07__CRONOGRAMA_2026[[#This Row],[Porcentaje de Avance]],_07__CRONOGRAMA_2026[[#This Row],[% REAL]],_07__CRONOGRAMA_2026[[#This Row],[Porcentaje de Avance]])</f>
        <v>1</v>
      </c>
      <c r="S6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6" s="62" t="str">
        <f>VLOOKUP(_07__CRONOGRAMA_2026[[#This Row],[ID Historico]],Cartera1017[[ID Histórico]:[Estado TI]],31,FALSE)</f>
        <v>08. Producción Finalizada</v>
      </c>
      <c r="U66" s="62" t="str">
        <f>VLOOKUP(_07__CRONOGRAMA_2026[[#This Row],[ID Historico]],Cartera1017[[ID Histórico]:[Estado TI]],30,FALSE)</f>
        <v>Juan Carlos Zavaleta</v>
      </c>
      <c r="V66" s="62" t="str">
        <f>VLOOKUP(_07__CRONOGRAMA_2026[[#This Row],[ID Historico]],Cartera1017[[ID Histórico]:[Estado TI]],29,FALSE)</f>
        <v>Luis Enrique Almeyda Pachas</v>
      </c>
    </row>
    <row r="67" spans="1:22" ht="45" hidden="1" customHeight="1">
      <c r="A67" s="62">
        <v>2654</v>
      </c>
      <c r="B67" s="62" t="s">
        <v>193</v>
      </c>
      <c r="C67" s="62" t="s">
        <v>194</v>
      </c>
      <c r="D67" s="62" t="s">
        <v>59</v>
      </c>
      <c r="E67" s="62" t="s">
        <v>47</v>
      </c>
      <c r="F67" s="62" t="s">
        <v>53</v>
      </c>
      <c r="G67" s="262">
        <v>1</v>
      </c>
      <c r="H67" s="62" t="s">
        <v>36</v>
      </c>
      <c r="I67" s="358">
        <v>45943</v>
      </c>
      <c r="J67" s="358">
        <v>45954</v>
      </c>
      <c r="K67" s="358">
        <v>45957</v>
      </c>
      <c r="L67" s="358">
        <v>46007</v>
      </c>
      <c r="M67" s="358">
        <v>46042</v>
      </c>
      <c r="N67" s="358">
        <v>46052</v>
      </c>
      <c r="O67" s="62" t="s">
        <v>190</v>
      </c>
      <c r="P67" s="262">
        <f>VLOOKUP(_07__CRONOGRAMA_2026[[#This Row],[ID Historico]],Cartera1017[[ID Histórico]:[Porcentaje de Avance]],80,FALSE)</f>
        <v>1</v>
      </c>
      <c r="Q6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7" s="262">
        <f>IF(_07__CRONOGRAMA_2026[[#This Row],[% REAL]]&gt;_07__CRONOGRAMA_2026[[#This Row],[Porcentaje de Avance]],_07__CRONOGRAMA_2026[[#This Row],[% REAL]],_07__CRONOGRAMA_2026[[#This Row],[Porcentaje de Avance]])</f>
        <v>1</v>
      </c>
      <c r="S6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7" s="62" t="str">
        <f>VLOOKUP(_07__CRONOGRAMA_2026[[#This Row],[ID Historico]],Cartera1017[[ID Histórico]:[Estado TI]],31,FALSE)</f>
        <v>08. Producción Finalizada</v>
      </c>
      <c r="U67" s="62" t="str">
        <f>VLOOKUP(_07__CRONOGRAMA_2026[[#This Row],[ID Historico]],Cartera1017[[ID Histórico]:[Estado TI]],30,FALSE)</f>
        <v>Juan Carlos Zavaleta</v>
      </c>
      <c r="V67" s="62" t="str">
        <f>VLOOKUP(_07__CRONOGRAMA_2026[[#This Row],[ID Historico]],Cartera1017[[ID Histórico]:[Estado TI]],29,FALSE)</f>
        <v>Luis Enrique Almeyda Pachas</v>
      </c>
    </row>
    <row r="68" spans="1:22" ht="60" hidden="1" customHeight="1">
      <c r="A68" s="62">
        <v>2655</v>
      </c>
      <c r="B68" s="62" t="s">
        <v>195</v>
      </c>
      <c r="C68" s="62" t="s">
        <v>196</v>
      </c>
      <c r="D68" s="62" t="s">
        <v>59</v>
      </c>
      <c r="E68" s="62" t="s">
        <v>47</v>
      </c>
      <c r="F68" s="62" t="s">
        <v>42</v>
      </c>
      <c r="G68" s="262">
        <v>0.85</v>
      </c>
      <c r="H68" s="62" t="s">
        <v>83</v>
      </c>
      <c r="I68" s="358">
        <v>45804</v>
      </c>
      <c r="J68" s="358">
        <v>46003</v>
      </c>
      <c r="K68" s="358">
        <v>46013</v>
      </c>
      <c r="L68" s="358">
        <v>46064</v>
      </c>
      <c r="M68" s="358">
        <v>46072</v>
      </c>
      <c r="N68" s="358">
        <v>46084</v>
      </c>
      <c r="O68" s="62" t="s">
        <v>190</v>
      </c>
      <c r="P68" s="262">
        <f>VLOOKUP(_07__CRONOGRAMA_2026[[#This Row],[ID Historico]],Cartera1017[[ID Histórico]:[Porcentaje de Avance]],80,FALSE)</f>
        <v>1</v>
      </c>
      <c r="Q6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8" s="262">
        <f>IF(_07__CRONOGRAMA_2026[[#This Row],[% REAL]]&gt;_07__CRONOGRAMA_2026[[#This Row],[Porcentaje de Avance]],_07__CRONOGRAMA_2026[[#This Row],[% REAL]],_07__CRONOGRAMA_2026[[#This Row],[Porcentaje de Avance]])</f>
        <v>1</v>
      </c>
      <c r="S6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8" s="62" t="str">
        <f>VLOOKUP(_07__CRONOGRAMA_2026[[#This Row],[ID Historico]],Cartera1017[[ID Histórico]:[Estado TI]],31,FALSE)</f>
        <v>08. Producción Finalizada</v>
      </c>
      <c r="U68" s="62" t="str">
        <f>VLOOKUP(_07__CRONOGRAMA_2026[[#This Row],[ID Historico]],Cartera1017[[ID Histórico]:[Estado TI]],30,FALSE)</f>
        <v>Juan Carlos Zavaleta</v>
      </c>
      <c r="V68" s="62" t="str">
        <f>VLOOKUP(_07__CRONOGRAMA_2026[[#This Row],[ID Historico]],Cartera1017[[ID Histórico]:[Estado TI]],29,FALSE)</f>
        <v>Luis Enrique Almeyda Pachas</v>
      </c>
    </row>
    <row r="69" spans="1:22" ht="60" hidden="1" customHeight="1">
      <c r="A69" s="62">
        <v>2656</v>
      </c>
      <c r="B69" s="62" t="s">
        <v>197</v>
      </c>
      <c r="C69" s="62" t="s">
        <v>198</v>
      </c>
      <c r="D69" s="62" t="s">
        <v>59</v>
      </c>
      <c r="E69" s="62" t="s">
        <v>47</v>
      </c>
      <c r="F69" s="62" t="s">
        <v>42</v>
      </c>
      <c r="G69" s="262">
        <v>0.85</v>
      </c>
      <c r="H69" s="62" t="s">
        <v>83</v>
      </c>
      <c r="I69" s="358">
        <v>45804</v>
      </c>
      <c r="J69" s="358">
        <v>46003</v>
      </c>
      <c r="K69" s="358">
        <v>46013</v>
      </c>
      <c r="L69" s="358">
        <v>46064</v>
      </c>
      <c r="M69" s="358">
        <v>46072</v>
      </c>
      <c r="N69" s="358">
        <v>46084</v>
      </c>
      <c r="O69" s="62" t="s">
        <v>190</v>
      </c>
      <c r="P69" s="262">
        <f>VLOOKUP(_07__CRONOGRAMA_2026[[#This Row],[ID Historico]],Cartera1017[[ID Histórico]:[Porcentaje de Avance]],80,FALSE)</f>
        <v>1</v>
      </c>
      <c r="Q6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9" s="262">
        <f>IF(_07__CRONOGRAMA_2026[[#This Row],[% REAL]]&gt;_07__CRONOGRAMA_2026[[#This Row],[Porcentaje de Avance]],_07__CRONOGRAMA_2026[[#This Row],[% REAL]],_07__CRONOGRAMA_2026[[#This Row],[Porcentaje de Avance]])</f>
        <v>1</v>
      </c>
      <c r="S6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9" s="62" t="str">
        <f>VLOOKUP(_07__CRONOGRAMA_2026[[#This Row],[ID Historico]],Cartera1017[[ID Histórico]:[Estado TI]],31,FALSE)</f>
        <v>08. Producción Finalizada</v>
      </c>
      <c r="U69" s="62" t="str">
        <f>VLOOKUP(_07__CRONOGRAMA_2026[[#This Row],[ID Historico]],Cartera1017[[ID Histórico]:[Estado TI]],30,FALSE)</f>
        <v>Juan Carlos Zavaleta</v>
      </c>
      <c r="V69" s="62" t="str">
        <f>VLOOKUP(_07__CRONOGRAMA_2026[[#This Row],[ID Historico]],Cartera1017[[ID Histórico]:[Estado TI]],29,FALSE)</f>
        <v>Luis Enrique Almeyda Pachas</v>
      </c>
    </row>
    <row r="70" spans="1:22" ht="60" hidden="1" customHeight="1">
      <c r="A70" s="62">
        <v>2657</v>
      </c>
      <c r="B70" s="62" t="s">
        <v>199</v>
      </c>
      <c r="C70" s="62" t="s">
        <v>200</v>
      </c>
      <c r="D70" s="62" t="s">
        <v>59</v>
      </c>
      <c r="E70" s="62" t="s">
        <v>47</v>
      </c>
      <c r="F70" s="62" t="s">
        <v>42</v>
      </c>
      <c r="G70" s="262">
        <v>0.85</v>
      </c>
      <c r="H70" s="62" t="s">
        <v>83</v>
      </c>
      <c r="I70" s="358">
        <v>45721</v>
      </c>
      <c r="J70" s="358">
        <v>46003</v>
      </c>
      <c r="K70" s="358">
        <v>46013</v>
      </c>
      <c r="L70" s="358">
        <v>46064</v>
      </c>
      <c r="M70" s="358">
        <v>46072</v>
      </c>
      <c r="N70" s="358">
        <v>46084</v>
      </c>
      <c r="O70" s="62" t="s">
        <v>190</v>
      </c>
      <c r="P70" s="262">
        <f>VLOOKUP(_07__CRONOGRAMA_2026[[#This Row],[ID Historico]],Cartera1017[[ID Histórico]:[Porcentaje de Avance]],80,FALSE)</f>
        <v>1</v>
      </c>
      <c r="Q7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0" s="262">
        <f>IF(_07__CRONOGRAMA_2026[[#This Row],[% REAL]]&gt;_07__CRONOGRAMA_2026[[#This Row],[Porcentaje de Avance]],_07__CRONOGRAMA_2026[[#This Row],[% REAL]],_07__CRONOGRAMA_2026[[#This Row],[Porcentaje de Avance]])</f>
        <v>1</v>
      </c>
      <c r="S7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70" s="62" t="str">
        <f>VLOOKUP(_07__CRONOGRAMA_2026[[#This Row],[ID Historico]],Cartera1017[[ID Histórico]:[Estado TI]],31,FALSE)</f>
        <v>08. Producción Finalizada</v>
      </c>
      <c r="U70" s="62" t="str">
        <f>VLOOKUP(_07__CRONOGRAMA_2026[[#This Row],[ID Historico]],Cartera1017[[ID Histórico]:[Estado TI]],30,FALSE)</f>
        <v>Juan Carlos Zavaleta</v>
      </c>
      <c r="V70" s="62" t="str">
        <f>VLOOKUP(_07__CRONOGRAMA_2026[[#This Row],[ID Historico]],Cartera1017[[ID Histórico]:[Estado TI]],29,FALSE)</f>
        <v>Luis Enrique Almeyda Pachas</v>
      </c>
    </row>
    <row r="71" spans="1:22" ht="60" hidden="1" customHeight="1">
      <c r="A71" s="62">
        <v>2598</v>
      </c>
      <c r="B71" s="62" t="s">
        <v>201</v>
      </c>
      <c r="C71" s="62" t="s">
        <v>202</v>
      </c>
      <c r="D71" s="62" t="s">
        <v>33</v>
      </c>
      <c r="E71" s="62" t="s">
        <v>34</v>
      </c>
      <c r="F71" s="62" t="s">
        <v>28</v>
      </c>
      <c r="G71" s="262">
        <v>0</v>
      </c>
      <c r="H71" s="62" t="s">
        <v>29</v>
      </c>
      <c r="I71" s="358">
        <v>46204</v>
      </c>
      <c r="J71" s="358">
        <v>46304</v>
      </c>
      <c r="K71" s="358">
        <v>46307</v>
      </c>
      <c r="L71" s="358">
        <v>46344</v>
      </c>
      <c r="M71" s="358">
        <v>46345</v>
      </c>
      <c r="N71" s="358">
        <v>46358</v>
      </c>
      <c r="O71" s="62" t="s">
        <v>150</v>
      </c>
      <c r="P71" s="262">
        <f>VLOOKUP(_07__CRONOGRAMA_2026[[#This Row],[ID Historico]],Cartera1017[[ID Histórico]:[Porcentaje de Avance]],80,FALSE)</f>
        <v>0.12</v>
      </c>
      <c r="Q7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71" s="262">
        <f>IF(_07__CRONOGRAMA_2026[[#This Row],[% REAL]]&gt;_07__CRONOGRAMA_2026[[#This Row],[Porcentaje de Avance]],_07__CRONOGRAMA_2026[[#This Row],[% REAL]],_07__CRONOGRAMA_2026[[#This Row],[Porcentaje de Avance]])</f>
        <v>0.12</v>
      </c>
      <c r="S7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71" s="62" t="str">
        <f>VLOOKUP(_07__CRONOGRAMA_2026[[#This Row],[ID Historico]],Cartera1017[[ID Histórico]:[Estado TI]],31,FALSE)</f>
        <v>10. Paralizado</v>
      </c>
      <c r="U71" s="62" t="str">
        <f>VLOOKUP(_07__CRONOGRAMA_2026[[#This Row],[ID Historico]],Cartera1017[[ID Histórico]:[Estado TI]],30,FALSE)</f>
        <v>Milagros Huamani</v>
      </c>
      <c r="V71" s="62" t="str">
        <f>VLOOKUP(_07__CRONOGRAMA_2026[[#This Row],[ID Historico]],Cartera1017[[ID Histórico]:[Estado TI]],29,FALSE)</f>
        <v>Pedro Jose Encalada Huertas</v>
      </c>
    </row>
    <row r="72" spans="1:22" ht="60" hidden="1" customHeight="1">
      <c r="A72" s="62">
        <v>2713</v>
      </c>
      <c r="B72" s="62" t="s">
        <v>203</v>
      </c>
      <c r="C72" s="62" t="s">
        <v>204</v>
      </c>
      <c r="D72" s="62" t="s">
        <v>26</v>
      </c>
      <c r="E72" s="62" t="s">
        <v>27</v>
      </c>
      <c r="F72" s="62" t="s">
        <v>48</v>
      </c>
      <c r="G72" s="262">
        <v>0.15</v>
      </c>
      <c r="H72" s="62" t="s">
        <v>83</v>
      </c>
      <c r="I72" s="358">
        <v>45971</v>
      </c>
      <c r="J72" s="358">
        <v>46052</v>
      </c>
      <c r="K72" s="358">
        <v>46052</v>
      </c>
      <c r="L72" s="358">
        <v>46066</v>
      </c>
      <c r="M72" s="358">
        <v>46080</v>
      </c>
      <c r="N72" s="358">
        <v>46087</v>
      </c>
      <c r="O72" s="62" t="s">
        <v>205</v>
      </c>
      <c r="P72" s="262">
        <f>VLOOKUP(_07__CRONOGRAMA_2026[[#This Row],[ID Historico]],Cartera1017[[ID Histórico]:[Porcentaje de Avance]],80,FALSE)</f>
        <v>-0.01</v>
      </c>
      <c r="Q7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2" s="262">
        <f>IF(_07__CRONOGRAMA_2026[[#This Row],[% REAL]]&gt;_07__CRONOGRAMA_2026[[#This Row],[Porcentaje de Avance]],_07__CRONOGRAMA_2026[[#This Row],[% REAL]],_07__CRONOGRAMA_2026[[#This Row],[Porcentaje de Avance]])</f>
        <v>0.15</v>
      </c>
      <c r="S7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72" s="62" t="str">
        <f>VLOOKUP(_07__CRONOGRAMA_2026[[#This Row],[ID Historico]],Cartera1017[[ID Histórico]:[Estado TI]],31,FALSE)</f>
        <v>09. Descartado</v>
      </c>
      <c r="U72" s="62" t="str">
        <f>VLOOKUP(_07__CRONOGRAMA_2026[[#This Row],[ID Historico]],Cartera1017[[ID Histórico]:[Estado TI]],30,FALSE)</f>
        <v>Omar Sarmiento</v>
      </c>
      <c r="V72" s="62" t="str">
        <f>VLOOKUP(_07__CRONOGRAMA_2026[[#This Row],[ID Historico]],Cartera1017[[ID Histórico]:[Estado TI]],29,FALSE)</f>
        <v>Angela Rocio Risco Vega/Adolfo Martin Escobar Bustamante/Jorge Lucio Ruedas Fernandez</v>
      </c>
    </row>
    <row r="73" spans="1:22" ht="45" hidden="1" customHeight="1">
      <c r="A73" s="62">
        <v>2750</v>
      </c>
      <c r="B73" s="62" t="s">
        <v>206</v>
      </c>
      <c r="C73" s="62" t="s">
        <v>207</v>
      </c>
      <c r="D73" s="62" t="s">
        <v>40</v>
      </c>
      <c r="E73" s="62" t="s">
        <v>41</v>
      </c>
      <c r="F73" s="62" t="s">
        <v>35</v>
      </c>
      <c r="G73" s="262">
        <v>0.9</v>
      </c>
      <c r="H73" s="62" t="s">
        <v>36</v>
      </c>
      <c r="I73" s="358">
        <v>45769</v>
      </c>
      <c r="J73" s="358">
        <v>45877</v>
      </c>
      <c r="K73" s="358">
        <v>45884</v>
      </c>
      <c r="L73" s="358">
        <v>45889</v>
      </c>
      <c r="M73" s="358">
        <v>46036</v>
      </c>
      <c r="N73" s="358">
        <v>46084</v>
      </c>
      <c r="O73" s="62" t="s">
        <v>153</v>
      </c>
      <c r="P73" s="262">
        <f>VLOOKUP(_07__CRONOGRAMA_2026[[#This Row],[ID Historico]],Cartera1017[[ID Histórico]:[Porcentaje de Avance]],80,FALSE)</f>
        <v>0.45</v>
      </c>
      <c r="Q7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3" s="262">
        <f>IF(_07__CRONOGRAMA_2026[[#This Row],[% REAL]]&gt;_07__CRONOGRAMA_2026[[#This Row],[Porcentaje de Avance]],_07__CRONOGRAMA_2026[[#This Row],[% REAL]],_07__CRONOGRAMA_2026[[#This Row],[Porcentaje de Avance]])</f>
        <v>0.9</v>
      </c>
      <c r="S7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73" s="62" t="str">
        <f>VLOOKUP(_07__CRONOGRAMA_2026[[#This Row],[ID Historico]],Cartera1017[[ID Histórico]:[Estado TI]],31,FALSE)</f>
        <v>03. En Desarrollo</v>
      </c>
      <c r="U73" s="62" t="str">
        <f>VLOOKUP(_07__CRONOGRAMA_2026[[#This Row],[ID Historico]],Cartera1017[[ID Histórico]:[Estado TI]],30,FALSE)</f>
        <v>Junior Quicaño</v>
      </c>
      <c r="V73" s="62" t="str">
        <f>VLOOKUP(_07__CRONOGRAMA_2026[[#This Row],[ID Historico]],Cartera1017[[ID Histórico]:[Estado TI]],29,FALSE)</f>
        <v>Angela Rocio Risco Vega</v>
      </c>
    </row>
    <row r="74" spans="1:22" ht="75" hidden="1" customHeight="1">
      <c r="A74" s="62">
        <v>2726</v>
      </c>
      <c r="B74" s="62" t="s">
        <v>208</v>
      </c>
      <c r="C74" s="62" t="s">
        <v>209</v>
      </c>
      <c r="D74" s="62" t="s">
        <v>40</v>
      </c>
      <c r="E74" s="62" t="s">
        <v>41</v>
      </c>
      <c r="F74" s="62" t="s">
        <v>48</v>
      </c>
      <c r="G74" s="262">
        <v>0.25</v>
      </c>
      <c r="H74" s="62" t="s">
        <v>83</v>
      </c>
      <c r="I74" s="358">
        <v>45930</v>
      </c>
      <c r="J74" s="358">
        <v>46013</v>
      </c>
      <c r="K74" s="358">
        <v>46022</v>
      </c>
      <c r="L74" s="358">
        <v>46065</v>
      </c>
      <c r="M74" s="358">
        <v>46066</v>
      </c>
      <c r="N74" s="358">
        <v>46072</v>
      </c>
      <c r="O74" s="62" t="s">
        <v>210</v>
      </c>
      <c r="P74" s="262">
        <f>VLOOKUP(_07__CRONOGRAMA_2026[[#This Row],[ID Historico]],Cartera1017[[ID Histórico]:[Porcentaje de Avance]],80,FALSE)</f>
        <v>0.15</v>
      </c>
      <c r="Q7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4" s="262">
        <f>IF(_07__CRONOGRAMA_2026[[#This Row],[% REAL]]&gt;_07__CRONOGRAMA_2026[[#This Row],[Porcentaje de Avance]],_07__CRONOGRAMA_2026[[#This Row],[% REAL]],_07__CRONOGRAMA_2026[[#This Row],[Porcentaje de Avance]])</f>
        <v>0.25</v>
      </c>
      <c r="S7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74" s="62" t="str">
        <f>VLOOKUP(_07__CRONOGRAMA_2026[[#This Row],[ID Historico]],Cartera1017[[ID Histórico]:[Estado TI]],31,FALSE)</f>
        <v>03. En Desarrollo</v>
      </c>
      <c r="U74" s="62" t="str">
        <f>VLOOKUP(_07__CRONOGRAMA_2026[[#This Row],[ID Historico]],Cartera1017[[ID Histórico]:[Estado TI]],30,FALSE)</f>
        <v>Junior Quicaño</v>
      </c>
      <c r="V74" s="62" t="str">
        <f>VLOOKUP(_07__CRONOGRAMA_2026[[#This Row],[ID Historico]],Cartera1017[[ID Histórico]:[Estado TI]],29,FALSE)</f>
        <v>Rossana Rojas Alvaro</v>
      </c>
    </row>
    <row r="75" spans="1:22" ht="30" hidden="1" customHeight="1">
      <c r="A75" s="62">
        <v>2768</v>
      </c>
      <c r="B75" s="62" t="s">
        <v>211</v>
      </c>
      <c r="C75" s="62" t="s">
        <v>212</v>
      </c>
      <c r="D75" s="62" t="s">
        <v>40</v>
      </c>
      <c r="E75" s="62" t="s">
        <v>41</v>
      </c>
      <c r="F75" s="62" t="s">
        <v>35</v>
      </c>
      <c r="G75" s="262">
        <v>0.9</v>
      </c>
      <c r="H75" s="62" t="s">
        <v>36</v>
      </c>
      <c r="I75" s="358">
        <v>45743</v>
      </c>
      <c r="J75" s="358">
        <v>45863</v>
      </c>
      <c r="K75" s="358">
        <v>45866</v>
      </c>
      <c r="L75" s="358">
        <v>45877</v>
      </c>
      <c r="M75" s="358">
        <v>45905</v>
      </c>
      <c r="N75" s="358">
        <v>46084</v>
      </c>
      <c r="O75" s="62" t="s">
        <v>43</v>
      </c>
      <c r="P75" s="262">
        <f>VLOOKUP(_07__CRONOGRAMA_2026[[#This Row],[ID Historico]],Cartera1017[[ID Histórico]:[Porcentaje de Avance]],80,FALSE)</f>
        <v>1</v>
      </c>
      <c r="Q7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5" s="262">
        <f>IF(_07__CRONOGRAMA_2026[[#This Row],[% REAL]]&gt;_07__CRONOGRAMA_2026[[#This Row],[Porcentaje de Avance]],_07__CRONOGRAMA_2026[[#This Row],[% REAL]],_07__CRONOGRAMA_2026[[#This Row],[Porcentaje de Avance]])</f>
        <v>1</v>
      </c>
      <c r="S7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75" s="62" t="str">
        <f>VLOOKUP(_07__CRONOGRAMA_2026[[#This Row],[ID Historico]],Cartera1017[[ID Histórico]:[Estado TI]],31,FALSE)</f>
        <v>08. Producción Finalizada</v>
      </c>
      <c r="U75" s="62" t="str">
        <f>VLOOKUP(_07__CRONOGRAMA_2026[[#This Row],[ID Historico]],Cartera1017[[ID Histórico]:[Estado TI]],30,FALSE)</f>
        <v>Junior Quicaño</v>
      </c>
      <c r="V75" s="62" t="str">
        <f>VLOOKUP(_07__CRONOGRAMA_2026[[#This Row],[ID Historico]],Cartera1017[[ID Histórico]:[Estado TI]],29,FALSE)</f>
        <v>Johnny Luis Rocca Surco</v>
      </c>
    </row>
    <row r="76" spans="1:22" ht="45" hidden="1" customHeight="1">
      <c r="A76" s="62">
        <v>2770</v>
      </c>
      <c r="B76" s="62" t="s">
        <v>213</v>
      </c>
      <c r="C76" s="62" t="s">
        <v>214</v>
      </c>
      <c r="D76" s="62" t="s">
        <v>40</v>
      </c>
      <c r="E76" s="62" t="s">
        <v>41</v>
      </c>
      <c r="F76" s="62" t="s">
        <v>48</v>
      </c>
      <c r="G76" s="262">
        <v>0.36</v>
      </c>
      <c r="H76" s="62" t="s">
        <v>83</v>
      </c>
      <c r="I76" s="358">
        <v>45964</v>
      </c>
      <c r="J76" s="358">
        <v>46055</v>
      </c>
      <c r="K76" s="358">
        <v>46056</v>
      </c>
      <c r="L76" s="358">
        <v>46118</v>
      </c>
      <c r="M76" s="358">
        <v>46119</v>
      </c>
      <c r="N76" s="358">
        <v>46125</v>
      </c>
      <c r="O76" s="62" t="s">
        <v>54</v>
      </c>
      <c r="P76" s="262">
        <f>VLOOKUP(_07__CRONOGRAMA_2026[[#This Row],[ID Historico]],Cartera1017[[ID Histórico]:[Porcentaje de Avance]],80,FALSE)</f>
        <v>0.9</v>
      </c>
      <c r="Q7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6" s="262">
        <f>IF(_07__CRONOGRAMA_2026[[#This Row],[% REAL]]&gt;_07__CRONOGRAMA_2026[[#This Row],[Porcentaje de Avance]],_07__CRONOGRAMA_2026[[#This Row],[% REAL]],_07__CRONOGRAMA_2026[[#This Row],[Porcentaje de Avance]])</f>
        <v>0.9</v>
      </c>
      <c r="S7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76" s="62" t="str">
        <f>VLOOKUP(_07__CRONOGRAMA_2026[[#This Row],[ID Historico]],Cartera1017[[ID Histórico]:[Estado TI]],31,FALSE)</f>
        <v>07. En Despliegue</v>
      </c>
      <c r="U76" s="62" t="str">
        <f>VLOOKUP(_07__CRONOGRAMA_2026[[#This Row],[ID Historico]],Cartera1017[[ID Histórico]:[Estado TI]],30,FALSE)</f>
        <v>Junior Quicaño</v>
      </c>
      <c r="V76" s="62" t="str">
        <f>VLOOKUP(_07__CRONOGRAMA_2026[[#This Row],[ID Historico]],Cartera1017[[ID Histórico]:[Estado TI]],29,FALSE)</f>
        <v>Eduardo Saul Cardenas Manrique</v>
      </c>
    </row>
    <row r="77" spans="1:22" ht="45" hidden="1" customHeight="1">
      <c r="A77" s="62">
        <v>2774</v>
      </c>
      <c r="B77" s="62" t="s">
        <v>215</v>
      </c>
      <c r="C77" s="62" t="s">
        <v>216</v>
      </c>
      <c r="D77" s="62" t="s">
        <v>59</v>
      </c>
      <c r="E77" s="62" t="s">
        <v>47</v>
      </c>
      <c r="F77" s="62" t="s">
        <v>48</v>
      </c>
      <c r="G77" s="262">
        <v>0.15</v>
      </c>
      <c r="H77" s="62" t="s">
        <v>83</v>
      </c>
      <c r="I77" s="358">
        <v>45964</v>
      </c>
      <c r="J77" s="358">
        <v>45982</v>
      </c>
      <c r="K77" s="358">
        <v>45986</v>
      </c>
      <c r="L77" s="358">
        <v>46059</v>
      </c>
      <c r="M77" s="358">
        <v>46062</v>
      </c>
      <c r="N77" s="358">
        <v>46069</v>
      </c>
      <c r="O77" s="62" t="s">
        <v>217</v>
      </c>
      <c r="P77" s="262">
        <f>VLOOKUP(_07__CRONOGRAMA_2026[[#This Row],[ID Historico]],Cartera1017[[ID Histórico]:[Porcentaje de Avance]],80,FALSE)</f>
        <v>0.15</v>
      </c>
      <c r="Q7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7" s="262">
        <f>IF(_07__CRONOGRAMA_2026[[#This Row],[% REAL]]&gt;_07__CRONOGRAMA_2026[[#This Row],[Porcentaje de Avance]],_07__CRONOGRAMA_2026[[#This Row],[% REAL]],_07__CRONOGRAMA_2026[[#This Row],[Porcentaje de Avance]])</f>
        <v>0.15</v>
      </c>
      <c r="S7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77" s="62" t="str">
        <f>VLOOKUP(_07__CRONOGRAMA_2026[[#This Row],[ID Historico]],Cartera1017[[ID Histórico]:[Estado TI]],31,FALSE)</f>
        <v>03. En Desarrollo</v>
      </c>
      <c r="U77" s="62" t="str">
        <f>VLOOKUP(_07__CRONOGRAMA_2026[[#This Row],[ID Historico]],Cartera1017[[ID Histórico]:[Estado TI]],30,FALSE)</f>
        <v>Juan Carlos Zavaleta</v>
      </c>
      <c r="V77" s="62" t="str">
        <f>VLOOKUP(_07__CRONOGRAMA_2026[[#This Row],[ID Historico]],Cartera1017[[ID Histórico]:[Estado TI]],29,FALSE)</f>
        <v>Darwin Ander Valenzuela Ñiquen</v>
      </c>
    </row>
    <row r="78" spans="1:22" ht="30" hidden="1" customHeight="1">
      <c r="A78" s="62">
        <v>2775</v>
      </c>
      <c r="B78" s="62" t="s">
        <v>218</v>
      </c>
      <c r="C78" s="62" t="s">
        <v>219</v>
      </c>
      <c r="D78" s="62" t="s">
        <v>40</v>
      </c>
      <c r="E78" s="62" t="s">
        <v>41</v>
      </c>
      <c r="F78" s="62" t="s">
        <v>48</v>
      </c>
      <c r="G78" s="262">
        <v>0.49</v>
      </c>
      <c r="H78" s="62" t="s">
        <v>83</v>
      </c>
      <c r="I78" s="358">
        <v>45964</v>
      </c>
      <c r="J78" s="358">
        <v>46052</v>
      </c>
      <c r="K78" s="358">
        <v>46056</v>
      </c>
      <c r="L78" s="358">
        <v>46081</v>
      </c>
      <c r="M78" s="358">
        <v>46084</v>
      </c>
      <c r="N78" s="358">
        <v>46087</v>
      </c>
      <c r="O78" s="62" t="s">
        <v>54</v>
      </c>
      <c r="P78" s="262">
        <f>VLOOKUP(_07__CRONOGRAMA_2026[[#This Row],[ID Historico]],Cartera1017[[ID Histórico]:[Porcentaje de Avance]],80,FALSE)</f>
        <v>0.15</v>
      </c>
      <c r="Q7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8" s="262">
        <f>IF(_07__CRONOGRAMA_2026[[#This Row],[% REAL]]&gt;_07__CRONOGRAMA_2026[[#This Row],[Porcentaje de Avance]],_07__CRONOGRAMA_2026[[#This Row],[% REAL]],_07__CRONOGRAMA_2026[[#This Row],[Porcentaje de Avance]])</f>
        <v>0.49</v>
      </c>
      <c r="S7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78" s="62" t="str">
        <f>VLOOKUP(_07__CRONOGRAMA_2026[[#This Row],[ID Historico]],Cartera1017[[ID Histórico]:[Estado TI]],31,FALSE)</f>
        <v>03. En Desarrollo</v>
      </c>
      <c r="U78" s="62" t="str">
        <f>VLOOKUP(_07__CRONOGRAMA_2026[[#This Row],[ID Historico]],Cartera1017[[ID Histórico]:[Estado TI]],30,FALSE)</f>
        <v>Junior Quicaño</v>
      </c>
      <c r="V78" s="62" t="str">
        <f>VLOOKUP(_07__CRONOGRAMA_2026[[#This Row],[ID Historico]],Cartera1017[[ID Histórico]:[Estado TI]],29,FALSE)</f>
        <v>Eduardo Saul Cardenas Manrique</v>
      </c>
    </row>
    <row r="79" spans="1:22" ht="75" customHeight="1">
      <c r="A79" s="62">
        <v>2776</v>
      </c>
      <c r="B79" s="62" t="s">
        <v>220</v>
      </c>
      <c r="C79" s="62" t="s">
        <v>221</v>
      </c>
      <c r="D79" s="62" t="s">
        <v>108</v>
      </c>
      <c r="E79" s="62" t="s">
        <v>109</v>
      </c>
      <c r="F79" s="62" t="s">
        <v>35</v>
      </c>
      <c r="G79" s="262">
        <v>0.9</v>
      </c>
      <c r="H79" s="62" t="s">
        <v>36</v>
      </c>
      <c r="I79" s="358">
        <v>45757</v>
      </c>
      <c r="J79" s="358">
        <v>45760</v>
      </c>
      <c r="K79" s="358">
        <v>45761</v>
      </c>
      <c r="L79" s="358">
        <v>45762</v>
      </c>
      <c r="M79" s="358">
        <v>45763</v>
      </c>
      <c r="N79" s="358">
        <v>46084</v>
      </c>
      <c r="O79" s="62" t="s">
        <v>153</v>
      </c>
      <c r="P79" s="262">
        <f>VLOOKUP(_07__CRONOGRAMA_2026[[#This Row],[ID Historico]],Cartera1017[[ID Histórico]:[Porcentaje de Avance]],80,FALSE)</f>
        <v>0.9</v>
      </c>
      <c r="Q7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9" s="262">
        <f>IF(_07__CRONOGRAMA_2026[[#This Row],[% REAL]]&gt;_07__CRONOGRAMA_2026[[#This Row],[Porcentaje de Avance]],_07__CRONOGRAMA_2026[[#This Row],[% REAL]],_07__CRONOGRAMA_2026[[#This Row],[Porcentaje de Avance]])</f>
        <v>0.9</v>
      </c>
      <c r="S7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79" s="62" t="str">
        <f>VLOOKUP(_07__CRONOGRAMA_2026[[#This Row],[ID Historico]],Cartera1017[[ID Histórico]:[Estado TI]],31,FALSE)</f>
        <v>07. En Despliegue</v>
      </c>
      <c r="U79" s="62" t="str">
        <f>VLOOKUP(_07__CRONOGRAMA_2026[[#This Row],[ID Historico]],Cartera1017[[ID Histórico]:[Estado TI]],30,FALSE)</f>
        <v>Tomas Calvera</v>
      </c>
      <c r="V79" s="62" t="str">
        <f>VLOOKUP(_07__CRONOGRAMA_2026[[#This Row],[ID Historico]],Cartera1017[[ID Histórico]:[Estado TI]],29,FALSE)</f>
        <v>Angela Rocio Risco Vega</v>
      </c>
    </row>
    <row r="80" spans="1:22" ht="30" hidden="1" customHeight="1">
      <c r="A80" s="62">
        <v>2782</v>
      </c>
      <c r="B80" s="62" t="s">
        <v>222</v>
      </c>
      <c r="C80" s="62" t="s">
        <v>223</v>
      </c>
      <c r="D80" s="62" t="s">
        <v>59</v>
      </c>
      <c r="E80" s="62" t="s">
        <v>47</v>
      </c>
      <c r="F80" s="62" t="s">
        <v>48</v>
      </c>
      <c r="G80" s="262">
        <v>0.15</v>
      </c>
      <c r="H80" s="62" t="s">
        <v>36</v>
      </c>
      <c r="I80" s="358">
        <v>45987</v>
      </c>
      <c r="J80" s="358">
        <v>46234</v>
      </c>
      <c r="K80" s="358">
        <v>46235</v>
      </c>
      <c r="L80" s="358">
        <v>46254</v>
      </c>
      <c r="M80" s="358">
        <v>46266</v>
      </c>
      <c r="N80" s="358">
        <v>46272</v>
      </c>
      <c r="O80" s="62" t="s">
        <v>49</v>
      </c>
      <c r="P80" s="262">
        <f>VLOOKUP(_07__CRONOGRAMA_2026[[#This Row],[ID Historico]],Cartera1017[[ID Histórico]:[Porcentaje de Avance]],80,FALSE)</f>
        <v>0.15</v>
      </c>
      <c r="Q8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0.61538461538461542</v>
      </c>
      <c r="R80" s="262">
        <f>IF(_07__CRONOGRAMA_2026[[#This Row],[% REAL]]&gt;_07__CRONOGRAMA_2026[[#This Row],[Porcentaje de Avance]],_07__CRONOGRAMA_2026[[#This Row],[% REAL]],_07__CRONOGRAMA_2026[[#This Row],[Porcentaje de Avance]])</f>
        <v>0.15</v>
      </c>
      <c r="S8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0" s="62" t="str">
        <f>VLOOKUP(_07__CRONOGRAMA_2026[[#This Row],[ID Historico]],Cartera1017[[ID Histórico]:[Estado TI]],31,FALSE)</f>
        <v>03. En Desarrollo</v>
      </c>
      <c r="U80" s="62" t="str">
        <f>VLOOKUP(_07__CRONOGRAMA_2026[[#This Row],[ID Historico]],Cartera1017[[ID Histórico]:[Estado TI]],30,FALSE)</f>
        <v>Juan Carlos Zavaleta</v>
      </c>
      <c r="V80" s="62" t="str">
        <f>VLOOKUP(_07__CRONOGRAMA_2026[[#This Row],[ID Historico]],Cartera1017[[ID Histórico]:[Estado TI]],29,FALSE)</f>
        <v>Paul Alminagorta Cabezas</v>
      </c>
    </row>
    <row r="81" spans="1:22" ht="30" customHeight="1">
      <c r="A81" s="62">
        <v>2783</v>
      </c>
      <c r="B81" s="62" t="s">
        <v>224</v>
      </c>
      <c r="C81" s="62" t="s">
        <v>225</v>
      </c>
      <c r="D81" s="62" t="s">
        <v>108</v>
      </c>
      <c r="E81" s="62" t="s">
        <v>109</v>
      </c>
      <c r="F81" s="62" t="s">
        <v>87</v>
      </c>
      <c r="G81" s="262">
        <v>0.7</v>
      </c>
      <c r="H81" s="62" t="s">
        <v>36</v>
      </c>
      <c r="I81" s="358">
        <v>46030</v>
      </c>
      <c r="J81" s="358">
        <v>46031</v>
      </c>
      <c r="K81" s="358">
        <v>46051</v>
      </c>
      <c r="L81" s="358">
        <v>46080</v>
      </c>
      <c r="M81" s="358">
        <v>46083</v>
      </c>
      <c r="N81" s="358">
        <v>46087</v>
      </c>
      <c r="O81" s="62" t="s">
        <v>94</v>
      </c>
      <c r="P81" s="262">
        <f>VLOOKUP(_07__CRONOGRAMA_2026[[#This Row],[ID Historico]],Cartera1017[[ID Histórico]:[Porcentaje de Avance]],80,FALSE)</f>
        <v>0.7</v>
      </c>
      <c r="Q8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1" s="262">
        <f>IF(_07__CRONOGRAMA_2026[[#This Row],[% REAL]]&gt;_07__CRONOGRAMA_2026[[#This Row],[Porcentaje de Avance]],_07__CRONOGRAMA_2026[[#This Row],[% REAL]],_07__CRONOGRAMA_2026[[#This Row],[Porcentaje de Avance]])</f>
        <v>0.7</v>
      </c>
      <c r="S8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1" s="62" t="str">
        <f>VLOOKUP(_07__CRONOGRAMA_2026[[#This Row],[ID Historico]],Cartera1017[[ID Histórico]:[Estado TI]],31,FALSE)</f>
        <v>05. En Calidad</v>
      </c>
      <c r="U81" s="62" t="str">
        <f>VLOOKUP(_07__CRONOGRAMA_2026[[#This Row],[ID Historico]],Cartera1017[[ID Histórico]:[Estado TI]],30,FALSE)</f>
        <v>Tomas Calvera</v>
      </c>
      <c r="V81" s="62" t="str">
        <f>VLOOKUP(_07__CRONOGRAMA_2026[[#This Row],[ID Historico]],Cartera1017[[ID Histórico]:[Estado TI]],29,FALSE)</f>
        <v>Angela Rocio Risco Vega/Jorge Lucio Ruedas Fernandez</v>
      </c>
    </row>
    <row r="82" spans="1:22" ht="60" hidden="1" customHeight="1">
      <c r="A82" s="62">
        <v>2793</v>
      </c>
      <c r="B82" s="62" t="s">
        <v>226</v>
      </c>
      <c r="C82" s="62" t="s">
        <v>227</v>
      </c>
      <c r="D82" s="62" t="s">
        <v>40</v>
      </c>
      <c r="E82" s="62" t="s">
        <v>41</v>
      </c>
      <c r="F82" s="62" t="s">
        <v>28</v>
      </c>
      <c r="G82" s="262">
        <v>0.12</v>
      </c>
      <c r="H82" s="62" t="s">
        <v>29</v>
      </c>
      <c r="I82" s="358">
        <v>45964</v>
      </c>
      <c r="J82" s="358">
        <v>46022</v>
      </c>
      <c r="K82" s="358">
        <v>46027</v>
      </c>
      <c r="L82" s="358">
        <v>46052</v>
      </c>
      <c r="M82" s="358">
        <v>46055</v>
      </c>
      <c r="N82" s="358">
        <v>46059</v>
      </c>
      <c r="O82" s="62" t="s">
        <v>88</v>
      </c>
      <c r="P82" s="262">
        <f>VLOOKUP(_07__CRONOGRAMA_2026[[#This Row],[ID Historico]],Cartera1017[[ID Histórico]:[Porcentaje de Avance]],80,FALSE)</f>
        <v>0.12</v>
      </c>
      <c r="Q8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2" s="262">
        <f>IF(_07__CRONOGRAMA_2026[[#This Row],[% REAL]]&gt;_07__CRONOGRAMA_2026[[#This Row],[Porcentaje de Avance]],_07__CRONOGRAMA_2026[[#This Row],[% REAL]],_07__CRONOGRAMA_2026[[#This Row],[Porcentaje de Avance]])</f>
        <v>0.12</v>
      </c>
      <c r="S8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2" s="62" t="str">
        <f>VLOOKUP(_07__CRONOGRAMA_2026[[#This Row],[ID Historico]],Cartera1017[[ID Histórico]:[Estado TI]],31,FALSE)</f>
        <v>10. Paralizado</v>
      </c>
      <c r="U82" s="62" t="str">
        <f>VLOOKUP(_07__CRONOGRAMA_2026[[#This Row],[ID Historico]],Cartera1017[[ID Histórico]:[Estado TI]],30,FALSE)</f>
        <v>Junior Quicaño</v>
      </c>
      <c r="V82" s="62" t="str">
        <f>VLOOKUP(_07__CRONOGRAMA_2026[[#This Row],[ID Historico]],Cartera1017[[ID Histórico]:[Estado TI]],29,FALSE)</f>
        <v>Marilu Cordova Quispe</v>
      </c>
    </row>
    <row r="83" spans="1:22" ht="45" hidden="1" customHeight="1">
      <c r="A83" s="62">
        <v>2794</v>
      </c>
      <c r="B83" s="62" t="s">
        <v>228</v>
      </c>
      <c r="C83" s="62" t="s">
        <v>229</v>
      </c>
      <c r="D83" s="62" t="s">
        <v>40</v>
      </c>
      <c r="E83" s="62" t="s">
        <v>41</v>
      </c>
      <c r="F83" s="62" t="s">
        <v>28</v>
      </c>
      <c r="G83" s="262">
        <v>0.12</v>
      </c>
      <c r="H83" s="62" t="s">
        <v>29</v>
      </c>
      <c r="I83" s="358">
        <v>45964</v>
      </c>
      <c r="J83" s="358">
        <v>46022</v>
      </c>
      <c r="K83" s="358">
        <v>46027</v>
      </c>
      <c r="L83" s="358">
        <v>46052</v>
      </c>
      <c r="M83" s="358">
        <v>46055</v>
      </c>
      <c r="N83" s="358">
        <v>46059</v>
      </c>
      <c r="O83" s="62" t="s">
        <v>88</v>
      </c>
      <c r="P83" s="262">
        <f>VLOOKUP(_07__CRONOGRAMA_2026[[#This Row],[ID Historico]],Cartera1017[[ID Histórico]:[Porcentaje de Avance]],80,FALSE)</f>
        <v>0.12</v>
      </c>
      <c r="Q8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3" s="262">
        <f>IF(_07__CRONOGRAMA_2026[[#This Row],[% REAL]]&gt;_07__CRONOGRAMA_2026[[#This Row],[Porcentaje de Avance]],_07__CRONOGRAMA_2026[[#This Row],[% REAL]],_07__CRONOGRAMA_2026[[#This Row],[Porcentaje de Avance]])</f>
        <v>0.12</v>
      </c>
      <c r="S8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3" s="62" t="str">
        <f>VLOOKUP(_07__CRONOGRAMA_2026[[#This Row],[ID Historico]],Cartera1017[[ID Histórico]:[Estado TI]],31,FALSE)</f>
        <v>10. Paralizado</v>
      </c>
      <c r="U83" s="62" t="str">
        <f>VLOOKUP(_07__CRONOGRAMA_2026[[#This Row],[ID Historico]],Cartera1017[[ID Histórico]:[Estado TI]],30,FALSE)</f>
        <v>Junior Quicaño</v>
      </c>
      <c r="V83" s="62" t="str">
        <f>VLOOKUP(_07__CRONOGRAMA_2026[[#This Row],[ID Historico]],Cartera1017[[ID Histórico]:[Estado TI]],29,FALSE)</f>
        <v>Marilu Cordova Quispe</v>
      </c>
    </row>
    <row r="84" spans="1:22" ht="45" hidden="1" customHeight="1">
      <c r="A84" s="62">
        <v>2802</v>
      </c>
      <c r="B84" s="62" t="s">
        <v>230</v>
      </c>
      <c r="C84" s="62" t="s">
        <v>231</v>
      </c>
      <c r="D84" s="62" t="s">
        <v>40</v>
      </c>
      <c r="E84" s="62" t="s">
        <v>41</v>
      </c>
      <c r="F84" s="62" t="s">
        <v>35</v>
      </c>
      <c r="G84" s="262">
        <v>0.9</v>
      </c>
      <c r="H84" s="62" t="s">
        <v>36</v>
      </c>
      <c r="I84" s="358">
        <v>45796</v>
      </c>
      <c r="J84" s="358">
        <v>45801</v>
      </c>
      <c r="K84" s="358">
        <v>45802</v>
      </c>
      <c r="L84" s="358">
        <v>45805</v>
      </c>
      <c r="M84" s="358">
        <v>45807</v>
      </c>
      <c r="N84" s="358">
        <v>46084</v>
      </c>
      <c r="O84" s="62" t="s">
        <v>210</v>
      </c>
      <c r="P84" s="262">
        <f>VLOOKUP(_07__CRONOGRAMA_2026[[#This Row],[ID Historico]],Cartera1017[[ID Histórico]:[Porcentaje de Avance]],80,FALSE)</f>
        <v>0.9</v>
      </c>
      <c r="Q8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4" s="262">
        <f>IF(_07__CRONOGRAMA_2026[[#This Row],[% REAL]]&gt;_07__CRONOGRAMA_2026[[#This Row],[Porcentaje de Avance]],_07__CRONOGRAMA_2026[[#This Row],[% REAL]],_07__CRONOGRAMA_2026[[#This Row],[Porcentaje de Avance]])</f>
        <v>0.9</v>
      </c>
      <c r="S8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84" s="62" t="str">
        <f>VLOOKUP(_07__CRONOGRAMA_2026[[#This Row],[ID Historico]],Cartera1017[[ID Histórico]:[Estado TI]],31,FALSE)</f>
        <v>07. En Despliegue</v>
      </c>
      <c r="U84" s="62" t="str">
        <f>VLOOKUP(_07__CRONOGRAMA_2026[[#This Row],[ID Historico]],Cartera1017[[ID Histórico]:[Estado TI]],30,FALSE)</f>
        <v>Junior Quicaño</v>
      </c>
      <c r="V84" s="62" t="str">
        <f>VLOOKUP(_07__CRONOGRAMA_2026[[#This Row],[ID Historico]],Cartera1017[[ID Histórico]:[Estado TI]],29,FALSE)</f>
        <v>Rossana Rojas Alvaro</v>
      </c>
    </row>
    <row r="85" spans="1:22" ht="30" hidden="1" customHeight="1">
      <c r="A85" s="62">
        <v>2809</v>
      </c>
      <c r="B85" s="62" t="s">
        <v>232</v>
      </c>
      <c r="C85" s="62" t="s">
        <v>233</v>
      </c>
      <c r="D85" s="62" t="s">
        <v>40</v>
      </c>
      <c r="E85" s="62" t="s">
        <v>41</v>
      </c>
      <c r="F85" s="62" t="s">
        <v>48</v>
      </c>
      <c r="G85" s="262">
        <v>0.64</v>
      </c>
      <c r="H85" s="62" t="s">
        <v>83</v>
      </c>
      <c r="I85" s="358">
        <v>45964</v>
      </c>
      <c r="J85" s="358">
        <v>46055</v>
      </c>
      <c r="K85" s="358">
        <v>46056</v>
      </c>
      <c r="L85" s="358">
        <v>46097</v>
      </c>
      <c r="M85" s="358">
        <v>46098</v>
      </c>
      <c r="N85" s="358">
        <v>46104</v>
      </c>
      <c r="O85" s="62" t="s">
        <v>54</v>
      </c>
      <c r="P85" s="262">
        <f>VLOOKUP(_07__CRONOGRAMA_2026[[#This Row],[ID Historico]],Cartera1017[[ID Histórico]:[Porcentaje de Avance]],80,FALSE)</f>
        <v>0.5</v>
      </c>
      <c r="Q8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5" s="262">
        <f>IF(_07__CRONOGRAMA_2026[[#This Row],[% REAL]]&gt;_07__CRONOGRAMA_2026[[#This Row],[Porcentaje de Avance]],_07__CRONOGRAMA_2026[[#This Row],[% REAL]],_07__CRONOGRAMA_2026[[#This Row],[Porcentaje de Avance]])</f>
        <v>0.64</v>
      </c>
      <c r="S8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5" s="62" t="str">
        <f>VLOOKUP(_07__CRONOGRAMA_2026[[#This Row],[ID Historico]],Cartera1017[[ID Histórico]:[Estado TI]],31,FALSE)</f>
        <v>04. Desarrollo Finalizado</v>
      </c>
      <c r="U85" s="62" t="str">
        <f>VLOOKUP(_07__CRONOGRAMA_2026[[#This Row],[ID Historico]],Cartera1017[[ID Histórico]:[Estado TI]],30,FALSE)</f>
        <v>Junior Quicaño</v>
      </c>
      <c r="V85" s="62" t="str">
        <f>VLOOKUP(_07__CRONOGRAMA_2026[[#This Row],[ID Historico]],Cartera1017[[ID Histórico]:[Estado TI]],29,FALSE)</f>
        <v>Eduardo Saul Cardenas Manrique</v>
      </c>
    </row>
    <row r="86" spans="1:22" ht="30" hidden="1" customHeight="1">
      <c r="A86" s="62">
        <v>2806</v>
      </c>
      <c r="B86" s="62" t="s">
        <v>234</v>
      </c>
      <c r="C86" s="62" t="s">
        <v>235</v>
      </c>
      <c r="D86" s="62" t="s">
        <v>52</v>
      </c>
      <c r="E86" s="62" t="s">
        <v>47</v>
      </c>
      <c r="F86" s="62" t="s">
        <v>53</v>
      </c>
      <c r="G86" s="262">
        <v>1</v>
      </c>
      <c r="H86" s="62" t="s">
        <v>36</v>
      </c>
      <c r="I86" s="358">
        <v>45932</v>
      </c>
      <c r="J86" s="358">
        <v>45988</v>
      </c>
      <c r="K86" s="358">
        <v>45996</v>
      </c>
      <c r="L86" s="358">
        <v>46035</v>
      </c>
      <c r="M86" s="358">
        <v>46048</v>
      </c>
      <c r="N86" s="358">
        <v>46058</v>
      </c>
      <c r="O86" s="62" t="s">
        <v>236</v>
      </c>
      <c r="P86" s="262">
        <f>VLOOKUP(_07__CRONOGRAMA_2026[[#This Row],[ID Historico]],Cartera1017[[ID Histórico]:[Porcentaje de Avance]],80,FALSE)</f>
        <v>1</v>
      </c>
      <c r="Q8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6" s="262">
        <f>IF(_07__CRONOGRAMA_2026[[#This Row],[% REAL]]&gt;_07__CRONOGRAMA_2026[[#This Row],[Porcentaje de Avance]],_07__CRONOGRAMA_2026[[#This Row],[% REAL]],_07__CRONOGRAMA_2026[[#This Row],[Porcentaje de Avance]])</f>
        <v>1</v>
      </c>
      <c r="S8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86" s="62" t="str">
        <f>VLOOKUP(_07__CRONOGRAMA_2026[[#This Row],[ID Historico]],Cartera1017[[ID Histórico]:[Estado TI]],31,FALSE)</f>
        <v>08. Producción Finalizada</v>
      </c>
      <c r="U86" s="62" t="str">
        <f>VLOOKUP(_07__CRONOGRAMA_2026[[#This Row],[ID Historico]],Cartera1017[[ID Histórico]:[Estado TI]],30,FALSE)</f>
        <v>Juan Carlos Zavaleta</v>
      </c>
      <c r="V86" s="62" t="str">
        <f>VLOOKUP(_07__CRONOGRAMA_2026[[#This Row],[ID Historico]],Cartera1017[[ID Histórico]:[Estado TI]],29,FALSE)</f>
        <v>Valery Aldo Versategui Malpica</v>
      </c>
    </row>
    <row r="87" spans="1:22" ht="60" hidden="1" customHeight="1">
      <c r="A87" s="62">
        <v>2836</v>
      </c>
      <c r="B87" s="62" t="s">
        <v>237</v>
      </c>
      <c r="C87" s="62" t="s">
        <v>238</v>
      </c>
      <c r="D87" s="62" t="s">
        <v>40</v>
      </c>
      <c r="E87" s="62" t="s">
        <v>41</v>
      </c>
      <c r="F87" s="62" t="s">
        <v>48</v>
      </c>
      <c r="G87" s="262">
        <v>0.49</v>
      </c>
      <c r="H87" s="62" t="s">
        <v>83</v>
      </c>
      <c r="I87" s="358">
        <v>45964</v>
      </c>
      <c r="J87" s="358">
        <v>46022</v>
      </c>
      <c r="K87" s="358">
        <v>46024</v>
      </c>
      <c r="L87" s="358">
        <v>46065</v>
      </c>
      <c r="M87" s="358">
        <v>46066</v>
      </c>
      <c r="N87" s="358">
        <v>46072</v>
      </c>
      <c r="O87" s="62" t="s">
        <v>123</v>
      </c>
      <c r="P87" s="262">
        <f>VLOOKUP(_07__CRONOGRAMA_2026[[#This Row],[ID Historico]],Cartera1017[[ID Histórico]:[Porcentaje de Avance]],80,FALSE)</f>
        <v>0.25</v>
      </c>
      <c r="Q8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7" s="262">
        <f>IF(_07__CRONOGRAMA_2026[[#This Row],[% REAL]]&gt;_07__CRONOGRAMA_2026[[#This Row],[Porcentaje de Avance]],_07__CRONOGRAMA_2026[[#This Row],[% REAL]],_07__CRONOGRAMA_2026[[#This Row],[Porcentaje de Avance]])</f>
        <v>0.49</v>
      </c>
      <c r="S8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7" s="62" t="str">
        <f>VLOOKUP(_07__CRONOGRAMA_2026[[#This Row],[ID Historico]],Cartera1017[[ID Histórico]:[Estado TI]],31,FALSE)</f>
        <v>03. En Desarrollo</v>
      </c>
      <c r="U87" s="62" t="str">
        <f>VLOOKUP(_07__CRONOGRAMA_2026[[#This Row],[ID Historico]],Cartera1017[[ID Histórico]:[Estado TI]],30,FALSE)</f>
        <v>Junior Quicaño</v>
      </c>
      <c r="V87" s="62" t="str">
        <f>VLOOKUP(_07__CRONOGRAMA_2026[[#This Row],[ID Historico]],Cartera1017[[ID Histórico]:[Estado TI]],29,FALSE)</f>
        <v>Norma Fukunaga Fuentes</v>
      </c>
    </row>
    <row r="88" spans="1:22" ht="45" hidden="1" customHeight="1">
      <c r="A88" s="62">
        <v>2812</v>
      </c>
      <c r="B88" s="62" t="s">
        <v>239</v>
      </c>
      <c r="C88" s="62" t="s">
        <v>240</v>
      </c>
      <c r="D88" s="62" t="s">
        <v>46</v>
      </c>
      <c r="E88" s="62" t="s">
        <v>47</v>
      </c>
      <c r="F88" s="62" t="s">
        <v>35</v>
      </c>
      <c r="G88" s="262">
        <v>0.9</v>
      </c>
      <c r="H88" s="62" t="s">
        <v>36</v>
      </c>
      <c r="I88" s="358">
        <v>45806</v>
      </c>
      <c r="J88" s="358">
        <v>45915</v>
      </c>
      <c r="K88" s="358">
        <v>45918</v>
      </c>
      <c r="L88" s="358">
        <v>45940</v>
      </c>
      <c r="M88" s="358">
        <v>45967</v>
      </c>
      <c r="N88" s="358">
        <v>46084</v>
      </c>
      <c r="O88" s="62" t="s">
        <v>150</v>
      </c>
      <c r="P88" s="262">
        <f>VLOOKUP(_07__CRONOGRAMA_2026[[#This Row],[ID Historico]],Cartera1017[[ID Histórico]:[Porcentaje de Avance]],80,FALSE)</f>
        <v>0.9</v>
      </c>
      <c r="Q8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8" s="262">
        <f>IF(_07__CRONOGRAMA_2026[[#This Row],[% REAL]]&gt;_07__CRONOGRAMA_2026[[#This Row],[Porcentaje de Avance]],_07__CRONOGRAMA_2026[[#This Row],[% REAL]],_07__CRONOGRAMA_2026[[#This Row],[Porcentaje de Avance]])</f>
        <v>0.9</v>
      </c>
      <c r="S8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88" s="62" t="str">
        <f>VLOOKUP(_07__CRONOGRAMA_2026[[#This Row],[ID Historico]],Cartera1017[[ID Histórico]:[Estado TI]],31,FALSE)</f>
        <v>07. En Despliegue</v>
      </c>
      <c r="U88" s="62" t="str">
        <f>VLOOKUP(_07__CRONOGRAMA_2026[[#This Row],[ID Historico]],Cartera1017[[ID Histórico]:[Estado TI]],30,FALSE)</f>
        <v>Juan Carlos Zavaleta</v>
      </c>
      <c r="V88" s="62" t="str">
        <f>VLOOKUP(_07__CRONOGRAMA_2026[[#This Row],[ID Historico]],Cartera1017[[ID Histórico]:[Estado TI]],29,FALSE)</f>
        <v>Pedro Jose Encalada Huertas</v>
      </c>
    </row>
    <row r="89" spans="1:22" ht="45" hidden="1" customHeight="1">
      <c r="A89" s="62">
        <v>2497</v>
      </c>
      <c r="B89" s="62" t="s">
        <v>241</v>
      </c>
      <c r="C89" s="62" t="s">
        <v>242</v>
      </c>
      <c r="D89" s="62" t="s">
        <v>26</v>
      </c>
      <c r="E89" s="62" t="s">
        <v>27</v>
      </c>
      <c r="F89" s="62" t="s">
        <v>48</v>
      </c>
      <c r="G89" s="262">
        <v>0.15</v>
      </c>
      <c r="H89" s="62" t="s">
        <v>36</v>
      </c>
      <c r="I89" s="358">
        <v>45971</v>
      </c>
      <c r="J89" s="358">
        <v>46171</v>
      </c>
      <c r="K89" s="358">
        <v>46175</v>
      </c>
      <c r="L89" s="358">
        <v>46192</v>
      </c>
      <c r="M89" s="358">
        <v>46203</v>
      </c>
      <c r="N89" s="358">
        <v>46204</v>
      </c>
      <c r="O89" s="62" t="s">
        <v>30</v>
      </c>
      <c r="P89" s="262">
        <f>VLOOKUP(_07__CRONOGRAMA_2026[[#This Row],[ID Historico]],Cartera1017[[ID Histórico]:[Porcentaje de Avance]],80,FALSE)</f>
        <v>0.25</v>
      </c>
      <c r="Q8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0.81987577639751552</v>
      </c>
      <c r="R89" s="262">
        <f>IF(_07__CRONOGRAMA_2026[[#This Row],[% REAL]]&gt;_07__CRONOGRAMA_2026[[#This Row],[Porcentaje de Avance]],_07__CRONOGRAMA_2026[[#This Row],[% REAL]],_07__CRONOGRAMA_2026[[#This Row],[Porcentaje de Avance]])</f>
        <v>0.25</v>
      </c>
      <c r="S8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9" s="62" t="str">
        <f>VLOOKUP(_07__CRONOGRAMA_2026[[#This Row],[ID Historico]],Cartera1017[[ID Histórico]:[Estado TI]],31,FALSE)</f>
        <v>03. En Desarrollo</v>
      </c>
      <c r="U89" s="62" t="str">
        <f>VLOOKUP(_07__CRONOGRAMA_2026[[#This Row],[ID Historico]],Cartera1017[[ID Histórico]:[Estado TI]],30,FALSE)</f>
        <v>Omar Sarmiento</v>
      </c>
      <c r="V89" s="62" t="str">
        <f>VLOOKUP(_07__CRONOGRAMA_2026[[#This Row],[ID Historico]],Cartera1017[[ID Histórico]:[Estado TI]],29,FALSE)</f>
        <v>Vladimir Ronald Cajavilca Cajavilca</v>
      </c>
    </row>
    <row r="90" spans="1:22" ht="30" hidden="1" customHeight="1">
      <c r="A90" s="62">
        <v>2834</v>
      </c>
      <c r="B90" s="62" t="s">
        <v>243</v>
      </c>
      <c r="C90" s="62" t="s">
        <v>244</v>
      </c>
      <c r="D90" s="62" t="s">
        <v>33</v>
      </c>
      <c r="E90" s="62" t="s">
        <v>34</v>
      </c>
      <c r="F90" s="62" t="s">
        <v>35</v>
      </c>
      <c r="G90" s="262">
        <v>1</v>
      </c>
      <c r="H90" s="62" t="s">
        <v>36</v>
      </c>
      <c r="I90" s="358">
        <v>45789</v>
      </c>
      <c r="J90" s="358">
        <v>45801</v>
      </c>
      <c r="K90" s="358">
        <v>45803</v>
      </c>
      <c r="L90" s="358">
        <v>45810</v>
      </c>
      <c r="M90" s="358">
        <v>45813</v>
      </c>
      <c r="N90" s="358">
        <v>46084</v>
      </c>
      <c r="O90" s="62" t="s">
        <v>133</v>
      </c>
      <c r="P90" s="262">
        <f>VLOOKUP(_07__CRONOGRAMA_2026[[#This Row],[ID Historico]],Cartera1017[[ID Histórico]:[Porcentaje de Avance]],80,FALSE)</f>
        <v>0.9</v>
      </c>
      <c r="Q9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0" s="262">
        <f>IF(_07__CRONOGRAMA_2026[[#This Row],[% REAL]]&gt;_07__CRONOGRAMA_2026[[#This Row],[Porcentaje de Avance]],_07__CRONOGRAMA_2026[[#This Row],[% REAL]],_07__CRONOGRAMA_2026[[#This Row],[Porcentaje de Avance]])</f>
        <v>1</v>
      </c>
      <c r="S9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90" s="62" t="str">
        <f>VLOOKUP(_07__CRONOGRAMA_2026[[#This Row],[ID Historico]],Cartera1017[[ID Histórico]:[Estado TI]],31,FALSE)</f>
        <v>07. En Despliegue</v>
      </c>
      <c r="U90" s="62" t="str">
        <f>VLOOKUP(_07__CRONOGRAMA_2026[[#This Row],[ID Historico]],Cartera1017[[ID Histórico]:[Estado TI]],30,FALSE)</f>
        <v>Milagros Huamani</v>
      </c>
      <c r="V90" s="62" t="str">
        <f>VLOOKUP(_07__CRONOGRAMA_2026[[#This Row],[ID Historico]],Cartera1017[[ID Histórico]:[Estado TI]],29,FALSE)</f>
        <v>Javier Baltazar Urquiaga Salazar</v>
      </c>
    </row>
    <row r="91" spans="1:22" ht="105" hidden="1" customHeight="1">
      <c r="A91" s="62">
        <v>2846</v>
      </c>
      <c r="B91" s="62" t="s">
        <v>245</v>
      </c>
      <c r="C91" s="62" t="s">
        <v>246</v>
      </c>
      <c r="D91" s="62" t="s">
        <v>40</v>
      </c>
      <c r="E91" s="62" t="s">
        <v>41</v>
      </c>
      <c r="F91" s="62" t="s">
        <v>35</v>
      </c>
      <c r="G91" s="262">
        <v>0.9</v>
      </c>
      <c r="H91" s="62" t="s">
        <v>36</v>
      </c>
      <c r="I91" s="358">
        <v>45804</v>
      </c>
      <c r="J91" s="358">
        <v>45873</v>
      </c>
      <c r="K91" s="358">
        <v>45947</v>
      </c>
      <c r="L91" s="358">
        <v>45961</v>
      </c>
      <c r="M91" s="358">
        <v>45974</v>
      </c>
      <c r="N91" s="358">
        <v>46084</v>
      </c>
      <c r="O91" s="62" t="s">
        <v>165</v>
      </c>
      <c r="P91" s="262">
        <f>VLOOKUP(_07__CRONOGRAMA_2026[[#This Row],[ID Historico]],Cartera1017[[ID Histórico]:[Porcentaje de Avance]],80,FALSE)</f>
        <v>1</v>
      </c>
      <c r="Q9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1" s="262">
        <f>IF(_07__CRONOGRAMA_2026[[#This Row],[% REAL]]&gt;_07__CRONOGRAMA_2026[[#This Row],[Porcentaje de Avance]],_07__CRONOGRAMA_2026[[#This Row],[% REAL]],_07__CRONOGRAMA_2026[[#This Row],[Porcentaje de Avance]])</f>
        <v>1</v>
      </c>
      <c r="S9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91" s="62" t="str">
        <f>VLOOKUP(_07__CRONOGRAMA_2026[[#This Row],[ID Historico]],Cartera1017[[ID Histórico]:[Estado TI]],31,FALSE)</f>
        <v>08. Producción Finalizada</v>
      </c>
      <c r="U91" s="62" t="str">
        <f>VLOOKUP(_07__CRONOGRAMA_2026[[#This Row],[ID Historico]],Cartera1017[[ID Histórico]:[Estado TI]],30,FALSE)</f>
        <v>Junior Quicaño</v>
      </c>
      <c r="V91" s="62" t="str">
        <f>VLOOKUP(_07__CRONOGRAMA_2026[[#This Row],[ID Historico]],Cartera1017[[ID Histórico]:[Estado TI]],29,FALSE)</f>
        <v>Fiorella Emma Galvan Soto</v>
      </c>
    </row>
    <row r="92" spans="1:22" ht="45" hidden="1" customHeight="1">
      <c r="A92" s="62">
        <v>2854</v>
      </c>
      <c r="B92" s="62" t="s">
        <v>247</v>
      </c>
      <c r="C92" s="62" t="s">
        <v>248</v>
      </c>
      <c r="D92" s="62" t="s">
        <v>26</v>
      </c>
      <c r="E92" s="62" t="s">
        <v>27</v>
      </c>
      <c r="F92" s="62" t="s">
        <v>87</v>
      </c>
      <c r="G92" s="262">
        <v>0.7</v>
      </c>
      <c r="H92" s="62" t="s">
        <v>36</v>
      </c>
      <c r="I92" s="358">
        <v>45812</v>
      </c>
      <c r="J92" s="358">
        <v>45883</v>
      </c>
      <c r="K92" s="358">
        <v>45888</v>
      </c>
      <c r="L92" s="358">
        <v>46094</v>
      </c>
      <c r="M92" s="358">
        <v>46097</v>
      </c>
      <c r="N92" s="358">
        <v>46108</v>
      </c>
      <c r="O92" s="62" t="s">
        <v>88</v>
      </c>
      <c r="P92" s="262">
        <f>VLOOKUP(_07__CRONOGRAMA_2026[[#This Row],[ID Historico]],Cartera1017[[ID Histórico]:[Porcentaje de Avance]],80,FALSE)</f>
        <v>0.85</v>
      </c>
      <c r="Q9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2" s="262">
        <f>IF(_07__CRONOGRAMA_2026[[#This Row],[% REAL]]&gt;_07__CRONOGRAMA_2026[[#This Row],[Porcentaje de Avance]],_07__CRONOGRAMA_2026[[#This Row],[% REAL]],_07__CRONOGRAMA_2026[[#This Row],[Porcentaje de Avance]])</f>
        <v>0.85</v>
      </c>
      <c r="S9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92" s="62" t="str">
        <f>VLOOKUP(_07__CRONOGRAMA_2026[[#This Row],[ID Historico]],Cartera1017[[ID Histórico]:[Estado TI]],31,FALSE)</f>
        <v>06. Calidad Finalizado</v>
      </c>
      <c r="U92" s="62" t="str">
        <f>VLOOKUP(_07__CRONOGRAMA_2026[[#This Row],[ID Historico]],Cartera1017[[ID Histórico]:[Estado TI]],30,FALSE)</f>
        <v>Omar Sarmiento</v>
      </c>
      <c r="V92" s="62" t="str">
        <f>VLOOKUP(_07__CRONOGRAMA_2026[[#This Row],[ID Historico]],Cartera1017[[ID Histórico]:[Estado TI]],29,FALSE)</f>
        <v>Marilu Cordova Quispe</v>
      </c>
    </row>
    <row r="93" spans="1:22" ht="45" hidden="1" customHeight="1">
      <c r="A93" s="62">
        <v>2855</v>
      </c>
      <c r="B93" s="62" t="s">
        <v>249</v>
      </c>
      <c r="C93" s="62" t="s">
        <v>250</v>
      </c>
      <c r="D93" s="62" t="s">
        <v>26</v>
      </c>
      <c r="E93" s="62" t="s">
        <v>27</v>
      </c>
      <c r="F93" s="62" t="s">
        <v>87</v>
      </c>
      <c r="G93" s="262">
        <v>0.7</v>
      </c>
      <c r="H93" s="62" t="s">
        <v>36</v>
      </c>
      <c r="I93" s="358">
        <v>45812</v>
      </c>
      <c r="J93" s="358">
        <v>45883</v>
      </c>
      <c r="K93" s="358">
        <v>45888</v>
      </c>
      <c r="L93" s="358">
        <v>46098</v>
      </c>
      <c r="M93" s="358">
        <v>46099</v>
      </c>
      <c r="N93" s="358">
        <v>46111</v>
      </c>
      <c r="O93" s="62" t="s">
        <v>88</v>
      </c>
      <c r="P93" s="262">
        <f>VLOOKUP(_07__CRONOGRAMA_2026[[#This Row],[ID Historico]],Cartera1017[[ID Histórico]:[Porcentaje de Avance]],80,FALSE)</f>
        <v>0.85</v>
      </c>
      <c r="Q9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3" s="262">
        <f>IF(_07__CRONOGRAMA_2026[[#This Row],[% REAL]]&gt;_07__CRONOGRAMA_2026[[#This Row],[Porcentaje de Avance]],_07__CRONOGRAMA_2026[[#This Row],[% REAL]],_07__CRONOGRAMA_2026[[#This Row],[Porcentaje de Avance]])</f>
        <v>0.85</v>
      </c>
      <c r="S9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93" s="62" t="str">
        <f>VLOOKUP(_07__CRONOGRAMA_2026[[#This Row],[ID Historico]],Cartera1017[[ID Histórico]:[Estado TI]],31,FALSE)</f>
        <v>06. Calidad Finalizado</v>
      </c>
      <c r="U93" s="62" t="str">
        <f>VLOOKUP(_07__CRONOGRAMA_2026[[#This Row],[ID Historico]],Cartera1017[[ID Histórico]:[Estado TI]],30,FALSE)</f>
        <v>Omar Sarmiento</v>
      </c>
      <c r="V93" s="62" t="str">
        <f>VLOOKUP(_07__CRONOGRAMA_2026[[#This Row],[ID Historico]],Cartera1017[[ID Histórico]:[Estado TI]],29,FALSE)</f>
        <v>Marilu Cordova Quispe</v>
      </c>
    </row>
    <row r="94" spans="1:22" ht="45" hidden="1" customHeight="1">
      <c r="A94" s="62">
        <v>2867</v>
      </c>
      <c r="B94" s="62" t="s">
        <v>251</v>
      </c>
      <c r="C94" s="62" t="s">
        <v>252</v>
      </c>
      <c r="D94" s="62" t="s">
        <v>40</v>
      </c>
      <c r="E94" s="62" t="s">
        <v>47</v>
      </c>
      <c r="F94" s="62" t="s">
        <v>48</v>
      </c>
      <c r="G94" s="262">
        <v>0.15</v>
      </c>
      <c r="H94" s="62" t="s">
        <v>36</v>
      </c>
      <c r="I94" s="358">
        <v>45967</v>
      </c>
      <c r="J94" s="358">
        <v>46112</v>
      </c>
      <c r="K94" s="358">
        <v>46113</v>
      </c>
      <c r="L94" s="358">
        <v>46140</v>
      </c>
      <c r="M94" s="358">
        <v>46141</v>
      </c>
      <c r="N94" s="358">
        <v>46142</v>
      </c>
      <c r="O94" s="62" t="s">
        <v>190</v>
      </c>
      <c r="P94" s="262">
        <f>VLOOKUP(_07__CRONOGRAMA_2026[[#This Row],[ID Historico]],Cartera1017[[ID Histórico]:[Porcentaje de Avance]],80,FALSE)</f>
        <v>0.25</v>
      </c>
      <c r="Q9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4" s="262">
        <f>IF(_07__CRONOGRAMA_2026[[#This Row],[% REAL]]&gt;_07__CRONOGRAMA_2026[[#This Row],[Porcentaje de Avance]],_07__CRONOGRAMA_2026[[#This Row],[% REAL]],_07__CRONOGRAMA_2026[[#This Row],[Porcentaje de Avance]])</f>
        <v>0.25</v>
      </c>
      <c r="S9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4" s="62" t="str">
        <f>VLOOKUP(_07__CRONOGRAMA_2026[[#This Row],[ID Historico]],Cartera1017[[ID Histórico]:[Estado TI]],31,FALSE)</f>
        <v>03. En Desarrollo</v>
      </c>
      <c r="U94" s="62" t="str">
        <f>VLOOKUP(_07__CRONOGRAMA_2026[[#This Row],[ID Historico]],Cartera1017[[ID Histórico]:[Estado TI]],30,FALSE)</f>
        <v>Juan Carlos Zavaleta</v>
      </c>
      <c r="V94" s="62" t="str">
        <f>VLOOKUP(_07__CRONOGRAMA_2026[[#This Row],[ID Historico]],Cartera1017[[ID Histórico]:[Estado TI]],29,FALSE)</f>
        <v>Luis Enrique Almeyda Pachas</v>
      </c>
    </row>
    <row r="95" spans="1:22" ht="45" hidden="1" customHeight="1">
      <c r="A95" s="62">
        <v>2873</v>
      </c>
      <c r="B95" s="62" t="s">
        <v>253</v>
      </c>
      <c r="C95" s="62" t="s">
        <v>254</v>
      </c>
      <c r="D95" s="62" t="s">
        <v>59</v>
      </c>
      <c r="E95" s="62" t="s">
        <v>47</v>
      </c>
      <c r="F95" s="62" t="s">
        <v>28</v>
      </c>
      <c r="G95" s="262">
        <v>0.12</v>
      </c>
      <c r="H95" s="62" t="s">
        <v>29</v>
      </c>
      <c r="I95" s="358">
        <v>46055</v>
      </c>
      <c r="J95" s="358">
        <v>46065</v>
      </c>
      <c r="K95" s="358">
        <v>46069</v>
      </c>
      <c r="L95" s="358">
        <v>46080</v>
      </c>
      <c r="M95" s="358">
        <v>46083</v>
      </c>
      <c r="N95" s="358">
        <v>46090</v>
      </c>
      <c r="O95" s="62" t="s">
        <v>255</v>
      </c>
      <c r="P95" s="262">
        <f>VLOOKUP(_07__CRONOGRAMA_2026[[#This Row],[ID Historico]],Cartera1017[[ID Histórico]:[Porcentaje de Avance]],80,FALSE)</f>
        <v>0.12</v>
      </c>
      <c r="Q9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5" s="262">
        <f>IF(_07__CRONOGRAMA_2026[[#This Row],[% REAL]]&gt;_07__CRONOGRAMA_2026[[#This Row],[Porcentaje de Avance]],_07__CRONOGRAMA_2026[[#This Row],[% REAL]],_07__CRONOGRAMA_2026[[#This Row],[Porcentaje de Avance]])</f>
        <v>0.12</v>
      </c>
      <c r="S9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5" s="62" t="str">
        <f>VLOOKUP(_07__CRONOGRAMA_2026[[#This Row],[ID Historico]],Cartera1017[[ID Histórico]:[Estado TI]],31,FALSE)</f>
        <v>10. Paralizado</v>
      </c>
      <c r="U95" s="62" t="str">
        <f>VLOOKUP(_07__CRONOGRAMA_2026[[#This Row],[ID Historico]],Cartera1017[[ID Histórico]:[Estado TI]],30,FALSE)</f>
        <v>Juan Carlos Zavaleta</v>
      </c>
      <c r="V95" s="62">
        <f>VLOOKUP(_07__CRONOGRAMA_2026[[#This Row],[ID Historico]],Cartera1017[[ID Histórico]:[Estado TI]],29,FALSE)</f>
        <v>0</v>
      </c>
    </row>
    <row r="96" spans="1:22" ht="60" hidden="1" customHeight="1">
      <c r="A96" s="62">
        <v>2877</v>
      </c>
      <c r="B96" s="62" t="s">
        <v>256</v>
      </c>
      <c r="C96" s="62" t="s">
        <v>257</v>
      </c>
      <c r="D96" s="62" t="s">
        <v>33</v>
      </c>
      <c r="E96" s="62" t="s">
        <v>34</v>
      </c>
      <c r="F96" s="62" t="s">
        <v>48</v>
      </c>
      <c r="G96" s="262">
        <v>0.15</v>
      </c>
      <c r="H96" s="62" t="s">
        <v>36</v>
      </c>
      <c r="I96" s="358">
        <v>45985</v>
      </c>
      <c r="J96" s="358">
        <v>46096</v>
      </c>
      <c r="K96" s="358">
        <v>46097</v>
      </c>
      <c r="L96" s="358">
        <v>46125</v>
      </c>
      <c r="M96" s="358">
        <v>46126</v>
      </c>
      <c r="N96" s="358">
        <v>46140</v>
      </c>
      <c r="O96" s="62" t="s">
        <v>150</v>
      </c>
      <c r="P96" s="262">
        <f>VLOOKUP(_07__CRONOGRAMA_2026[[#This Row],[ID Historico]],Cartera1017[[ID Histórico]:[Porcentaje de Avance]],80,FALSE)</f>
        <v>0.12</v>
      </c>
      <c r="Q9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6" s="262">
        <f>IF(_07__CRONOGRAMA_2026[[#This Row],[% REAL]]&gt;_07__CRONOGRAMA_2026[[#This Row],[Porcentaje de Avance]],_07__CRONOGRAMA_2026[[#This Row],[% REAL]],_07__CRONOGRAMA_2026[[#This Row],[Porcentaje de Avance]])</f>
        <v>0.15</v>
      </c>
      <c r="S9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6" s="62" t="str">
        <f>VLOOKUP(_07__CRONOGRAMA_2026[[#This Row],[ID Historico]],Cartera1017[[ID Histórico]:[Estado TI]],31,FALSE)</f>
        <v>10. Paralizado</v>
      </c>
      <c r="U96" s="62" t="str">
        <f>VLOOKUP(_07__CRONOGRAMA_2026[[#This Row],[ID Historico]],Cartera1017[[ID Histórico]:[Estado TI]],30,FALSE)</f>
        <v>Milagros Huamani</v>
      </c>
      <c r="V96" s="62" t="str">
        <f>VLOOKUP(_07__CRONOGRAMA_2026[[#This Row],[ID Historico]],Cartera1017[[ID Histórico]:[Estado TI]],29,FALSE)</f>
        <v>Pedro Jose Encalada Huertas</v>
      </c>
    </row>
    <row r="97" spans="1:22" ht="30" customHeight="1">
      <c r="A97" s="62">
        <v>2878</v>
      </c>
      <c r="B97" s="62" t="s">
        <v>258</v>
      </c>
      <c r="C97" s="62" t="s">
        <v>259</v>
      </c>
      <c r="D97" s="62" t="s">
        <v>108</v>
      </c>
      <c r="E97" s="62" t="s">
        <v>109</v>
      </c>
      <c r="F97" s="62" t="s">
        <v>48</v>
      </c>
      <c r="G97" s="262">
        <v>0.15</v>
      </c>
      <c r="H97" s="62" t="s">
        <v>36</v>
      </c>
      <c r="I97" s="358">
        <v>45964</v>
      </c>
      <c r="J97" s="358">
        <v>46092</v>
      </c>
      <c r="K97" s="358">
        <v>46096</v>
      </c>
      <c r="L97" s="358">
        <v>46106</v>
      </c>
      <c r="M97" s="358">
        <v>46108</v>
      </c>
      <c r="N97" s="358">
        <v>46110</v>
      </c>
      <c r="O97" s="62" t="s">
        <v>43</v>
      </c>
      <c r="P97" s="262">
        <f>VLOOKUP(_07__CRONOGRAMA_2026[[#This Row],[ID Historico]],Cartera1017[[ID Histórico]:[Porcentaje de Avance]],80,FALSE)</f>
        <v>0.25</v>
      </c>
      <c r="Q9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7" s="262">
        <f>IF(_07__CRONOGRAMA_2026[[#This Row],[% REAL]]&gt;_07__CRONOGRAMA_2026[[#This Row],[Porcentaje de Avance]],_07__CRONOGRAMA_2026[[#This Row],[% REAL]],_07__CRONOGRAMA_2026[[#This Row],[Porcentaje de Avance]])</f>
        <v>0.25</v>
      </c>
      <c r="S9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7" s="62" t="str">
        <f>VLOOKUP(_07__CRONOGRAMA_2026[[#This Row],[ID Historico]],Cartera1017[[ID Histórico]:[Estado TI]],31,FALSE)</f>
        <v>03. En Desarrollo</v>
      </c>
      <c r="U97" s="62" t="str">
        <f>VLOOKUP(_07__CRONOGRAMA_2026[[#This Row],[ID Historico]],Cartera1017[[ID Histórico]:[Estado TI]],30,FALSE)</f>
        <v>Tomas Calvera</v>
      </c>
      <c r="V97" s="62" t="str">
        <f>VLOOKUP(_07__CRONOGRAMA_2026[[#This Row],[ID Historico]],Cartera1017[[ID Histórico]:[Estado TI]],29,FALSE)</f>
        <v>Johnny Luis Rocca Surco</v>
      </c>
    </row>
    <row r="98" spans="1:22" ht="30" hidden="1" customHeight="1">
      <c r="A98" s="62">
        <v>2880</v>
      </c>
      <c r="B98" s="62" t="s">
        <v>260</v>
      </c>
      <c r="C98" s="62" t="s">
        <v>261</v>
      </c>
      <c r="D98" s="62" t="s">
        <v>26</v>
      </c>
      <c r="E98" s="62" t="s">
        <v>27</v>
      </c>
      <c r="F98" s="62" t="s">
        <v>48</v>
      </c>
      <c r="G98" s="262">
        <v>0.15</v>
      </c>
      <c r="H98" s="62" t="s">
        <v>36</v>
      </c>
      <c r="I98" s="358">
        <v>45971</v>
      </c>
      <c r="J98" s="358">
        <v>46139</v>
      </c>
      <c r="K98" s="358">
        <v>46140</v>
      </c>
      <c r="L98" s="358">
        <v>46164</v>
      </c>
      <c r="M98" s="358">
        <v>46167</v>
      </c>
      <c r="N98" s="358">
        <v>46171</v>
      </c>
      <c r="O98" s="62" t="s">
        <v>30</v>
      </c>
      <c r="P98" s="262">
        <f>VLOOKUP(_07__CRONOGRAMA_2026[[#This Row],[ID Historico]],Cartera1017[[ID Histórico]:[Porcentaje de Avance]],80,FALSE)</f>
        <v>0.25</v>
      </c>
      <c r="Q9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0.94964028776978415</v>
      </c>
      <c r="R98" s="262">
        <f>IF(_07__CRONOGRAMA_2026[[#This Row],[% REAL]]&gt;_07__CRONOGRAMA_2026[[#This Row],[Porcentaje de Avance]],_07__CRONOGRAMA_2026[[#This Row],[% REAL]],_07__CRONOGRAMA_2026[[#This Row],[Porcentaje de Avance]])</f>
        <v>0.25</v>
      </c>
      <c r="S9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8" s="62" t="str">
        <f>VLOOKUP(_07__CRONOGRAMA_2026[[#This Row],[ID Historico]],Cartera1017[[ID Histórico]:[Estado TI]],31,FALSE)</f>
        <v>03. En Desarrollo</v>
      </c>
      <c r="U98" s="62" t="str">
        <f>VLOOKUP(_07__CRONOGRAMA_2026[[#This Row],[ID Historico]],Cartera1017[[ID Histórico]:[Estado TI]],30,FALSE)</f>
        <v>Omar Sarmiento</v>
      </c>
      <c r="V98" s="62" t="str">
        <f>VLOOKUP(_07__CRONOGRAMA_2026[[#This Row],[ID Historico]],Cartera1017[[ID Histórico]:[Estado TI]],29,FALSE)</f>
        <v>Vladimir Ronald Cajavilca Cajavilca</v>
      </c>
    </row>
    <row r="99" spans="1:22" ht="60" hidden="1" customHeight="1">
      <c r="A99" s="62">
        <v>2881</v>
      </c>
      <c r="B99" s="62" t="s">
        <v>262</v>
      </c>
      <c r="C99" s="62" t="s">
        <v>263</v>
      </c>
      <c r="D99" s="62" t="s">
        <v>26</v>
      </c>
      <c r="E99" s="62" t="s">
        <v>27</v>
      </c>
      <c r="F99" s="62" t="s">
        <v>48</v>
      </c>
      <c r="G99" s="262">
        <v>0.15</v>
      </c>
      <c r="H99" s="62" t="s">
        <v>36</v>
      </c>
      <c r="I99" s="358">
        <v>45971</v>
      </c>
      <c r="J99" s="358">
        <v>46139</v>
      </c>
      <c r="K99" s="358">
        <v>46140</v>
      </c>
      <c r="L99" s="358">
        <v>46164</v>
      </c>
      <c r="M99" s="358">
        <v>46167</v>
      </c>
      <c r="N99" s="358">
        <v>46171</v>
      </c>
      <c r="O99" s="62" t="s">
        <v>30</v>
      </c>
      <c r="P99" s="262">
        <f>VLOOKUP(_07__CRONOGRAMA_2026[[#This Row],[ID Historico]],Cartera1017[[ID Histórico]:[Porcentaje de Avance]],80,FALSE)</f>
        <v>0.25</v>
      </c>
      <c r="Q9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0.94964028776978415</v>
      </c>
      <c r="R99" s="262">
        <f>IF(_07__CRONOGRAMA_2026[[#This Row],[% REAL]]&gt;_07__CRONOGRAMA_2026[[#This Row],[Porcentaje de Avance]],_07__CRONOGRAMA_2026[[#This Row],[% REAL]],_07__CRONOGRAMA_2026[[#This Row],[Porcentaje de Avance]])</f>
        <v>0.25</v>
      </c>
      <c r="S9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9" s="62" t="str">
        <f>VLOOKUP(_07__CRONOGRAMA_2026[[#This Row],[ID Historico]],Cartera1017[[ID Histórico]:[Estado TI]],31,FALSE)</f>
        <v>03. En Desarrollo</v>
      </c>
      <c r="U99" s="62" t="str">
        <f>VLOOKUP(_07__CRONOGRAMA_2026[[#This Row],[ID Historico]],Cartera1017[[ID Histórico]:[Estado TI]],30,FALSE)</f>
        <v>Omar Sarmiento</v>
      </c>
      <c r="V99" s="62" t="str">
        <f>VLOOKUP(_07__CRONOGRAMA_2026[[#This Row],[ID Historico]],Cartera1017[[ID Histórico]:[Estado TI]],29,FALSE)</f>
        <v>Vladimir Ronald Cajavilca Cajavilca</v>
      </c>
    </row>
    <row r="100" spans="1:22" ht="105" hidden="1" customHeight="1">
      <c r="A100" s="62">
        <v>2913</v>
      </c>
      <c r="B100" s="62" t="s">
        <v>264</v>
      </c>
      <c r="C100" s="62" t="s">
        <v>265</v>
      </c>
      <c r="D100" s="62" t="s">
        <v>33</v>
      </c>
      <c r="E100" s="62" t="s">
        <v>34</v>
      </c>
      <c r="F100" s="62" t="s">
        <v>87</v>
      </c>
      <c r="G100" s="262">
        <v>0.7</v>
      </c>
      <c r="H100" s="62" t="s">
        <v>36</v>
      </c>
      <c r="I100" s="358">
        <v>45845</v>
      </c>
      <c r="J100" s="358">
        <v>45966</v>
      </c>
      <c r="K100" s="358">
        <v>45986</v>
      </c>
      <c r="L100" s="358">
        <v>46121</v>
      </c>
      <c r="M100" s="358">
        <v>46122</v>
      </c>
      <c r="N100" s="358">
        <v>46136</v>
      </c>
      <c r="O100" s="62" t="s">
        <v>150</v>
      </c>
      <c r="P100" s="262">
        <f>VLOOKUP(_07__CRONOGRAMA_2026[[#This Row],[ID Historico]],Cartera1017[[ID Histórico]:[Porcentaje de Avance]],80,FALSE)</f>
        <v>1</v>
      </c>
      <c r="Q10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0" s="262">
        <f>IF(_07__CRONOGRAMA_2026[[#This Row],[% REAL]]&gt;_07__CRONOGRAMA_2026[[#This Row],[Porcentaje de Avance]],_07__CRONOGRAMA_2026[[#This Row],[% REAL]],_07__CRONOGRAMA_2026[[#This Row],[Porcentaje de Avance]])</f>
        <v>1</v>
      </c>
      <c r="S10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0" s="62" t="str">
        <f>VLOOKUP(_07__CRONOGRAMA_2026[[#This Row],[ID Historico]],Cartera1017[[ID Histórico]:[Estado TI]],31,FALSE)</f>
        <v>08. Producción Finalizada</v>
      </c>
      <c r="U100" s="62" t="str">
        <f>VLOOKUP(_07__CRONOGRAMA_2026[[#This Row],[ID Historico]],Cartera1017[[ID Histórico]:[Estado TI]],30,FALSE)</f>
        <v>Milagros Huamani</v>
      </c>
      <c r="V100" s="62" t="str">
        <f>VLOOKUP(_07__CRONOGRAMA_2026[[#This Row],[ID Historico]],Cartera1017[[ID Histórico]:[Estado TI]],29,FALSE)</f>
        <v>Pedro Jose Encalada Huertas</v>
      </c>
    </row>
    <row r="101" spans="1:22" ht="105" hidden="1" customHeight="1">
      <c r="A101" s="62">
        <v>2918</v>
      </c>
      <c r="B101" s="62" t="s">
        <v>266</v>
      </c>
      <c r="C101" s="62" t="s">
        <v>267</v>
      </c>
      <c r="D101" s="62" t="s">
        <v>40</v>
      </c>
      <c r="E101" s="62" t="s">
        <v>41</v>
      </c>
      <c r="F101" s="62" t="s">
        <v>42</v>
      </c>
      <c r="G101" s="262">
        <v>0.85</v>
      </c>
      <c r="H101" s="62" t="s">
        <v>36</v>
      </c>
      <c r="I101" s="358">
        <v>45848</v>
      </c>
      <c r="J101" s="358">
        <v>45936</v>
      </c>
      <c r="K101" s="358">
        <v>45941</v>
      </c>
      <c r="L101" s="358">
        <v>46045</v>
      </c>
      <c r="M101" s="358">
        <v>46072</v>
      </c>
      <c r="N101" s="358">
        <v>46084</v>
      </c>
      <c r="O101" s="62" t="s">
        <v>165</v>
      </c>
      <c r="P101" s="262">
        <f>VLOOKUP(_07__CRONOGRAMA_2026[[#This Row],[ID Historico]],Cartera1017[[ID Histórico]:[Porcentaje de Avance]],80,FALSE)</f>
        <v>0.9</v>
      </c>
      <c r="Q10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1" s="262">
        <f>IF(_07__CRONOGRAMA_2026[[#This Row],[% REAL]]&gt;_07__CRONOGRAMA_2026[[#This Row],[Porcentaje de Avance]],_07__CRONOGRAMA_2026[[#This Row],[% REAL]],_07__CRONOGRAMA_2026[[#This Row],[Porcentaje de Avance]])</f>
        <v>0.9</v>
      </c>
      <c r="S10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01" s="62" t="str">
        <f>VLOOKUP(_07__CRONOGRAMA_2026[[#This Row],[ID Historico]],Cartera1017[[ID Histórico]:[Estado TI]],31,FALSE)</f>
        <v>07. En Despliegue</v>
      </c>
      <c r="U101" s="62" t="str">
        <f>VLOOKUP(_07__CRONOGRAMA_2026[[#This Row],[ID Historico]],Cartera1017[[ID Histórico]:[Estado TI]],30,FALSE)</f>
        <v>Junior Quicaño</v>
      </c>
      <c r="V101" s="62" t="str">
        <f>VLOOKUP(_07__CRONOGRAMA_2026[[#This Row],[ID Historico]],Cartera1017[[ID Histórico]:[Estado TI]],29,FALSE)</f>
        <v>Fiorella Emma Galvan Soto</v>
      </c>
    </row>
    <row r="102" spans="1:22" ht="30" hidden="1" customHeight="1">
      <c r="A102" s="62">
        <v>2926</v>
      </c>
      <c r="B102" s="62" t="s">
        <v>268</v>
      </c>
      <c r="C102" s="62" t="s">
        <v>269</v>
      </c>
      <c r="D102" s="62" t="s">
        <v>40</v>
      </c>
      <c r="E102" s="62" t="s">
        <v>41</v>
      </c>
      <c r="F102" s="62" t="s">
        <v>42</v>
      </c>
      <c r="G102" s="262">
        <v>0.85</v>
      </c>
      <c r="H102" s="62" t="s">
        <v>36</v>
      </c>
      <c r="I102" s="358">
        <v>45847</v>
      </c>
      <c r="J102" s="358">
        <v>46017</v>
      </c>
      <c r="K102" s="358">
        <v>46055</v>
      </c>
      <c r="L102" s="358">
        <v>46094</v>
      </c>
      <c r="M102" s="358">
        <v>46097</v>
      </c>
      <c r="N102" s="358">
        <v>46108</v>
      </c>
      <c r="O102" s="62" t="s">
        <v>43</v>
      </c>
      <c r="P102" s="262">
        <f>VLOOKUP(_07__CRONOGRAMA_2026[[#This Row],[ID Historico]],Cartera1017[[ID Histórico]:[Porcentaje de Avance]],80,FALSE)</f>
        <v>0.45</v>
      </c>
      <c r="Q10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2" s="262">
        <f>IF(_07__CRONOGRAMA_2026[[#This Row],[% REAL]]&gt;_07__CRONOGRAMA_2026[[#This Row],[Porcentaje de Avance]],_07__CRONOGRAMA_2026[[#This Row],[% REAL]],_07__CRONOGRAMA_2026[[#This Row],[Porcentaje de Avance]])</f>
        <v>0.85</v>
      </c>
      <c r="S10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02" s="62" t="str">
        <f>VLOOKUP(_07__CRONOGRAMA_2026[[#This Row],[ID Historico]],Cartera1017[[ID Histórico]:[Estado TI]],31,FALSE)</f>
        <v>03. En Desarrollo</v>
      </c>
      <c r="U102" s="62" t="str">
        <f>VLOOKUP(_07__CRONOGRAMA_2026[[#This Row],[ID Historico]],Cartera1017[[ID Histórico]:[Estado TI]],30,FALSE)</f>
        <v>Junior Quicaño</v>
      </c>
      <c r="V102" s="62" t="str">
        <f>VLOOKUP(_07__CRONOGRAMA_2026[[#This Row],[ID Historico]],Cartera1017[[ID Histórico]:[Estado TI]],29,FALSE)</f>
        <v>Johnny Luis Rocca Surco</v>
      </c>
    </row>
    <row r="103" spans="1:22" ht="30" hidden="1" customHeight="1">
      <c r="A103" s="62">
        <v>2928</v>
      </c>
      <c r="B103" s="62" t="s">
        <v>270</v>
      </c>
      <c r="C103" s="62" t="s">
        <v>271</v>
      </c>
      <c r="D103" s="62" t="s">
        <v>33</v>
      </c>
      <c r="E103" s="62" t="s">
        <v>34</v>
      </c>
      <c r="F103" s="62" t="s">
        <v>28</v>
      </c>
      <c r="G103" s="262">
        <v>0</v>
      </c>
      <c r="H103" s="62" t="s">
        <v>29</v>
      </c>
      <c r="I103" s="358">
        <v>46204</v>
      </c>
      <c r="J103" s="358">
        <v>46304</v>
      </c>
      <c r="K103" s="358">
        <v>46307</v>
      </c>
      <c r="L103" s="358">
        <v>46344</v>
      </c>
      <c r="M103" s="358">
        <v>46345</v>
      </c>
      <c r="N103" s="358">
        <v>46358</v>
      </c>
      <c r="O103" s="62" t="s">
        <v>133</v>
      </c>
      <c r="P103" s="262">
        <f>VLOOKUP(_07__CRONOGRAMA_2026[[#This Row],[ID Historico]],Cartera1017[[ID Histórico]:[Porcentaje de Avance]],80,FALSE)</f>
        <v>0.12</v>
      </c>
      <c r="Q10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103" s="262">
        <f>IF(_07__CRONOGRAMA_2026[[#This Row],[% REAL]]&gt;_07__CRONOGRAMA_2026[[#This Row],[Porcentaje de Avance]],_07__CRONOGRAMA_2026[[#This Row],[% REAL]],_07__CRONOGRAMA_2026[[#This Row],[Porcentaje de Avance]])</f>
        <v>0.12</v>
      </c>
      <c r="S10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3" s="62" t="str">
        <f>VLOOKUP(_07__CRONOGRAMA_2026[[#This Row],[ID Historico]],Cartera1017[[ID Histórico]:[Estado TI]],31,FALSE)</f>
        <v>10. Paralizado</v>
      </c>
      <c r="U103" s="62" t="str">
        <f>VLOOKUP(_07__CRONOGRAMA_2026[[#This Row],[ID Historico]],Cartera1017[[ID Histórico]:[Estado TI]],30,FALSE)</f>
        <v>Milagros Huamani</v>
      </c>
      <c r="V103" s="62" t="str">
        <f>VLOOKUP(_07__CRONOGRAMA_2026[[#This Row],[ID Historico]],Cartera1017[[ID Histórico]:[Estado TI]],29,FALSE)</f>
        <v>Javier Baltazar Urquiaga Salazar</v>
      </c>
    </row>
    <row r="104" spans="1:22" ht="45" hidden="1" customHeight="1">
      <c r="A104" s="62">
        <v>2930</v>
      </c>
      <c r="B104" s="62" t="s">
        <v>272</v>
      </c>
      <c r="C104" s="62" t="s">
        <v>273</v>
      </c>
      <c r="D104" s="62" t="s">
        <v>40</v>
      </c>
      <c r="E104" s="62" t="s">
        <v>41</v>
      </c>
      <c r="F104" s="62" t="s">
        <v>178</v>
      </c>
      <c r="G104" s="262">
        <v>0.7</v>
      </c>
      <c r="H104" s="62" t="s">
        <v>36</v>
      </c>
      <c r="I104" s="358">
        <v>45922</v>
      </c>
      <c r="J104" s="358">
        <v>45979</v>
      </c>
      <c r="K104" s="358">
        <v>46083</v>
      </c>
      <c r="L104" s="358">
        <v>46094</v>
      </c>
      <c r="M104" s="358">
        <v>46132</v>
      </c>
      <c r="N104" s="358">
        <v>46136</v>
      </c>
      <c r="O104" s="62" t="s">
        <v>236</v>
      </c>
      <c r="P104" s="262">
        <f>VLOOKUP(_07__CRONOGRAMA_2026[[#This Row],[ID Historico]],Cartera1017[[ID Histórico]:[Porcentaje de Avance]],80,FALSE)</f>
        <v>1</v>
      </c>
      <c r="Q10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4" s="262">
        <f>IF(_07__CRONOGRAMA_2026[[#This Row],[% REAL]]&gt;_07__CRONOGRAMA_2026[[#This Row],[Porcentaje de Avance]],_07__CRONOGRAMA_2026[[#This Row],[% REAL]],_07__CRONOGRAMA_2026[[#This Row],[Porcentaje de Avance]])</f>
        <v>1</v>
      </c>
      <c r="S10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4" s="62" t="str">
        <f>VLOOKUP(_07__CRONOGRAMA_2026[[#This Row],[ID Historico]],Cartera1017[[ID Histórico]:[Estado TI]],31,FALSE)</f>
        <v>08. Producción Finalizada</v>
      </c>
      <c r="U104" s="62" t="str">
        <f>VLOOKUP(_07__CRONOGRAMA_2026[[#This Row],[ID Historico]],Cartera1017[[ID Histórico]:[Estado TI]],30,FALSE)</f>
        <v>Junior Quicaño</v>
      </c>
      <c r="V104" s="62" t="str">
        <f>VLOOKUP(_07__CRONOGRAMA_2026[[#This Row],[ID Historico]],Cartera1017[[ID Histórico]:[Estado TI]],29,FALSE)</f>
        <v>Valery Aldo Versategui Malpica</v>
      </c>
    </row>
    <row r="105" spans="1:22" ht="30" customHeight="1">
      <c r="A105" s="62">
        <v>2946</v>
      </c>
      <c r="B105" s="62" t="s">
        <v>274</v>
      </c>
      <c r="C105" s="62" t="s">
        <v>275</v>
      </c>
      <c r="D105" s="62" t="s">
        <v>108</v>
      </c>
      <c r="E105" s="62" t="s">
        <v>109</v>
      </c>
      <c r="F105" s="62" t="s">
        <v>48</v>
      </c>
      <c r="G105" s="262">
        <v>0.15</v>
      </c>
      <c r="H105" s="62" t="s">
        <v>83</v>
      </c>
      <c r="I105" s="358">
        <v>45964</v>
      </c>
      <c r="J105" s="358">
        <v>46064</v>
      </c>
      <c r="K105" s="358">
        <v>46069</v>
      </c>
      <c r="L105" s="358">
        <v>46073</v>
      </c>
      <c r="M105" s="358">
        <v>46075</v>
      </c>
      <c r="N105" s="358">
        <v>46077</v>
      </c>
      <c r="O105" s="62" t="s">
        <v>150</v>
      </c>
      <c r="P105" s="262">
        <f>VLOOKUP(_07__CRONOGRAMA_2026[[#This Row],[ID Historico]],Cartera1017[[ID Histórico]:[Porcentaje de Avance]],80,FALSE)</f>
        <v>0.25</v>
      </c>
      <c r="Q10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5" s="262">
        <f>IF(_07__CRONOGRAMA_2026[[#This Row],[% REAL]]&gt;_07__CRONOGRAMA_2026[[#This Row],[Porcentaje de Avance]],_07__CRONOGRAMA_2026[[#This Row],[% REAL]],_07__CRONOGRAMA_2026[[#This Row],[Porcentaje de Avance]])</f>
        <v>0.25</v>
      </c>
      <c r="S10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5" s="62" t="str">
        <f>VLOOKUP(_07__CRONOGRAMA_2026[[#This Row],[ID Historico]],Cartera1017[[ID Histórico]:[Estado TI]],31,FALSE)</f>
        <v>03. En Desarrollo</v>
      </c>
      <c r="U105" s="62" t="str">
        <f>VLOOKUP(_07__CRONOGRAMA_2026[[#This Row],[ID Historico]],Cartera1017[[ID Histórico]:[Estado TI]],30,FALSE)</f>
        <v>Junior Quicaño</v>
      </c>
      <c r="V105" s="62" t="str">
        <f>VLOOKUP(_07__CRONOGRAMA_2026[[#This Row],[ID Historico]],Cartera1017[[ID Histórico]:[Estado TI]],29,FALSE)</f>
        <v>Pedro Jose Encalada Huertas</v>
      </c>
    </row>
    <row r="106" spans="1:22" ht="30" customHeight="1">
      <c r="A106" s="62">
        <v>2620</v>
      </c>
      <c r="B106" s="62" t="s">
        <v>276</v>
      </c>
      <c r="C106" s="62" t="s">
        <v>277</v>
      </c>
      <c r="D106" s="62" t="s">
        <v>108</v>
      </c>
      <c r="E106" s="62" t="s">
        <v>109</v>
      </c>
      <c r="F106" s="62" t="s">
        <v>48</v>
      </c>
      <c r="G106" s="262">
        <v>0.15</v>
      </c>
      <c r="H106" s="62" t="s">
        <v>83</v>
      </c>
      <c r="I106" s="358">
        <v>45964</v>
      </c>
      <c r="J106" s="358">
        <v>46064</v>
      </c>
      <c r="K106" s="358">
        <v>46083</v>
      </c>
      <c r="L106" s="358">
        <v>46128</v>
      </c>
      <c r="M106" s="358">
        <v>46129</v>
      </c>
      <c r="N106" s="358">
        <v>46142</v>
      </c>
      <c r="O106" s="62" t="s">
        <v>150</v>
      </c>
      <c r="P106" s="262">
        <f>VLOOKUP(_07__CRONOGRAMA_2026[[#This Row],[ID Historico]],Cartera1017[[ID Histórico]:[Porcentaje de Avance]],80,FALSE)</f>
        <v>0.25</v>
      </c>
      <c r="Q10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6" s="262">
        <f>IF(_07__CRONOGRAMA_2026[[#This Row],[% REAL]]&gt;_07__CRONOGRAMA_2026[[#This Row],[Porcentaje de Avance]],_07__CRONOGRAMA_2026[[#This Row],[% REAL]],_07__CRONOGRAMA_2026[[#This Row],[Porcentaje de Avance]])</f>
        <v>0.25</v>
      </c>
      <c r="S10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6" s="62" t="str">
        <f>VLOOKUP(_07__CRONOGRAMA_2026[[#This Row],[ID Historico]],Cartera1017[[ID Histórico]:[Estado TI]],31,FALSE)</f>
        <v>03. En Desarrollo</v>
      </c>
      <c r="U106" s="62" t="str">
        <f>VLOOKUP(_07__CRONOGRAMA_2026[[#This Row],[ID Historico]],Cartera1017[[ID Histórico]:[Estado TI]],30,FALSE)</f>
        <v>Junior Quicaño</v>
      </c>
      <c r="V106" s="62" t="str">
        <f>VLOOKUP(_07__CRONOGRAMA_2026[[#This Row],[ID Historico]],Cartera1017[[ID Histórico]:[Estado TI]],29,FALSE)</f>
        <v>Pedro Jose Encalada Huertas</v>
      </c>
    </row>
    <row r="107" spans="1:22" ht="30" hidden="1" customHeight="1">
      <c r="A107" s="62">
        <v>2703</v>
      </c>
      <c r="B107" s="62" t="s">
        <v>278</v>
      </c>
      <c r="C107" s="62" t="s">
        <v>279</v>
      </c>
      <c r="D107" s="62" t="s">
        <v>26</v>
      </c>
      <c r="E107" s="62" t="s">
        <v>27</v>
      </c>
      <c r="F107" s="62" t="s">
        <v>48</v>
      </c>
      <c r="G107" s="262">
        <v>0.15</v>
      </c>
      <c r="H107" s="62" t="s">
        <v>36</v>
      </c>
      <c r="I107" s="358">
        <v>45964</v>
      </c>
      <c r="J107" s="358">
        <v>46108</v>
      </c>
      <c r="K107" s="358">
        <v>46111</v>
      </c>
      <c r="L107" s="358">
        <v>46111</v>
      </c>
      <c r="M107" s="358">
        <v>46136</v>
      </c>
      <c r="N107" s="358">
        <v>46136</v>
      </c>
      <c r="O107" s="62" t="s">
        <v>30</v>
      </c>
      <c r="P107" s="262">
        <f>VLOOKUP(_07__CRONOGRAMA_2026[[#This Row],[ID Historico]],Cartera1017[[ID Histórico]:[Porcentaje de Avance]],80,FALSE)</f>
        <v>0.12</v>
      </c>
      <c r="Q10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7" s="262">
        <f>IF(_07__CRONOGRAMA_2026[[#This Row],[% REAL]]&gt;_07__CRONOGRAMA_2026[[#This Row],[Porcentaje de Avance]],_07__CRONOGRAMA_2026[[#This Row],[% REAL]],_07__CRONOGRAMA_2026[[#This Row],[Porcentaje de Avance]])</f>
        <v>0.15</v>
      </c>
      <c r="S10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7" s="62" t="str">
        <f>VLOOKUP(_07__CRONOGRAMA_2026[[#This Row],[ID Historico]],Cartera1017[[ID Histórico]:[Estado TI]],31,FALSE)</f>
        <v>10. Paralizado</v>
      </c>
      <c r="U107" s="62" t="str">
        <f>VLOOKUP(_07__CRONOGRAMA_2026[[#This Row],[ID Historico]],Cartera1017[[ID Histórico]:[Estado TI]],30,FALSE)</f>
        <v>Omar Sarmiento</v>
      </c>
      <c r="V107" s="62" t="str">
        <f>VLOOKUP(_07__CRONOGRAMA_2026[[#This Row],[ID Historico]],Cartera1017[[ID Histórico]:[Estado TI]],29,FALSE)</f>
        <v>Vladimir Ronald Cajavilca Cajavilca</v>
      </c>
    </row>
    <row r="108" spans="1:22" ht="30" hidden="1" customHeight="1">
      <c r="A108" s="62">
        <v>2902</v>
      </c>
      <c r="B108" s="62" t="s">
        <v>280</v>
      </c>
      <c r="C108" s="62" t="s">
        <v>281</v>
      </c>
      <c r="D108" s="62" t="s">
        <v>52</v>
      </c>
      <c r="E108" s="62" t="s">
        <v>47</v>
      </c>
      <c r="F108" s="62" t="s">
        <v>48</v>
      </c>
      <c r="G108" s="262">
        <v>0.15</v>
      </c>
      <c r="H108" s="62" t="s">
        <v>83</v>
      </c>
      <c r="I108" s="358">
        <v>45964</v>
      </c>
      <c r="J108" s="358">
        <v>45996</v>
      </c>
      <c r="K108" s="358">
        <v>46000</v>
      </c>
      <c r="L108" s="358">
        <v>46027</v>
      </c>
      <c r="M108" s="358">
        <v>46028</v>
      </c>
      <c r="N108" s="358">
        <v>46042</v>
      </c>
      <c r="O108" s="62" t="s">
        <v>76</v>
      </c>
      <c r="P108" s="262">
        <f>VLOOKUP(_07__CRONOGRAMA_2026[[#This Row],[ID Historico]],Cartera1017[[ID Histórico]:[Porcentaje de Avance]],80,FALSE)</f>
        <v>0.7</v>
      </c>
      <c r="Q10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8" s="262">
        <f>IF(_07__CRONOGRAMA_2026[[#This Row],[% REAL]]&gt;_07__CRONOGRAMA_2026[[#This Row],[Porcentaje de Avance]],_07__CRONOGRAMA_2026[[#This Row],[% REAL]],_07__CRONOGRAMA_2026[[#This Row],[Porcentaje de Avance]])</f>
        <v>0.7</v>
      </c>
      <c r="S10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8" s="62" t="str">
        <f>VLOOKUP(_07__CRONOGRAMA_2026[[#This Row],[ID Historico]],Cartera1017[[ID Histórico]:[Estado TI]],31,FALSE)</f>
        <v>05. En Calidad</v>
      </c>
      <c r="U108" s="62" t="str">
        <f>VLOOKUP(_07__CRONOGRAMA_2026[[#This Row],[ID Historico]],Cartera1017[[ID Histórico]:[Estado TI]],30,FALSE)</f>
        <v>Juan Carlos Zavaleta</v>
      </c>
      <c r="V108" s="62" t="str">
        <f>VLOOKUP(_07__CRONOGRAMA_2026[[#This Row],[ID Historico]],Cartera1017[[ID Histórico]:[Estado TI]],29,FALSE)</f>
        <v>Emerson Quecara Choquetico</v>
      </c>
    </row>
    <row r="109" spans="1:22" ht="30" hidden="1" customHeight="1">
      <c r="A109" s="62">
        <v>2936</v>
      </c>
      <c r="B109" s="62" t="s">
        <v>282</v>
      </c>
      <c r="C109" s="62" t="s">
        <v>283</v>
      </c>
      <c r="D109" s="62" t="s">
        <v>82</v>
      </c>
      <c r="E109" s="62" t="s">
        <v>63</v>
      </c>
      <c r="F109" s="62" t="s">
        <v>48</v>
      </c>
      <c r="G109" s="262">
        <v>0.15</v>
      </c>
      <c r="H109" s="62" t="s">
        <v>36</v>
      </c>
      <c r="I109" s="358">
        <v>46007</v>
      </c>
      <c r="J109" s="358">
        <v>46081</v>
      </c>
      <c r="K109" s="358">
        <v>46083</v>
      </c>
      <c r="L109" s="358">
        <v>46111</v>
      </c>
      <c r="M109" s="358">
        <v>46112</v>
      </c>
      <c r="N109" s="358">
        <v>46127</v>
      </c>
      <c r="O109" s="62" t="s">
        <v>150</v>
      </c>
      <c r="P109" s="262">
        <f>VLOOKUP(_07__CRONOGRAMA_2026[[#This Row],[ID Historico]],Cartera1017[[ID Histórico]:[Porcentaje de Avance]],80,FALSE)</f>
        <v>0.7</v>
      </c>
      <c r="Q10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9" s="262">
        <f>IF(_07__CRONOGRAMA_2026[[#This Row],[% REAL]]&gt;_07__CRONOGRAMA_2026[[#This Row],[Porcentaje de Avance]],_07__CRONOGRAMA_2026[[#This Row],[% REAL]],_07__CRONOGRAMA_2026[[#This Row],[Porcentaje de Avance]])</f>
        <v>0.7</v>
      </c>
      <c r="S10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9" s="62" t="str">
        <f>VLOOKUP(_07__CRONOGRAMA_2026[[#This Row],[ID Historico]],Cartera1017[[ID Histórico]:[Estado TI]],31,FALSE)</f>
        <v>05. En Calidad</v>
      </c>
      <c r="U109" s="62" t="str">
        <f>VLOOKUP(_07__CRONOGRAMA_2026[[#This Row],[ID Historico]],Cartera1017[[ID Histórico]:[Estado TI]],30,FALSE)</f>
        <v>Maria Barboza</v>
      </c>
      <c r="V109" s="62" t="str">
        <f>VLOOKUP(_07__CRONOGRAMA_2026[[#This Row],[ID Historico]],Cartera1017[[ID Histórico]:[Estado TI]],29,FALSE)</f>
        <v>Pedro Jose Encalada Huertas</v>
      </c>
    </row>
    <row r="110" spans="1:22" ht="30" hidden="1" customHeight="1">
      <c r="A110" s="62">
        <v>2958</v>
      </c>
      <c r="B110" s="62" t="s">
        <v>284</v>
      </c>
      <c r="C110" s="62" t="s">
        <v>285</v>
      </c>
      <c r="D110" s="62" t="s">
        <v>26</v>
      </c>
      <c r="E110" s="62" t="s">
        <v>27</v>
      </c>
      <c r="F110" s="62" t="s">
        <v>87</v>
      </c>
      <c r="G110" s="262">
        <v>0.7</v>
      </c>
      <c r="H110" s="62" t="s">
        <v>36</v>
      </c>
      <c r="I110" s="358">
        <v>45901</v>
      </c>
      <c r="J110" s="358">
        <v>46030</v>
      </c>
      <c r="K110" s="358">
        <v>46050</v>
      </c>
      <c r="L110" s="358">
        <v>46098</v>
      </c>
      <c r="M110" s="358">
        <v>46099</v>
      </c>
      <c r="N110" s="358">
        <v>46111</v>
      </c>
      <c r="O110" s="62" t="s">
        <v>153</v>
      </c>
      <c r="P110" s="262">
        <f>VLOOKUP(_07__CRONOGRAMA_2026[[#This Row],[ID Historico]],Cartera1017[[ID Histórico]:[Porcentaje de Avance]],80,FALSE)</f>
        <v>0.9</v>
      </c>
      <c r="Q11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0" s="262">
        <f>IF(_07__CRONOGRAMA_2026[[#This Row],[% REAL]]&gt;_07__CRONOGRAMA_2026[[#This Row],[Porcentaje de Avance]],_07__CRONOGRAMA_2026[[#This Row],[% REAL]],_07__CRONOGRAMA_2026[[#This Row],[Porcentaje de Avance]])</f>
        <v>0.9</v>
      </c>
      <c r="S11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10" s="62" t="str">
        <f>VLOOKUP(_07__CRONOGRAMA_2026[[#This Row],[ID Historico]],Cartera1017[[ID Histórico]:[Estado TI]],31,FALSE)</f>
        <v>07. En Despliegue</v>
      </c>
      <c r="U110" s="62" t="str">
        <f>VLOOKUP(_07__CRONOGRAMA_2026[[#This Row],[ID Historico]],Cartera1017[[ID Histórico]:[Estado TI]],30,FALSE)</f>
        <v>Omar Sarmiento</v>
      </c>
      <c r="V110" s="62" t="str">
        <f>VLOOKUP(_07__CRONOGRAMA_2026[[#This Row],[ID Historico]],Cartera1017[[ID Histórico]:[Estado TI]],29,FALSE)</f>
        <v>Angela Rocio Risco Vega</v>
      </c>
    </row>
    <row r="111" spans="1:22" ht="30" hidden="1" customHeight="1">
      <c r="A111" s="62">
        <v>2978</v>
      </c>
      <c r="B111" s="62" t="s">
        <v>286</v>
      </c>
      <c r="C111" s="62" t="s">
        <v>287</v>
      </c>
      <c r="D111" s="62" t="s">
        <v>26</v>
      </c>
      <c r="E111" s="62" t="s">
        <v>27</v>
      </c>
      <c r="F111" s="62" t="s">
        <v>48</v>
      </c>
      <c r="G111" s="262">
        <v>0.15</v>
      </c>
      <c r="H111" s="62" t="s">
        <v>36</v>
      </c>
      <c r="I111" s="358">
        <v>45964</v>
      </c>
      <c r="J111" s="358">
        <v>46073</v>
      </c>
      <c r="K111" s="358">
        <v>46073</v>
      </c>
      <c r="L111" s="358">
        <v>46108</v>
      </c>
      <c r="M111" s="358">
        <v>46132</v>
      </c>
      <c r="N111" s="358">
        <v>46142</v>
      </c>
      <c r="O111" s="62" t="s">
        <v>105</v>
      </c>
      <c r="P111" s="262">
        <f>VLOOKUP(_07__CRONOGRAMA_2026[[#This Row],[ID Historico]],Cartera1017[[ID Histórico]:[Porcentaje de Avance]],80,FALSE)</f>
        <v>0.25</v>
      </c>
      <c r="Q11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1" s="262">
        <f>IF(_07__CRONOGRAMA_2026[[#This Row],[% REAL]]&gt;_07__CRONOGRAMA_2026[[#This Row],[Porcentaje de Avance]],_07__CRONOGRAMA_2026[[#This Row],[% REAL]],_07__CRONOGRAMA_2026[[#This Row],[Porcentaje de Avance]])</f>
        <v>0.25</v>
      </c>
      <c r="S11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1" s="62" t="str">
        <f>VLOOKUP(_07__CRONOGRAMA_2026[[#This Row],[ID Historico]],Cartera1017[[ID Histórico]:[Estado TI]],31,FALSE)</f>
        <v>03. En Desarrollo</v>
      </c>
      <c r="U111" s="62" t="str">
        <f>VLOOKUP(_07__CRONOGRAMA_2026[[#This Row],[ID Historico]],Cartera1017[[ID Histórico]:[Estado TI]],30,FALSE)</f>
        <v>Omar Sarmiento</v>
      </c>
      <c r="V111" s="62" t="str">
        <f>VLOOKUP(_07__CRONOGRAMA_2026[[#This Row],[ID Historico]],Cartera1017[[ID Histórico]:[Estado TI]],29,FALSE)</f>
        <v>Monica del Pilar Garcia Campana</v>
      </c>
    </row>
    <row r="112" spans="1:22" ht="30" hidden="1" customHeight="1">
      <c r="A112" s="62">
        <v>2939</v>
      </c>
      <c r="B112" s="62" t="s">
        <v>288</v>
      </c>
      <c r="C112" s="62" t="s">
        <v>289</v>
      </c>
      <c r="D112" s="62" t="s">
        <v>33</v>
      </c>
      <c r="E112" s="62" t="s">
        <v>34</v>
      </c>
      <c r="F112" s="62" t="s">
        <v>87</v>
      </c>
      <c r="G112" s="262">
        <v>0.5</v>
      </c>
      <c r="H112" s="62" t="s">
        <v>36</v>
      </c>
      <c r="I112" s="358">
        <v>46027</v>
      </c>
      <c r="J112" s="358">
        <v>46058</v>
      </c>
      <c r="K112" s="358">
        <v>46070</v>
      </c>
      <c r="L112" s="358">
        <v>46125</v>
      </c>
      <c r="M112" s="358">
        <v>46126</v>
      </c>
      <c r="N112" s="358">
        <v>46140</v>
      </c>
      <c r="O112" s="62" t="s">
        <v>150</v>
      </c>
      <c r="P112" s="262">
        <f>VLOOKUP(_07__CRONOGRAMA_2026[[#This Row],[ID Historico]],Cartera1017[[ID Histórico]:[Porcentaje de Avance]],80,FALSE)</f>
        <v>1</v>
      </c>
      <c r="Q11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2" s="262">
        <f>IF(_07__CRONOGRAMA_2026[[#This Row],[% REAL]]&gt;_07__CRONOGRAMA_2026[[#This Row],[Porcentaje de Avance]],_07__CRONOGRAMA_2026[[#This Row],[% REAL]],_07__CRONOGRAMA_2026[[#This Row],[Porcentaje de Avance]])</f>
        <v>1</v>
      </c>
      <c r="S11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12" s="62" t="str">
        <f>VLOOKUP(_07__CRONOGRAMA_2026[[#This Row],[ID Historico]],Cartera1017[[ID Histórico]:[Estado TI]],31,FALSE)</f>
        <v>08. Producción Finalizada</v>
      </c>
      <c r="U112" s="62" t="str">
        <f>VLOOKUP(_07__CRONOGRAMA_2026[[#This Row],[ID Historico]],Cartera1017[[ID Histórico]:[Estado TI]],30,FALSE)</f>
        <v>Milagros Huamani</v>
      </c>
      <c r="V112" s="62" t="str">
        <f>VLOOKUP(_07__CRONOGRAMA_2026[[#This Row],[ID Historico]],Cartera1017[[ID Histórico]:[Estado TI]],29,FALSE)</f>
        <v>Pedro Jose Encalada Huertas</v>
      </c>
    </row>
    <row r="113" spans="1:22" ht="30" customHeight="1">
      <c r="A113" s="62">
        <v>2987</v>
      </c>
      <c r="B113" s="62" t="s">
        <v>290</v>
      </c>
      <c r="C113" s="62" t="s">
        <v>291</v>
      </c>
      <c r="D113" s="62" t="s">
        <v>108</v>
      </c>
      <c r="E113" s="62" t="s">
        <v>109</v>
      </c>
      <c r="F113" s="62" t="s">
        <v>48</v>
      </c>
      <c r="G113" s="262">
        <v>0.15</v>
      </c>
      <c r="H113" s="62" t="s">
        <v>83</v>
      </c>
      <c r="I113" s="358">
        <v>45964</v>
      </c>
      <c r="J113" s="358">
        <v>46052</v>
      </c>
      <c r="K113" s="358">
        <v>46055</v>
      </c>
      <c r="L113" s="358">
        <v>46101</v>
      </c>
      <c r="M113" s="358">
        <v>46104</v>
      </c>
      <c r="N113" s="358">
        <v>46112</v>
      </c>
      <c r="O113" s="62" t="s">
        <v>150</v>
      </c>
      <c r="P113" s="262">
        <f>VLOOKUP(_07__CRONOGRAMA_2026[[#This Row],[ID Historico]],Cartera1017[[ID Histórico]:[Porcentaje de Avance]],80,FALSE)</f>
        <v>0.25</v>
      </c>
      <c r="Q11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3" s="262">
        <f>IF(_07__CRONOGRAMA_2026[[#This Row],[% REAL]]&gt;_07__CRONOGRAMA_2026[[#This Row],[Porcentaje de Avance]],_07__CRONOGRAMA_2026[[#This Row],[% REAL]],_07__CRONOGRAMA_2026[[#This Row],[Porcentaje de Avance]])</f>
        <v>0.25</v>
      </c>
      <c r="S11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3" s="62" t="str">
        <f>VLOOKUP(_07__CRONOGRAMA_2026[[#This Row],[ID Historico]],Cartera1017[[ID Histórico]:[Estado TI]],31,FALSE)</f>
        <v>03. En Desarrollo</v>
      </c>
      <c r="U113" s="62" t="str">
        <f>VLOOKUP(_07__CRONOGRAMA_2026[[#This Row],[ID Historico]],Cartera1017[[ID Histórico]:[Estado TI]],30,FALSE)</f>
        <v>Tomas Calvera</v>
      </c>
      <c r="V113" s="62" t="str">
        <f>VLOOKUP(_07__CRONOGRAMA_2026[[#This Row],[ID Historico]],Cartera1017[[ID Histórico]:[Estado TI]],29,FALSE)</f>
        <v>Pedro Jose Encalada Huertas</v>
      </c>
    </row>
    <row r="114" spans="1:22" ht="30" hidden="1" customHeight="1">
      <c r="A114" s="62">
        <v>2988</v>
      </c>
      <c r="B114" s="62" t="s">
        <v>292</v>
      </c>
      <c r="C114" s="62" t="s">
        <v>293</v>
      </c>
      <c r="D114" s="62" t="s">
        <v>59</v>
      </c>
      <c r="E114" s="62" t="s">
        <v>47</v>
      </c>
      <c r="F114" s="62" t="s">
        <v>48</v>
      </c>
      <c r="G114" s="262">
        <v>0.15</v>
      </c>
      <c r="H114" s="62" t="s">
        <v>36</v>
      </c>
      <c r="I114" s="358">
        <v>46174</v>
      </c>
      <c r="J114" s="358">
        <v>46234</v>
      </c>
      <c r="K114" s="358">
        <v>46235</v>
      </c>
      <c r="L114" s="358">
        <v>46254</v>
      </c>
      <c r="M114" s="358">
        <v>46266</v>
      </c>
      <c r="N114" s="358">
        <v>46272</v>
      </c>
      <c r="O114" s="62" t="s">
        <v>49</v>
      </c>
      <c r="P114" s="262">
        <f>VLOOKUP(_07__CRONOGRAMA_2026[[#This Row],[ID Historico]],Cartera1017[[ID Histórico]:[Porcentaje de Avance]],80,FALSE)</f>
        <v>0.15</v>
      </c>
      <c r="Q11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114" s="262">
        <f>IF(_07__CRONOGRAMA_2026[[#This Row],[% REAL]]&gt;_07__CRONOGRAMA_2026[[#This Row],[Porcentaje de Avance]],_07__CRONOGRAMA_2026[[#This Row],[% REAL]],_07__CRONOGRAMA_2026[[#This Row],[Porcentaje de Avance]])</f>
        <v>0.15</v>
      </c>
      <c r="S11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14" s="62" t="str">
        <f>VLOOKUP(_07__CRONOGRAMA_2026[[#This Row],[ID Historico]],Cartera1017[[ID Histórico]:[Estado TI]],31,FALSE)</f>
        <v>03. En Desarrollo</v>
      </c>
      <c r="U114" s="62" t="str">
        <f>VLOOKUP(_07__CRONOGRAMA_2026[[#This Row],[ID Historico]],Cartera1017[[ID Histórico]:[Estado TI]],30,FALSE)</f>
        <v>Juan Carlos Zavaleta</v>
      </c>
      <c r="V114" s="62" t="str">
        <f>VLOOKUP(_07__CRONOGRAMA_2026[[#This Row],[ID Historico]],Cartera1017[[ID Histórico]:[Estado TI]],29,FALSE)</f>
        <v>Paul Alminagorta Cabezas</v>
      </c>
    </row>
    <row r="115" spans="1:22" ht="30" hidden="1" customHeight="1">
      <c r="A115" s="62">
        <v>2989</v>
      </c>
      <c r="B115" s="62" t="s">
        <v>294</v>
      </c>
      <c r="C115" s="62" t="s">
        <v>295</v>
      </c>
      <c r="D115" s="62" t="s">
        <v>136</v>
      </c>
      <c r="E115" s="62" t="s">
        <v>63</v>
      </c>
      <c r="F115" s="62" t="s">
        <v>48</v>
      </c>
      <c r="G115" s="262">
        <v>0.15</v>
      </c>
      <c r="H115" s="62" t="s">
        <v>83</v>
      </c>
      <c r="I115" s="358">
        <v>45974</v>
      </c>
      <c r="J115" s="358">
        <v>46021</v>
      </c>
      <c r="K115" s="358">
        <v>46022</v>
      </c>
      <c r="L115" s="358">
        <v>46066</v>
      </c>
      <c r="M115" s="358">
        <v>46066</v>
      </c>
      <c r="N115" s="358">
        <v>46073</v>
      </c>
      <c r="O115" s="62" t="s">
        <v>49</v>
      </c>
      <c r="P115" s="262">
        <f>VLOOKUP(_07__CRONOGRAMA_2026[[#This Row],[ID Historico]],Cartera1017[[ID Histórico]:[Porcentaje de Avance]],80,FALSE)</f>
        <v>0.12</v>
      </c>
      <c r="Q11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5" s="262">
        <f>IF(_07__CRONOGRAMA_2026[[#This Row],[% REAL]]&gt;_07__CRONOGRAMA_2026[[#This Row],[Porcentaje de Avance]],_07__CRONOGRAMA_2026[[#This Row],[% REAL]],_07__CRONOGRAMA_2026[[#This Row],[Porcentaje de Avance]])</f>
        <v>0.15</v>
      </c>
      <c r="S11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5" s="62" t="str">
        <f>VLOOKUP(_07__CRONOGRAMA_2026[[#This Row],[ID Historico]],Cartera1017[[ID Histórico]:[Estado TI]],31,FALSE)</f>
        <v>10. Paralizado</v>
      </c>
      <c r="U115" s="62" t="str">
        <f>VLOOKUP(_07__CRONOGRAMA_2026[[#This Row],[ID Historico]],Cartera1017[[ID Histórico]:[Estado TI]],30,FALSE)</f>
        <v>Maria Barboza</v>
      </c>
      <c r="V115" s="62" t="str">
        <f>VLOOKUP(_07__CRONOGRAMA_2026[[#This Row],[ID Historico]],Cartera1017[[ID Histórico]:[Estado TI]],29,FALSE)</f>
        <v>Dayna Evelin Ribbeck Rivera</v>
      </c>
    </row>
    <row r="116" spans="1:22" ht="30" hidden="1" customHeight="1">
      <c r="A116" s="62">
        <v>2990</v>
      </c>
      <c r="B116" s="62" t="s">
        <v>296</v>
      </c>
      <c r="C116" s="62" t="s">
        <v>297</v>
      </c>
      <c r="D116" s="62" t="s">
        <v>33</v>
      </c>
      <c r="E116" s="62" t="s">
        <v>34</v>
      </c>
      <c r="F116" s="62" t="s">
        <v>87</v>
      </c>
      <c r="G116" s="262">
        <v>0.7</v>
      </c>
      <c r="H116" s="62" t="s">
        <v>36</v>
      </c>
      <c r="I116" s="358">
        <v>45877</v>
      </c>
      <c r="J116" s="358">
        <v>46003</v>
      </c>
      <c r="K116" s="358">
        <v>46044</v>
      </c>
      <c r="L116" s="358">
        <v>46122</v>
      </c>
      <c r="M116" s="358">
        <v>46122</v>
      </c>
      <c r="N116" s="358">
        <v>46129</v>
      </c>
      <c r="O116" s="62" t="s">
        <v>37</v>
      </c>
      <c r="P116" s="262">
        <f>VLOOKUP(_07__CRONOGRAMA_2026[[#This Row],[ID Historico]],Cartera1017[[ID Histórico]:[Porcentaje de Avance]],80,FALSE)</f>
        <v>1</v>
      </c>
      <c r="Q11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6" s="262">
        <f>IF(_07__CRONOGRAMA_2026[[#This Row],[% REAL]]&gt;_07__CRONOGRAMA_2026[[#This Row],[Porcentaje de Avance]],_07__CRONOGRAMA_2026[[#This Row],[% REAL]],_07__CRONOGRAMA_2026[[#This Row],[Porcentaje de Avance]])</f>
        <v>1</v>
      </c>
      <c r="S11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16" s="62" t="str">
        <f>VLOOKUP(_07__CRONOGRAMA_2026[[#This Row],[ID Historico]],Cartera1017[[ID Histórico]:[Estado TI]],31,FALSE)</f>
        <v>08. Producción Finalizada</v>
      </c>
      <c r="U116" s="62" t="str">
        <f>VLOOKUP(_07__CRONOGRAMA_2026[[#This Row],[ID Historico]],Cartera1017[[ID Histórico]:[Estado TI]],30,FALSE)</f>
        <v>Milagros Huamani</v>
      </c>
      <c r="V116" s="62" t="str">
        <f>VLOOKUP(_07__CRONOGRAMA_2026[[#This Row],[ID Historico]],Cartera1017[[ID Histórico]:[Estado TI]],29,FALSE)</f>
        <v>Jorge Mora Ruelas</v>
      </c>
    </row>
    <row r="117" spans="1:22" ht="45" customHeight="1">
      <c r="A117" s="62">
        <v>2993</v>
      </c>
      <c r="B117" s="62" t="s">
        <v>298</v>
      </c>
      <c r="C117" s="62" t="s">
        <v>299</v>
      </c>
      <c r="D117" s="62" t="s">
        <v>108</v>
      </c>
      <c r="E117" s="62" t="s">
        <v>109</v>
      </c>
      <c r="F117" s="62" t="s">
        <v>48</v>
      </c>
      <c r="G117" s="262">
        <v>0.15</v>
      </c>
      <c r="H117" s="62" t="s">
        <v>83</v>
      </c>
      <c r="I117" s="358">
        <v>45964</v>
      </c>
      <c r="J117" s="358">
        <v>46045</v>
      </c>
      <c r="K117" s="358">
        <v>46048</v>
      </c>
      <c r="L117" s="358">
        <v>46073</v>
      </c>
      <c r="M117" s="358">
        <v>46076</v>
      </c>
      <c r="N117" s="358">
        <v>46080</v>
      </c>
      <c r="O117" s="62" t="s">
        <v>30</v>
      </c>
      <c r="P117" s="262">
        <f>VLOOKUP(_07__CRONOGRAMA_2026[[#This Row],[ID Historico]],Cartera1017[[ID Histórico]:[Porcentaje de Avance]],80,FALSE)</f>
        <v>0.45</v>
      </c>
      <c r="Q11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7" s="262">
        <f>IF(_07__CRONOGRAMA_2026[[#This Row],[% REAL]]&gt;_07__CRONOGRAMA_2026[[#This Row],[Porcentaje de Avance]],_07__CRONOGRAMA_2026[[#This Row],[% REAL]],_07__CRONOGRAMA_2026[[#This Row],[Porcentaje de Avance]])</f>
        <v>0.45</v>
      </c>
      <c r="S11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7" s="62" t="str">
        <f>VLOOKUP(_07__CRONOGRAMA_2026[[#This Row],[ID Historico]],Cartera1017[[ID Histórico]:[Estado TI]],31,FALSE)</f>
        <v>03. En Desarrollo</v>
      </c>
      <c r="U117" s="62" t="str">
        <f>VLOOKUP(_07__CRONOGRAMA_2026[[#This Row],[ID Historico]],Cartera1017[[ID Histórico]:[Estado TI]],30,FALSE)</f>
        <v>Tomas Calvera</v>
      </c>
      <c r="V117" s="62" t="str">
        <f>VLOOKUP(_07__CRONOGRAMA_2026[[#This Row],[ID Historico]],Cartera1017[[ID Histórico]:[Estado TI]],29,FALSE)</f>
        <v>Vladimir Ronald Cajavilca Cajavilca</v>
      </c>
    </row>
    <row r="118" spans="1:22" ht="45" customHeight="1">
      <c r="A118" s="62">
        <v>2996</v>
      </c>
      <c r="B118" s="62" t="s">
        <v>300</v>
      </c>
      <c r="C118" s="62" t="s">
        <v>301</v>
      </c>
      <c r="D118" s="62" t="s">
        <v>108</v>
      </c>
      <c r="E118" s="62" t="s">
        <v>109</v>
      </c>
      <c r="F118" s="62" t="s">
        <v>48</v>
      </c>
      <c r="G118" s="262">
        <v>0.15</v>
      </c>
      <c r="H118" s="62" t="s">
        <v>36</v>
      </c>
      <c r="I118" s="358">
        <v>45985</v>
      </c>
      <c r="J118" s="358">
        <v>46104</v>
      </c>
      <c r="K118" s="358">
        <v>46106</v>
      </c>
      <c r="L118" s="358">
        <v>46113</v>
      </c>
      <c r="M118" s="358">
        <v>46117</v>
      </c>
      <c r="N118" s="358">
        <v>46127</v>
      </c>
      <c r="O118" s="62" t="s">
        <v>54</v>
      </c>
      <c r="P118" s="262">
        <f>VLOOKUP(_07__CRONOGRAMA_2026[[#This Row],[ID Historico]],Cartera1017[[ID Histórico]:[Porcentaje de Avance]],80,FALSE)</f>
        <v>0.15</v>
      </c>
      <c r="Q11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8" s="262">
        <f>IF(_07__CRONOGRAMA_2026[[#This Row],[% REAL]]&gt;_07__CRONOGRAMA_2026[[#This Row],[Porcentaje de Avance]],_07__CRONOGRAMA_2026[[#This Row],[% REAL]],_07__CRONOGRAMA_2026[[#This Row],[Porcentaje de Avance]])</f>
        <v>0.15</v>
      </c>
      <c r="S11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8" s="62" t="str">
        <f>VLOOKUP(_07__CRONOGRAMA_2026[[#This Row],[ID Historico]],Cartera1017[[ID Histórico]:[Estado TI]],31,FALSE)</f>
        <v>03. En Desarrollo</v>
      </c>
      <c r="U118" s="62" t="str">
        <f>VLOOKUP(_07__CRONOGRAMA_2026[[#This Row],[ID Historico]],Cartera1017[[ID Histórico]:[Estado TI]],30,FALSE)</f>
        <v>Tomas Calvera</v>
      </c>
      <c r="V118" s="62" t="str">
        <f>VLOOKUP(_07__CRONOGRAMA_2026[[#This Row],[ID Historico]],Cartera1017[[ID Histórico]:[Estado TI]],29,FALSE)</f>
        <v>Eduardo Saul Cardenas Manrique</v>
      </c>
    </row>
    <row r="119" spans="1:22" ht="30" customHeight="1">
      <c r="A119" s="62">
        <v>2997</v>
      </c>
      <c r="B119" s="62" t="s">
        <v>302</v>
      </c>
      <c r="C119" s="62" t="s">
        <v>303</v>
      </c>
      <c r="D119" s="62" t="s">
        <v>108</v>
      </c>
      <c r="E119" s="62" t="s">
        <v>109</v>
      </c>
      <c r="F119" s="62" t="s">
        <v>48</v>
      </c>
      <c r="G119" s="262">
        <v>0.15</v>
      </c>
      <c r="H119" s="62" t="s">
        <v>36</v>
      </c>
      <c r="I119" s="358">
        <v>45964</v>
      </c>
      <c r="J119" s="358">
        <v>46104</v>
      </c>
      <c r="K119" s="358">
        <v>46106</v>
      </c>
      <c r="L119" s="358">
        <v>46113</v>
      </c>
      <c r="M119" s="358">
        <v>46118</v>
      </c>
      <c r="N119" s="358">
        <v>46127</v>
      </c>
      <c r="O119" s="62" t="s">
        <v>54</v>
      </c>
      <c r="P119" s="262">
        <f>VLOOKUP(_07__CRONOGRAMA_2026[[#This Row],[ID Historico]],Cartera1017[[ID Histórico]:[Porcentaje de Avance]],80,FALSE)</f>
        <v>0.25</v>
      </c>
      <c r="Q11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9" s="262">
        <f>IF(_07__CRONOGRAMA_2026[[#This Row],[% REAL]]&gt;_07__CRONOGRAMA_2026[[#This Row],[Porcentaje de Avance]],_07__CRONOGRAMA_2026[[#This Row],[% REAL]],_07__CRONOGRAMA_2026[[#This Row],[Porcentaje de Avance]])</f>
        <v>0.25</v>
      </c>
      <c r="S11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9" s="62" t="str">
        <f>VLOOKUP(_07__CRONOGRAMA_2026[[#This Row],[ID Historico]],Cartera1017[[ID Histórico]:[Estado TI]],31,FALSE)</f>
        <v>03. En Desarrollo</v>
      </c>
      <c r="U119" s="62" t="str">
        <f>VLOOKUP(_07__CRONOGRAMA_2026[[#This Row],[ID Historico]],Cartera1017[[ID Histórico]:[Estado TI]],30,FALSE)</f>
        <v>Tomas Calvera</v>
      </c>
      <c r="V119" s="62" t="str">
        <f>VLOOKUP(_07__CRONOGRAMA_2026[[#This Row],[ID Historico]],Cartera1017[[ID Histórico]:[Estado TI]],29,FALSE)</f>
        <v>Eduardo Saul Cardenas Manrique</v>
      </c>
    </row>
    <row r="120" spans="1:22" ht="45" hidden="1" customHeight="1">
      <c r="A120" s="62">
        <v>3000</v>
      </c>
      <c r="B120" s="62" t="s">
        <v>304</v>
      </c>
      <c r="C120" s="62" t="s">
        <v>305</v>
      </c>
      <c r="D120" s="62" t="s">
        <v>40</v>
      </c>
      <c r="E120" s="62" t="s">
        <v>41</v>
      </c>
      <c r="F120" s="62" t="s">
        <v>35</v>
      </c>
      <c r="G120" s="262">
        <v>0.9</v>
      </c>
      <c r="H120" s="62" t="s">
        <v>36</v>
      </c>
      <c r="I120" s="358">
        <v>45901</v>
      </c>
      <c r="J120" s="358">
        <v>45902</v>
      </c>
      <c r="K120" s="358">
        <v>45908</v>
      </c>
      <c r="L120" s="358">
        <v>45908</v>
      </c>
      <c r="M120" s="358">
        <v>45974</v>
      </c>
      <c r="N120" s="358">
        <v>46084</v>
      </c>
      <c r="O120" s="62" t="s">
        <v>139</v>
      </c>
      <c r="P120" s="262">
        <f>VLOOKUP(_07__CRONOGRAMA_2026[[#This Row],[ID Historico]],Cartera1017[[ID Histórico]:[Porcentaje de Avance]],80,FALSE)</f>
        <v>0.9</v>
      </c>
      <c r="Q12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0" s="262">
        <f>IF(_07__CRONOGRAMA_2026[[#This Row],[% REAL]]&gt;_07__CRONOGRAMA_2026[[#This Row],[Porcentaje de Avance]],_07__CRONOGRAMA_2026[[#This Row],[% REAL]],_07__CRONOGRAMA_2026[[#This Row],[Porcentaje de Avance]])</f>
        <v>0.9</v>
      </c>
      <c r="S12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20" s="62" t="str">
        <f>VLOOKUP(_07__CRONOGRAMA_2026[[#This Row],[ID Historico]],Cartera1017[[ID Histórico]:[Estado TI]],31,FALSE)</f>
        <v>07. En Despliegue</v>
      </c>
      <c r="U120" s="62" t="str">
        <f>VLOOKUP(_07__CRONOGRAMA_2026[[#This Row],[ID Historico]],Cartera1017[[ID Histórico]:[Estado TI]],30,FALSE)</f>
        <v>Junior Quicaño</v>
      </c>
      <c r="V120" s="62" t="str">
        <f>VLOOKUP(_07__CRONOGRAMA_2026[[#This Row],[ID Historico]],Cartera1017[[ID Histórico]:[Estado TI]],29,FALSE)</f>
        <v>Jorge Lucio Ruedas Fernandez</v>
      </c>
    </row>
    <row r="121" spans="1:22" ht="30" hidden="1" customHeight="1">
      <c r="A121" s="62">
        <v>3015</v>
      </c>
      <c r="B121" s="62" t="s">
        <v>306</v>
      </c>
      <c r="C121" s="62" t="s">
        <v>307</v>
      </c>
      <c r="D121" s="62" t="s">
        <v>33</v>
      </c>
      <c r="E121" s="62" t="s">
        <v>34</v>
      </c>
      <c r="F121" s="62" t="s">
        <v>87</v>
      </c>
      <c r="G121" s="262">
        <v>0.7</v>
      </c>
      <c r="H121" s="62" t="s">
        <v>36</v>
      </c>
      <c r="I121" s="358">
        <v>45904</v>
      </c>
      <c r="J121" s="358">
        <v>46028</v>
      </c>
      <c r="K121" s="358">
        <v>46037</v>
      </c>
      <c r="L121" s="358">
        <v>46098</v>
      </c>
      <c r="M121" s="358">
        <v>46099</v>
      </c>
      <c r="N121" s="358">
        <v>46111</v>
      </c>
      <c r="O121" s="62" t="s">
        <v>165</v>
      </c>
      <c r="P121" s="262">
        <f>VLOOKUP(_07__CRONOGRAMA_2026[[#This Row],[ID Historico]],Cartera1017[[ID Histórico]:[Porcentaje de Avance]],80,FALSE)</f>
        <v>0.85</v>
      </c>
      <c r="Q12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1" s="262">
        <f>IF(_07__CRONOGRAMA_2026[[#This Row],[% REAL]]&gt;_07__CRONOGRAMA_2026[[#This Row],[Porcentaje de Avance]],_07__CRONOGRAMA_2026[[#This Row],[% REAL]],_07__CRONOGRAMA_2026[[#This Row],[Porcentaje de Avance]])</f>
        <v>0.85</v>
      </c>
      <c r="S12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21" s="62" t="str">
        <f>VLOOKUP(_07__CRONOGRAMA_2026[[#This Row],[ID Historico]],Cartera1017[[ID Histórico]:[Estado TI]],31,FALSE)</f>
        <v>06. Calidad Finalizado</v>
      </c>
      <c r="U121" s="62" t="str">
        <f>VLOOKUP(_07__CRONOGRAMA_2026[[#This Row],[ID Historico]],Cartera1017[[ID Histórico]:[Estado TI]],30,FALSE)</f>
        <v>Milagros Huamani</v>
      </c>
      <c r="V121" s="62" t="str">
        <f>VLOOKUP(_07__CRONOGRAMA_2026[[#This Row],[ID Historico]],Cartera1017[[ID Histórico]:[Estado TI]],29,FALSE)</f>
        <v>Fiorella Emma Galvan Soto</v>
      </c>
    </row>
    <row r="122" spans="1:22" ht="30" hidden="1" customHeight="1">
      <c r="A122" s="62">
        <v>3020</v>
      </c>
      <c r="B122" s="62" t="s">
        <v>308</v>
      </c>
      <c r="C122" s="62" t="s">
        <v>309</v>
      </c>
      <c r="D122" s="62" t="s">
        <v>40</v>
      </c>
      <c r="E122" s="62" t="s">
        <v>41</v>
      </c>
      <c r="F122" s="62" t="s">
        <v>48</v>
      </c>
      <c r="G122" s="262">
        <v>0.5</v>
      </c>
      <c r="H122" s="62" t="s">
        <v>83</v>
      </c>
      <c r="I122" s="358">
        <v>45905</v>
      </c>
      <c r="J122" s="358">
        <v>46055</v>
      </c>
      <c r="K122" s="358">
        <v>46056</v>
      </c>
      <c r="L122" s="358">
        <v>46118</v>
      </c>
      <c r="M122" s="358">
        <v>46119</v>
      </c>
      <c r="N122" s="358">
        <v>46125</v>
      </c>
      <c r="O122" s="62" t="s">
        <v>310</v>
      </c>
      <c r="P122" s="262">
        <f>VLOOKUP(_07__CRONOGRAMA_2026[[#This Row],[ID Historico]],Cartera1017[[ID Histórico]:[Porcentaje de Avance]],80,FALSE)</f>
        <v>0.12</v>
      </c>
      <c r="Q12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2" s="262">
        <f>IF(_07__CRONOGRAMA_2026[[#This Row],[% REAL]]&gt;_07__CRONOGRAMA_2026[[#This Row],[Porcentaje de Avance]],_07__CRONOGRAMA_2026[[#This Row],[% REAL]],_07__CRONOGRAMA_2026[[#This Row],[Porcentaje de Avance]])</f>
        <v>0.5</v>
      </c>
      <c r="S12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2" s="62" t="str">
        <f>VLOOKUP(_07__CRONOGRAMA_2026[[#This Row],[ID Historico]],Cartera1017[[ID Histórico]:[Estado TI]],31,FALSE)</f>
        <v>10. Paralizado</v>
      </c>
      <c r="U122" s="62" t="str">
        <f>VLOOKUP(_07__CRONOGRAMA_2026[[#This Row],[ID Historico]],Cartera1017[[ID Histórico]:[Estado TI]],30,FALSE)</f>
        <v>Junior Quicaño</v>
      </c>
      <c r="V122" s="62" t="str">
        <f>VLOOKUP(_07__CRONOGRAMA_2026[[#This Row],[ID Historico]],Cartera1017[[ID Histórico]:[Estado TI]],29,FALSE)</f>
        <v>Monica del Pilar Garcia Campana/Juan Carlos Cordova Inga</v>
      </c>
    </row>
    <row r="123" spans="1:22" ht="30" hidden="1" customHeight="1">
      <c r="A123" s="62">
        <v>3030</v>
      </c>
      <c r="B123" s="62" t="s">
        <v>311</v>
      </c>
      <c r="C123" s="62" t="s">
        <v>312</v>
      </c>
      <c r="D123" s="62" t="s">
        <v>40</v>
      </c>
      <c r="E123" s="62" t="s">
        <v>41</v>
      </c>
      <c r="F123" s="62" t="s">
        <v>42</v>
      </c>
      <c r="G123" s="262">
        <v>0.85</v>
      </c>
      <c r="H123" s="62" t="s">
        <v>36</v>
      </c>
      <c r="I123" s="358">
        <v>45915</v>
      </c>
      <c r="J123" s="358">
        <v>45992</v>
      </c>
      <c r="K123" s="358">
        <v>46006</v>
      </c>
      <c r="L123" s="358">
        <v>46055</v>
      </c>
      <c r="M123" s="358">
        <v>46072</v>
      </c>
      <c r="N123" s="358">
        <v>46084</v>
      </c>
      <c r="O123" s="62" t="s">
        <v>123</v>
      </c>
      <c r="P123" s="262">
        <f>VLOOKUP(_07__CRONOGRAMA_2026[[#This Row],[ID Historico]],Cartera1017[[ID Histórico]:[Porcentaje de Avance]],80,FALSE)</f>
        <v>0.85</v>
      </c>
      <c r="Q12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3" s="262">
        <f>IF(_07__CRONOGRAMA_2026[[#This Row],[% REAL]]&gt;_07__CRONOGRAMA_2026[[#This Row],[Porcentaje de Avance]],_07__CRONOGRAMA_2026[[#This Row],[% REAL]],_07__CRONOGRAMA_2026[[#This Row],[Porcentaje de Avance]])</f>
        <v>0.85</v>
      </c>
      <c r="S12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23" s="62" t="str">
        <f>VLOOKUP(_07__CRONOGRAMA_2026[[#This Row],[ID Historico]],Cartera1017[[ID Histórico]:[Estado TI]],31,FALSE)</f>
        <v>06. Calidad Finalizado</v>
      </c>
      <c r="U123" s="62" t="str">
        <f>VLOOKUP(_07__CRONOGRAMA_2026[[#This Row],[ID Historico]],Cartera1017[[ID Histórico]:[Estado TI]],30,FALSE)</f>
        <v>Junior Quicaño</v>
      </c>
      <c r="V123" s="62" t="str">
        <f>VLOOKUP(_07__CRONOGRAMA_2026[[#This Row],[ID Historico]],Cartera1017[[ID Histórico]:[Estado TI]],29,FALSE)</f>
        <v>Norma Fukunaga Fuentes</v>
      </c>
    </row>
    <row r="124" spans="1:22" ht="75" hidden="1" customHeight="1">
      <c r="A124" s="62">
        <v>3036</v>
      </c>
      <c r="B124" s="62" t="s">
        <v>313</v>
      </c>
      <c r="C124" s="62" t="s">
        <v>314</v>
      </c>
      <c r="D124" s="62" t="s">
        <v>26</v>
      </c>
      <c r="E124" s="62" t="s">
        <v>27</v>
      </c>
      <c r="F124" s="62" t="s">
        <v>48</v>
      </c>
      <c r="G124" s="262">
        <v>0.15</v>
      </c>
      <c r="H124" s="62" t="s">
        <v>36</v>
      </c>
      <c r="I124" s="358">
        <v>45964</v>
      </c>
      <c r="J124" s="358">
        <v>46073</v>
      </c>
      <c r="K124" s="358">
        <v>46073</v>
      </c>
      <c r="L124" s="358">
        <v>46101</v>
      </c>
      <c r="M124" s="358">
        <v>46101</v>
      </c>
      <c r="N124" s="358">
        <v>46118</v>
      </c>
      <c r="O124" s="62" t="s">
        <v>30</v>
      </c>
      <c r="P124" s="262">
        <f>VLOOKUP(_07__CRONOGRAMA_2026[[#This Row],[ID Historico]],Cartera1017[[ID Histórico]:[Porcentaje de Avance]],80,FALSE)</f>
        <v>0.25</v>
      </c>
      <c r="Q12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4" s="262">
        <f>IF(_07__CRONOGRAMA_2026[[#This Row],[% REAL]]&gt;_07__CRONOGRAMA_2026[[#This Row],[Porcentaje de Avance]],_07__CRONOGRAMA_2026[[#This Row],[% REAL]],_07__CRONOGRAMA_2026[[#This Row],[Porcentaje de Avance]])</f>
        <v>0.25</v>
      </c>
      <c r="S12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4" s="62" t="str">
        <f>VLOOKUP(_07__CRONOGRAMA_2026[[#This Row],[ID Historico]],Cartera1017[[ID Histórico]:[Estado TI]],31,FALSE)</f>
        <v>03. En Desarrollo</v>
      </c>
      <c r="U124" s="62" t="str">
        <f>VLOOKUP(_07__CRONOGRAMA_2026[[#This Row],[ID Historico]],Cartera1017[[ID Histórico]:[Estado TI]],30,FALSE)</f>
        <v>Omar Sarmiento</v>
      </c>
      <c r="V124" s="62" t="str">
        <f>VLOOKUP(_07__CRONOGRAMA_2026[[#This Row],[ID Historico]],Cartera1017[[ID Histórico]:[Estado TI]],29,FALSE)</f>
        <v>Vladimir Ronald Cajavilca Cajavilca</v>
      </c>
    </row>
    <row r="125" spans="1:22" ht="30" customHeight="1">
      <c r="A125" s="62">
        <v>3059</v>
      </c>
      <c r="B125" s="62" t="s">
        <v>315</v>
      </c>
      <c r="C125" s="62" t="s">
        <v>316</v>
      </c>
      <c r="D125" s="62" t="s">
        <v>108</v>
      </c>
      <c r="E125" s="62" t="s">
        <v>109</v>
      </c>
      <c r="F125" s="62" t="s">
        <v>35</v>
      </c>
      <c r="G125" s="262">
        <v>0.9</v>
      </c>
      <c r="H125" s="62" t="s">
        <v>36</v>
      </c>
      <c r="I125" s="358">
        <v>45929</v>
      </c>
      <c r="J125" s="358">
        <v>45991</v>
      </c>
      <c r="K125" s="358">
        <v>45994</v>
      </c>
      <c r="L125" s="358">
        <v>46011</v>
      </c>
      <c r="M125" s="358">
        <v>46036</v>
      </c>
      <c r="N125" s="358">
        <v>46084</v>
      </c>
      <c r="O125" s="62" t="s">
        <v>317</v>
      </c>
      <c r="P125" s="262">
        <f>VLOOKUP(_07__CRONOGRAMA_2026[[#This Row],[ID Historico]],Cartera1017[[ID Histórico]:[Porcentaje de Avance]],80,FALSE)</f>
        <v>0.9</v>
      </c>
      <c r="Q12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5" s="262">
        <f>IF(_07__CRONOGRAMA_2026[[#This Row],[% REAL]]&gt;_07__CRONOGRAMA_2026[[#This Row],[Porcentaje de Avance]],_07__CRONOGRAMA_2026[[#This Row],[% REAL]],_07__CRONOGRAMA_2026[[#This Row],[Porcentaje de Avance]])</f>
        <v>0.9</v>
      </c>
      <c r="S12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25" s="62" t="str">
        <f>VLOOKUP(_07__CRONOGRAMA_2026[[#This Row],[ID Historico]],Cartera1017[[ID Histórico]:[Estado TI]],31,FALSE)</f>
        <v>07. En Despliegue</v>
      </c>
      <c r="U125" s="62" t="str">
        <f>VLOOKUP(_07__CRONOGRAMA_2026[[#This Row],[ID Historico]],Cartera1017[[ID Histórico]:[Estado TI]],30,FALSE)</f>
        <v>Tomas Calvera</v>
      </c>
      <c r="V125" s="62" t="str">
        <f>VLOOKUP(_07__CRONOGRAMA_2026[[#This Row],[ID Historico]],Cartera1017[[ID Histórico]:[Estado TI]],29,FALSE)</f>
        <v>Jorge Enrique Ruiz Torres</v>
      </c>
    </row>
    <row r="126" spans="1:22" ht="30" hidden="1" customHeight="1">
      <c r="A126" s="62">
        <v>3062</v>
      </c>
      <c r="B126" s="62" t="s">
        <v>318</v>
      </c>
      <c r="C126" s="62" t="s">
        <v>319</v>
      </c>
      <c r="D126" s="62" t="s">
        <v>40</v>
      </c>
      <c r="E126" s="62" t="s">
        <v>47</v>
      </c>
      <c r="F126" s="62" t="s">
        <v>35</v>
      </c>
      <c r="G126" s="262">
        <v>0.9</v>
      </c>
      <c r="H126" s="62" t="s">
        <v>36</v>
      </c>
      <c r="I126" s="358">
        <v>45929</v>
      </c>
      <c r="J126" s="358">
        <v>45933</v>
      </c>
      <c r="K126" s="358">
        <v>45939</v>
      </c>
      <c r="L126" s="358">
        <v>46041</v>
      </c>
      <c r="M126" s="358">
        <v>46070</v>
      </c>
      <c r="N126" s="358">
        <v>46080</v>
      </c>
      <c r="O126" s="62" t="s">
        <v>162</v>
      </c>
      <c r="P126" s="262">
        <f>VLOOKUP(_07__CRONOGRAMA_2026[[#This Row],[ID Historico]],Cartera1017[[ID Histórico]:[Porcentaje de Avance]],80,FALSE)</f>
        <v>1</v>
      </c>
      <c r="Q12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6" s="262">
        <f>IF(_07__CRONOGRAMA_2026[[#This Row],[% REAL]]&gt;_07__CRONOGRAMA_2026[[#This Row],[Porcentaje de Avance]],_07__CRONOGRAMA_2026[[#This Row],[% REAL]],_07__CRONOGRAMA_2026[[#This Row],[Porcentaje de Avance]])</f>
        <v>1</v>
      </c>
      <c r="S12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26" s="62" t="str">
        <f>VLOOKUP(_07__CRONOGRAMA_2026[[#This Row],[ID Historico]],Cartera1017[[ID Histórico]:[Estado TI]],31,FALSE)</f>
        <v>08. Producción Finalizada</v>
      </c>
      <c r="U126" s="62" t="str">
        <f>VLOOKUP(_07__CRONOGRAMA_2026[[#This Row],[ID Historico]],Cartera1017[[ID Histórico]:[Estado TI]],30,FALSE)</f>
        <v>Juan Carlos Zavaleta</v>
      </c>
      <c r="V126" s="62" t="str">
        <f>VLOOKUP(_07__CRONOGRAMA_2026[[#This Row],[ID Historico]],Cartera1017[[ID Histórico]:[Estado TI]],29,FALSE)</f>
        <v>Waldo Antonio Basurto Valverde</v>
      </c>
    </row>
    <row r="127" spans="1:22" ht="60" hidden="1" customHeight="1">
      <c r="A127" s="62">
        <v>3063</v>
      </c>
      <c r="B127" s="62" t="s">
        <v>320</v>
      </c>
      <c r="C127" s="62" t="s">
        <v>321</v>
      </c>
      <c r="D127" s="62" t="s">
        <v>40</v>
      </c>
      <c r="E127" s="62" t="s">
        <v>41</v>
      </c>
      <c r="F127" s="62" t="s">
        <v>48</v>
      </c>
      <c r="G127" s="262">
        <v>0.49</v>
      </c>
      <c r="H127" s="62" t="s">
        <v>36</v>
      </c>
      <c r="I127" s="358">
        <v>45922</v>
      </c>
      <c r="J127" s="358">
        <v>46101</v>
      </c>
      <c r="K127" s="358">
        <v>46104</v>
      </c>
      <c r="L127" s="358">
        <v>46162</v>
      </c>
      <c r="M127" s="358">
        <v>46163</v>
      </c>
      <c r="N127" s="358">
        <v>46171</v>
      </c>
      <c r="O127" s="62" t="s">
        <v>54</v>
      </c>
      <c r="P127" s="262">
        <f>VLOOKUP(_07__CRONOGRAMA_2026[[#This Row],[ID Historico]],Cartera1017[[ID Histórico]:[Porcentaje de Avance]],80,FALSE)</f>
        <v>0.39</v>
      </c>
      <c r="Q12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0.95953757225433522</v>
      </c>
      <c r="R127" s="262">
        <f>IF(_07__CRONOGRAMA_2026[[#This Row],[% REAL]]&gt;_07__CRONOGRAMA_2026[[#This Row],[Porcentaje de Avance]],_07__CRONOGRAMA_2026[[#This Row],[% REAL]],_07__CRONOGRAMA_2026[[#This Row],[Porcentaje de Avance]])</f>
        <v>0.49</v>
      </c>
      <c r="S12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7" s="62" t="str">
        <f>VLOOKUP(_07__CRONOGRAMA_2026[[#This Row],[ID Historico]],Cartera1017[[ID Histórico]:[Estado TI]],31,FALSE)</f>
        <v>03. En Desarrollo</v>
      </c>
      <c r="U127" s="62" t="str">
        <f>VLOOKUP(_07__CRONOGRAMA_2026[[#This Row],[ID Historico]],Cartera1017[[ID Histórico]:[Estado TI]],30,FALSE)</f>
        <v>Junior Quicaño</v>
      </c>
      <c r="V127" s="62" t="str">
        <f>VLOOKUP(_07__CRONOGRAMA_2026[[#This Row],[ID Historico]],Cartera1017[[ID Histórico]:[Estado TI]],29,FALSE)</f>
        <v>Eduardo Saul Cardenas Manrique</v>
      </c>
    </row>
    <row r="128" spans="1:22" ht="45" hidden="1" customHeight="1">
      <c r="A128" s="62">
        <v>2966</v>
      </c>
      <c r="B128" s="62" t="s">
        <v>322</v>
      </c>
      <c r="C128" s="62" t="s">
        <v>323</v>
      </c>
      <c r="D128" s="62" t="s">
        <v>26</v>
      </c>
      <c r="E128" s="62" t="s">
        <v>27</v>
      </c>
      <c r="F128" s="62" t="s">
        <v>48</v>
      </c>
      <c r="G128" s="262">
        <v>0.15</v>
      </c>
      <c r="H128" s="62" t="s">
        <v>36</v>
      </c>
      <c r="I128" s="358">
        <v>45964</v>
      </c>
      <c r="J128" s="358">
        <v>46108</v>
      </c>
      <c r="K128" s="358">
        <v>46111</v>
      </c>
      <c r="L128" s="358">
        <v>46141</v>
      </c>
      <c r="M128" s="358">
        <v>46142</v>
      </c>
      <c r="N128" s="358">
        <v>46169</v>
      </c>
      <c r="O128" s="62" t="s">
        <v>324</v>
      </c>
      <c r="P128" s="262">
        <f>VLOOKUP(_07__CRONOGRAMA_2026[[#This Row],[ID Historico]],Cartera1017[[ID Histórico]:[Porcentaje de Avance]],80,FALSE)</f>
        <v>0.7</v>
      </c>
      <c r="Q12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0.96478873239436624</v>
      </c>
      <c r="R128" s="262">
        <f>IF(_07__CRONOGRAMA_2026[[#This Row],[% REAL]]&gt;_07__CRONOGRAMA_2026[[#This Row],[Porcentaje de Avance]],_07__CRONOGRAMA_2026[[#This Row],[% REAL]],_07__CRONOGRAMA_2026[[#This Row],[Porcentaje de Avance]])</f>
        <v>0.7</v>
      </c>
      <c r="S12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8" s="62" t="str">
        <f>VLOOKUP(_07__CRONOGRAMA_2026[[#This Row],[ID Historico]],Cartera1017[[ID Histórico]:[Estado TI]],31,FALSE)</f>
        <v>05. En Calidad</v>
      </c>
      <c r="U128" s="62" t="str">
        <f>VLOOKUP(_07__CRONOGRAMA_2026[[#This Row],[ID Historico]],Cartera1017[[ID Histórico]:[Estado TI]],30,FALSE)</f>
        <v>Omar Sarmiento</v>
      </c>
      <c r="V128" s="62" t="str">
        <f>VLOOKUP(_07__CRONOGRAMA_2026[[#This Row],[ID Historico]],Cartera1017[[ID Histórico]:[Estado TI]],29,FALSE)</f>
        <v>Juan Carlos Cordova Inga</v>
      </c>
    </row>
    <row r="129" spans="1:22" ht="75" hidden="1" customHeight="1">
      <c r="A129" s="62">
        <v>3037</v>
      </c>
      <c r="B129" s="62" t="s">
        <v>325</v>
      </c>
      <c r="C129" s="62" t="s">
        <v>326</v>
      </c>
      <c r="D129" s="62" t="s">
        <v>40</v>
      </c>
      <c r="E129" s="62" t="s">
        <v>41</v>
      </c>
      <c r="F129" s="62" t="s">
        <v>48</v>
      </c>
      <c r="G129" s="262">
        <v>0.7</v>
      </c>
      <c r="H129" s="62" t="s">
        <v>36</v>
      </c>
      <c r="I129" s="358">
        <v>46083</v>
      </c>
      <c r="J129" s="358">
        <v>46097</v>
      </c>
      <c r="K129" s="358">
        <v>46098</v>
      </c>
      <c r="L129" s="358">
        <v>46108</v>
      </c>
      <c r="M129" s="358">
        <v>46111</v>
      </c>
      <c r="N129" s="358">
        <v>46112</v>
      </c>
      <c r="O129" s="62" t="s">
        <v>210</v>
      </c>
      <c r="P129" s="262">
        <f>VLOOKUP(_07__CRONOGRAMA_2026[[#This Row],[ID Historico]],Cartera1017[[ID Histórico]:[Porcentaje de Avance]],80,FALSE)</f>
        <v>0.25</v>
      </c>
      <c r="Q12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9" s="262">
        <f>IF(_07__CRONOGRAMA_2026[[#This Row],[% REAL]]&gt;_07__CRONOGRAMA_2026[[#This Row],[Porcentaje de Avance]],_07__CRONOGRAMA_2026[[#This Row],[% REAL]],_07__CRONOGRAMA_2026[[#This Row],[Porcentaje de Avance]])</f>
        <v>0.7</v>
      </c>
      <c r="S12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9" s="62" t="str">
        <f>VLOOKUP(_07__CRONOGRAMA_2026[[#This Row],[ID Historico]],Cartera1017[[ID Histórico]:[Estado TI]],31,FALSE)</f>
        <v>03. En Desarrollo</v>
      </c>
      <c r="U129" s="62" t="str">
        <f>VLOOKUP(_07__CRONOGRAMA_2026[[#This Row],[ID Historico]],Cartera1017[[ID Histórico]:[Estado TI]],30,FALSE)</f>
        <v>Junior Quicaño</v>
      </c>
      <c r="V129" s="62" t="str">
        <f>VLOOKUP(_07__CRONOGRAMA_2026[[#This Row],[ID Historico]],Cartera1017[[ID Histórico]:[Estado TI]],29,FALSE)</f>
        <v>Rossana Rojas Alvaro</v>
      </c>
    </row>
    <row r="130" spans="1:22" ht="45" customHeight="1">
      <c r="A130" s="62">
        <v>3060</v>
      </c>
      <c r="B130" s="62" t="s">
        <v>327</v>
      </c>
      <c r="C130" s="62" t="s">
        <v>328</v>
      </c>
      <c r="D130" s="62" t="s">
        <v>108</v>
      </c>
      <c r="E130" s="62" t="s">
        <v>109</v>
      </c>
      <c r="F130" s="62" t="s">
        <v>42</v>
      </c>
      <c r="G130" s="262">
        <v>0.85</v>
      </c>
      <c r="H130" s="62" t="s">
        <v>83</v>
      </c>
      <c r="I130" s="358">
        <v>45947</v>
      </c>
      <c r="J130" s="358">
        <v>45958</v>
      </c>
      <c r="K130" s="358">
        <v>45964</v>
      </c>
      <c r="L130" s="358">
        <v>45996</v>
      </c>
      <c r="M130" s="358">
        <v>46072</v>
      </c>
      <c r="N130" s="358">
        <v>46084</v>
      </c>
      <c r="O130" s="62" t="s">
        <v>165</v>
      </c>
      <c r="P130" s="262">
        <f>VLOOKUP(_07__CRONOGRAMA_2026[[#This Row],[ID Historico]],Cartera1017[[ID Histórico]:[Porcentaje de Avance]],80,FALSE)</f>
        <v>1</v>
      </c>
      <c r="Q13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0" s="262">
        <f>IF(_07__CRONOGRAMA_2026[[#This Row],[% REAL]]&gt;_07__CRONOGRAMA_2026[[#This Row],[Porcentaje de Avance]],_07__CRONOGRAMA_2026[[#This Row],[% REAL]],_07__CRONOGRAMA_2026[[#This Row],[Porcentaje de Avance]])</f>
        <v>1</v>
      </c>
      <c r="S13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30" s="62" t="str">
        <f>VLOOKUP(_07__CRONOGRAMA_2026[[#This Row],[ID Historico]],Cartera1017[[ID Histórico]:[Estado TI]],31,FALSE)</f>
        <v>08. Producción Finalizada</v>
      </c>
      <c r="U130" s="62" t="str">
        <f>VLOOKUP(_07__CRONOGRAMA_2026[[#This Row],[ID Historico]],Cartera1017[[ID Histórico]:[Estado TI]],30,FALSE)</f>
        <v>Tomas Calvera</v>
      </c>
      <c r="V130" s="62" t="str">
        <f>VLOOKUP(_07__CRONOGRAMA_2026[[#This Row],[ID Historico]],Cartera1017[[ID Histórico]:[Estado TI]],29,FALSE)</f>
        <v>Fiorella Emma Galvan Soto</v>
      </c>
    </row>
    <row r="131" spans="1:22" ht="30" customHeight="1">
      <c r="A131" s="62">
        <v>3061</v>
      </c>
      <c r="B131" s="62" t="s">
        <v>329</v>
      </c>
      <c r="C131" s="62" t="s">
        <v>330</v>
      </c>
      <c r="D131" s="62" t="s">
        <v>108</v>
      </c>
      <c r="E131" s="62" t="s">
        <v>109</v>
      </c>
      <c r="F131" s="62" t="s">
        <v>48</v>
      </c>
      <c r="G131" s="262">
        <v>0.15</v>
      </c>
      <c r="H131" s="62" t="s">
        <v>83</v>
      </c>
      <c r="I131" s="358">
        <v>45947</v>
      </c>
      <c r="J131" s="358">
        <v>45960</v>
      </c>
      <c r="K131" s="358">
        <v>45965</v>
      </c>
      <c r="L131" s="358">
        <v>45977</v>
      </c>
      <c r="M131" s="358">
        <v>45981</v>
      </c>
      <c r="N131" s="358">
        <v>45991</v>
      </c>
      <c r="O131" s="62" t="s">
        <v>139</v>
      </c>
      <c r="P131" s="262">
        <f>VLOOKUP(_07__CRONOGRAMA_2026[[#This Row],[ID Historico]],Cartera1017[[ID Histórico]:[Porcentaje de Avance]],80,FALSE)</f>
        <v>0.12</v>
      </c>
      <c r="Q13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1" s="262">
        <f>IF(_07__CRONOGRAMA_2026[[#This Row],[% REAL]]&gt;_07__CRONOGRAMA_2026[[#This Row],[Porcentaje de Avance]],_07__CRONOGRAMA_2026[[#This Row],[% REAL]],_07__CRONOGRAMA_2026[[#This Row],[Porcentaje de Avance]])</f>
        <v>0.15</v>
      </c>
      <c r="S13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1" s="62" t="str">
        <f>VLOOKUP(_07__CRONOGRAMA_2026[[#This Row],[ID Historico]],Cartera1017[[ID Histórico]:[Estado TI]],31,FALSE)</f>
        <v>10. Paralizado</v>
      </c>
      <c r="U131" s="62" t="str">
        <f>VLOOKUP(_07__CRONOGRAMA_2026[[#This Row],[ID Historico]],Cartera1017[[ID Histórico]:[Estado TI]],30,FALSE)</f>
        <v>Tomas Calvera</v>
      </c>
      <c r="V131" s="62" t="str">
        <f>VLOOKUP(_07__CRONOGRAMA_2026[[#This Row],[ID Historico]],Cartera1017[[ID Histórico]:[Estado TI]],29,FALSE)</f>
        <v>Jorge Lucio Ruedas Fernandez</v>
      </c>
    </row>
    <row r="132" spans="1:22" ht="30" hidden="1" customHeight="1">
      <c r="A132" s="62">
        <v>3082</v>
      </c>
      <c r="B132" s="62" t="s">
        <v>331</v>
      </c>
      <c r="C132" s="62" t="s">
        <v>332</v>
      </c>
      <c r="D132" s="62" t="s">
        <v>33</v>
      </c>
      <c r="E132" s="62" t="s">
        <v>34</v>
      </c>
      <c r="F132" s="62" t="s">
        <v>35</v>
      </c>
      <c r="G132" s="262">
        <v>0.9</v>
      </c>
      <c r="H132" s="62" t="s">
        <v>36</v>
      </c>
      <c r="I132" s="358">
        <v>45947</v>
      </c>
      <c r="J132" s="358">
        <v>45959</v>
      </c>
      <c r="K132" s="358">
        <v>45961</v>
      </c>
      <c r="L132" s="358">
        <v>45961</v>
      </c>
      <c r="M132" s="358">
        <v>45961</v>
      </c>
      <c r="N132" s="358">
        <v>46084</v>
      </c>
      <c r="O132" s="62" t="s">
        <v>150</v>
      </c>
      <c r="P132" s="262">
        <f>VLOOKUP(_07__CRONOGRAMA_2026[[#This Row],[ID Historico]],Cartera1017[[ID Histórico]:[Porcentaje de Avance]],80,FALSE)</f>
        <v>1</v>
      </c>
      <c r="Q13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2" s="262">
        <f>IF(_07__CRONOGRAMA_2026[[#This Row],[% REAL]]&gt;_07__CRONOGRAMA_2026[[#This Row],[Porcentaje de Avance]],_07__CRONOGRAMA_2026[[#This Row],[% REAL]],_07__CRONOGRAMA_2026[[#This Row],[Porcentaje de Avance]])</f>
        <v>1</v>
      </c>
      <c r="S13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32" s="62" t="str">
        <f>VLOOKUP(_07__CRONOGRAMA_2026[[#This Row],[ID Historico]],Cartera1017[[ID Histórico]:[Estado TI]],31,FALSE)</f>
        <v>08. Producción Finalizada</v>
      </c>
      <c r="U132" s="62" t="str">
        <f>VLOOKUP(_07__CRONOGRAMA_2026[[#This Row],[ID Historico]],Cartera1017[[ID Histórico]:[Estado TI]],30,FALSE)</f>
        <v>Milagros Huamani</v>
      </c>
      <c r="V132" s="62" t="str">
        <f>VLOOKUP(_07__CRONOGRAMA_2026[[#This Row],[ID Historico]],Cartera1017[[ID Histórico]:[Estado TI]],29,FALSE)</f>
        <v>Pedro Jose Encalada Huertas</v>
      </c>
    </row>
    <row r="133" spans="1:22" ht="45" hidden="1" customHeight="1">
      <c r="A133" s="62">
        <v>3092</v>
      </c>
      <c r="B133" s="62" t="s">
        <v>333</v>
      </c>
      <c r="C133" s="62" t="s">
        <v>334</v>
      </c>
      <c r="D133" s="62" t="s">
        <v>26</v>
      </c>
      <c r="E133" s="62" t="s">
        <v>27</v>
      </c>
      <c r="F133" s="62" t="s">
        <v>48</v>
      </c>
      <c r="G133" s="262">
        <v>0.15</v>
      </c>
      <c r="H133" s="62" t="s">
        <v>36</v>
      </c>
      <c r="I133" s="358">
        <v>45964</v>
      </c>
      <c r="J133" s="358">
        <v>46073</v>
      </c>
      <c r="K133" s="358">
        <v>46073</v>
      </c>
      <c r="L133" s="358">
        <v>46101</v>
      </c>
      <c r="M133" s="358">
        <v>46101</v>
      </c>
      <c r="N133" s="358">
        <v>46118</v>
      </c>
      <c r="O133" s="62" t="s">
        <v>30</v>
      </c>
      <c r="P133" s="262">
        <f>VLOOKUP(_07__CRONOGRAMA_2026[[#This Row],[ID Historico]],Cartera1017[[ID Histórico]:[Porcentaje de Avance]],80,FALSE)</f>
        <v>0.25</v>
      </c>
      <c r="Q13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3" s="262">
        <f>IF(_07__CRONOGRAMA_2026[[#This Row],[% REAL]]&gt;_07__CRONOGRAMA_2026[[#This Row],[Porcentaje de Avance]],_07__CRONOGRAMA_2026[[#This Row],[% REAL]],_07__CRONOGRAMA_2026[[#This Row],[Porcentaje de Avance]])</f>
        <v>0.25</v>
      </c>
      <c r="S13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3" s="62" t="str">
        <f>VLOOKUP(_07__CRONOGRAMA_2026[[#This Row],[ID Historico]],Cartera1017[[ID Histórico]:[Estado TI]],31,FALSE)</f>
        <v>03. En Desarrollo</v>
      </c>
      <c r="U133" s="62" t="str">
        <f>VLOOKUP(_07__CRONOGRAMA_2026[[#This Row],[ID Historico]],Cartera1017[[ID Histórico]:[Estado TI]],30,FALSE)</f>
        <v>Omar Sarmiento</v>
      </c>
      <c r="V133" s="62" t="str">
        <f>VLOOKUP(_07__CRONOGRAMA_2026[[#This Row],[ID Historico]],Cartera1017[[ID Histórico]:[Estado TI]],29,FALSE)</f>
        <v>Vladimir Ronald Cajavilca Cajavilca</v>
      </c>
    </row>
    <row r="134" spans="1:22" ht="45" hidden="1" customHeight="1">
      <c r="A134" s="62">
        <v>3096</v>
      </c>
      <c r="B134" s="62" t="s">
        <v>335</v>
      </c>
      <c r="C134" s="62" t="s">
        <v>336</v>
      </c>
      <c r="D134" s="62" t="s">
        <v>33</v>
      </c>
      <c r="E134" s="62" t="s">
        <v>34</v>
      </c>
      <c r="F134" s="62" t="s">
        <v>42</v>
      </c>
      <c r="G134" s="262">
        <v>0.85</v>
      </c>
      <c r="H134" s="62" t="s">
        <v>83</v>
      </c>
      <c r="I134" s="358">
        <v>45967</v>
      </c>
      <c r="J134" s="358">
        <v>46017</v>
      </c>
      <c r="K134" s="358">
        <v>46030</v>
      </c>
      <c r="L134" s="358">
        <v>46045</v>
      </c>
      <c r="M134" s="358">
        <v>46072</v>
      </c>
      <c r="N134" s="358">
        <v>46084</v>
      </c>
      <c r="O134" s="62" t="s">
        <v>150</v>
      </c>
      <c r="P134" s="262">
        <f>VLOOKUP(_07__CRONOGRAMA_2026[[#This Row],[ID Historico]],Cartera1017[[ID Histórico]:[Porcentaje de Avance]],80,FALSE)</f>
        <v>0.85</v>
      </c>
      <c r="Q13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4" s="262">
        <f>IF(_07__CRONOGRAMA_2026[[#This Row],[% REAL]]&gt;_07__CRONOGRAMA_2026[[#This Row],[Porcentaje de Avance]],_07__CRONOGRAMA_2026[[#This Row],[% REAL]],_07__CRONOGRAMA_2026[[#This Row],[Porcentaje de Avance]])</f>
        <v>0.85</v>
      </c>
      <c r="S13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34" s="62" t="str">
        <f>VLOOKUP(_07__CRONOGRAMA_2026[[#This Row],[ID Historico]],Cartera1017[[ID Histórico]:[Estado TI]],31,FALSE)</f>
        <v>06. Calidad Finalizado</v>
      </c>
      <c r="U134" s="62" t="str">
        <f>VLOOKUP(_07__CRONOGRAMA_2026[[#This Row],[ID Historico]],Cartera1017[[ID Histórico]:[Estado TI]],30,FALSE)</f>
        <v>Milagros Huamani</v>
      </c>
      <c r="V134" s="62" t="str">
        <f>VLOOKUP(_07__CRONOGRAMA_2026[[#This Row],[ID Historico]],Cartera1017[[ID Histórico]:[Estado TI]],29,FALSE)</f>
        <v>Pedro Jose Encalada Huertas</v>
      </c>
    </row>
    <row r="135" spans="1:22" ht="30" hidden="1" customHeight="1">
      <c r="A135" s="62">
        <v>3066</v>
      </c>
      <c r="B135" s="62" t="s">
        <v>337</v>
      </c>
      <c r="C135" s="62" t="s">
        <v>338</v>
      </c>
      <c r="D135" s="62" t="s">
        <v>33</v>
      </c>
      <c r="E135" s="62" t="s">
        <v>34</v>
      </c>
      <c r="F135" s="62" t="s">
        <v>48</v>
      </c>
      <c r="G135" s="262">
        <v>0.7</v>
      </c>
      <c r="H135" s="62" t="s">
        <v>83</v>
      </c>
      <c r="I135" s="358">
        <v>45845</v>
      </c>
      <c r="J135" s="358">
        <v>45966</v>
      </c>
      <c r="K135" s="358">
        <v>45986</v>
      </c>
      <c r="L135" s="358">
        <v>46121</v>
      </c>
      <c r="M135" s="358">
        <v>46122</v>
      </c>
      <c r="N135" s="358">
        <v>46136</v>
      </c>
      <c r="O135" s="62" t="s">
        <v>150</v>
      </c>
      <c r="P135" s="262">
        <f>VLOOKUP(_07__CRONOGRAMA_2026[[#This Row],[ID Historico]],Cartera1017[[ID Histórico]:[Porcentaje de Avance]],80,FALSE)</f>
        <v>0.12</v>
      </c>
      <c r="Q13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5" s="262">
        <f>IF(_07__CRONOGRAMA_2026[[#This Row],[% REAL]]&gt;_07__CRONOGRAMA_2026[[#This Row],[Porcentaje de Avance]],_07__CRONOGRAMA_2026[[#This Row],[% REAL]],_07__CRONOGRAMA_2026[[#This Row],[Porcentaje de Avance]])</f>
        <v>0.7</v>
      </c>
      <c r="S13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5" s="62" t="str">
        <f>VLOOKUP(_07__CRONOGRAMA_2026[[#This Row],[ID Historico]],Cartera1017[[ID Histórico]:[Estado TI]],31,FALSE)</f>
        <v>10. Paralizado</v>
      </c>
      <c r="U135" s="62" t="str">
        <f>VLOOKUP(_07__CRONOGRAMA_2026[[#This Row],[ID Historico]],Cartera1017[[ID Histórico]:[Estado TI]],30,FALSE)</f>
        <v>Milagros Huamani</v>
      </c>
      <c r="V135" s="62" t="str">
        <f>VLOOKUP(_07__CRONOGRAMA_2026[[#This Row],[ID Historico]],Cartera1017[[ID Histórico]:[Estado TI]],29,FALSE)</f>
        <v>Pedro Jose Encalada Huertas</v>
      </c>
    </row>
    <row r="136" spans="1:22" ht="45" hidden="1" customHeight="1">
      <c r="A136" s="62">
        <v>3090</v>
      </c>
      <c r="B136" s="62"/>
      <c r="C136" s="62" t="s">
        <v>339</v>
      </c>
      <c r="D136" s="62" t="s">
        <v>26</v>
      </c>
      <c r="E136" s="62" t="s">
        <v>27</v>
      </c>
      <c r="F136" s="62" t="s">
        <v>340</v>
      </c>
      <c r="G136" s="262">
        <v>0.1</v>
      </c>
      <c r="H136" s="62" t="s">
        <v>83</v>
      </c>
      <c r="I136" s="358">
        <v>45964</v>
      </c>
      <c r="J136" s="358">
        <v>46262</v>
      </c>
      <c r="K136" s="358">
        <v>46265</v>
      </c>
      <c r="L136" s="358">
        <v>46283</v>
      </c>
      <c r="M136" s="358">
        <v>46286</v>
      </c>
      <c r="N136" s="358">
        <v>46295</v>
      </c>
      <c r="O136" s="62" t="s">
        <v>255</v>
      </c>
      <c r="P136" s="262">
        <f>VLOOKUP(_07__CRONOGRAMA_2026[[#This Row],[ID Historico]],Cartera1017[[ID Histórico]:[Porcentaje de Avance]],80,FALSE)</f>
        <v>0.1</v>
      </c>
      <c r="Q13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0.59825327510917026</v>
      </c>
      <c r="R136" s="262">
        <f>IF(_07__CRONOGRAMA_2026[[#This Row],[% REAL]]&gt;_07__CRONOGRAMA_2026[[#This Row],[Porcentaje de Avance]],_07__CRONOGRAMA_2026[[#This Row],[% REAL]],_07__CRONOGRAMA_2026[[#This Row],[Porcentaje de Avance]])</f>
        <v>0.1</v>
      </c>
      <c r="S13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6" s="62" t="str">
        <f>VLOOKUP(_07__CRONOGRAMA_2026[[#This Row],[ID Historico]],Cartera1017[[ID Histórico]:[Estado TI]],31,FALSE)</f>
        <v>02. En Planificación</v>
      </c>
      <c r="U136" s="62" t="str">
        <f>VLOOKUP(_07__CRONOGRAMA_2026[[#This Row],[ID Historico]],Cartera1017[[ID Histórico]:[Estado TI]],30,FALSE)</f>
        <v>Omar Sarmiento</v>
      </c>
      <c r="V136" s="62">
        <f>VLOOKUP(_07__CRONOGRAMA_2026[[#This Row],[ID Historico]],Cartera1017[[ID Histórico]:[Estado TI]],29,FALSE)</f>
        <v>0</v>
      </c>
    </row>
    <row r="137" spans="1:22" ht="30" hidden="1" customHeight="1">
      <c r="A137" s="62">
        <v>3103</v>
      </c>
      <c r="B137" s="62" t="s">
        <v>341</v>
      </c>
      <c r="C137" s="62" t="s">
        <v>342</v>
      </c>
      <c r="D137" s="62" t="s">
        <v>33</v>
      </c>
      <c r="E137" s="62" t="s">
        <v>34</v>
      </c>
      <c r="F137" s="62" t="s">
        <v>42</v>
      </c>
      <c r="G137" s="262">
        <v>0.85</v>
      </c>
      <c r="H137" s="62" t="s">
        <v>83</v>
      </c>
      <c r="I137" s="358">
        <v>45957</v>
      </c>
      <c r="J137" s="358">
        <v>46034</v>
      </c>
      <c r="K137" s="358">
        <v>46037</v>
      </c>
      <c r="L137" s="358">
        <v>46071</v>
      </c>
      <c r="M137" s="358">
        <v>46072</v>
      </c>
      <c r="N137" s="358">
        <v>46084</v>
      </c>
      <c r="O137" s="62" t="s">
        <v>165</v>
      </c>
      <c r="P137" s="262">
        <f>VLOOKUP(_07__CRONOGRAMA_2026[[#This Row],[ID Historico]],Cartera1017[[ID Histórico]:[Porcentaje de Avance]],80,FALSE)</f>
        <v>0.85</v>
      </c>
      <c r="Q13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7" s="262">
        <f>IF(_07__CRONOGRAMA_2026[[#This Row],[% REAL]]&gt;_07__CRONOGRAMA_2026[[#This Row],[Porcentaje de Avance]],_07__CRONOGRAMA_2026[[#This Row],[% REAL]],_07__CRONOGRAMA_2026[[#This Row],[Porcentaje de Avance]])</f>
        <v>0.85</v>
      </c>
      <c r="S13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37" s="62" t="str">
        <f>VLOOKUP(_07__CRONOGRAMA_2026[[#This Row],[ID Historico]],Cartera1017[[ID Histórico]:[Estado TI]],31,FALSE)</f>
        <v>06. Calidad Finalizado</v>
      </c>
      <c r="U137" s="62" t="str">
        <f>VLOOKUP(_07__CRONOGRAMA_2026[[#This Row],[ID Historico]],Cartera1017[[ID Histórico]:[Estado TI]],30,FALSE)</f>
        <v>Milagros Huamani</v>
      </c>
      <c r="V137" s="62" t="str">
        <f>VLOOKUP(_07__CRONOGRAMA_2026[[#This Row],[ID Historico]],Cartera1017[[ID Histórico]:[Estado TI]],29,FALSE)</f>
        <v>Fiorella Emma Galvan Soto</v>
      </c>
    </row>
    <row r="138" spans="1:22" ht="45" customHeight="1">
      <c r="A138" s="62">
        <v>3105</v>
      </c>
      <c r="B138" s="62" t="s">
        <v>343</v>
      </c>
      <c r="C138" s="62" t="s">
        <v>344</v>
      </c>
      <c r="D138" s="62" t="s">
        <v>108</v>
      </c>
      <c r="E138" s="62" t="s">
        <v>109</v>
      </c>
      <c r="F138" s="62" t="s">
        <v>48</v>
      </c>
      <c r="G138" s="262">
        <v>0.15</v>
      </c>
      <c r="H138" s="62" t="s">
        <v>36</v>
      </c>
      <c r="I138" s="358">
        <v>45964</v>
      </c>
      <c r="J138" s="358">
        <v>46084</v>
      </c>
      <c r="K138" s="358">
        <v>46085</v>
      </c>
      <c r="L138" s="358">
        <v>46120</v>
      </c>
      <c r="M138" s="358">
        <v>46121</v>
      </c>
      <c r="N138" s="358">
        <v>46128</v>
      </c>
      <c r="O138" s="62" t="s">
        <v>317</v>
      </c>
      <c r="P138" s="262">
        <f>VLOOKUP(_07__CRONOGRAMA_2026[[#This Row],[ID Historico]],Cartera1017[[ID Histórico]:[Porcentaje de Avance]],80,FALSE)</f>
        <v>0.15</v>
      </c>
      <c r="Q13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8" s="262">
        <f>IF(_07__CRONOGRAMA_2026[[#This Row],[% REAL]]&gt;_07__CRONOGRAMA_2026[[#This Row],[Porcentaje de Avance]],_07__CRONOGRAMA_2026[[#This Row],[% REAL]],_07__CRONOGRAMA_2026[[#This Row],[Porcentaje de Avance]])</f>
        <v>0.15</v>
      </c>
      <c r="S13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8" s="62" t="str">
        <f>VLOOKUP(_07__CRONOGRAMA_2026[[#This Row],[ID Historico]],Cartera1017[[ID Histórico]:[Estado TI]],31,FALSE)</f>
        <v>03. En Desarrollo</v>
      </c>
      <c r="U138" s="62" t="str">
        <f>VLOOKUP(_07__CRONOGRAMA_2026[[#This Row],[ID Historico]],Cartera1017[[ID Histórico]:[Estado TI]],30,FALSE)</f>
        <v>Tomas Calvera</v>
      </c>
      <c r="V138" s="62" t="str">
        <f>VLOOKUP(_07__CRONOGRAMA_2026[[#This Row],[ID Historico]],Cartera1017[[ID Histórico]:[Estado TI]],29,FALSE)</f>
        <v>Jorge Enrique Ruiz Torres</v>
      </c>
    </row>
    <row r="139" spans="1:22" ht="30" hidden="1" customHeight="1">
      <c r="A139" s="62">
        <v>3106</v>
      </c>
      <c r="B139" s="62" t="s">
        <v>345</v>
      </c>
      <c r="C139" s="62" t="s">
        <v>346</v>
      </c>
      <c r="D139" s="62" t="s">
        <v>33</v>
      </c>
      <c r="E139" s="62" t="s">
        <v>34</v>
      </c>
      <c r="F139" s="62" t="s">
        <v>48</v>
      </c>
      <c r="G139" s="262">
        <v>0.15</v>
      </c>
      <c r="H139" s="62" t="s">
        <v>83</v>
      </c>
      <c r="I139" s="358">
        <v>45944</v>
      </c>
      <c r="J139" s="358">
        <v>46034</v>
      </c>
      <c r="K139" s="358">
        <v>46037</v>
      </c>
      <c r="L139" s="358">
        <v>46071</v>
      </c>
      <c r="M139" s="358">
        <v>46072</v>
      </c>
      <c r="N139" s="358">
        <v>46084</v>
      </c>
      <c r="O139" s="62" t="s">
        <v>150</v>
      </c>
      <c r="P139" s="262">
        <f>VLOOKUP(_07__CRONOGRAMA_2026[[#This Row],[ID Historico]],Cartera1017[[ID Histórico]:[Porcentaje de Avance]],80,FALSE)</f>
        <v>0.15</v>
      </c>
      <c r="Q13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9" s="262">
        <f>IF(_07__CRONOGRAMA_2026[[#This Row],[% REAL]]&gt;_07__CRONOGRAMA_2026[[#This Row],[Porcentaje de Avance]],_07__CRONOGRAMA_2026[[#This Row],[% REAL]],_07__CRONOGRAMA_2026[[#This Row],[Porcentaje de Avance]])</f>
        <v>0.15</v>
      </c>
      <c r="S13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9" s="62" t="str">
        <f>VLOOKUP(_07__CRONOGRAMA_2026[[#This Row],[ID Historico]],Cartera1017[[ID Histórico]:[Estado TI]],31,FALSE)</f>
        <v>03. En Desarrollo</v>
      </c>
      <c r="U139" s="62" t="str">
        <f>VLOOKUP(_07__CRONOGRAMA_2026[[#This Row],[ID Historico]],Cartera1017[[ID Histórico]:[Estado TI]],30,FALSE)</f>
        <v>Milagros Huamani</v>
      </c>
      <c r="V139" s="62" t="str">
        <f>VLOOKUP(_07__CRONOGRAMA_2026[[#This Row],[ID Historico]],Cartera1017[[ID Histórico]:[Estado TI]],29,FALSE)</f>
        <v>Pedro Jose Encalada Huertas</v>
      </c>
    </row>
    <row r="140" spans="1:22" ht="30" customHeight="1">
      <c r="A140" s="62">
        <v>3107</v>
      </c>
      <c r="B140" s="62" t="s">
        <v>347</v>
      </c>
      <c r="C140" s="62" t="s">
        <v>348</v>
      </c>
      <c r="D140" s="62" t="s">
        <v>108</v>
      </c>
      <c r="E140" s="62" t="s">
        <v>27</v>
      </c>
      <c r="F140" s="62" t="s">
        <v>53</v>
      </c>
      <c r="G140" s="262">
        <v>1</v>
      </c>
      <c r="H140" s="62" t="s">
        <v>36</v>
      </c>
      <c r="I140" s="358">
        <v>45964</v>
      </c>
      <c r="J140" s="358">
        <v>46105</v>
      </c>
      <c r="K140" s="358">
        <v>46107</v>
      </c>
      <c r="L140" s="358">
        <v>46067</v>
      </c>
      <c r="M140" s="358">
        <v>46069</v>
      </c>
      <c r="N140" s="358">
        <v>46072</v>
      </c>
      <c r="O140" s="62" t="s">
        <v>123</v>
      </c>
      <c r="P140" s="262">
        <f>VLOOKUP(_07__CRONOGRAMA_2026[[#This Row],[ID Historico]],Cartera1017[[ID Histórico]:[Porcentaje de Avance]],80,FALSE)</f>
        <v>1</v>
      </c>
      <c r="Q14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0" s="262">
        <f>IF(_07__CRONOGRAMA_2026[[#This Row],[% REAL]]&gt;_07__CRONOGRAMA_2026[[#This Row],[Porcentaje de Avance]],_07__CRONOGRAMA_2026[[#This Row],[% REAL]],_07__CRONOGRAMA_2026[[#This Row],[Porcentaje de Avance]])</f>
        <v>1</v>
      </c>
      <c r="S14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40" s="62" t="str">
        <f>VLOOKUP(_07__CRONOGRAMA_2026[[#This Row],[ID Historico]],Cartera1017[[ID Histórico]:[Estado TI]],31,FALSE)</f>
        <v>08. Producción Finalizada</v>
      </c>
      <c r="U140" s="62" t="str">
        <f>VLOOKUP(_07__CRONOGRAMA_2026[[#This Row],[ID Historico]],Cartera1017[[ID Histórico]:[Estado TI]],30,FALSE)</f>
        <v>Omar Sarmiento</v>
      </c>
      <c r="V140" s="62" t="str">
        <f>VLOOKUP(_07__CRONOGRAMA_2026[[#This Row],[ID Historico]],Cartera1017[[ID Histórico]:[Estado TI]],29,FALSE)</f>
        <v>Norma Fukunaga Fuentes</v>
      </c>
    </row>
    <row r="141" spans="1:22" ht="45" hidden="1" customHeight="1">
      <c r="A141" s="62">
        <v>3109</v>
      </c>
      <c r="B141" s="62" t="s">
        <v>349</v>
      </c>
      <c r="C141" s="62" t="s">
        <v>350</v>
      </c>
      <c r="D141" s="62" t="s">
        <v>33</v>
      </c>
      <c r="E141" s="62" t="s">
        <v>34</v>
      </c>
      <c r="F141" s="62" t="s">
        <v>87</v>
      </c>
      <c r="G141" s="262">
        <v>0.7</v>
      </c>
      <c r="H141" s="62" t="s">
        <v>83</v>
      </c>
      <c r="I141" s="358">
        <v>45957</v>
      </c>
      <c r="J141" s="358">
        <v>46034</v>
      </c>
      <c r="K141" s="358">
        <v>46037</v>
      </c>
      <c r="L141" s="358">
        <v>46071</v>
      </c>
      <c r="M141" s="358">
        <v>46072</v>
      </c>
      <c r="N141" s="358">
        <v>46084</v>
      </c>
      <c r="O141" s="62" t="s">
        <v>165</v>
      </c>
      <c r="P141" s="262">
        <f>VLOOKUP(_07__CRONOGRAMA_2026[[#This Row],[ID Historico]],Cartera1017[[ID Histórico]:[Porcentaje de Avance]],80,FALSE)</f>
        <v>1</v>
      </c>
      <c r="Q14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1" s="262">
        <f>IF(_07__CRONOGRAMA_2026[[#This Row],[% REAL]]&gt;_07__CRONOGRAMA_2026[[#This Row],[Porcentaje de Avance]],_07__CRONOGRAMA_2026[[#This Row],[% REAL]],_07__CRONOGRAMA_2026[[#This Row],[Porcentaje de Avance]])</f>
        <v>1</v>
      </c>
      <c r="S14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41" s="62" t="str">
        <f>VLOOKUP(_07__CRONOGRAMA_2026[[#This Row],[ID Historico]],Cartera1017[[ID Histórico]:[Estado TI]],31,FALSE)</f>
        <v>08. Producción Finalizada</v>
      </c>
      <c r="U141" s="62" t="str">
        <f>VLOOKUP(_07__CRONOGRAMA_2026[[#This Row],[ID Historico]],Cartera1017[[ID Histórico]:[Estado TI]],30,FALSE)</f>
        <v>Milagros Huamani</v>
      </c>
      <c r="V141" s="62" t="str">
        <f>VLOOKUP(_07__CRONOGRAMA_2026[[#This Row],[ID Historico]],Cartera1017[[ID Histórico]:[Estado TI]],29,FALSE)</f>
        <v>Fiorella Emma Galvan Soto</v>
      </c>
    </row>
    <row r="142" spans="1:22" ht="60" hidden="1" customHeight="1">
      <c r="A142" s="62">
        <v>3111</v>
      </c>
      <c r="B142" s="62"/>
      <c r="C142" s="62" t="s">
        <v>351</v>
      </c>
      <c r="D142" s="62" t="s">
        <v>26</v>
      </c>
      <c r="E142" s="62" t="s">
        <v>27</v>
      </c>
      <c r="F142" s="62" t="s">
        <v>340</v>
      </c>
      <c r="G142" s="262">
        <v>0.1</v>
      </c>
      <c r="H142" s="62" t="s">
        <v>83</v>
      </c>
      <c r="I142" s="358">
        <v>45964</v>
      </c>
      <c r="J142" s="358">
        <v>46233</v>
      </c>
      <c r="K142" s="358">
        <v>46240</v>
      </c>
      <c r="L142" s="358">
        <v>46265</v>
      </c>
      <c r="M142" s="358">
        <v>46272</v>
      </c>
      <c r="N142" s="358">
        <v>46289</v>
      </c>
      <c r="O142" s="62" t="s">
        <v>255</v>
      </c>
      <c r="P142" s="262">
        <f>VLOOKUP(_07__CRONOGRAMA_2026[[#This Row],[ID Historico]],Cartera1017[[ID Histórico]:[Porcentaje de Avance]],80,FALSE)</f>
        <v>0.1</v>
      </c>
      <c r="Q14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0.60888888888888892</v>
      </c>
      <c r="R142" s="262">
        <f>IF(_07__CRONOGRAMA_2026[[#This Row],[% REAL]]&gt;_07__CRONOGRAMA_2026[[#This Row],[Porcentaje de Avance]],_07__CRONOGRAMA_2026[[#This Row],[% REAL]],_07__CRONOGRAMA_2026[[#This Row],[Porcentaje de Avance]])</f>
        <v>0.1</v>
      </c>
      <c r="S14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2" s="62" t="str">
        <f>VLOOKUP(_07__CRONOGRAMA_2026[[#This Row],[ID Historico]],Cartera1017[[ID Histórico]:[Estado TI]],31,FALSE)</f>
        <v>02. En Planificación</v>
      </c>
      <c r="U142" s="62" t="str">
        <f>VLOOKUP(_07__CRONOGRAMA_2026[[#This Row],[ID Historico]],Cartera1017[[ID Histórico]:[Estado TI]],30,FALSE)</f>
        <v>Omar Sarmiento</v>
      </c>
      <c r="V142" s="62">
        <f>VLOOKUP(_07__CRONOGRAMA_2026[[#This Row],[ID Historico]],Cartera1017[[ID Histórico]:[Estado TI]],29,FALSE)</f>
        <v>0</v>
      </c>
    </row>
    <row r="143" spans="1:22" ht="30" customHeight="1">
      <c r="A143" s="62">
        <v>3115</v>
      </c>
      <c r="B143" s="62" t="s">
        <v>352</v>
      </c>
      <c r="C143" s="62" t="s">
        <v>353</v>
      </c>
      <c r="D143" s="62" t="s">
        <v>108</v>
      </c>
      <c r="E143" s="62" t="s">
        <v>109</v>
      </c>
      <c r="F143" s="62" t="s">
        <v>48</v>
      </c>
      <c r="G143" s="262">
        <v>0.15</v>
      </c>
      <c r="H143" s="62" t="s">
        <v>36</v>
      </c>
      <c r="I143" s="358">
        <v>45988</v>
      </c>
      <c r="J143" s="358">
        <v>46105</v>
      </c>
      <c r="K143" s="358">
        <v>46107</v>
      </c>
      <c r="L143" s="358">
        <v>46067</v>
      </c>
      <c r="M143" s="358">
        <v>46069</v>
      </c>
      <c r="N143" s="358">
        <v>46072</v>
      </c>
      <c r="O143" s="62" t="s">
        <v>324</v>
      </c>
      <c r="P143" s="262">
        <f>VLOOKUP(_07__CRONOGRAMA_2026[[#This Row],[ID Historico]],Cartera1017[[ID Histórico]:[Porcentaje de Avance]],80,FALSE)</f>
        <v>0.25</v>
      </c>
      <c r="Q14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3" s="262">
        <f>IF(_07__CRONOGRAMA_2026[[#This Row],[% REAL]]&gt;_07__CRONOGRAMA_2026[[#This Row],[Porcentaje de Avance]],_07__CRONOGRAMA_2026[[#This Row],[% REAL]],_07__CRONOGRAMA_2026[[#This Row],[Porcentaje de Avance]])</f>
        <v>0.25</v>
      </c>
      <c r="S14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3" s="62" t="str">
        <f>VLOOKUP(_07__CRONOGRAMA_2026[[#This Row],[ID Historico]],Cartera1017[[ID Histórico]:[Estado TI]],31,FALSE)</f>
        <v>03. En Desarrollo</v>
      </c>
      <c r="U143" s="62" t="str">
        <f>VLOOKUP(_07__CRONOGRAMA_2026[[#This Row],[ID Historico]],Cartera1017[[ID Histórico]:[Estado TI]],30,FALSE)</f>
        <v>Tomas Calvera</v>
      </c>
      <c r="V143" s="62" t="str">
        <f>VLOOKUP(_07__CRONOGRAMA_2026[[#This Row],[ID Historico]],Cartera1017[[ID Histórico]:[Estado TI]],29,FALSE)</f>
        <v>Juan Carlos Cordova Inga</v>
      </c>
    </row>
    <row r="144" spans="1:22" ht="30" hidden="1" customHeight="1">
      <c r="A144" s="62">
        <v>3116</v>
      </c>
      <c r="B144" s="62" t="s">
        <v>354</v>
      </c>
      <c r="C144" s="62" t="s">
        <v>355</v>
      </c>
      <c r="D144" s="62" t="s">
        <v>40</v>
      </c>
      <c r="E144" s="62" t="s">
        <v>41</v>
      </c>
      <c r="F144" s="62" t="s">
        <v>53</v>
      </c>
      <c r="G144" s="262">
        <v>1</v>
      </c>
      <c r="H144" s="62" t="s">
        <v>36</v>
      </c>
      <c r="I144" s="358">
        <v>46002</v>
      </c>
      <c r="J144" s="358">
        <v>46052</v>
      </c>
      <c r="K144" s="358">
        <v>46055</v>
      </c>
      <c r="L144" s="358">
        <v>46080</v>
      </c>
      <c r="M144" s="358">
        <v>46083</v>
      </c>
      <c r="N144" s="358">
        <v>46087</v>
      </c>
      <c r="O144" s="62" t="s">
        <v>356</v>
      </c>
      <c r="P144" s="262">
        <f>VLOOKUP(_07__CRONOGRAMA_2026[[#This Row],[ID Historico]],Cartera1017[[ID Histórico]:[Porcentaje de Avance]],80,FALSE)</f>
        <v>1</v>
      </c>
      <c r="Q14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4" s="262">
        <f>IF(_07__CRONOGRAMA_2026[[#This Row],[% REAL]]&gt;_07__CRONOGRAMA_2026[[#This Row],[Porcentaje de Avance]],_07__CRONOGRAMA_2026[[#This Row],[% REAL]],_07__CRONOGRAMA_2026[[#This Row],[Porcentaje de Avance]])</f>
        <v>1</v>
      </c>
      <c r="S14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44" s="62" t="str">
        <f>VLOOKUP(_07__CRONOGRAMA_2026[[#This Row],[ID Historico]],Cartera1017[[ID Histórico]:[Estado TI]],31,FALSE)</f>
        <v>08. Producción Finalizada</v>
      </c>
      <c r="U144" s="62" t="str">
        <f>VLOOKUP(_07__CRONOGRAMA_2026[[#This Row],[ID Historico]],Cartera1017[[ID Histórico]:[Estado TI]],30,FALSE)</f>
        <v>Junior Quicaño</v>
      </c>
      <c r="V144" s="62" t="str">
        <f>VLOOKUP(_07__CRONOGRAMA_2026[[#This Row],[ID Historico]],Cartera1017[[ID Histórico]:[Estado TI]],29,FALSE)</f>
        <v>Ricardo Cuba Mora</v>
      </c>
    </row>
    <row r="145" spans="1:22" ht="45" customHeight="1">
      <c r="A145" s="62">
        <v>3118</v>
      </c>
      <c r="B145" s="62" t="s">
        <v>357</v>
      </c>
      <c r="C145" s="62" t="s">
        <v>358</v>
      </c>
      <c r="D145" s="62" t="s">
        <v>108</v>
      </c>
      <c r="E145" s="62" t="s">
        <v>109</v>
      </c>
      <c r="F145" s="62" t="s">
        <v>48</v>
      </c>
      <c r="G145" s="262">
        <v>0.15</v>
      </c>
      <c r="H145" s="62" t="s">
        <v>36</v>
      </c>
      <c r="I145" s="358">
        <v>45988</v>
      </c>
      <c r="J145" s="358">
        <v>46105</v>
      </c>
      <c r="K145" s="358">
        <v>46107</v>
      </c>
      <c r="L145" s="358">
        <v>46067</v>
      </c>
      <c r="M145" s="358">
        <v>46070</v>
      </c>
      <c r="N145" s="358">
        <v>46072</v>
      </c>
      <c r="O145" s="62" t="s">
        <v>324</v>
      </c>
      <c r="P145" s="262">
        <f>VLOOKUP(_07__CRONOGRAMA_2026[[#This Row],[ID Historico]],Cartera1017[[ID Histórico]:[Porcentaje de Avance]],80,FALSE)</f>
        <v>0.25</v>
      </c>
      <c r="Q14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5" s="262">
        <f>IF(_07__CRONOGRAMA_2026[[#This Row],[% REAL]]&gt;_07__CRONOGRAMA_2026[[#This Row],[Porcentaje de Avance]],_07__CRONOGRAMA_2026[[#This Row],[% REAL]],_07__CRONOGRAMA_2026[[#This Row],[Porcentaje de Avance]])</f>
        <v>0.25</v>
      </c>
      <c r="S14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5" s="62" t="str">
        <f>VLOOKUP(_07__CRONOGRAMA_2026[[#This Row],[ID Historico]],Cartera1017[[ID Histórico]:[Estado TI]],31,FALSE)</f>
        <v>03. En Desarrollo</v>
      </c>
      <c r="U145" s="62" t="str">
        <f>VLOOKUP(_07__CRONOGRAMA_2026[[#This Row],[ID Historico]],Cartera1017[[ID Histórico]:[Estado TI]],30,FALSE)</f>
        <v>Tomas Calvera</v>
      </c>
      <c r="V145" s="62" t="str">
        <f>VLOOKUP(_07__CRONOGRAMA_2026[[#This Row],[ID Historico]],Cartera1017[[ID Histórico]:[Estado TI]],29,FALSE)</f>
        <v>Juan Carlos Cordova Inga</v>
      </c>
    </row>
    <row r="146" spans="1:22" ht="75" hidden="1" customHeight="1">
      <c r="A146" s="62">
        <v>3119</v>
      </c>
      <c r="B146" s="62" t="s">
        <v>359</v>
      </c>
      <c r="C146" s="62" t="s">
        <v>360</v>
      </c>
      <c r="D146" s="62" t="s">
        <v>52</v>
      </c>
      <c r="E146" s="62" t="s">
        <v>47</v>
      </c>
      <c r="F146" s="62" t="s">
        <v>340</v>
      </c>
      <c r="G146" s="262">
        <v>0.1</v>
      </c>
      <c r="H146" s="62" t="s">
        <v>83</v>
      </c>
      <c r="I146" s="358">
        <v>46037</v>
      </c>
      <c r="J146" s="358">
        <v>46052</v>
      </c>
      <c r="K146" s="358">
        <v>46055</v>
      </c>
      <c r="L146" s="358">
        <v>46073</v>
      </c>
      <c r="M146" s="358">
        <v>46076</v>
      </c>
      <c r="N146" s="358">
        <v>46080</v>
      </c>
      <c r="O146" s="62" t="s">
        <v>255</v>
      </c>
      <c r="P146" s="262">
        <f>VLOOKUP(_07__CRONOGRAMA_2026[[#This Row],[ID Historico]],Cartera1017[[ID Histórico]:[Porcentaje de Avance]],80,FALSE)</f>
        <v>0.7</v>
      </c>
      <c r="Q14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6" s="262">
        <f>IF(_07__CRONOGRAMA_2026[[#This Row],[% REAL]]&gt;_07__CRONOGRAMA_2026[[#This Row],[Porcentaje de Avance]],_07__CRONOGRAMA_2026[[#This Row],[% REAL]],_07__CRONOGRAMA_2026[[#This Row],[Porcentaje de Avance]])</f>
        <v>0.7</v>
      </c>
      <c r="S14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6" s="62" t="str">
        <f>VLOOKUP(_07__CRONOGRAMA_2026[[#This Row],[ID Historico]],Cartera1017[[ID Histórico]:[Estado TI]],31,FALSE)</f>
        <v>05. En Calidad</v>
      </c>
      <c r="U146" s="62" t="str">
        <f>VLOOKUP(_07__CRONOGRAMA_2026[[#This Row],[ID Historico]],Cartera1017[[ID Histórico]:[Estado TI]],30,FALSE)</f>
        <v>Juan Carlos Zavaleta</v>
      </c>
      <c r="V146" s="62" t="str">
        <f>VLOOKUP(_07__CRONOGRAMA_2026[[#This Row],[ID Historico]],Cartera1017[[ID Histórico]:[Estado TI]],29,FALSE)</f>
        <v>Emerson Quecara Choquetico</v>
      </c>
    </row>
    <row r="147" spans="1:22" ht="30.75" hidden="1" customHeight="1">
      <c r="A147" s="62">
        <v>3121</v>
      </c>
      <c r="B147" s="62" t="s">
        <v>361</v>
      </c>
      <c r="C147" s="62" t="s">
        <v>362</v>
      </c>
      <c r="D147" s="62" t="s">
        <v>40</v>
      </c>
      <c r="E147" s="62" t="s">
        <v>47</v>
      </c>
      <c r="F147" s="62" t="s">
        <v>48</v>
      </c>
      <c r="G147" s="262">
        <v>0.3</v>
      </c>
      <c r="H147" s="62" t="s">
        <v>36</v>
      </c>
      <c r="I147" s="358">
        <v>45992</v>
      </c>
      <c r="J147" s="358">
        <v>46080</v>
      </c>
      <c r="K147" s="358">
        <v>46083</v>
      </c>
      <c r="L147" s="358">
        <v>46112</v>
      </c>
      <c r="M147" s="358">
        <v>46113</v>
      </c>
      <c r="N147" s="358">
        <v>46115</v>
      </c>
      <c r="O147" s="62" t="s">
        <v>126</v>
      </c>
      <c r="P147" s="262">
        <f>VLOOKUP(_07__CRONOGRAMA_2026[[#This Row],[ID Historico]],Cartera1017[[ID Histórico]:[Porcentaje de Avance]],80,FALSE)</f>
        <v>0.12</v>
      </c>
      <c r="Q14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7" s="262">
        <f>IF(_07__CRONOGRAMA_2026[[#This Row],[% REAL]]&gt;_07__CRONOGRAMA_2026[[#This Row],[Porcentaje de Avance]],_07__CRONOGRAMA_2026[[#This Row],[% REAL]],_07__CRONOGRAMA_2026[[#This Row],[Porcentaje de Avance]])</f>
        <v>0.3</v>
      </c>
      <c r="S14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7" s="62" t="str">
        <f>VLOOKUP(_07__CRONOGRAMA_2026[[#This Row],[ID Historico]],Cartera1017[[ID Histórico]:[Estado TI]],31,FALSE)</f>
        <v>10. Paralizado</v>
      </c>
      <c r="U147" s="62" t="str">
        <f>VLOOKUP(_07__CRONOGRAMA_2026[[#This Row],[ID Historico]],Cartera1017[[ID Histórico]:[Estado TI]],30,FALSE)</f>
        <v>Juan Carlos Zavaleta</v>
      </c>
      <c r="V147" s="62" t="str">
        <f>VLOOKUP(_07__CRONOGRAMA_2026[[#This Row],[ID Historico]],Cartera1017[[ID Histórico]:[Estado TI]],29,FALSE)</f>
        <v>Maribel Marlene Medina Molina</v>
      </c>
    </row>
    <row r="148" spans="1:22" ht="75" hidden="1" customHeight="1">
      <c r="A148" s="62">
        <v>3122</v>
      </c>
      <c r="B148" s="62" t="s">
        <v>363</v>
      </c>
      <c r="C148" s="62" t="s">
        <v>364</v>
      </c>
      <c r="D148" s="62" t="s">
        <v>33</v>
      </c>
      <c r="E148" s="62" t="s">
        <v>34</v>
      </c>
      <c r="F148" s="62" t="s">
        <v>48</v>
      </c>
      <c r="G148" s="262">
        <v>0.15</v>
      </c>
      <c r="H148" s="62" t="s">
        <v>83</v>
      </c>
      <c r="I148" s="358">
        <v>45957</v>
      </c>
      <c r="J148" s="358">
        <v>46034</v>
      </c>
      <c r="K148" s="358">
        <v>46037</v>
      </c>
      <c r="L148" s="358">
        <v>46071</v>
      </c>
      <c r="M148" s="358">
        <v>46072</v>
      </c>
      <c r="N148" s="358">
        <v>46084</v>
      </c>
      <c r="O148" s="62" t="s">
        <v>37</v>
      </c>
      <c r="P148" s="262">
        <f>VLOOKUP(_07__CRONOGRAMA_2026[[#This Row],[ID Historico]],Cartera1017[[ID Histórico]:[Porcentaje de Avance]],80,FALSE)</f>
        <v>0.7</v>
      </c>
      <c r="Q14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8" s="262">
        <f>IF(_07__CRONOGRAMA_2026[[#This Row],[% REAL]]&gt;_07__CRONOGRAMA_2026[[#This Row],[Porcentaje de Avance]],_07__CRONOGRAMA_2026[[#This Row],[% REAL]],_07__CRONOGRAMA_2026[[#This Row],[Porcentaje de Avance]])</f>
        <v>0.7</v>
      </c>
      <c r="S14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8" s="62" t="str">
        <f>VLOOKUP(_07__CRONOGRAMA_2026[[#This Row],[ID Historico]],Cartera1017[[ID Histórico]:[Estado TI]],31,FALSE)</f>
        <v>05. En Calidad</v>
      </c>
      <c r="U148" s="62" t="str">
        <f>VLOOKUP(_07__CRONOGRAMA_2026[[#This Row],[ID Historico]],Cartera1017[[ID Histórico]:[Estado TI]],30,FALSE)</f>
        <v>Milagros Huamani</v>
      </c>
      <c r="V148" s="62" t="str">
        <f>VLOOKUP(_07__CRONOGRAMA_2026[[#This Row],[ID Historico]],Cartera1017[[ID Histórico]:[Estado TI]],29,FALSE)</f>
        <v>Jorge Mora Ruelas</v>
      </c>
    </row>
    <row r="149" spans="1:22" ht="15" hidden="1" customHeight="1">
      <c r="A149" s="62">
        <v>3123</v>
      </c>
      <c r="B149" s="62" t="s">
        <v>365</v>
      </c>
      <c r="C149" s="62" t="s">
        <v>366</v>
      </c>
      <c r="D149" s="62" t="s">
        <v>46</v>
      </c>
      <c r="E149" s="62" t="s">
        <v>47</v>
      </c>
      <c r="F149" s="62" t="s">
        <v>48</v>
      </c>
      <c r="G149" s="262">
        <v>0.7</v>
      </c>
      <c r="H149" s="62" t="s">
        <v>83</v>
      </c>
      <c r="I149" s="358">
        <v>45972</v>
      </c>
      <c r="J149" s="358">
        <v>46027</v>
      </c>
      <c r="K149" s="358">
        <v>46028</v>
      </c>
      <c r="L149" s="358">
        <v>46045</v>
      </c>
      <c r="M149" s="358">
        <v>46048</v>
      </c>
      <c r="N149" s="358">
        <v>46056</v>
      </c>
      <c r="O149" s="62" t="s">
        <v>43</v>
      </c>
      <c r="P149" s="262">
        <f>VLOOKUP(_07__CRONOGRAMA_2026[[#This Row],[ID Historico]],Cartera1017[[ID Histórico]:[Porcentaje de Avance]],80,FALSE)</f>
        <v>0.85</v>
      </c>
      <c r="Q14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9" s="262">
        <f>IF(_07__CRONOGRAMA_2026[[#This Row],[% REAL]]&gt;_07__CRONOGRAMA_2026[[#This Row],[Porcentaje de Avance]],_07__CRONOGRAMA_2026[[#This Row],[% REAL]],_07__CRONOGRAMA_2026[[#This Row],[Porcentaje de Avance]])</f>
        <v>0.85</v>
      </c>
      <c r="S14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49" s="62" t="str">
        <f>VLOOKUP(_07__CRONOGRAMA_2026[[#This Row],[ID Historico]],Cartera1017[[ID Histórico]:[Estado TI]],31,FALSE)</f>
        <v>06. Calidad Finalizado</v>
      </c>
      <c r="U149" s="62" t="str">
        <f>VLOOKUP(_07__CRONOGRAMA_2026[[#This Row],[ID Historico]],Cartera1017[[ID Histórico]:[Estado TI]],30,FALSE)</f>
        <v>Juan Carlos Zavaleta</v>
      </c>
      <c r="V149" s="62" t="str">
        <f>VLOOKUP(_07__CRONOGRAMA_2026[[#This Row],[ID Historico]],Cartera1017[[ID Histórico]:[Estado TI]],29,FALSE)</f>
        <v>Johnny Luis Rocca Surco</v>
      </c>
    </row>
    <row r="150" spans="1:22" ht="60" hidden="1" customHeight="1">
      <c r="A150" s="62">
        <v>3125</v>
      </c>
      <c r="B150" s="62" t="s">
        <v>367</v>
      </c>
      <c r="C150" s="62" t="s">
        <v>368</v>
      </c>
      <c r="D150" s="62" t="s">
        <v>40</v>
      </c>
      <c r="E150" s="62" t="s">
        <v>41</v>
      </c>
      <c r="F150" s="62" t="s">
        <v>53</v>
      </c>
      <c r="G150" s="262">
        <v>1</v>
      </c>
      <c r="H150" s="62" t="s">
        <v>36</v>
      </c>
      <c r="I150" s="358">
        <v>45988</v>
      </c>
      <c r="J150" s="358">
        <v>46029</v>
      </c>
      <c r="K150" s="358">
        <v>46065</v>
      </c>
      <c r="L150" s="358">
        <v>46081</v>
      </c>
      <c r="M150" s="358">
        <v>46083</v>
      </c>
      <c r="N150" s="358">
        <v>46087</v>
      </c>
      <c r="O150" s="62" t="s">
        <v>150</v>
      </c>
      <c r="P150" s="262">
        <f>VLOOKUP(_07__CRONOGRAMA_2026[[#This Row],[ID Historico]],Cartera1017[[ID Histórico]:[Porcentaje de Avance]],80,FALSE)</f>
        <v>1</v>
      </c>
      <c r="Q15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50" s="262">
        <f>IF(_07__CRONOGRAMA_2026[[#This Row],[% REAL]]&gt;_07__CRONOGRAMA_2026[[#This Row],[Porcentaje de Avance]],_07__CRONOGRAMA_2026[[#This Row],[% REAL]],_07__CRONOGRAMA_2026[[#This Row],[Porcentaje de Avance]])</f>
        <v>1</v>
      </c>
      <c r="S15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50" s="62" t="str">
        <f>VLOOKUP(_07__CRONOGRAMA_2026[[#This Row],[ID Historico]],Cartera1017[[ID Histórico]:[Estado TI]],31,FALSE)</f>
        <v>08. Producción Finalizada</v>
      </c>
      <c r="U150" s="62" t="str">
        <f>VLOOKUP(_07__CRONOGRAMA_2026[[#This Row],[ID Historico]],Cartera1017[[ID Histórico]:[Estado TI]],30,FALSE)</f>
        <v>Junior Quicaño</v>
      </c>
      <c r="V150" s="62" t="str">
        <f>VLOOKUP(_07__CRONOGRAMA_2026[[#This Row],[ID Historico]],Cartera1017[[ID Histórico]:[Estado TI]],29,FALSE)</f>
        <v>Pedro Jose Encalada Huertas</v>
      </c>
    </row>
    <row r="151" spans="1:22" ht="45" hidden="1" customHeight="1">
      <c r="A151" s="62">
        <v>3126</v>
      </c>
      <c r="B151" s="62" t="s">
        <v>369</v>
      </c>
      <c r="C151" s="62" t="s">
        <v>370</v>
      </c>
      <c r="D151" s="62" t="s">
        <v>40</v>
      </c>
      <c r="E151" s="62" t="s">
        <v>41</v>
      </c>
      <c r="F151" s="62" t="s">
        <v>53</v>
      </c>
      <c r="G151" s="262">
        <v>1</v>
      </c>
      <c r="H151" s="62" t="s">
        <v>36</v>
      </c>
      <c r="I151" s="358">
        <v>45988</v>
      </c>
      <c r="J151" s="358">
        <v>46022</v>
      </c>
      <c r="K151" s="358">
        <v>46065</v>
      </c>
      <c r="L151" s="358">
        <v>46081</v>
      </c>
      <c r="M151" s="358">
        <v>46083</v>
      </c>
      <c r="N151" s="358">
        <v>46087</v>
      </c>
      <c r="O151" s="62" t="s">
        <v>150</v>
      </c>
      <c r="P151" s="262">
        <f>VLOOKUP(_07__CRONOGRAMA_2026[[#This Row],[ID Historico]],Cartera1017[[ID Histórico]:[Porcentaje de Avance]],80,FALSE)</f>
        <v>1</v>
      </c>
      <c r="Q15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51" s="262">
        <f>IF(_07__CRONOGRAMA_2026[[#This Row],[% REAL]]&gt;_07__CRONOGRAMA_2026[[#This Row],[Porcentaje de Avance]],_07__CRONOGRAMA_2026[[#This Row],[% REAL]],_07__CRONOGRAMA_2026[[#This Row],[Porcentaje de Avance]])</f>
        <v>1</v>
      </c>
      <c r="S15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51" s="62" t="str">
        <f>VLOOKUP(_07__CRONOGRAMA_2026[[#This Row],[ID Historico]],Cartera1017[[ID Histórico]:[Estado TI]],31,FALSE)</f>
        <v>08. Producción Finalizada</v>
      </c>
      <c r="U151" s="62" t="str">
        <f>VLOOKUP(_07__CRONOGRAMA_2026[[#This Row],[ID Historico]],Cartera1017[[ID Histórico]:[Estado TI]],30,FALSE)</f>
        <v>Junior Quicaño</v>
      </c>
      <c r="V151" s="62" t="str">
        <f>VLOOKUP(_07__CRONOGRAMA_2026[[#This Row],[ID Historico]],Cartera1017[[ID Histórico]:[Estado TI]],29,FALSE)</f>
        <v>Pedro Jose Encalada Huertas</v>
      </c>
    </row>
    <row r="152" spans="1:22" ht="30" hidden="1" customHeight="1">
      <c r="A152" s="62">
        <v>3128</v>
      </c>
      <c r="B152" s="62" t="s">
        <v>371</v>
      </c>
      <c r="C152" s="62" t="s">
        <v>372</v>
      </c>
      <c r="D152" s="62" t="s">
        <v>62</v>
      </c>
      <c r="E152" s="62" t="s">
        <v>63</v>
      </c>
      <c r="F152" s="62" t="s">
        <v>48</v>
      </c>
      <c r="G152" s="262">
        <v>0.15</v>
      </c>
      <c r="H152" s="62" t="s">
        <v>83</v>
      </c>
      <c r="I152" s="358">
        <v>46001</v>
      </c>
      <c r="J152" s="358">
        <v>46029</v>
      </c>
      <c r="K152" s="358">
        <v>46030</v>
      </c>
      <c r="L152" s="358">
        <v>46044</v>
      </c>
      <c r="M152" s="358">
        <v>46045</v>
      </c>
      <c r="N152" s="358">
        <v>46052</v>
      </c>
      <c r="O152" s="62" t="s">
        <v>37</v>
      </c>
      <c r="P152" s="262">
        <f>VLOOKUP(_07__CRONOGRAMA_2026[[#This Row],[ID Historico]],Cartera1017[[ID Histórico]:[Porcentaje de Avance]],80,FALSE)</f>
        <v>0.15</v>
      </c>
      <c r="Q15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52" s="262">
        <f>IF(_07__CRONOGRAMA_2026[[#This Row],[% REAL]]&gt;_07__CRONOGRAMA_2026[[#This Row],[Porcentaje de Avance]],_07__CRONOGRAMA_2026[[#This Row],[% REAL]],_07__CRONOGRAMA_2026[[#This Row],[Porcentaje de Avance]])</f>
        <v>0.15</v>
      </c>
      <c r="S15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52" s="62" t="str">
        <f>VLOOKUP(_07__CRONOGRAMA_2026[[#This Row],[ID Historico]],Cartera1017[[ID Histórico]:[Estado TI]],31,FALSE)</f>
        <v>03. En Desarrollo</v>
      </c>
      <c r="U152" s="62" t="str">
        <f>VLOOKUP(_07__CRONOGRAMA_2026[[#This Row],[ID Historico]],Cartera1017[[ID Histórico]:[Estado TI]],30,FALSE)</f>
        <v>Maria Barboza</v>
      </c>
      <c r="V152" s="62" t="str">
        <f>VLOOKUP(_07__CRONOGRAMA_2026[[#This Row],[ID Historico]],Cartera1017[[ID Histórico]:[Estado TI]],29,FALSE)</f>
        <v>Jorge Mora Ruelas</v>
      </c>
    </row>
    <row r="153" spans="1:22" ht="60" customHeight="1"/>
    <row r="154" spans="1:22" ht="60" customHeight="1"/>
    <row r="155" spans="1:22" ht="45" customHeight="1"/>
  </sheetData>
  <mergeCells count="1">
    <mergeCell ref="A2:C3"/>
  </mergeCells>
  <phoneticPr fontId="19" type="noConversion"/>
  <conditionalFormatting sqref="T6:T152">
    <cfRule type="expression" dxfId="626" priority="2">
      <formula>T6=F6</formula>
    </cfRule>
  </conditionalFormatting>
  <conditionalFormatting sqref="V6:V152">
    <cfRule type="expression" dxfId="625" priority="1">
      <formula>V6=O6</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
    <tabColor rgb="FFFF0000"/>
  </sheetPr>
  <dimension ref="A1:DH267"/>
  <sheetViews>
    <sheetView tabSelected="1" zoomScale="60" zoomScaleNormal="60" workbookViewId="0">
      <pane xSplit="6" ySplit="5" topLeftCell="G6" activePane="bottomRight" state="frozen"/>
      <selection pane="bottomRight" activeCell="F191" sqref="F191"/>
      <selection pane="bottomLeft"/>
      <selection pane="topRight"/>
    </sheetView>
  </sheetViews>
  <sheetFormatPr defaultColWidth="9.140625" defaultRowHeight="12.75" customHeight="1" outlineLevelCol="1"/>
  <cols>
    <col min="1" max="1" width="9.140625" style="105" customWidth="1"/>
    <col min="2" max="2" width="8.140625" style="105" customWidth="1"/>
    <col min="3" max="3" width="9.85546875" style="105" customWidth="1"/>
    <col min="4" max="4" width="12.140625" style="105" customWidth="1"/>
    <col min="5" max="5" width="14.42578125" style="105" customWidth="1"/>
    <col min="6" max="6" width="44.42578125" style="105" customWidth="1"/>
    <col min="7" max="7" width="5.5703125" style="105" customWidth="1"/>
    <col min="8" max="8" width="13.140625" style="105" customWidth="1"/>
    <col min="9" max="10" width="9.140625" style="105" customWidth="1"/>
    <col min="11" max="11" width="11.42578125" style="390" customWidth="1"/>
    <col min="12" max="12" width="9.140625" style="105" customWidth="1"/>
    <col min="13" max="13" width="15.85546875" style="105" customWidth="1"/>
    <col min="14" max="14" width="9.140625" style="105" customWidth="1"/>
    <col min="15" max="15" width="15.85546875" style="105" customWidth="1"/>
    <col min="16" max="17" width="16.42578125" style="105" customWidth="1"/>
    <col min="18" max="18" width="16.42578125" style="105" customWidth="1" collapsed="1"/>
    <col min="19" max="24" width="16.42578125" style="105" customWidth="1"/>
    <col min="25" max="25" width="16.42578125" style="391" customWidth="1"/>
    <col min="26" max="26" width="9.140625" style="105" customWidth="1"/>
    <col min="27" max="27" width="11.85546875" style="105" customWidth="1"/>
    <col min="28" max="33" width="9.140625" style="105" customWidth="1"/>
    <col min="34" max="34" width="21" style="105" customWidth="1"/>
    <col min="35" max="35" width="13.140625" style="105" customWidth="1"/>
    <col min="36" max="36" width="12.7109375" style="105" customWidth="1"/>
    <col min="37" max="37" width="11.7109375" style="105" customWidth="1"/>
    <col min="38" max="38" width="12.140625" style="105" customWidth="1"/>
    <col min="39" max="39" width="12.42578125" style="105" customWidth="1"/>
    <col min="40" max="40" width="11.7109375" style="105" customWidth="1"/>
    <col min="41" max="41" width="11.28515625" style="105" customWidth="1"/>
    <col min="42" max="43" width="11.7109375" style="105" customWidth="1"/>
    <col min="44" max="44" width="11.28515625" style="105" customWidth="1"/>
    <col min="45" max="45" width="11.7109375" style="105" customWidth="1"/>
    <col min="46" max="46" width="15" style="105" customWidth="1"/>
    <col min="47" max="57" width="9.140625" style="105" customWidth="1"/>
    <col min="58" max="58" width="9.140625" style="391" customWidth="1"/>
    <col min="59" max="64" width="9.140625" style="105" customWidth="1"/>
    <col min="65" max="65" width="15.140625" style="105" customWidth="1"/>
    <col min="66" max="66" width="9.140625" style="105" customWidth="1"/>
    <col min="67" max="67" width="9.140625" style="392" customWidth="1"/>
    <col min="68" max="71" width="9.140625" style="105" customWidth="1"/>
    <col min="72" max="72" width="9.140625" style="393" hidden="1" customWidth="1" outlineLevel="1"/>
    <col min="73" max="73" width="9.140625" style="394" hidden="1" customWidth="1" outlineLevel="1"/>
    <col min="74" max="78" width="9.140625" style="105" hidden="1" customWidth="1" outlineLevel="1"/>
    <col min="79" max="79" width="9.140625" style="105" customWidth="1" collapsed="1"/>
    <col min="80" max="81" width="9.140625" style="105" customWidth="1"/>
    <col min="82" max="84" width="9.140625" style="105" hidden="1" customWidth="1" outlineLevel="1"/>
    <col min="85" max="85" width="7.28515625" style="105" customWidth="1" collapsed="1"/>
    <col min="86" max="86" width="9.140625" style="401" customWidth="1"/>
    <col min="87" max="87" width="7" style="105" customWidth="1"/>
    <col min="88" max="88" width="6.42578125" style="105" customWidth="1"/>
    <col min="89" max="89" width="7.28515625" style="105" customWidth="1"/>
    <col min="90" max="90" width="7.140625" style="105" customWidth="1"/>
    <col min="91" max="91" width="10.28515625" style="390" customWidth="1"/>
    <col min="92" max="92" width="11.28515625" style="390" customWidth="1"/>
    <col min="93" max="93" width="11.140625" style="390" customWidth="1"/>
    <col min="94" max="94" width="12.140625" style="390" customWidth="1"/>
    <col min="95" max="95" width="11.7109375" style="390" customWidth="1"/>
    <col min="96" max="96" width="11.85546875" style="390" customWidth="1"/>
    <col min="97" max="97" width="12.5703125" style="105" customWidth="1"/>
    <col min="98" max="109" width="9.140625" style="105" bestFit="1" customWidth="1"/>
    <col min="110" max="110" width="17.85546875" style="105" customWidth="1"/>
    <col min="111" max="111" width="9.140625" style="105" bestFit="1" customWidth="1"/>
    <col min="112" max="16384" width="9.140625" style="105"/>
  </cols>
  <sheetData>
    <row r="1" spans="1:112" s="363" customFormat="1" ht="20.25">
      <c r="A1" s="574" t="s">
        <v>0</v>
      </c>
      <c r="B1" s="574"/>
      <c r="C1" s="361"/>
      <c r="D1" s="361"/>
      <c r="E1" s="362">
        <f>COUNTA(Cartera1017[ID Histórico])</f>
        <v>262</v>
      </c>
      <c r="H1" s="364"/>
      <c r="I1" s="364"/>
      <c r="J1" s="364"/>
      <c r="K1" s="365"/>
      <c r="L1" s="364"/>
      <c r="M1" s="364"/>
      <c r="N1" s="364"/>
      <c r="O1" s="364"/>
      <c r="P1" s="364"/>
      <c r="Q1" s="364"/>
      <c r="R1" s="364"/>
      <c r="S1" s="364"/>
      <c r="T1" s="364"/>
      <c r="U1" s="364"/>
      <c r="V1" s="364"/>
      <c r="W1" s="364"/>
      <c r="X1" s="364"/>
      <c r="Y1" s="366"/>
      <c r="Z1" s="364"/>
      <c r="AA1" s="364"/>
      <c r="AB1" s="364" t="s">
        <v>373</v>
      </c>
      <c r="AC1" s="364"/>
      <c r="AD1" s="364" t="s">
        <v>373</v>
      </c>
      <c r="AE1" s="364"/>
      <c r="AF1" s="364" t="s">
        <v>373</v>
      </c>
      <c r="AG1" s="364"/>
      <c r="AK1" s="367"/>
      <c r="AL1" s="367"/>
      <c r="AM1" s="367"/>
      <c r="AN1" s="367"/>
      <c r="AO1" s="367"/>
      <c r="AP1" s="367"/>
      <c r="AQ1" s="367"/>
      <c r="AR1" s="367"/>
      <c r="AS1" s="367"/>
      <c r="BF1" s="367"/>
      <c r="BI1" s="368"/>
      <c r="BJ1" s="364"/>
      <c r="BO1" s="369"/>
      <c r="BT1" s="370"/>
      <c r="BU1" s="371"/>
      <c r="CH1" s="364"/>
      <c r="CN1" s="372"/>
      <c r="CO1" s="372"/>
      <c r="CP1" s="372"/>
      <c r="CQ1" s="372"/>
      <c r="CR1" s="372"/>
    </row>
    <row r="2" spans="1:112" s="363" customFormat="1" ht="20.25" customHeight="1">
      <c r="A2" s="373" t="s">
        <v>374</v>
      </c>
      <c r="B2" s="515"/>
      <c r="C2" s="515"/>
      <c r="D2" s="515"/>
      <c r="E2" s="515"/>
      <c r="F2" s="373"/>
      <c r="G2" s="373"/>
      <c r="H2" s="374"/>
      <c r="I2" s="374"/>
      <c r="J2" s="374"/>
      <c r="K2" s="375"/>
      <c r="L2" s="374"/>
      <c r="M2" s="374"/>
      <c r="N2" s="374"/>
      <c r="O2" s="374"/>
      <c r="P2" s="364"/>
      <c r="Q2" s="364"/>
      <c r="R2" s="364"/>
      <c r="S2" s="364"/>
      <c r="T2" s="364"/>
      <c r="U2" s="364"/>
      <c r="V2" s="364"/>
      <c r="W2" s="364"/>
      <c r="X2" s="364"/>
      <c r="Y2" s="366"/>
      <c r="Z2" s="364"/>
      <c r="AA2" s="364"/>
      <c r="AB2" s="364" t="s">
        <v>373</v>
      </c>
      <c r="AC2" s="364"/>
      <c r="AD2" s="364" t="s">
        <v>373</v>
      </c>
      <c r="AE2" s="364"/>
      <c r="AF2" s="364" t="s">
        <v>373</v>
      </c>
      <c r="AG2" s="364"/>
      <c r="AK2" s="367"/>
      <c r="AL2" s="367"/>
      <c r="AM2" s="367"/>
      <c r="AN2" s="367"/>
      <c r="AO2" s="367"/>
      <c r="AP2" s="367"/>
      <c r="AQ2" s="367"/>
      <c r="AR2" s="367"/>
      <c r="AS2" s="367"/>
      <c r="BF2" s="367"/>
      <c r="BI2" s="368"/>
      <c r="BJ2" s="364"/>
      <c r="BO2" s="369"/>
      <c r="BT2" s="370"/>
      <c r="BU2" s="371"/>
      <c r="CH2" s="364"/>
      <c r="CN2" s="376"/>
      <c r="CO2" s="376"/>
      <c r="CP2" s="376"/>
      <c r="CQ2" s="372"/>
      <c r="CR2" s="372"/>
    </row>
    <row r="3" spans="1:112" s="28" customFormat="1" ht="16.5" customHeight="1">
      <c r="A3" s="515"/>
      <c r="B3" s="515"/>
      <c r="C3" s="515"/>
      <c r="D3" s="515"/>
      <c r="E3" s="515"/>
      <c r="H3" s="54"/>
      <c r="I3" s="54"/>
      <c r="J3" s="54"/>
      <c r="K3" s="377"/>
      <c r="L3" s="54"/>
      <c r="M3" s="54"/>
      <c r="N3" s="54"/>
      <c r="O3" s="54"/>
      <c r="P3" s="54"/>
      <c r="Q3" s="54"/>
      <c r="R3" s="54"/>
      <c r="S3" s="54"/>
      <c r="T3" s="54"/>
      <c r="U3" s="54"/>
      <c r="V3" s="54"/>
      <c r="W3" s="54"/>
      <c r="X3" s="54"/>
      <c r="Y3" s="342"/>
      <c r="Z3" s="54"/>
      <c r="AA3" s="54"/>
      <c r="AB3" s="364" t="s">
        <v>373</v>
      </c>
      <c r="AC3" s="54"/>
      <c r="AD3" s="364" t="s">
        <v>373</v>
      </c>
      <c r="AE3" s="54"/>
      <c r="AF3" s="364" t="s">
        <v>373</v>
      </c>
      <c r="AG3" s="54"/>
      <c r="AH3" s="28" t="s">
        <v>373</v>
      </c>
      <c r="AK3" s="127"/>
      <c r="AL3" s="127"/>
      <c r="AM3" s="127"/>
      <c r="AN3" s="127"/>
      <c r="AO3" s="127"/>
      <c r="AP3" s="127"/>
      <c r="AQ3" s="127"/>
      <c r="AR3" s="127"/>
      <c r="AS3" s="127"/>
      <c r="AT3" s="28" t="s">
        <v>373</v>
      </c>
      <c r="BF3" s="127"/>
      <c r="BI3" s="378"/>
      <c r="BJ3" s="54"/>
      <c r="BL3" s="364" t="s">
        <v>373</v>
      </c>
      <c r="BO3" s="379"/>
      <c r="BT3" s="140"/>
      <c r="BU3" s="33"/>
      <c r="CH3" s="54"/>
      <c r="CM3" s="378" t="s">
        <v>373</v>
      </c>
      <c r="CN3" s="378" t="s">
        <v>373</v>
      </c>
      <c r="CO3" s="378" t="s">
        <v>373</v>
      </c>
      <c r="CP3" s="28" t="s">
        <v>373</v>
      </c>
      <c r="CQ3" s="378" t="s">
        <v>373</v>
      </c>
      <c r="CR3" s="378" t="s">
        <v>373</v>
      </c>
      <c r="CS3" s="378"/>
      <c r="CT3" s="378"/>
    </row>
    <row r="4" spans="1:112" s="28" customFormat="1" ht="15" customHeight="1">
      <c r="A4" s="575" t="s">
        <v>375</v>
      </c>
      <c r="B4" s="575"/>
      <c r="C4" s="575"/>
      <c r="D4" s="575"/>
      <c r="E4" s="575"/>
      <c r="F4" s="576"/>
      <c r="G4" s="575"/>
      <c r="H4" s="575"/>
      <c r="I4" s="575"/>
      <c r="J4" s="575"/>
      <c r="K4" s="575"/>
      <c r="L4" s="575"/>
      <c r="M4" s="575"/>
      <c r="N4" s="575"/>
      <c r="O4" s="575"/>
      <c r="P4" s="575"/>
      <c r="Q4" s="575"/>
      <c r="R4" s="575"/>
      <c r="S4" s="575"/>
      <c r="T4" s="575"/>
      <c r="U4" s="575"/>
      <c r="V4" s="575"/>
      <c r="W4" s="575"/>
      <c r="X4" s="575"/>
      <c r="Y4" s="577"/>
      <c r="Z4" s="572" t="s">
        <v>376</v>
      </c>
      <c r="AA4" s="573"/>
      <c r="AB4" s="573"/>
      <c r="AC4" s="573"/>
      <c r="AD4" s="573"/>
      <c r="AE4" s="573"/>
      <c r="AF4" s="380" t="s">
        <v>377</v>
      </c>
      <c r="AG4" s="380"/>
      <c r="AH4" s="381"/>
      <c r="AI4" s="381"/>
      <c r="AJ4" s="381"/>
      <c r="AK4" s="382"/>
      <c r="AL4" s="382"/>
      <c r="AM4" s="382"/>
      <c r="AN4" s="382"/>
      <c r="AO4" s="382"/>
      <c r="AP4" s="382"/>
      <c r="AQ4" s="382"/>
      <c r="AR4" s="382"/>
      <c r="AS4" s="382"/>
      <c r="AT4" s="381"/>
      <c r="AU4" s="383" t="s">
        <v>378</v>
      </c>
      <c r="AV4" s="381"/>
      <c r="AW4" s="381"/>
      <c r="AX4" s="381"/>
      <c r="AY4" s="381"/>
      <c r="AZ4" s="383"/>
      <c r="BA4" s="381"/>
      <c r="BB4" s="384"/>
      <c r="BF4" s="127"/>
      <c r="BI4" s="378"/>
      <c r="BJ4" s="54"/>
      <c r="BO4" s="379"/>
      <c r="BT4" s="140"/>
      <c r="BU4" s="33"/>
      <c r="CD4" s="578" t="s">
        <v>379</v>
      </c>
      <c r="CE4" s="579"/>
      <c r="CF4" s="580"/>
      <c r="CH4" s="54"/>
      <c r="CN4" s="385"/>
      <c r="CO4" s="385"/>
      <c r="CP4" s="385"/>
      <c r="CQ4" s="385"/>
      <c r="CR4" s="385"/>
      <c r="CT4" s="104"/>
      <c r="CY4" s="104"/>
      <c r="CZ4" s="104"/>
    </row>
    <row r="5" spans="1:112" s="458" customFormat="1" ht="41.25" customHeight="1">
      <c r="A5" s="432" t="s">
        <v>380</v>
      </c>
      <c r="B5" s="432" t="s">
        <v>381</v>
      </c>
      <c r="C5" s="432" t="s">
        <v>382</v>
      </c>
      <c r="D5" s="432" t="s">
        <v>383</v>
      </c>
      <c r="E5" s="433" t="s">
        <v>3</v>
      </c>
      <c r="F5" s="432" t="s">
        <v>4</v>
      </c>
      <c r="G5" s="432" t="s">
        <v>384</v>
      </c>
      <c r="H5" s="432" t="s">
        <v>5</v>
      </c>
      <c r="I5" s="432" t="s">
        <v>385</v>
      </c>
      <c r="J5" s="432" t="s">
        <v>386</v>
      </c>
      <c r="K5" s="434" t="s">
        <v>387</v>
      </c>
      <c r="L5" s="432" t="s">
        <v>388</v>
      </c>
      <c r="M5" s="435" t="s">
        <v>389</v>
      </c>
      <c r="N5" s="432" t="s">
        <v>390</v>
      </c>
      <c r="O5" s="432" t="s">
        <v>391</v>
      </c>
      <c r="P5" s="432" t="s">
        <v>392</v>
      </c>
      <c r="Q5" s="432" t="s">
        <v>393</v>
      </c>
      <c r="R5" s="432" t="s">
        <v>394</v>
      </c>
      <c r="S5" s="432" t="s">
        <v>395</v>
      </c>
      <c r="T5" s="432" t="s">
        <v>396</v>
      </c>
      <c r="U5" s="432" t="s">
        <v>397</v>
      </c>
      <c r="V5" s="432" t="s">
        <v>398</v>
      </c>
      <c r="W5" s="432" t="s">
        <v>399</v>
      </c>
      <c r="X5" s="432" t="s">
        <v>400</v>
      </c>
      <c r="Y5" s="436" t="s">
        <v>401</v>
      </c>
      <c r="Z5" s="432" t="s">
        <v>402</v>
      </c>
      <c r="AA5" s="432" t="s">
        <v>403</v>
      </c>
      <c r="AB5" s="432" t="s">
        <v>404</v>
      </c>
      <c r="AC5" s="432" t="s">
        <v>405</v>
      </c>
      <c r="AD5" s="435" t="s">
        <v>16</v>
      </c>
      <c r="AE5" s="432" t="s">
        <v>6</v>
      </c>
      <c r="AF5" s="432" t="s">
        <v>7</v>
      </c>
      <c r="AG5" s="435" t="s">
        <v>406</v>
      </c>
      <c r="AH5" s="437" t="s">
        <v>407</v>
      </c>
      <c r="AI5" s="438" t="s">
        <v>408</v>
      </c>
      <c r="AJ5" s="438" t="s">
        <v>409</v>
      </c>
      <c r="AK5" s="436" t="s">
        <v>410</v>
      </c>
      <c r="AL5" s="436" t="s">
        <v>411</v>
      </c>
      <c r="AM5" s="438" t="s">
        <v>412</v>
      </c>
      <c r="AN5" s="436" t="s">
        <v>413</v>
      </c>
      <c r="AO5" s="436" t="s">
        <v>414</v>
      </c>
      <c r="AP5" s="438" t="s">
        <v>415</v>
      </c>
      <c r="AQ5" s="436" t="s">
        <v>416</v>
      </c>
      <c r="AR5" s="436" t="s">
        <v>417</v>
      </c>
      <c r="AS5" s="438" t="s">
        <v>418</v>
      </c>
      <c r="AT5" s="432" t="s">
        <v>419</v>
      </c>
      <c r="AU5" s="439" t="s">
        <v>420</v>
      </c>
      <c r="AV5" s="439" t="s">
        <v>421</v>
      </c>
      <c r="AW5" s="439" t="s">
        <v>422</v>
      </c>
      <c r="AX5" s="439" t="s">
        <v>423</v>
      </c>
      <c r="AY5" s="439" t="s">
        <v>424</v>
      </c>
      <c r="AZ5" s="439" t="s">
        <v>425</v>
      </c>
      <c r="BA5" s="439" t="s">
        <v>426</v>
      </c>
      <c r="BB5" s="440" t="s">
        <v>427</v>
      </c>
      <c r="BC5" s="440" t="s">
        <v>428</v>
      </c>
      <c r="BD5" s="440" t="s">
        <v>429</v>
      </c>
      <c r="BE5" s="440" t="s">
        <v>430</v>
      </c>
      <c r="BF5" s="441" t="s">
        <v>431</v>
      </c>
      <c r="BG5" s="442" t="s">
        <v>432</v>
      </c>
      <c r="BH5" s="435" t="s">
        <v>433</v>
      </c>
      <c r="BI5" s="443" t="s">
        <v>434</v>
      </c>
      <c r="BJ5" s="444" t="s">
        <v>435</v>
      </c>
      <c r="BK5" s="445" t="s">
        <v>436</v>
      </c>
      <c r="BL5" s="445" t="s">
        <v>437</v>
      </c>
      <c r="BM5" s="446" t="s">
        <v>438</v>
      </c>
      <c r="BN5" s="447" t="s">
        <v>439</v>
      </c>
      <c r="BO5" s="448" t="s">
        <v>440</v>
      </c>
      <c r="BP5" s="448" t="s">
        <v>441</v>
      </c>
      <c r="BQ5" s="445" t="s">
        <v>442</v>
      </c>
      <c r="BR5" s="449" t="s">
        <v>443</v>
      </c>
      <c r="BS5" s="449" t="s">
        <v>444</v>
      </c>
      <c r="BT5" s="450" t="s">
        <v>445</v>
      </c>
      <c r="BU5" s="451" t="s">
        <v>446</v>
      </c>
      <c r="BV5" s="444" t="s">
        <v>447</v>
      </c>
      <c r="BW5" s="444" t="s">
        <v>448</v>
      </c>
      <c r="BX5" s="444" t="s">
        <v>449</v>
      </c>
      <c r="BY5" s="444" t="s">
        <v>450</v>
      </c>
      <c r="BZ5" s="452" t="s">
        <v>451</v>
      </c>
      <c r="CA5" s="444" t="s">
        <v>452</v>
      </c>
      <c r="CB5" s="444" t="s">
        <v>453</v>
      </c>
      <c r="CC5" s="534" t="s">
        <v>17</v>
      </c>
      <c r="CD5" s="444" t="s">
        <v>454</v>
      </c>
      <c r="CE5" s="444" t="s">
        <v>455</v>
      </c>
      <c r="CF5" s="453" t="s">
        <v>456</v>
      </c>
      <c r="CG5" s="535" t="s">
        <v>457</v>
      </c>
      <c r="CH5" s="535" t="s">
        <v>458</v>
      </c>
      <c r="CI5" s="535" t="s">
        <v>459</v>
      </c>
      <c r="CJ5" s="535" t="s">
        <v>19</v>
      </c>
      <c r="CK5" s="536" t="s">
        <v>460</v>
      </c>
      <c r="CL5" s="536" t="s">
        <v>461</v>
      </c>
      <c r="CM5" s="453" t="s">
        <v>462</v>
      </c>
      <c r="CN5" s="454" t="s">
        <v>463</v>
      </c>
      <c r="CO5" s="454" t="s">
        <v>464</v>
      </c>
      <c r="CP5" s="454" t="s">
        <v>465</v>
      </c>
      <c r="CQ5" s="454" t="s">
        <v>466</v>
      </c>
      <c r="CR5" s="454" t="s">
        <v>467</v>
      </c>
      <c r="CS5" s="454" t="s">
        <v>468</v>
      </c>
      <c r="CT5" s="455" t="s">
        <v>469</v>
      </c>
      <c r="CU5" s="455" t="s">
        <v>470</v>
      </c>
      <c r="CV5" s="455" t="s">
        <v>471</v>
      </c>
      <c r="CW5" s="444" t="s">
        <v>472</v>
      </c>
      <c r="CX5" s="444" t="s">
        <v>473</v>
      </c>
      <c r="CY5" s="455" t="s">
        <v>474</v>
      </c>
      <c r="CZ5" s="456" t="s">
        <v>475</v>
      </c>
      <c r="DA5" s="456" t="s">
        <v>476</v>
      </c>
      <c r="DB5" s="456" t="s">
        <v>477</v>
      </c>
      <c r="DC5" s="456" t="s">
        <v>478</v>
      </c>
      <c r="DD5" s="457" t="s">
        <v>479</v>
      </c>
      <c r="DE5" s="432" t="s">
        <v>480</v>
      </c>
      <c r="DF5" s="530" t="s">
        <v>481</v>
      </c>
      <c r="DG5" s="530" t="s">
        <v>482</v>
      </c>
      <c r="DH5" s="567" t="s">
        <v>483</v>
      </c>
    </row>
    <row r="6" spans="1:112" s="28" customFormat="1" ht="44.25" hidden="1" customHeight="1">
      <c r="A6" s="229" t="s">
        <v>484</v>
      </c>
      <c r="B6" s="18">
        <v>2276</v>
      </c>
      <c r="C6" s="18" t="s">
        <v>485</v>
      </c>
      <c r="D6" s="18" t="s">
        <v>486</v>
      </c>
      <c r="E6" s="18" t="s">
        <v>487</v>
      </c>
      <c r="F6" s="33" t="s">
        <v>488</v>
      </c>
      <c r="G6" s="19" t="s">
        <v>489</v>
      </c>
      <c r="H6" s="18" t="s">
        <v>40</v>
      </c>
      <c r="I6" s="18" t="s">
        <v>490</v>
      </c>
      <c r="J6" s="18" t="s">
        <v>491</v>
      </c>
      <c r="K6" s="20">
        <v>45421</v>
      </c>
      <c r="L6" s="43" t="s">
        <v>492</v>
      </c>
      <c r="M6" s="43" t="s">
        <v>493</v>
      </c>
      <c r="N6" s="43"/>
      <c r="O6" s="18" t="s">
        <v>494</v>
      </c>
      <c r="P6" s="18" t="s">
        <v>495</v>
      </c>
      <c r="Q6" s="18" t="s">
        <v>496</v>
      </c>
      <c r="R6" s="18" t="s">
        <v>497</v>
      </c>
      <c r="S6" s="18"/>
      <c r="T6" s="18" t="s">
        <v>498</v>
      </c>
      <c r="U6" s="18" t="s">
        <v>495</v>
      </c>
      <c r="V6" s="18" t="s">
        <v>495</v>
      </c>
      <c r="W6" s="18" t="s">
        <v>495</v>
      </c>
      <c r="X6" s="18" t="s">
        <v>495</v>
      </c>
      <c r="Y6" s="80" t="s">
        <v>495</v>
      </c>
      <c r="Z6" s="18" t="s">
        <v>499</v>
      </c>
      <c r="AA6" s="20">
        <v>45470</v>
      </c>
      <c r="AB6" s="18" t="s">
        <v>500</v>
      </c>
      <c r="AC6" s="18" t="s">
        <v>501</v>
      </c>
      <c r="AD6" s="18" t="s">
        <v>126</v>
      </c>
      <c r="AE6" s="18" t="s">
        <v>41</v>
      </c>
      <c r="AF6" s="18" t="s">
        <v>502</v>
      </c>
      <c r="AG6" s="14" t="str">
        <f>VLOOKUP(AF6,Tabla3[[Estado Requerimiento]:[Macro estado]],2,FALSE)</f>
        <v>05. Descartado</v>
      </c>
      <c r="AH6" s="18"/>
      <c r="AI6" s="80">
        <v>45484</v>
      </c>
      <c r="AJ6" s="80">
        <v>45964</v>
      </c>
      <c r="AK6" s="80">
        <v>45695</v>
      </c>
      <c r="AL6" s="80"/>
      <c r="AM6" s="80">
        <v>46022</v>
      </c>
      <c r="AN6" s="80"/>
      <c r="AO6" s="80"/>
      <c r="AP6" s="81">
        <f t="shared" ref="AP6:AP69" si="0">IF(AND(ISNUMBER(AK6),ISNUMBER(AM6)),AM6+(AM6- AK6)*0.4,IF(AND(ISNUMBER(AK6),ISNUMBER(AL6)),AL6+(AL6-AK6)*0.4,""))</f>
        <v>46152.800000000003</v>
      </c>
      <c r="AQ6" s="80"/>
      <c r="AR6" s="80"/>
      <c r="AS6" s="81">
        <f t="shared" ref="AS6:AS69" si="1">IF(ISNUMBER(AP6),AP6+7,"")</f>
        <v>46159.8</v>
      </c>
      <c r="AT6" s="19" t="s">
        <v>503</v>
      </c>
      <c r="AU6" s="14" t="str">
        <f>VLOOKUP(Cartera1017[[#This Row],[Gerencia]],tbGerencia[#All],3,FALSE)</f>
        <v>Operac.</v>
      </c>
      <c r="AV6" s="14" t="str">
        <f>IFERROR(VLOOKUP(Cartera1017[[#This Row],[Subgerencia]],Definiciones!$A$90:$B$144,2,FALSE),"")</f>
        <v>BancariosRecaudación</v>
      </c>
      <c r="AW6" s="14" t="str">
        <f>IF(OR(LEN(Cartera1017[[#This Row],[Fecha de Solicitud]])=0,(Cartera1017[[#This Row],[Fecha de Solicitud]])="No definido"),"No definido",IF(YEAR(Cartera1017[[#This Row],[Fecha de Solicitud]])&lt;2023," &lt;  2023",TEXT(Cartera1017[[#This Row],[Fecha de Solicitud]],"yyyy-mm")))</f>
        <v>2024-05</v>
      </c>
      <c r="AX6" s="14" t="str">
        <f>IF(Cartera1017[[#This Row],[Fecha de Priorización Comité]]="","No definido",TEXT(Cartera1017[[#This Row],[Fecha de Priorización Comité]],"yyyy-mm"))</f>
        <v>2024-06</v>
      </c>
      <c r="AY6" s="14" t="str">
        <f>IF(Cartera1017[[#This Row],[Fecha Fin- Desarrollo]]="","No definido",TEXT(Cartera1017[[#This Row],[Fecha Fin- Desarrollo]],"yyyy-mm"))</f>
        <v>No definido</v>
      </c>
      <c r="AZ6" s="14" t="str">
        <f>IF(Cartera1017[[#This Row],[Fecha Fin- Producción]]="","No definido",TEXT(Cartera1017[[#This Row],[Fecha Fin- Producción]],"yyyy-mm"))</f>
        <v>No definido</v>
      </c>
      <c r="BA6" s="14" t="str">
        <f>IF(Cartera1017[[#This Row],[Fecha Fin-Planificada]]="","No definido",TEXT(Cartera1017[[#This Row],[Fecha Fin-Planificada]],"yyyy-mm"))</f>
        <v>2026-05</v>
      </c>
      <c r="BB6" s="33"/>
      <c r="BC6" s="66"/>
      <c r="BD6" s="66"/>
      <c r="BE6" s="66"/>
      <c r="BF6" s="386">
        <v>45470</v>
      </c>
      <c r="BG6" s="404" t="s">
        <v>504</v>
      </c>
      <c r="BH6" s="4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 s="148" t="str">
        <f>IF(ISNUMBER(Cartera1017[[#This Row],[Duracion en Dias]]),Cartera1017[[#This Row],[Duracion en Dias]]/30, "No Aplica")</f>
        <v>No Aplica</v>
      </c>
      <c r="BJ6" s="43" t="s">
        <v>505</v>
      </c>
      <c r="BK6" s="33" t="s">
        <v>506</v>
      </c>
      <c r="BL6" s="110" t="s">
        <v>507</v>
      </c>
      <c r="BM6" s="80">
        <v>46139.47278935185</v>
      </c>
      <c r="BN6" s="227"/>
      <c r="BO6" s="227"/>
      <c r="BP6" s="227"/>
      <c r="BQ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 s="14" t="str">
        <f>IFERROR(VLOOKUP(Cartera1017[[#This Row],[Aplicativo]],Tabla76[],2,FALSE),"Sin Aplicativo")</f>
        <v>BackOffice</v>
      </c>
      <c r="BS6" s="14" t="str">
        <f>IFERROR(VLOOKUP(Cartera1017[[#This Row],[Aplicativo]],Tabla76[],3,FALSE),"Sin Aplicativo")</f>
        <v>Otros Requerimientos</v>
      </c>
      <c r="BT6" s="405">
        <v>45748</v>
      </c>
      <c r="BU6" s="143">
        <v>45748</v>
      </c>
      <c r="BV6" s="33" t="s">
        <v>508</v>
      </c>
      <c r="BW6" s="63">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45777</v>
      </c>
      <c r="BX6" s="4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 s="63" t="str">
        <f ca="1">IF(Cartera1017[[#This Row],[Fecha Fin2]]="","No definido",CONCATENATE(TEXT(Cartera1017[[#This Row],[Fecha Fin2]],"mmm")," ",YEAR(Cartera1017[[#This Row],[Fecha Fin2]])))</f>
        <v>Abr 2025</v>
      </c>
      <c r="BZ6" s="33">
        <v>2025</v>
      </c>
      <c r="CA6" s="49" t="str">
        <f>IF(Cartera1017[[#This Row],[Estado TI]] = "08. Producción Finalizada","Culminado",IF(Cartera1017[[#This Row],[Estado TI]]= "09. Descartado","Descartado","Activos"))</f>
        <v>Descartado</v>
      </c>
      <c r="CB6" s="33"/>
      <c r="CC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6" s="18" t="str">
        <f>IF(
AND(
Cartera1017[[#This Row],[DEVOLVER 27]]="NO",
NOT(ISBLANK(Cartera1017[[#This Row],[ESTADO NO DEVUELTOS 27]]))
),
"PRE",
"POST"
)</f>
        <v>PRE</v>
      </c>
      <c r="CE6" s="18" t="s">
        <v>509</v>
      </c>
      <c r="CF6" s="33" t="s">
        <v>48</v>
      </c>
      <c r="CG6" s="1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6"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6" s="406">
        <f>Cartera1017[[#This Row],[Porcentaje de Avance]]</f>
        <v>-0.01</v>
      </c>
      <c r="CK6" s="406" t="str">
        <f>IF(
   OR(
     Cartera1017[[#This Row],[Estado TI]]="09. Descartado",
     Cartera1017[[#This Row],[Comienzo Desarrollo]]="",
     Cartera1017[[#This Row],[Fin Producción]]=""
   ),
   "",
   Cartera1017[[#This Row],[% PLANIFICADO]]-Cartera1017[[#This Row],[% COMPLETADO]]
)</f>
        <v/>
      </c>
      <c r="CL6" s="406" t="str">
        <f ca="1">IF(
   OR(
     Cartera1017[[#This Row],[Estado TI]]="09. Descartado",
     Cartera1017[[#This Row],[Comienzo Desarrollo]]="",
     Cartera1017[[#This Row],[Fin Producción]]="",
     Cartera1017[[#This Row],[% PLANIFICADO]]=0
   ),
   "",
   MIN(Cartera1017[[#This Row],[% COMPLETADO]]/Cartera1017[[#This Row],[% PLANIFICADO]],1.2)
)</f>
        <v/>
      </c>
      <c r="CM6" s="20"/>
      <c r="CN6" s="377"/>
      <c r="CO6" s="20"/>
      <c r="CP6" s="20"/>
      <c r="CQ6" s="20"/>
      <c r="CR6" s="20"/>
      <c r="CS6" s="20"/>
      <c r="CT6" s="14">
        <f>IF(Cartera1017[[#This Row],[Fin Desarrollo]]="",25,IFERROR(NETWORKDAYS(Cartera1017[[#This Row],[Comienzo Desarrollo]],Cartera1017[[#This Row],[Fin Desarrollo]],FERIADOS[Fecha]),""))</f>
        <v>25</v>
      </c>
      <c r="CU6" s="1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6" s="14">
        <f>IF(OR(Cartera1017[[#This Row],[Comienzo Desarrollo]]="",Cartera1017[[#This Row],[Fin Desarrollo]]=""),200,IFERROR(Cartera1017[[#This Row],[DURACIÓN DESARROLLO DIAS]]*VLOOKUP(Cartera1017[[#This Row],[ID Mantenimiento]],MANT_HORAS[],2,FALSE),200))</f>
        <v>200</v>
      </c>
      <c r="CW6" s="108"/>
      <c r="CX6" s="110" t="str">
        <f>VLOOKUP(Cartera1017[[#This Row],[Estado TI]],Definiciones!$A$549:$B$559,2,FALSE)</f>
        <v>5. DESCARTADO</v>
      </c>
      <c r="CY6" s="28">
        <f ca="1">1-Cartera1017[[#This Row],[Porcentaje avanzado desarrollo]]</f>
        <v>0.9</v>
      </c>
      <c r="CZ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6" s="28">
        <f ca="1">MAX(0,Cartera1017[[#This Row],[DURACIÓN DESARROLLO DIAS]]-Cartera1017[[#This Row],[Dias avanzados]])</f>
        <v>24</v>
      </c>
      <c r="DB6" s="28">
        <f ca="1">Cartera1017[[#This Row],[Dias avanzados]]*IFERROR(VLOOKUP(Cartera1017[[#This Row],[ID Mantenimiento]],MANT_HORAS[],2,FALSE),8)</f>
        <v>8</v>
      </c>
      <c r="DC6" s="28">
        <f ca="1">Cartera1017[[#This Row],[Dias faltantes]]*IFERROR(VLOOKUP(Cartera1017[[#This Row],[ID Mantenimiento]],MANT_HORAS[],2,FALSE),8)</f>
        <v>192</v>
      </c>
      <c r="DD6" s="28" t="str">
        <f>IF(Cartera1017[[#This Row],[Fin Producción]]=0,"Por definir",CONCATENATE(YEAR(Cartera1017[[#This Row],[Fin Producción]]),"-",ROUNDUP(MONTH(Cartera1017[[#This Row],[Fin Producción]]),0)))</f>
        <v>Por definir</v>
      </c>
      <c r="DE6" s="18" t="s">
        <v>510</v>
      </c>
      <c r="DH6" s="565"/>
    </row>
    <row r="7" spans="1:112" s="28" customFormat="1" ht="44.25" hidden="1" customHeight="1">
      <c r="A7" s="229" t="s">
        <v>511</v>
      </c>
      <c r="B7" s="18">
        <v>2376</v>
      </c>
      <c r="C7" s="18" t="s">
        <v>485</v>
      </c>
      <c r="D7" s="18" t="s">
        <v>512</v>
      </c>
      <c r="E7" s="18" t="s">
        <v>513</v>
      </c>
      <c r="F7" s="33" t="s">
        <v>514</v>
      </c>
      <c r="G7" s="19" t="s">
        <v>515</v>
      </c>
      <c r="H7" s="18" t="s">
        <v>40</v>
      </c>
      <c r="I7" s="18" t="s">
        <v>490</v>
      </c>
      <c r="J7" s="18" t="s">
        <v>491</v>
      </c>
      <c r="K7" s="20">
        <v>45498</v>
      </c>
      <c r="L7" s="50" t="s">
        <v>516</v>
      </c>
      <c r="M7" s="50" t="s">
        <v>493</v>
      </c>
      <c r="N7" s="50"/>
      <c r="O7" s="18" t="s">
        <v>494</v>
      </c>
      <c r="P7" s="18" t="s">
        <v>495</v>
      </c>
      <c r="Q7" s="18" t="s">
        <v>496</v>
      </c>
      <c r="R7" s="18" t="s">
        <v>497</v>
      </c>
      <c r="S7" s="18"/>
      <c r="T7" s="18" t="s">
        <v>498</v>
      </c>
      <c r="U7" s="18" t="s">
        <v>495</v>
      </c>
      <c r="V7" s="18" t="s">
        <v>495</v>
      </c>
      <c r="W7" s="18" t="s">
        <v>495</v>
      </c>
      <c r="X7" s="18" t="s">
        <v>495</v>
      </c>
      <c r="Y7" s="80" t="s">
        <v>495</v>
      </c>
      <c r="Z7" s="18" t="s">
        <v>517</v>
      </c>
      <c r="AA7" s="20">
        <v>45533</v>
      </c>
      <c r="AB7" s="18" t="s">
        <v>500</v>
      </c>
      <c r="AC7" s="18" t="s">
        <v>501</v>
      </c>
      <c r="AD7" s="18" t="s">
        <v>126</v>
      </c>
      <c r="AE7" s="18" t="s">
        <v>41</v>
      </c>
      <c r="AF7" s="18" t="s">
        <v>502</v>
      </c>
      <c r="AG7" s="14" t="str">
        <f>VLOOKUP(AF7,Tabla3[[Estado Requerimiento]:[Macro estado]],2,FALSE)</f>
        <v>05. Descartado</v>
      </c>
      <c r="AH7" s="18"/>
      <c r="AI7" s="80">
        <v>45518</v>
      </c>
      <c r="AJ7" s="80"/>
      <c r="AK7" s="80">
        <v>46008</v>
      </c>
      <c r="AL7" s="80"/>
      <c r="AM7" s="80"/>
      <c r="AN7" s="80"/>
      <c r="AO7" s="80"/>
      <c r="AP7" s="81" t="str">
        <f t="shared" si="0"/>
        <v/>
      </c>
      <c r="AQ7" s="80"/>
      <c r="AR7" s="80"/>
      <c r="AS7" s="81" t="str">
        <f t="shared" si="1"/>
        <v/>
      </c>
      <c r="AT7" s="19" t="s">
        <v>518</v>
      </c>
      <c r="AU7" s="44" t="str">
        <f>VLOOKUP(Cartera1017[[#This Row],[Gerencia]],tbGerencia[#All],3,FALSE)</f>
        <v>Operac.</v>
      </c>
      <c r="AV7" s="44" t="str">
        <f>IFERROR(VLOOKUP(Cartera1017[[#This Row],[Subgerencia]],Definiciones!$A$90:$B$144,2,FALSE),"")</f>
        <v>BancariosRecaudación</v>
      </c>
      <c r="AW7" s="44" t="str">
        <f>IF(OR(LEN(Cartera1017[[#This Row],[Fecha de Solicitud]])=0,(Cartera1017[[#This Row],[Fecha de Solicitud]])="No definido"),"No definido",IF(YEAR(Cartera1017[[#This Row],[Fecha de Solicitud]])&lt;2023," &lt;  2023",TEXT(Cartera1017[[#This Row],[Fecha de Solicitud]],"yyyy-mm")))</f>
        <v>2024-07</v>
      </c>
      <c r="AX7" s="44" t="str">
        <f>IF(Cartera1017[[#This Row],[Fecha de Priorización Comité]]="","No definido",TEXT(Cartera1017[[#This Row],[Fecha de Priorización Comité]],"yyyy-mm"))</f>
        <v>2024-08</v>
      </c>
      <c r="AY7" s="44" t="str">
        <f>IF(Cartera1017[[#This Row],[Fecha Fin- Desarrollo]]="","No definido",TEXT(Cartera1017[[#This Row],[Fecha Fin- Desarrollo]],"yyyy-mm"))</f>
        <v>No definido</v>
      </c>
      <c r="AZ7" s="44" t="str">
        <f>IF(Cartera1017[[#This Row],[Fecha Fin- Producción]]="","No definido",TEXT(Cartera1017[[#This Row],[Fecha Fin- Producción]],"yyyy-mm"))</f>
        <v>No definido</v>
      </c>
      <c r="BA7" s="44" t="str">
        <f>IF(Cartera1017[[#This Row],[Fecha Fin-Planificada]]="","No definido",TEXT(Cartera1017[[#This Row],[Fecha Fin-Planificada]],"yyyy-mm"))</f>
        <v>No definido</v>
      </c>
      <c r="BB7" s="33"/>
      <c r="BC7" s="66"/>
      <c r="BD7" s="66"/>
      <c r="BE7" s="66"/>
      <c r="BF7" s="386">
        <v>45533</v>
      </c>
      <c r="BG7" s="387" t="s">
        <v>519</v>
      </c>
      <c r="BH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 s="90" t="str">
        <f>IF(ISNUMBER(Cartera1017[[#This Row],[Duracion en Dias]]),Cartera1017[[#This Row],[Duracion en Dias]]/30, "No Aplica")</f>
        <v>No Aplica</v>
      </c>
      <c r="BJ7" s="109" t="s">
        <v>520</v>
      </c>
      <c r="BK7" s="28" t="s">
        <v>506</v>
      </c>
      <c r="BL7" s="110" t="s">
        <v>507</v>
      </c>
      <c r="BM7" s="342">
        <v>46139.473506944443</v>
      </c>
      <c r="BN7" s="227"/>
      <c r="BO7" s="227"/>
      <c r="BP7" s="227"/>
      <c r="BQ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 s="14" t="str">
        <f>IFERROR(VLOOKUP(Cartera1017[[#This Row],[Aplicativo]],Tabla76[],2,FALSE),"Sin Aplicativo")</f>
        <v>BackOffice</v>
      </c>
      <c r="BS7" s="14" t="str">
        <f>IFERROR(VLOOKUP(Cartera1017[[#This Row],[Aplicativo]],Tabla76[],3,FALSE),"Sin Aplicativo")</f>
        <v>Otros Requerimientos</v>
      </c>
      <c r="BT7" s="400" t="s">
        <v>521</v>
      </c>
      <c r="BV7" s="33" t="s">
        <v>522</v>
      </c>
      <c r="BW7"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 s="97" t="str">
        <f ca="1">IF(Cartera1017[[#This Row],[Fecha Fin2]]="","No definido",CONCATENATE(TEXT(Cartera1017[[#This Row],[Fecha Fin2]],"mmm")," ",YEAR(Cartera1017[[#This Row],[Fecha Fin2]])))</f>
        <v>No definido</v>
      </c>
      <c r="BZ7" s="28">
        <v>2025</v>
      </c>
      <c r="CA7" s="48" t="str">
        <f>IF(Cartera1017[[#This Row],[Estado TI]] = "08. Producción Finalizada","Culminado",IF(Cartera1017[[#This Row],[Estado TI]]= "09. Descartado","Descartado","Activos"))</f>
        <v>Descartado</v>
      </c>
      <c r="CC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7" s="54" t="str">
        <f>IF(
AND(
Cartera1017[[#This Row],[DEVOLVER 27]]="NO",
NOT(ISBLANK(Cartera1017[[#This Row],[ESTADO NO DEVUELTOS 27]]))
),
"PRE",
"POST"
)</f>
        <v>POST</v>
      </c>
      <c r="CE7" s="54" t="s">
        <v>523</v>
      </c>
      <c r="CF7" s="28" t="s">
        <v>524</v>
      </c>
      <c r="CG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7"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7" s="406">
        <f>Cartera1017[[#This Row],[Porcentaje de Avance]]</f>
        <v>-0.01</v>
      </c>
      <c r="CK7" s="388" t="str">
        <f>IF(
   OR(
     Cartera1017[[#This Row],[Estado TI]]="09. Descartado",
     Cartera1017[[#This Row],[Comienzo Desarrollo]]="",
     Cartera1017[[#This Row],[Fin Producción]]=""
   ),
   "",
   Cartera1017[[#This Row],[% PLANIFICADO]]-Cartera1017[[#This Row],[% COMPLETADO]]
)</f>
        <v/>
      </c>
      <c r="CL7" s="388" t="str">
        <f ca="1">IF(
   OR(
     Cartera1017[[#This Row],[Estado TI]]="09. Descartado",
     Cartera1017[[#This Row],[Comienzo Desarrollo]]="",
     Cartera1017[[#This Row],[Fin Producción]]="",
     Cartera1017[[#This Row],[% PLANIFICADO]]=0
   ),
   "",
   MIN(Cartera1017[[#This Row],[% COMPLETADO]]/Cartera1017[[#This Row],[% PLANIFICADO]],1.2)
)</f>
        <v/>
      </c>
      <c r="CM7" s="377"/>
      <c r="CN7" s="377"/>
      <c r="CO7" s="377"/>
      <c r="CP7" s="377"/>
      <c r="CQ7" s="20"/>
      <c r="CR7" s="20"/>
      <c r="CS7" s="20"/>
      <c r="CT7" s="44">
        <f>IF(Cartera1017[[#This Row],[Fin Desarrollo]]="",25,IFERROR(NETWORKDAYS(Cartera1017[[#This Row],[Comienzo Desarrollo]],Cartera1017[[#This Row],[Fin Desarrollo]],FERIADOS[Fecha]),""))</f>
        <v>25</v>
      </c>
      <c r="CU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7" s="44">
        <f>IF(OR(Cartera1017[[#This Row],[Comienzo Desarrollo]]="",Cartera1017[[#This Row],[Fin Desarrollo]]=""),200,IFERROR(Cartera1017[[#This Row],[DURACIÓN DESARROLLO DIAS]]*VLOOKUP(Cartera1017[[#This Row],[ID Mantenimiento]],MANT_HORAS[],2,FALSE),200))</f>
        <v>200</v>
      </c>
      <c r="CW7" s="110"/>
      <c r="CX7" s="110" t="str">
        <f>VLOOKUP(Cartera1017[[#This Row],[Estado TI]],Definiciones!$A$549:$B$559,2,FALSE)</f>
        <v>5. DESCARTADO</v>
      </c>
      <c r="CY7" s="28">
        <f ca="1">1-Cartera1017[[#This Row],[Porcentaje avanzado desarrollo]]</f>
        <v>0.9</v>
      </c>
      <c r="CZ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7" s="28">
        <f ca="1">MAX(0,Cartera1017[[#This Row],[DURACIÓN DESARROLLO DIAS]]-Cartera1017[[#This Row],[Dias avanzados]])</f>
        <v>24</v>
      </c>
      <c r="DB7" s="28">
        <f ca="1">Cartera1017[[#This Row],[Dias avanzados]]*IFERROR(VLOOKUP(Cartera1017[[#This Row],[ID Mantenimiento]],MANT_HORAS[],2,FALSE),8)</f>
        <v>8</v>
      </c>
      <c r="DC7" s="28">
        <f ca="1">Cartera1017[[#This Row],[Dias faltantes]]*IFERROR(VLOOKUP(Cartera1017[[#This Row],[ID Mantenimiento]],MANT_HORAS[],2,FALSE),8)</f>
        <v>192</v>
      </c>
      <c r="DD7" s="28" t="str">
        <f>IF(Cartera1017[[#This Row],[Fin Producción]]=0,"Por definir",CONCATENATE(YEAR(Cartera1017[[#This Row],[Fin Producción]]),"-",ROUNDUP(MONTH(Cartera1017[[#This Row],[Fin Producción]]),0)))</f>
        <v>Por definir</v>
      </c>
      <c r="DE7" s="18" t="s">
        <v>510</v>
      </c>
      <c r="DH7" s="565"/>
    </row>
    <row r="8" spans="1:112" s="28" customFormat="1" ht="44.25" hidden="1" customHeight="1">
      <c r="A8" s="229" t="s">
        <v>525</v>
      </c>
      <c r="B8" s="18">
        <v>2990</v>
      </c>
      <c r="C8" s="18" t="s">
        <v>485</v>
      </c>
      <c r="D8" s="18" t="s">
        <v>526</v>
      </c>
      <c r="E8" s="18" t="s">
        <v>296</v>
      </c>
      <c r="F8" s="124" t="s">
        <v>297</v>
      </c>
      <c r="G8" s="33"/>
      <c r="H8" s="18" t="s">
        <v>33</v>
      </c>
      <c r="I8" s="18" t="s">
        <v>527</v>
      </c>
      <c r="J8" s="18" t="s">
        <v>527</v>
      </c>
      <c r="K8" s="20"/>
      <c r="L8" s="18" t="s">
        <v>528</v>
      </c>
      <c r="M8" s="50" t="s">
        <v>529</v>
      </c>
      <c r="N8" s="50"/>
      <c r="O8" s="18" t="s">
        <v>530</v>
      </c>
      <c r="P8" s="18" t="s">
        <v>495</v>
      </c>
      <c r="Q8" s="18" t="s">
        <v>496</v>
      </c>
      <c r="R8" s="18" t="s">
        <v>531</v>
      </c>
      <c r="S8" s="18"/>
      <c r="T8" s="18"/>
      <c r="U8" s="18"/>
      <c r="V8" s="18"/>
      <c r="W8" s="18"/>
      <c r="X8" s="18"/>
      <c r="Y8" s="80"/>
      <c r="Z8" s="18" t="s">
        <v>532</v>
      </c>
      <c r="AA8" s="20">
        <v>45898</v>
      </c>
      <c r="AB8" s="18" t="s">
        <v>533</v>
      </c>
      <c r="AC8" s="18"/>
      <c r="AD8" s="18" t="s">
        <v>37</v>
      </c>
      <c r="AE8" s="560" t="s">
        <v>34</v>
      </c>
      <c r="AF8" s="18" t="s">
        <v>53</v>
      </c>
      <c r="AG8" s="14" t="str">
        <f>VLOOKUP(AF8,Tabla3[[Estado Requerimiento]:[Macro estado]],2,FALSE)</f>
        <v>03. Culminado</v>
      </c>
      <c r="AH8" s="18"/>
      <c r="AI8" s="80"/>
      <c r="AJ8" s="80"/>
      <c r="AK8" s="80">
        <v>45877</v>
      </c>
      <c r="AL8" s="80">
        <v>46003</v>
      </c>
      <c r="AM8" s="80"/>
      <c r="AN8" s="80">
        <v>46013</v>
      </c>
      <c r="AO8" s="80">
        <v>46085</v>
      </c>
      <c r="AP8" s="81">
        <f t="shared" si="0"/>
        <v>46053.4</v>
      </c>
      <c r="AQ8" s="80">
        <v>46091</v>
      </c>
      <c r="AR8" s="80">
        <v>46113</v>
      </c>
      <c r="AS8" s="81">
        <f t="shared" si="1"/>
        <v>46060.4</v>
      </c>
      <c r="AT8" s="19" t="s">
        <v>534</v>
      </c>
      <c r="AU8" s="44" t="str">
        <f>VLOOKUP(Cartera1017[[#This Row],[Gerencia]],tbGerencia[#All],3,FALSE)</f>
        <v>Productos</v>
      </c>
      <c r="AV8" s="44" t="str">
        <f>IFERROR(VLOOKUP(Cartera1017[[#This Row],[Subgerencia]],Definiciones!$A$90:$B$144,2,FALSE),"")</f>
        <v>ComercialProyectos</v>
      </c>
      <c r="AW8" s="44" t="str">
        <f>IF(OR(LEN(Cartera1017[[#This Row],[Fecha de Solicitud]])=0,(Cartera1017[[#This Row],[Fecha de Solicitud]])="No definido"),"No definido",IF(YEAR(Cartera1017[[#This Row],[Fecha de Solicitud]])&lt;2023," &lt;  2023",TEXT(Cartera1017[[#This Row],[Fecha de Solicitud]],"yyyy-mm")))</f>
        <v>No definido</v>
      </c>
      <c r="AX8" s="44" t="str">
        <f>IF(Cartera1017[[#This Row],[Fecha de Priorización Comité]]="","No definido",TEXT(Cartera1017[[#This Row],[Fecha de Priorización Comité]],"yyyy-mm"))</f>
        <v>2025-08</v>
      </c>
      <c r="AY8" s="44" t="str">
        <f>IF(Cartera1017[[#This Row],[Fecha Fin- Desarrollo]]="","No definido",TEXT(Cartera1017[[#This Row],[Fecha Fin- Desarrollo]],"yyyy-mm"))</f>
        <v>2025-12</v>
      </c>
      <c r="AZ8" s="44" t="str">
        <f>IF(Cartera1017[[#This Row],[Fecha Fin- Producción]]="","No definido",TEXT(Cartera1017[[#This Row],[Fecha Fin- Producción]],"yyyy-mm"))</f>
        <v>2026-04</v>
      </c>
      <c r="BA8" s="44" t="str">
        <f>IF(Cartera1017[[#This Row],[Fecha Fin-Planificada]]="","No definido",TEXT(Cartera1017[[#This Row],[Fecha Fin-Planificada]],"yyyy-mm"))</f>
        <v>2026-02</v>
      </c>
      <c r="BB8" s="33"/>
      <c r="BC8" s="66"/>
      <c r="BD8" s="66"/>
      <c r="BE8" s="66"/>
      <c r="BF8" s="274"/>
      <c r="BG8" s="275" t="s">
        <v>535</v>
      </c>
      <c r="BH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236</v>
      </c>
      <c r="BI8" s="90">
        <f>IF(ISNUMBER(Cartera1017[[#This Row],[Duracion en Dias]]),Cartera1017[[#This Row],[Duracion en Dias]]/30, "No Aplica")</f>
        <v>7.8666666666666663</v>
      </c>
      <c r="BJ8" s="109"/>
      <c r="BK8" s="28" t="s">
        <v>506</v>
      </c>
      <c r="BL8" s="110" t="s">
        <v>536</v>
      </c>
      <c r="BM8" s="342">
        <v>46113.510752314818</v>
      </c>
      <c r="BN8" s="227"/>
      <c r="BO8" s="401"/>
      <c r="BP8" s="401"/>
      <c r="BQ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 s="14" t="str">
        <f>IFERROR(VLOOKUP(Cartera1017[[#This Row],[Aplicativo]],Tabla76[],2,FALSE),"Sin Aplicativo")</f>
        <v>Sin Aplicativo</v>
      </c>
      <c r="BS8" s="14" t="str">
        <f>IFERROR(VLOOKUP(Cartera1017[[#This Row],[Aplicativo]],Tabla76[],3,FALSE),"Sin Aplicativo")</f>
        <v>Sin Aplicativo</v>
      </c>
      <c r="BT8" s="400" t="s">
        <v>521</v>
      </c>
      <c r="BU8" s="33"/>
      <c r="BW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46113</v>
      </c>
      <c r="BX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 s="149" t="str">
        <f ca="1">IF(Cartera1017[[#This Row],[Fecha Fin2]]="","No definido",CONCATENATE(TEXT(Cartera1017[[#This Row],[Fecha Fin2]],"mmm")," ",YEAR(Cartera1017[[#This Row],[Fecha Fin2]])))</f>
        <v>Abr 2026</v>
      </c>
      <c r="CA8" s="48" t="str">
        <f>IF(Cartera1017[[#This Row],[Estado TI]] = "08. Producción Finalizada","Culminado",IF(Cartera1017[[#This Row],[Estado TI]]= "09. Descartado","Descartado","Activos"))</f>
        <v>Culminado</v>
      </c>
      <c r="CC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8" s="54" t="str">
        <f>IF(
AND(
Cartera1017[[#This Row],[DEVOLVER 27]]="NO",
NOT(ISBLANK(Cartera1017[[#This Row],[ESTADO NO DEVUELTOS 27]]))
),
"PRE",
"POST"
)</f>
        <v>PRE</v>
      </c>
      <c r="CE8" s="54" t="s">
        <v>509</v>
      </c>
      <c r="CF8" s="28" t="s">
        <v>48</v>
      </c>
      <c r="CG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 s="406">
        <f>Cartera1017[[#This Row],[Porcentaje de Avance]]</f>
        <v>1</v>
      </c>
      <c r="CK8" s="388">
        <f ca="1">IF(
   OR(
     Cartera1017[[#This Row],[Estado TI]]="09. Descartado",
     Cartera1017[[#This Row],[Comienzo Desarrollo]]="",
     Cartera1017[[#This Row],[Fin Producción]]=""
   ),
   "",
   Cartera1017[[#This Row],[% PLANIFICADO]]-Cartera1017[[#This Row],[% COMPLETADO]]
)</f>
        <v>0</v>
      </c>
      <c r="CL8" s="388">
        <f ca="1">IF(
   OR(
     Cartera1017[[#This Row],[Estado TI]]="09. Descartado",
     Cartera1017[[#This Row],[Comienzo Desarrollo]]="",
     Cartera1017[[#This Row],[Fin Producción]]="",
     Cartera1017[[#This Row],[% PLANIFICADO]]=0
   ),
   "",
   MIN(Cartera1017[[#This Row],[% COMPLETADO]]/Cartera1017[[#This Row],[% PLANIFICADO]],1.2)
)</f>
        <v>1</v>
      </c>
      <c r="CM8" s="377">
        <v>45877</v>
      </c>
      <c r="CN8" s="377">
        <v>45877</v>
      </c>
      <c r="CO8" s="377">
        <v>46003</v>
      </c>
      <c r="CP8" s="377">
        <v>46013</v>
      </c>
      <c r="CQ8" s="377">
        <v>46122</v>
      </c>
      <c r="CR8" s="377">
        <v>46122</v>
      </c>
      <c r="CS8" s="377">
        <v>46129</v>
      </c>
      <c r="CT8" s="44">
        <f>IF(Cartera1017[[#This Row],[Fin Desarrollo]]="",25,IFERROR(NETWORKDAYS(Cartera1017[[#This Row],[Comienzo Desarrollo]],Cartera1017[[#This Row],[Fin Desarrollo]],FERIADOS[Fecha]),""))</f>
        <v>89</v>
      </c>
      <c r="CU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8" s="44">
        <f>IF(OR(Cartera1017[[#This Row],[Comienzo Desarrollo]]="",Cartera1017[[#This Row],[Fin Desarrollo]]=""),200,IFERROR(Cartera1017[[#This Row],[DURACIÓN DESARROLLO DIAS]]*VLOOKUP(Cartera1017[[#This Row],[ID Mantenimiento]],MANT_HORAS[],2,FALSE),200))</f>
        <v>200</v>
      </c>
      <c r="CW8" s="110"/>
      <c r="CX8" s="110" t="str">
        <f>VLOOKUP(Cartera1017[[#This Row],[Estado TI]],Definiciones!$A$549:$B$559,2,FALSE)</f>
        <v>4. PRODUCCIÓN</v>
      </c>
      <c r="CY8" s="28">
        <f ca="1">1-Cartera1017[[#This Row],[Porcentaje avanzado desarrollo]]</f>
        <v>0</v>
      </c>
      <c r="CZ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89</v>
      </c>
      <c r="DA8" s="28">
        <f ca="1">MAX(0,Cartera1017[[#This Row],[DURACIÓN DESARROLLO DIAS]]-Cartera1017[[#This Row],[Dias avanzados]])</f>
        <v>0</v>
      </c>
      <c r="DB8" s="28">
        <f ca="1">Cartera1017[[#This Row],[Dias avanzados]]*IFERROR(VLOOKUP(Cartera1017[[#This Row],[ID Mantenimiento]],MANT_HORAS[],2,FALSE),8)</f>
        <v>712</v>
      </c>
      <c r="DC8" s="28">
        <f ca="1">Cartera1017[[#This Row],[Dias faltantes]]*IFERROR(VLOOKUP(Cartera1017[[#This Row],[ID Mantenimiento]],MANT_HORAS[],2,FALSE),8)</f>
        <v>0</v>
      </c>
      <c r="DD8" s="28" t="str">
        <f>IF(Cartera1017[[#This Row],[Fin Producción]]=0,"Por definir",CONCATENATE(YEAR(Cartera1017[[#This Row],[Fin Producción]]),"-",ROUNDUP(MONTH(Cartera1017[[#This Row],[Fin Producción]]),0)))</f>
        <v>2026-4</v>
      </c>
      <c r="DE8" s="18" t="s">
        <v>510</v>
      </c>
      <c r="DH8" s="565"/>
    </row>
    <row r="9" spans="1:112" s="28" customFormat="1" ht="44.25" hidden="1" customHeight="1">
      <c r="A9" s="229" t="s">
        <v>537</v>
      </c>
      <c r="B9" s="18">
        <v>3090</v>
      </c>
      <c r="C9" s="18" t="s">
        <v>485</v>
      </c>
      <c r="D9" s="18" t="s">
        <v>538</v>
      </c>
      <c r="E9" s="18"/>
      <c r="F9" s="33" t="s">
        <v>339</v>
      </c>
      <c r="G9" s="19"/>
      <c r="H9" s="18" t="s">
        <v>26</v>
      </c>
      <c r="I9" s="18" t="s">
        <v>539</v>
      </c>
      <c r="J9" s="18" t="s">
        <v>540</v>
      </c>
      <c r="K9" s="20">
        <v>45947</v>
      </c>
      <c r="L9" s="50" t="s">
        <v>541</v>
      </c>
      <c r="M9" s="50"/>
      <c r="N9" s="50"/>
      <c r="O9" s="18" t="s">
        <v>530</v>
      </c>
      <c r="P9" s="18" t="s">
        <v>495</v>
      </c>
      <c r="Q9" s="18" t="s">
        <v>496</v>
      </c>
      <c r="R9" s="18" t="s">
        <v>497</v>
      </c>
      <c r="S9" s="18"/>
      <c r="T9" s="18"/>
      <c r="U9" s="18"/>
      <c r="V9" s="18"/>
      <c r="W9" s="18"/>
      <c r="X9" s="18"/>
      <c r="Y9" s="80"/>
      <c r="Z9" s="18" t="s">
        <v>499</v>
      </c>
      <c r="AA9" s="20">
        <v>45972</v>
      </c>
      <c r="AB9" s="18" t="s">
        <v>500</v>
      </c>
      <c r="AC9" s="18"/>
      <c r="AD9" s="18"/>
      <c r="AE9" s="18" t="s">
        <v>27</v>
      </c>
      <c r="AF9" s="18" t="s">
        <v>340</v>
      </c>
      <c r="AG9" s="14" t="str">
        <f>VLOOKUP(AF9,Tabla3[[Estado Requerimiento]:[Macro estado]],2,FALSE)</f>
        <v>01. No iniciado</v>
      </c>
      <c r="AH9" s="18"/>
      <c r="AI9" s="80"/>
      <c r="AJ9" s="80"/>
      <c r="AK9" s="80"/>
      <c r="AL9" s="80"/>
      <c r="AM9" s="80"/>
      <c r="AN9" s="80"/>
      <c r="AO9" s="80"/>
      <c r="AP9" s="81" t="str">
        <f t="shared" si="0"/>
        <v/>
      </c>
      <c r="AQ9" s="80"/>
      <c r="AR9" s="80"/>
      <c r="AS9" s="81" t="str">
        <f t="shared" si="1"/>
        <v/>
      </c>
      <c r="AT9" s="19" t="s">
        <v>542</v>
      </c>
      <c r="AU9" s="44" t="str">
        <f>VLOOKUP(Cartera1017[[#This Row],[Gerencia]],tbGerencia[#All],3,FALSE)</f>
        <v>B.Digital</v>
      </c>
      <c r="AV9" s="44" t="str">
        <f>IFERROR(VLOOKUP(Cartera1017[[#This Row],[Subgerencia]],Definiciones!$A$90:$B$144,2,FALSE),"")</f>
        <v>CanalesAlternos</v>
      </c>
      <c r="AW9" s="44" t="str">
        <f>IF(OR(LEN(Cartera1017[[#This Row],[Fecha de Solicitud]])=0,(Cartera1017[[#This Row],[Fecha de Solicitud]])="No definido"),"No definido",IF(YEAR(Cartera1017[[#This Row],[Fecha de Solicitud]])&lt;2023," &lt;  2023",TEXT(Cartera1017[[#This Row],[Fecha de Solicitud]],"yyyy-mm")))</f>
        <v>2025-10</v>
      </c>
      <c r="AX9" s="44" t="str">
        <f>IF(Cartera1017[[#This Row],[Fecha de Priorización Comité]]="","No definido",TEXT(Cartera1017[[#This Row],[Fecha de Priorización Comité]],"yyyy-mm"))</f>
        <v>2025-11</v>
      </c>
      <c r="AY9" s="44" t="str">
        <f>IF(Cartera1017[[#This Row],[Fecha Fin- Desarrollo]]="","No definido",TEXT(Cartera1017[[#This Row],[Fecha Fin- Desarrollo]],"yyyy-mm"))</f>
        <v>No definido</v>
      </c>
      <c r="AZ9" s="44" t="str">
        <f>IF(Cartera1017[[#This Row],[Fecha Fin- Producción]]="","No definido",TEXT(Cartera1017[[#This Row],[Fecha Fin- Producción]],"yyyy-mm"))</f>
        <v>No definido</v>
      </c>
      <c r="BA9" s="44" t="str">
        <f>IF(Cartera1017[[#This Row],[Fecha Fin-Planificada]]="","No definido",TEXT(Cartera1017[[#This Row],[Fecha Fin-Planificada]],"yyyy-mm"))</f>
        <v>No definido</v>
      </c>
      <c r="BB9" s="33"/>
      <c r="BC9" s="66"/>
      <c r="BD9" s="66"/>
      <c r="BE9" s="66"/>
      <c r="BF9" s="274"/>
      <c r="BG9" s="275" t="s">
        <v>543</v>
      </c>
      <c r="BH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9" s="90" t="str">
        <f>IF(ISNUMBER(Cartera1017[[#This Row],[Duracion en Dias]]),Cartera1017[[#This Row],[Duracion en Dias]]/30, "No Aplica")</f>
        <v>No Aplica</v>
      </c>
      <c r="BJ9" s="109"/>
      <c r="BL9" s="110"/>
      <c r="BM9" s="342"/>
      <c r="BN9" s="227"/>
      <c r="BO9" s="401"/>
      <c r="BP9" s="401"/>
      <c r="BQ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9" s="14" t="str">
        <f>IFERROR(VLOOKUP(Cartera1017[[#This Row],[Aplicativo]],Tabla76[],2,FALSE),"Sin Aplicativo")</f>
        <v>Sin Aplicativo</v>
      </c>
      <c r="BS9" s="14" t="str">
        <f>IFERROR(VLOOKUP(Cartera1017[[#This Row],[Aplicativo]],Tabla76[],3,FALSE),"Sin Aplicativo")</f>
        <v>Sin Aplicativo</v>
      </c>
      <c r="BT9" s="400"/>
      <c r="BU9" s="33"/>
      <c r="BW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9" s="149" t="str">
        <f ca="1">IF(Cartera1017[[#This Row],[Fecha Fin2]]="","No definido",CONCATENATE(TEXT(Cartera1017[[#This Row],[Fecha Fin2]],"mmm")," ",YEAR(Cartera1017[[#This Row],[Fecha Fin2]])))</f>
        <v>No definido</v>
      </c>
      <c r="CA9" s="48" t="str">
        <f>IF(Cartera1017[[#This Row],[Estado TI]] = "08. Producción Finalizada","Culminado",IF(Cartera1017[[#This Row],[Estado TI]]= "09. Descartado","Descartado","Activos"))</f>
        <v>Activos</v>
      </c>
      <c r="CC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9" s="54" t="str">
        <f>IF(
AND(
Cartera1017[[#This Row],[DEVOLVER 27]]="NO",
NOT(ISBLANK(Cartera1017[[#This Row],[ESTADO NO DEVUELTOS 27]]))
),
"PRE",
"POST"
)</f>
        <v>POST</v>
      </c>
      <c r="CE9" s="54" t="s">
        <v>509</v>
      </c>
      <c r="CG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0.31343283582089554</v>
      </c>
      <c r="CJ9" s="406">
        <f>Cartera1017[[#This Row],[Porcentaje de Avance]]</f>
        <v>0.1</v>
      </c>
      <c r="CK9" s="388">
        <f ca="1">IF(
   OR(
     Cartera1017[[#This Row],[Estado TI]]="09. Descartado",
     Cartera1017[[#This Row],[Comienzo Desarrollo]]="",
     Cartera1017[[#This Row],[Fin Producción]]=""
   ),
   "",
   Cartera1017[[#This Row],[% PLANIFICADO]]-Cartera1017[[#This Row],[% COMPLETADO]]
)</f>
        <v>0.21343283582089553</v>
      </c>
      <c r="CL9" s="388">
        <f ca="1">IF(
   OR(
     Cartera1017[[#This Row],[Estado TI]]="09. Descartado",
     Cartera1017[[#This Row],[Comienzo Desarrollo]]="",
     Cartera1017[[#This Row],[Fin Producción]]="",
     Cartera1017[[#This Row],[% PLANIFICADO]]=0
   ),
   "",
   MIN(Cartera1017[[#This Row],[% COMPLETADO]]/Cartera1017[[#This Row],[% PLANIFICADO]],1.2)
)</f>
        <v>0.31904761904761902</v>
      </c>
      <c r="CM9" s="377">
        <v>46104</v>
      </c>
      <c r="CN9" s="377">
        <v>46104</v>
      </c>
      <c r="CO9" s="377">
        <v>46262</v>
      </c>
      <c r="CP9" s="377">
        <v>46265</v>
      </c>
      <c r="CQ9" s="377">
        <v>46283</v>
      </c>
      <c r="CR9" s="377">
        <v>46286</v>
      </c>
      <c r="CS9" s="377">
        <v>46295</v>
      </c>
      <c r="CT9" s="44">
        <f>IF(Cartera1017[[#This Row],[Fin Desarrollo]]="",25,IFERROR(NETWORKDAYS(Cartera1017[[#This Row],[Comienzo Desarrollo]],Cartera1017[[#This Row],[Fin Desarrollo]],FERIADOS[Fecha]),""))</f>
        <v>111</v>
      </c>
      <c r="CU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0.36521739130434783</v>
      </c>
      <c r="CV9" s="44">
        <f>IF(OR(Cartera1017[[#This Row],[Comienzo Desarrollo]]="",Cartera1017[[#This Row],[Fin Desarrollo]]=""),200,IFERROR(Cartera1017[[#This Row],[DURACIÓN DESARROLLO DIAS]]*VLOOKUP(Cartera1017[[#This Row],[ID Mantenimiento]],MANT_HORAS[],2,FALSE),200))</f>
        <v>200</v>
      </c>
      <c r="CW9" s="110" t="s">
        <v>544</v>
      </c>
      <c r="CX9" s="110" t="str">
        <f>VLOOKUP(Cartera1017[[#This Row],[Estado TI]],Definiciones!$A$549:$B$559,2,FALSE)</f>
        <v>1. DESARROLLO</v>
      </c>
      <c r="CY9" s="28">
        <f ca="1">1-Cartera1017[[#This Row],[Porcentaje avanzado desarrollo]]</f>
        <v>0.63478260869565217</v>
      </c>
      <c r="CZ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41</v>
      </c>
      <c r="DA9" s="28">
        <f ca="1">MAX(0,Cartera1017[[#This Row],[DURACIÓN DESARROLLO DIAS]]-Cartera1017[[#This Row],[Dias avanzados]])</f>
        <v>70</v>
      </c>
      <c r="DB9" s="28">
        <f ca="1">Cartera1017[[#This Row],[Dias avanzados]]*IFERROR(VLOOKUP(Cartera1017[[#This Row],[ID Mantenimiento]],MANT_HORAS[],2,FALSE),8)</f>
        <v>328</v>
      </c>
      <c r="DC9" s="28">
        <f ca="1">Cartera1017[[#This Row],[Dias faltantes]]*IFERROR(VLOOKUP(Cartera1017[[#This Row],[ID Mantenimiento]],MANT_HORAS[],2,FALSE),8)</f>
        <v>560</v>
      </c>
      <c r="DD9" s="28" t="str">
        <f>IF(Cartera1017[[#This Row],[Fin Producción]]=0,"Por definir",CONCATENATE(YEAR(Cartera1017[[#This Row],[Fin Producción]]),"-",ROUNDUP(MONTH(Cartera1017[[#This Row],[Fin Producción]]),0)))</f>
        <v>2026-9</v>
      </c>
      <c r="DE9" s="18" t="s">
        <v>510</v>
      </c>
      <c r="DH9" s="565"/>
    </row>
    <row r="10" spans="1:112" s="28" customFormat="1" ht="44.25" hidden="1" customHeight="1">
      <c r="A10" s="229" t="s">
        <v>545</v>
      </c>
      <c r="B10" s="263">
        <v>3111</v>
      </c>
      <c r="C10" s="18" t="s">
        <v>485</v>
      </c>
      <c r="D10" s="18" t="s">
        <v>546</v>
      </c>
      <c r="E10" s="18"/>
      <c r="F10" s="33" t="s">
        <v>351</v>
      </c>
      <c r="G10" s="19"/>
      <c r="H10" s="18" t="s">
        <v>26</v>
      </c>
      <c r="I10" s="18" t="s">
        <v>539</v>
      </c>
      <c r="J10" s="18" t="s">
        <v>540</v>
      </c>
      <c r="K10" s="20">
        <v>45942</v>
      </c>
      <c r="L10" s="50" t="s">
        <v>547</v>
      </c>
      <c r="M10" s="50"/>
      <c r="N10" s="50"/>
      <c r="O10" s="18" t="s">
        <v>548</v>
      </c>
      <c r="P10" s="18" t="s">
        <v>549</v>
      </c>
      <c r="Q10" s="18" t="s">
        <v>496</v>
      </c>
      <c r="R10" s="18" t="s">
        <v>497</v>
      </c>
      <c r="S10" s="18"/>
      <c r="T10" s="18"/>
      <c r="U10" s="18"/>
      <c r="V10" s="18"/>
      <c r="W10" s="18"/>
      <c r="X10" s="18"/>
      <c r="Y10" s="80"/>
      <c r="Z10" s="18" t="s">
        <v>499</v>
      </c>
      <c r="AA10" s="20">
        <v>45972</v>
      </c>
      <c r="AB10" s="18" t="s">
        <v>500</v>
      </c>
      <c r="AC10" s="18"/>
      <c r="AD10" s="18"/>
      <c r="AE10" s="18" t="s">
        <v>27</v>
      </c>
      <c r="AF10" s="18" t="s">
        <v>340</v>
      </c>
      <c r="AG10" s="14" t="str">
        <f>VLOOKUP(AF10,Tabla3[[Estado Requerimiento]:[Macro estado]],2,FALSE)</f>
        <v>01. No iniciado</v>
      </c>
      <c r="AH10" s="18"/>
      <c r="AI10" s="80"/>
      <c r="AJ10" s="80"/>
      <c r="AK10" s="80"/>
      <c r="AL10" s="80"/>
      <c r="AM10" s="80"/>
      <c r="AN10" s="80"/>
      <c r="AO10" s="80"/>
      <c r="AP10" s="81" t="str">
        <f t="shared" si="0"/>
        <v/>
      </c>
      <c r="AQ10" s="80"/>
      <c r="AR10" s="80"/>
      <c r="AS10" s="81" t="str">
        <f t="shared" si="1"/>
        <v/>
      </c>
      <c r="AT10" s="19" t="s">
        <v>550</v>
      </c>
      <c r="AU10" s="44" t="str">
        <f>VLOOKUP(Cartera1017[[#This Row],[Gerencia]],tbGerencia[#All],3,FALSE)</f>
        <v>B.Digital</v>
      </c>
      <c r="AV10" s="44" t="str">
        <f>IFERROR(VLOOKUP(Cartera1017[[#This Row],[Subgerencia]],Definiciones!$A$90:$B$144,2,FALSE),"")</f>
        <v>CanalesAlternos</v>
      </c>
      <c r="AW10" s="44" t="str">
        <f>IF(OR(LEN(Cartera1017[[#This Row],[Fecha de Solicitud]])=0,(Cartera1017[[#This Row],[Fecha de Solicitud]])="No definido"),"No definido",IF(YEAR(Cartera1017[[#This Row],[Fecha de Solicitud]])&lt;2023," &lt;  2023",TEXT(Cartera1017[[#This Row],[Fecha de Solicitud]],"yyyy-mm")))</f>
        <v>2025-10</v>
      </c>
      <c r="AX10" s="44" t="str">
        <f>IF(Cartera1017[[#This Row],[Fecha de Priorización Comité]]="","No definido",TEXT(Cartera1017[[#This Row],[Fecha de Priorización Comité]],"yyyy-mm"))</f>
        <v>2025-11</v>
      </c>
      <c r="AY10" s="44" t="str">
        <f>IF(Cartera1017[[#This Row],[Fecha Fin- Desarrollo]]="","No definido",TEXT(Cartera1017[[#This Row],[Fecha Fin- Desarrollo]],"yyyy-mm"))</f>
        <v>No definido</v>
      </c>
      <c r="AZ10" s="44" t="str">
        <f>IF(Cartera1017[[#This Row],[Fecha Fin- Producción]]="","No definido",TEXT(Cartera1017[[#This Row],[Fecha Fin- Producción]],"yyyy-mm"))</f>
        <v>No definido</v>
      </c>
      <c r="BA10" s="44" t="str">
        <f>IF(Cartera1017[[#This Row],[Fecha Fin-Planificada]]="","No definido",TEXT(Cartera1017[[#This Row],[Fecha Fin-Planificada]],"yyyy-mm"))</f>
        <v>No definido</v>
      </c>
      <c r="BB10" s="33"/>
      <c r="BC10" s="66"/>
      <c r="BD10" s="66"/>
      <c r="BE10" s="66"/>
      <c r="BF10" s="274"/>
      <c r="BG10" s="275" t="s">
        <v>543</v>
      </c>
      <c r="BH1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0" s="90" t="str">
        <f>IF(ISNUMBER(Cartera1017[[#This Row],[Duracion en Dias]]),Cartera1017[[#This Row],[Duracion en Dias]]/30, "No Aplica")</f>
        <v>No Aplica</v>
      </c>
      <c r="BJ10" s="109"/>
      <c r="BL10" s="110"/>
      <c r="BM10" s="342"/>
      <c r="BN10" s="227"/>
      <c r="BO10" s="401"/>
      <c r="BP10" s="401"/>
      <c r="BQ1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10" s="14" t="str">
        <f>IFERROR(VLOOKUP(Cartera1017[[#This Row],[Aplicativo]],Tabla76[],2,FALSE),"Sin Aplicativo")</f>
        <v>Sin Aplicativo</v>
      </c>
      <c r="BS10" s="14" t="str">
        <f>IFERROR(VLOOKUP(Cartera1017[[#This Row],[Aplicativo]],Tabla76[],3,FALSE),"Sin Aplicativo")</f>
        <v>Sin Aplicativo</v>
      </c>
      <c r="BT10" s="400"/>
      <c r="BU10" s="33"/>
      <c r="BW1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10" s="149" t="str">
        <f ca="1">IF(Cartera1017[[#This Row],[Fecha Fin2]]="","No definido",CONCATENATE(TEXT(Cartera1017[[#This Row],[Fecha Fin2]],"mmm")," ",YEAR(Cartera1017[[#This Row],[Fecha Fin2]])))</f>
        <v>No definido</v>
      </c>
      <c r="CA10" s="48" t="str">
        <f>IF(Cartera1017[[#This Row],[Estado TI]] = "08. Producción Finalizada","Culminado",IF(Cartera1017[[#This Row],[Estado TI]]= "09. Descartado","Descartado","Activos"))</f>
        <v>Activos</v>
      </c>
      <c r="CC1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10" s="54" t="str">
        <f>IF(
AND(
Cartera1017[[#This Row],[DEVOLVER 27]]="NO",
NOT(ISBLANK(Cartera1017[[#This Row],[ESTADO NO DEVUELTOS 27]]))
),
"PRE",
"POST"
)</f>
        <v>POST</v>
      </c>
      <c r="CE10" s="54" t="s">
        <v>509</v>
      </c>
      <c r="CG1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0.39310344827586208</v>
      </c>
      <c r="CJ10" s="406">
        <f>Cartera1017[[#This Row],[Porcentaje de Avance]]</f>
        <v>0.1</v>
      </c>
      <c r="CK10" s="388">
        <f ca="1">IF(
   OR(
     Cartera1017[[#This Row],[Estado TI]]="09. Descartado",
     Cartera1017[[#This Row],[Comienzo Desarrollo]]="",
     Cartera1017[[#This Row],[Fin Producción]]=""
   ),
   "",
   Cartera1017[[#This Row],[% PLANIFICADO]]-Cartera1017[[#This Row],[% COMPLETADO]]
)</f>
        <v>0.2931034482758621</v>
      </c>
      <c r="CL10" s="388">
        <f ca="1">IF(
   OR(
     Cartera1017[[#This Row],[Estado TI]]="09. Descartado",
     Cartera1017[[#This Row],[Comienzo Desarrollo]]="",
     Cartera1017[[#This Row],[Fin Producción]]="",
     Cartera1017[[#This Row],[% PLANIFICADO]]=0
   ),
   "",
   MIN(Cartera1017[[#This Row],[% COMPLETADO]]/Cartera1017[[#This Row],[% PLANIFICADO]],1.2)
)</f>
        <v>0.25438596491228072</v>
      </c>
      <c r="CM10" s="377">
        <v>45964</v>
      </c>
      <c r="CN10" s="377">
        <v>46083</v>
      </c>
      <c r="CO10" s="377">
        <v>46233</v>
      </c>
      <c r="CP10" s="377">
        <v>46240</v>
      </c>
      <c r="CQ10" s="377">
        <v>46265</v>
      </c>
      <c r="CR10" s="377">
        <v>46272</v>
      </c>
      <c r="CS10" s="377">
        <v>46289</v>
      </c>
      <c r="CT10" s="44">
        <f>IF(Cartera1017[[#This Row],[Fin Desarrollo]]="",25,IFERROR(NETWORKDAYS(Cartera1017[[#This Row],[Comienzo Desarrollo]],Cartera1017[[#This Row],[Fin Desarrollo]],FERIADOS[Fecha]),""))</f>
        <v>105</v>
      </c>
      <c r="CU1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0.52293577981651373</v>
      </c>
      <c r="CV10" s="44">
        <f>IF(OR(Cartera1017[[#This Row],[Comienzo Desarrollo]]="",Cartera1017[[#This Row],[Fin Desarrollo]]=""),200,IFERROR(Cartera1017[[#This Row],[DURACIÓN DESARROLLO DIAS]]*VLOOKUP(Cartera1017[[#This Row],[ID Mantenimiento]],MANT_HORAS[],2,FALSE),200))</f>
        <v>200</v>
      </c>
      <c r="CW10" s="110" t="s">
        <v>544</v>
      </c>
      <c r="CX10" s="110" t="str">
        <f>VLOOKUP(Cartera1017[[#This Row],[Estado TI]],Definiciones!$A$549:$B$559,2,FALSE)</f>
        <v>1. DESARROLLO</v>
      </c>
      <c r="CY10" s="28">
        <f ca="1">1-Cartera1017[[#This Row],[Porcentaje avanzado desarrollo]]</f>
        <v>0.47706422018348627</v>
      </c>
      <c r="CZ1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56</v>
      </c>
      <c r="DA10" s="28">
        <f ca="1">MAX(0,Cartera1017[[#This Row],[DURACIÓN DESARROLLO DIAS]]-Cartera1017[[#This Row],[Dias avanzados]])</f>
        <v>49</v>
      </c>
      <c r="DB10" s="28">
        <f ca="1">Cartera1017[[#This Row],[Dias avanzados]]*IFERROR(VLOOKUP(Cartera1017[[#This Row],[ID Mantenimiento]],MANT_HORAS[],2,FALSE),8)</f>
        <v>448</v>
      </c>
      <c r="DC10" s="28">
        <f ca="1">Cartera1017[[#This Row],[Dias faltantes]]*IFERROR(VLOOKUP(Cartera1017[[#This Row],[ID Mantenimiento]],MANT_HORAS[],2,FALSE),8)</f>
        <v>392</v>
      </c>
      <c r="DD10" s="28" t="str">
        <f>IF(Cartera1017[[#This Row],[Fin Producción]]=0,"Por definir",CONCATENATE(YEAR(Cartera1017[[#This Row],[Fin Producción]]),"-",ROUNDUP(MONTH(Cartera1017[[#This Row],[Fin Producción]]),0)))</f>
        <v>2026-9</v>
      </c>
      <c r="DE10" s="18" t="s">
        <v>510</v>
      </c>
      <c r="DH10" s="565"/>
    </row>
    <row r="11" spans="1:112" s="28" customFormat="1" ht="44.25" hidden="1" customHeight="1">
      <c r="A11" s="229" t="s">
        <v>551</v>
      </c>
      <c r="B11" s="18">
        <v>970</v>
      </c>
      <c r="C11" s="18" t="s">
        <v>485</v>
      </c>
      <c r="D11" s="45" t="s">
        <v>552</v>
      </c>
      <c r="E11" s="18" t="s">
        <v>24</v>
      </c>
      <c r="F11" s="60" t="s">
        <v>25</v>
      </c>
      <c r="G11" s="19" t="s">
        <v>553</v>
      </c>
      <c r="H11" s="18" t="s">
        <v>26</v>
      </c>
      <c r="I11" s="18" t="s">
        <v>539</v>
      </c>
      <c r="J11" s="18" t="s">
        <v>554</v>
      </c>
      <c r="K11" s="20">
        <v>44679</v>
      </c>
      <c r="L11" s="43" t="s">
        <v>555</v>
      </c>
      <c r="M11" s="43" t="s">
        <v>556</v>
      </c>
      <c r="N11" s="43" t="s">
        <v>557</v>
      </c>
      <c r="O11" s="18"/>
      <c r="P11" s="18"/>
      <c r="Q11" s="18"/>
      <c r="R11" s="18" t="s">
        <v>497</v>
      </c>
      <c r="S11" s="18"/>
      <c r="T11" s="18"/>
      <c r="U11" s="18"/>
      <c r="V11" s="18"/>
      <c r="W11" s="18"/>
      <c r="X11" s="18"/>
      <c r="Y11" s="80"/>
      <c r="Z11" s="18" t="s">
        <v>499</v>
      </c>
      <c r="AA11" s="20">
        <v>45271</v>
      </c>
      <c r="AB11" s="18" t="s">
        <v>500</v>
      </c>
      <c r="AC11" s="18" t="s">
        <v>558</v>
      </c>
      <c r="AD11" s="39" t="s">
        <v>30</v>
      </c>
      <c r="AE11" s="18" t="s">
        <v>27</v>
      </c>
      <c r="AF11" s="563" t="s">
        <v>28</v>
      </c>
      <c r="AG11" s="430" t="str">
        <f>VLOOKUP(AF11,Tabla3[[Estado Requerimiento]:[Macro estado]],2,FALSE)</f>
        <v>04. Paralizado</v>
      </c>
      <c r="AH11" s="18" t="s">
        <v>559</v>
      </c>
      <c r="AI11" s="80">
        <v>45146</v>
      </c>
      <c r="AJ11" s="80"/>
      <c r="AK11" s="80">
        <v>45700</v>
      </c>
      <c r="AL11" s="80">
        <v>45279</v>
      </c>
      <c r="AM11" s="80"/>
      <c r="AN11" s="80">
        <v>45294</v>
      </c>
      <c r="AO11" s="80">
        <v>45329</v>
      </c>
      <c r="AP11" s="81">
        <f t="shared" si="0"/>
        <v>45110.6</v>
      </c>
      <c r="AQ11" s="80">
        <v>45356</v>
      </c>
      <c r="AR11" s="80"/>
      <c r="AS11" s="118">
        <f t="shared" si="1"/>
        <v>45117.599999999999</v>
      </c>
      <c r="AT11" s="55" t="s">
        <v>560</v>
      </c>
      <c r="AU11" s="44" t="str">
        <f>VLOOKUP(Cartera1017[[#This Row],[Gerencia]],tbGerencia[#All],3,FALSE)</f>
        <v>B.Digital</v>
      </c>
      <c r="AV11" s="44" t="str">
        <f>IFERROR(VLOOKUP(Cartera1017[[#This Row],[Subgerencia]],Definiciones!$A$90:$B$144,2,FALSE),"")</f>
        <v>CanalesAlternos</v>
      </c>
      <c r="AW11" s="44" t="str">
        <f>IF(OR(LEN(Cartera1017[[#This Row],[Fecha de Solicitud]])=0,(Cartera1017[[#This Row],[Fecha de Solicitud]])="No definido"),"No definido",IF(YEAR(Cartera1017[[#This Row],[Fecha de Solicitud]])&lt;2023," &lt;  2023",TEXT(Cartera1017[[#This Row],[Fecha de Solicitud]],"yyyy-mm")))</f>
        <v xml:space="preserve"> &lt;  2023</v>
      </c>
      <c r="AX11" s="44" t="str">
        <f>IF(Cartera1017[[#This Row],[Fecha de Priorización Comité]]="","No definido",TEXT(Cartera1017[[#This Row],[Fecha de Priorización Comité]],"yyyy-mm"))</f>
        <v>2023-12</v>
      </c>
      <c r="AY11" s="44" t="str">
        <f>IF(Cartera1017[[#This Row],[Fecha Fin- Desarrollo]]="","No definido",TEXT(Cartera1017[[#This Row],[Fecha Fin- Desarrollo]],"yyyy-mm"))</f>
        <v>2023-12</v>
      </c>
      <c r="AZ11" s="44" t="str">
        <f>IF(Cartera1017[[#This Row],[Fecha Fin- Producción]]="","No definido",TEXT(Cartera1017[[#This Row],[Fecha Fin- Producción]],"yyyy-mm"))</f>
        <v>No definido</v>
      </c>
      <c r="BA11" s="44" t="str">
        <f>IF(Cartera1017[[#This Row],[Fecha Fin-Planificada]]="","No definido",TEXT(Cartera1017[[#This Row],[Fecha Fin-Planificada]],"yyyy-mm"))</f>
        <v>2023-07</v>
      </c>
      <c r="BB11" s="33"/>
      <c r="BC11" s="66"/>
      <c r="BD11" s="66"/>
      <c r="BE11" s="66"/>
      <c r="BF11" s="386">
        <v>45271</v>
      </c>
      <c r="BG11" s="387" t="s">
        <v>561</v>
      </c>
      <c r="BH1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 s="90" t="str">
        <f>IF(ISNUMBER(Cartera1017[[#This Row],[Duracion en Dias]]),Cartera1017[[#This Row],[Duracion en Dias]]/30, "No Aplica")</f>
        <v>No Aplica</v>
      </c>
      <c r="BJ11" s="109"/>
      <c r="BK11" s="28" t="s">
        <v>506</v>
      </c>
      <c r="BL11" s="110" t="s">
        <v>562</v>
      </c>
      <c r="BM11" s="342">
        <v>45988.457812499997</v>
      </c>
      <c r="BN11" s="227"/>
      <c r="BO11" s="227"/>
      <c r="BP11" s="227"/>
      <c r="BQ1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 s="14" t="str">
        <f>IFERROR(VLOOKUP(Cartera1017[[#This Row],[Aplicativo]],Tabla76[],2,FALSE),"Sin Aplicativo")</f>
        <v>ATM-Agentes-VISA</v>
      </c>
      <c r="BS11" s="14" t="str">
        <f>IFERROR(VLOOKUP(Cartera1017[[#This Row],[Aplicativo]],Tabla76[],3,FALSE),"Sin Aplicativo")</f>
        <v>Canales Presenciales</v>
      </c>
      <c r="BT11" s="400" t="s">
        <v>521</v>
      </c>
      <c r="BV11" s="33" t="s">
        <v>563</v>
      </c>
      <c r="BW11"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 s="97" t="str">
        <f ca="1">IF(Cartera1017[[#This Row],[Fecha Fin2]]="","No definido",CONCATENATE(TEXT(Cartera1017[[#This Row],[Fecha Fin2]],"mmm")," ",YEAR(Cartera1017[[#This Row],[Fecha Fin2]])))</f>
        <v>No definido</v>
      </c>
      <c r="BZ11" s="28">
        <v>2025</v>
      </c>
      <c r="CA11" s="48" t="str">
        <f>IF(Cartera1017[[#This Row],[Estado TI]] = "08. Producción Finalizada","Culminado",IF(Cartera1017[[#This Row],[Estado TI]]= "09. Descartado","Descartado","Activos"))</f>
        <v>Activos</v>
      </c>
      <c r="CB11" s="28" t="s">
        <v>564</v>
      </c>
      <c r="CC1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1" s="54" t="str">
        <f>IF(
AND(
Cartera1017[[#This Row],[DEVOLVER 27]]="NO",
NOT(ISBLANK(Cartera1017[[#This Row],[ESTADO NO DEVUELTOS 27]]))
),
"PRE",
"POST"
)</f>
        <v>POST</v>
      </c>
      <c r="CE11" s="54" t="s">
        <v>523</v>
      </c>
      <c r="CF11" s="28" t="s">
        <v>524</v>
      </c>
      <c r="CG1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1"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1" s="406">
        <f>Cartera1017[[#This Row],[Porcentaje de Avance]]</f>
        <v>0.12</v>
      </c>
      <c r="CK11" s="388" t="str">
        <f>IF(
   OR(
     Cartera1017[[#This Row],[Estado TI]]="09. Descartado",
     Cartera1017[[#This Row],[Comienzo Desarrollo]]="",
     Cartera1017[[#This Row],[Fin Producción]]=""
   ),
   "",
   Cartera1017[[#This Row],[% PLANIFICADO]]-Cartera1017[[#This Row],[% COMPLETADO]]
)</f>
        <v/>
      </c>
      <c r="CL11" s="388" t="str">
        <f ca="1">IF(
   OR(
     Cartera1017[[#This Row],[Estado TI]]="09. Descartado",
     Cartera1017[[#This Row],[Comienzo Desarrollo]]="",
     Cartera1017[[#This Row],[Fin Producción]]="",
     Cartera1017[[#This Row],[% PLANIFICADO]]=0
   ),
   "",
   MIN(Cartera1017[[#This Row],[% COMPLETADO]]/Cartera1017[[#This Row],[% PLANIFICADO]],1.2)
)</f>
        <v/>
      </c>
      <c r="CM11" s="377"/>
      <c r="CN11" s="20"/>
      <c r="CO11" s="377"/>
      <c r="CP11" s="377"/>
      <c r="CQ11" s="377"/>
      <c r="CR11" s="377"/>
      <c r="CS11" s="377">
        <v>46477</v>
      </c>
      <c r="CT11" s="44">
        <f>IF(Cartera1017[[#This Row],[Fin Desarrollo]]="",25,IFERROR(NETWORKDAYS(Cartera1017[[#This Row],[Comienzo Desarrollo]],Cartera1017[[#This Row],[Fin Desarrollo]],FERIADOS[Fecha]),""))</f>
        <v>25</v>
      </c>
      <c r="CU1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1" s="44">
        <f>IF(OR(Cartera1017[[#This Row],[Comienzo Desarrollo]]="",Cartera1017[[#This Row],[Fin Desarrollo]]=""),200,IFERROR(Cartera1017[[#This Row],[DURACIÓN DESARROLLO DIAS]]*VLOOKUP(Cartera1017[[#This Row],[ID Mantenimiento]],MANT_HORAS[],2,FALSE),200))</f>
        <v>200</v>
      </c>
      <c r="CW11" s="110"/>
      <c r="CX11" s="110" t="str">
        <f>VLOOKUP(Cartera1017[[#This Row],[Estado TI]],Definiciones!$A$549:$B$559,2,FALSE)</f>
        <v>6. PARALIZADO</v>
      </c>
      <c r="CY11" s="28">
        <f ca="1">1-Cartera1017[[#This Row],[Porcentaje avanzado desarrollo]]</f>
        <v>0.9</v>
      </c>
      <c r="CZ1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1" s="28">
        <f ca="1">MAX(0,Cartera1017[[#This Row],[DURACIÓN DESARROLLO DIAS]]-Cartera1017[[#This Row],[Dias avanzados]])</f>
        <v>24</v>
      </c>
      <c r="DB11" s="28">
        <f ca="1">Cartera1017[[#This Row],[Dias avanzados]]*IFERROR(VLOOKUP(Cartera1017[[#This Row],[ID Mantenimiento]],MANT_HORAS[],2,FALSE),8)</f>
        <v>8</v>
      </c>
      <c r="DC11" s="28">
        <f ca="1">Cartera1017[[#This Row],[Dias faltantes]]*IFERROR(VLOOKUP(Cartera1017[[#This Row],[ID Mantenimiento]],MANT_HORAS[],2,FALSE),8)</f>
        <v>192</v>
      </c>
      <c r="DD11" s="28" t="str">
        <f>IF(Cartera1017[[#This Row],[Fin Producción]]=0,"Por definir",CONCATENATE(YEAR(Cartera1017[[#This Row],[Fin Producción]]),"-",ROUNDUP(MONTH(Cartera1017[[#This Row],[Fin Producción]]),0)))</f>
        <v>2027-3</v>
      </c>
      <c r="DE11" s="18" t="s">
        <v>510</v>
      </c>
      <c r="DH11" s="565"/>
    </row>
    <row r="12" spans="1:112" s="28" customFormat="1" ht="44.25" hidden="1" customHeight="1">
      <c r="A12" s="229" t="s">
        <v>565</v>
      </c>
      <c r="B12" s="18">
        <v>1059</v>
      </c>
      <c r="C12" s="18" t="s">
        <v>485</v>
      </c>
      <c r="D12" s="46" t="s">
        <v>566</v>
      </c>
      <c r="E12" s="18" t="s">
        <v>31</v>
      </c>
      <c r="F12" s="33" t="s">
        <v>567</v>
      </c>
      <c r="G12" s="19" t="s">
        <v>567</v>
      </c>
      <c r="H12" s="18" t="s">
        <v>33</v>
      </c>
      <c r="I12" s="18"/>
      <c r="J12" s="18" t="s">
        <v>568</v>
      </c>
      <c r="K12" s="20">
        <v>44483</v>
      </c>
      <c r="L12" s="43"/>
      <c r="M12" s="43" t="s">
        <v>569</v>
      </c>
      <c r="N12" s="43"/>
      <c r="O12" s="18" t="s">
        <v>530</v>
      </c>
      <c r="P12" s="18"/>
      <c r="Q12" s="18"/>
      <c r="R12" s="18" t="s">
        <v>497</v>
      </c>
      <c r="S12" s="18"/>
      <c r="T12" s="18"/>
      <c r="U12" s="18"/>
      <c r="V12" s="18"/>
      <c r="W12" s="18"/>
      <c r="X12" s="18"/>
      <c r="Y12" s="20"/>
      <c r="Z12" s="18" t="s">
        <v>499</v>
      </c>
      <c r="AA12" s="20">
        <v>44938</v>
      </c>
      <c r="AB12" s="18" t="s">
        <v>533</v>
      </c>
      <c r="AC12" s="18" t="s">
        <v>570</v>
      </c>
      <c r="AD12" s="18" t="s">
        <v>37</v>
      </c>
      <c r="AE12" s="18" t="s">
        <v>34</v>
      </c>
      <c r="AF12" s="18" t="s">
        <v>53</v>
      </c>
      <c r="AG12" s="14" t="str">
        <f>VLOOKUP(AF12,Tabla3[[Estado Requerimiento]:[Macro estado]],2,FALSE)</f>
        <v>03. Culminado</v>
      </c>
      <c r="AH12" s="18"/>
      <c r="AI12" s="80">
        <v>44487</v>
      </c>
      <c r="AJ12" s="80"/>
      <c r="AK12" s="80">
        <v>44487</v>
      </c>
      <c r="AL12" s="80">
        <v>45797</v>
      </c>
      <c r="AM12" s="80">
        <v>45811</v>
      </c>
      <c r="AN12" s="80">
        <v>45832</v>
      </c>
      <c r="AO12" s="80">
        <v>45853</v>
      </c>
      <c r="AP12" s="81">
        <f t="shared" si="0"/>
        <v>46340.6</v>
      </c>
      <c r="AQ12" s="80">
        <v>45887</v>
      </c>
      <c r="AR12" s="80">
        <v>46091</v>
      </c>
      <c r="AS12" s="81">
        <f t="shared" si="1"/>
        <v>46347.6</v>
      </c>
      <c r="AT12" s="19" t="s">
        <v>571</v>
      </c>
      <c r="AU12" s="44" t="str">
        <f>VLOOKUP(Cartera1017[[#This Row],[Gerencia]],tbGerencia[#All],3,FALSE)</f>
        <v>Productos</v>
      </c>
      <c r="AV12" s="44" t="str">
        <f>IFERROR(VLOOKUP(Cartera1017[[#This Row],[Subgerencia]],Definiciones!$A$90:$B$144,2,FALSE),"")</f>
        <v/>
      </c>
      <c r="AW12" s="44" t="str">
        <f>IF(OR(LEN(Cartera1017[[#This Row],[Fecha de Solicitud]])=0,(Cartera1017[[#This Row],[Fecha de Solicitud]])="No definido"),"No definido",IF(YEAR(Cartera1017[[#This Row],[Fecha de Solicitud]])&lt;2023," &lt;  2023",TEXT(Cartera1017[[#This Row],[Fecha de Solicitud]],"yyyy-mm")))</f>
        <v xml:space="preserve"> &lt;  2023</v>
      </c>
      <c r="AX12" s="44" t="str">
        <f>IF(Cartera1017[[#This Row],[Fecha de Priorización Comité]]="","No definido",TEXT(Cartera1017[[#This Row],[Fecha de Priorización Comité]],"yyyy-mm"))</f>
        <v>2023-01</v>
      </c>
      <c r="AY12" s="44" t="str">
        <f>IF(Cartera1017[[#This Row],[Fecha Fin- Desarrollo]]="","No definido",TEXT(Cartera1017[[#This Row],[Fecha Fin- Desarrollo]],"yyyy-mm"))</f>
        <v>2025-05</v>
      </c>
      <c r="AZ12" s="44" t="str">
        <f>IF(Cartera1017[[#This Row],[Fecha Fin- Producción]]="","No definido",TEXT(Cartera1017[[#This Row],[Fecha Fin- Producción]],"yyyy-mm"))</f>
        <v>2026-03</v>
      </c>
      <c r="BA12" s="44" t="str">
        <f>IF(Cartera1017[[#This Row],[Fecha Fin-Planificada]]="","No definido",TEXT(Cartera1017[[#This Row],[Fecha Fin-Planificada]],"yyyy-mm"))</f>
        <v>2026-11</v>
      </c>
      <c r="BB12" s="33" t="s">
        <v>572</v>
      </c>
      <c r="BC12" s="66">
        <v>45414</v>
      </c>
      <c r="BD12" s="66">
        <v>45811</v>
      </c>
      <c r="BE12" s="66">
        <v>45811</v>
      </c>
      <c r="BF12" s="386">
        <v>44938</v>
      </c>
      <c r="BG12" s="387" t="s">
        <v>561</v>
      </c>
      <c r="BH1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1604</v>
      </c>
      <c r="BI12" s="90">
        <f>IF(ISNUMBER(Cartera1017[[#This Row],[Duracion en Dias]]),Cartera1017[[#This Row],[Duracion en Dias]]/30, "No Aplica")</f>
        <v>53.466666666666669</v>
      </c>
      <c r="BJ12" s="109" t="s">
        <v>573</v>
      </c>
      <c r="BK12" s="28" t="s">
        <v>506</v>
      </c>
      <c r="BL12" s="110" t="s">
        <v>536</v>
      </c>
      <c r="BM12" s="342">
        <v>46091.759513888886</v>
      </c>
      <c r="BN12" s="227"/>
      <c r="BO12" s="227"/>
      <c r="BP12" s="227"/>
      <c r="BQ1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 s="14" t="str">
        <f>IFERROR(VLOOKUP(Cartera1017[[#This Row],[Aplicativo]],Tabla76[],2,FALSE),"Sin Aplicativo")</f>
        <v>BackOffice</v>
      </c>
      <c r="BS12" s="14" t="str">
        <f>IFERROR(VLOOKUP(Cartera1017[[#This Row],[Aplicativo]],Tabla76[],3,FALSE),"Sin Aplicativo")</f>
        <v>Otros Requerimientos</v>
      </c>
      <c r="BT12" s="400">
        <v>45901</v>
      </c>
      <c r="BU12" s="141">
        <v>45901</v>
      </c>
      <c r="BV12" s="117" t="s">
        <v>574</v>
      </c>
      <c r="BW1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1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 s="97" t="str">
        <f ca="1">IF(Cartera1017[[#This Row],[Fecha Fin2]]="","No definido",CONCATENATE(TEXT(Cartera1017[[#This Row],[Fecha Fin2]],"mmm")," ",YEAR(Cartera1017[[#This Row],[Fecha Fin2]])))</f>
        <v>Mar 2026</v>
      </c>
      <c r="BZ12" s="28">
        <v>2025</v>
      </c>
      <c r="CA12" s="48" t="str">
        <f>IF(Cartera1017[[#This Row],[Estado TI]] = "08. Producción Finalizada","Culminado",IF(Cartera1017[[#This Row],[Estado TI]]= "09. Descartado","Descartado","Activos"))</f>
        <v>Culminado</v>
      </c>
      <c r="CC1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2" s="54" t="str">
        <f>IF(
AND(
Cartera1017[[#This Row],[DEVOLVER 27]]="NO",
NOT(ISBLANK(Cartera1017[[#This Row],[ESTADO NO DEVUELTOS 27]]))
),
"PRE",
"POST"
)</f>
        <v>PRE</v>
      </c>
      <c r="CE12" s="54" t="s">
        <v>509</v>
      </c>
      <c r="CF12" s="28" t="s">
        <v>35</v>
      </c>
      <c r="CG12" s="1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 s="406">
        <f>Cartera1017[[#This Row],[Porcentaje de Avance]]</f>
        <v>1</v>
      </c>
      <c r="CK12" s="388">
        <f ca="1">IF(
   OR(
     Cartera1017[[#This Row],[Estado TI]]="09. Descartado",
     Cartera1017[[#This Row],[Comienzo Desarrollo]]="",
     Cartera1017[[#This Row],[Fin Producción]]=""
   ),
   "",
   Cartera1017[[#This Row],[% PLANIFICADO]]-Cartera1017[[#This Row],[% COMPLETADO]]
)</f>
        <v>0</v>
      </c>
      <c r="CL12" s="388">
        <f ca="1">IF(
   OR(
     Cartera1017[[#This Row],[Estado TI]]="09. Descartado",
     Cartera1017[[#This Row],[Comienzo Desarrollo]]="",
     Cartera1017[[#This Row],[Fin Producción]]="",
     Cartera1017[[#This Row],[% PLANIFICADO]]=0
   ),
   "",
   MIN(Cartera1017[[#This Row],[% COMPLETADO]]/Cartera1017[[#This Row],[% PLANIFICADO]],1.2)
)</f>
        <v>1</v>
      </c>
      <c r="CM12" s="377">
        <v>44487</v>
      </c>
      <c r="CN12" s="377">
        <v>44487</v>
      </c>
      <c r="CO12" s="377">
        <v>45797</v>
      </c>
      <c r="CP12" s="377">
        <v>45832</v>
      </c>
      <c r="CQ12" s="377">
        <v>45853</v>
      </c>
      <c r="CR12" s="377">
        <v>45887</v>
      </c>
      <c r="CS12" s="377">
        <v>46108</v>
      </c>
      <c r="CT12" s="123">
        <f>IF(Cartera1017[[#This Row],[Fin Desarrollo]]="",25,IFERROR(NETWORKDAYS(Cartera1017[[#This Row],[Comienzo Desarrollo]],Cartera1017[[#This Row],[Fin Desarrollo]],FERIADOS[Fecha]),""))</f>
        <v>904</v>
      </c>
      <c r="CU1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2" s="44">
        <f>IF(OR(Cartera1017[[#This Row],[Comienzo Desarrollo]]="",Cartera1017[[#This Row],[Fin Desarrollo]]=""),200,IFERROR(Cartera1017[[#This Row],[DURACIÓN DESARROLLO DIAS]]*VLOOKUP(Cartera1017[[#This Row],[ID Mantenimiento]],MANT_HORAS[],2,FALSE),200))</f>
        <v>200</v>
      </c>
      <c r="CW12" s="110"/>
      <c r="CX12" s="110" t="str">
        <f>VLOOKUP(Cartera1017[[#This Row],[Estado TI]],Definiciones!$A$549:$B$559,2,FALSE)</f>
        <v>4. PRODUCCIÓN</v>
      </c>
      <c r="CY12" s="28">
        <f ca="1">1-Cartera1017[[#This Row],[Porcentaje avanzado desarrollo]]</f>
        <v>0</v>
      </c>
      <c r="CZ1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904</v>
      </c>
      <c r="DA12" s="28">
        <f ca="1">MAX(0,Cartera1017[[#This Row],[DURACIÓN DESARROLLO DIAS]]-Cartera1017[[#This Row],[Dias avanzados]])</f>
        <v>0</v>
      </c>
      <c r="DB12" s="28">
        <f ca="1">Cartera1017[[#This Row],[Dias avanzados]]*IFERROR(VLOOKUP(Cartera1017[[#This Row],[ID Mantenimiento]],MANT_HORAS[],2,FALSE),8)</f>
        <v>7232</v>
      </c>
      <c r="DC12" s="28">
        <f ca="1">Cartera1017[[#This Row],[Dias faltantes]]*IFERROR(VLOOKUP(Cartera1017[[#This Row],[ID Mantenimiento]],MANT_HORAS[],2,FALSE),8)</f>
        <v>0</v>
      </c>
      <c r="DD12" s="28" t="str">
        <f>IF(Cartera1017[[#This Row],[Fin Producción]]=0,"Por definir",CONCATENATE(YEAR(Cartera1017[[#This Row],[Fin Producción]]),"-",ROUNDUP(MONTH(Cartera1017[[#This Row],[Fin Producción]]),0)))</f>
        <v>2026-3</v>
      </c>
      <c r="DE12" s="18" t="s">
        <v>510</v>
      </c>
      <c r="DH12" s="565"/>
    </row>
    <row r="13" spans="1:112" s="28" customFormat="1" ht="44.25" hidden="1" customHeight="1">
      <c r="A13" s="229" t="s">
        <v>575</v>
      </c>
      <c r="B13" s="18">
        <v>1194</v>
      </c>
      <c r="C13" s="18" t="s">
        <v>485</v>
      </c>
      <c r="D13" s="18" t="s">
        <v>576</v>
      </c>
      <c r="E13" s="18" t="s">
        <v>38</v>
      </c>
      <c r="F13" s="33" t="s">
        <v>39</v>
      </c>
      <c r="G13" s="19"/>
      <c r="H13" s="18" t="s">
        <v>40</v>
      </c>
      <c r="I13" s="18" t="s">
        <v>577</v>
      </c>
      <c r="J13" s="18" t="s">
        <v>578</v>
      </c>
      <c r="K13" s="20">
        <v>44873</v>
      </c>
      <c r="L13" s="50" t="s">
        <v>528</v>
      </c>
      <c r="M13" s="43" t="s">
        <v>579</v>
      </c>
      <c r="N13" s="43"/>
      <c r="O13" s="18"/>
      <c r="P13" s="18" t="s">
        <v>495</v>
      </c>
      <c r="Q13" s="18" t="s">
        <v>495</v>
      </c>
      <c r="R13" s="18" t="s">
        <v>531</v>
      </c>
      <c r="S13" s="18"/>
      <c r="T13" s="18" t="s">
        <v>495</v>
      </c>
      <c r="U13" s="18" t="s">
        <v>495</v>
      </c>
      <c r="V13" s="18" t="s">
        <v>495</v>
      </c>
      <c r="W13" s="18" t="s">
        <v>495</v>
      </c>
      <c r="X13" s="18" t="s">
        <v>495</v>
      </c>
      <c r="Y13" s="80" t="s">
        <v>495</v>
      </c>
      <c r="Z13" s="18" t="s">
        <v>499</v>
      </c>
      <c r="AA13" s="20">
        <v>45271</v>
      </c>
      <c r="AB13" s="18" t="s">
        <v>500</v>
      </c>
      <c r="AC13" s="18" t="s">
        <v>558</v>
      </c>
      <c r="AD13" s="18" t="s">
        <v>43</v>
      </c>
      <c r="AE13" s="18" t="s">
        <v>41</v>
      </c>
      <c r="AF13" s="18" t="s">
        <v>35</v>
      </c>
      <c r="AG13" s="14" t="str">
        <f>VLOOKUP(AF13,Tabla3[[Estado Requerimiento]:[Macro estado]],2,FALSE)</f>
        <v>02. En Proceso</v>
      </c>
      <c r="AH13" s="18"/>
      <c r="AI13" s="80">
        <v>44847</v>
      </c>
      <c r="AJ13" s="80"/>
      <c r="AK13" s="80">
        <v>45187</v>
      </c>
      <c r="AL13" s="80">
        <v>45226</v>
      </c>
      <c r="AM13" s="80"/>
      <c r="AN13" s="80">
        <v>45240</v>
      </c>
      <c r="AO13" s="80">
        <v>45252</v>
      </c>
      <c r="AP13" s="81">
        <f t="shared" si="0"/>
        <v>45241.599999999999</v>
      </c>
      <c r="AQ13" s="80">
        <v>46106</v>
      </c>
      <c r="AR13" s="80"/>
      <c r="AS13" s="118">
        <f t="shared" si="1"/>
        <v>45248.6</v>
      </c>
      <c r="AT13" s="19" t="s">
        <v>580</v>
      </c>
      <c r="AU13" s="44" t="str">
        <f>VLOOKUP(Cartera1017[[#This Row],[Gerencia]],tbGerencia[#All],3,FALSE)</f>
        <v>Operac.</v>
      </c>
      <c r="AV13" s="44" t="str">
        <f>IFERROR(VLOOKUP(Cartera1017[[#This Row],[Subgerencia]],Definiciones!$A$90:$B$144,2,FALSE),"")</f>
        <v>CaptacionesPagaduría</v>
      </c>
      <c r="AW13" s="44" t="str">
        <f>IF(OR(LEN(Cartera1017[[#This Row],[Fecha de Solicitud]])=0,(Cartera1017[[#This Row],[Fecha de Solicitud]])="No definido"),"No definido",IF(YEAR(Cartera1017[[#This Row],[Fecha de Solicitud]])&lt;2023," &lt;  2023",TEXT(Cartera1017[[#This Row],[Fecha de Solicitud]],"yyyy-mm")))</f>
        <v xml:space="preserve"> &lt;  2023</v>
      </c>
      <c r="AX13" s="44" t="str">
        <f>IF(Cartera1017[[#This Row],[Fecha de Priorización Comité]]="","No definido",TEXT(Cartera1017[[#This Row],[Fecha de Priorización Comité]],"yyyy-mm"))</f>
        <v>2023-12</v>
      </c>
      <c r="AY13" s="44" t="str">
        <f>IF(Cartera1017[[#This Row],[Fecha Fin- Desarrollo]]="","No definido",TEXT(Cartera1017[[#This Row],[Fecha Fin- Desarrollo]],"yyyy-mm"))</f>
        <v>2023-10</v>
      </c>
      <c r="AZ13" s="44" t="str">
        <f>IF(Cartera1017[[#This Row],[Fecha Fin- Producción]]="","No definido",TEXT(Cartera1017[[#This Row],[Fecha Fin- Producción]],"yyyy-mm"))</f>
        <v>No definido</v>
      </c>
      <c r="BA13" s="44" t="str">
        <f>IF(Cartera1017[[#This Row],[Fecha Fin-Planificada]]="","No definido",TEXT(Cartera1017[[#This Row],[Fecha Fin-Planificada]],"yyyy-mm"))</f>
        <v>2023-11</v>
      </c>
      <c r="BB13" s="33" t="s">
        <v>581</v>
      </c>
      <c r="BC13" s="66"/>
      <c r="BD13" s="66"/>
      <c r="BE13" s="66"/>
      <c r="BF13" s="386">
        <v>45271</v>
      </c>
      <c r="BG13" s="387" t="s">
        <v>561</v>
      </c>
      <c r="BH1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 s="90" t="str">
        <f>IF(ISNUMBER(Cartera1017[[#This Row],[Duracion en Dias]]),Cartera1017[[#This Row],[Duracion en Dias]]/30, "No Aplica")</f>
        <v>No Aplica</v>
      </c>
      <c r="BJ13" s="109"/>
      <c r="BK13" s="28" t="s">
        <v>582</v>
      </c>
      <c r="BL13" s="110" t="s">
        <v>583</v>
      </c>
      <c r="BM13" s="342">
        <v>46106.666342592594</v>
      </c>
      <c r="BN13" s="227"/>
      <c r="BO13" s="227"/>
      <c r="BP13" s="227"/>
      <c r="BQ1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3" s="14" t="str">
        <f>IFERROR(VLOOKUP(Cartera1017[[#This Row],[Aplicativo]],Tabla76[],2,FALSE),"Sin Aplicativo")</f>
        <v>Clientes (BDUC)</v>
      </c>
      <c r="BS13" s="14" t="str">
        <f>IFERROR(VLOOKUP(Cartera1017[[#This Row],[Aplicativo]],Tabla76[],3,FALSE),"Sin Aplicativo")</f>
        <v>Canales Presenciales</v>
      </c>
      <c r="BT13" s="400">
        <v>45689</v>
      </c>
      <c r="BU13" s="140">
        <v>45689</v>
      </c>
      <c r="BW1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45716</v>
      </c>
      <c r="BX1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3" s="97" t="str">
        <f ca="1">IF(Cartera1017[[#This Row],[Fecha Fin2]]="","No definido",CONCATENATE(TEXT(Cartera1017[[#This Row],[Fecha Fin2]],"mmm")," ",YEAR(Cartera1017[[#This Row],[Fecha Fin2]])))</f>
        <v>Feb 2025</v>
      </c>
      <c r="CA13" s="48" t="str">
        <f>IF(Cartera1017[[#This Row],[Estado TI]] = "08. Producción Finalizada","Culminado",IF(Cartera1017[[#This Row],[Estado TI]]= "09. Descartado","Descartado","Activos"))</f>
        <v>Activos</v>
      </c>
      <c r="CC1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3" s="54" t="str">
        <f>IF(
AND(
Cartera1017[[#This Row],[DEVOLVER 27]]="NO",
NOT(ISBLANK(Cartera1017[[#This Row],[ESTADO NO DEVUELTOS 27]]))
),
"PRE",
"POST"
)</f>
        <v>PRE</v>
      </c>
      <c r="CE13" s="54" t="s">
        <v>509</v>
      </c>
      <c r="CF13" s="28" t="s">
        <v>42</v>
      </c>
      <c r="CG1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 s="406">
        <f>Cartera1017[[#This Row],[Porcentaje de Avance]]</f>
        <v>0.9</v>
      </c>
      <c r="CK13" s="388">
        <f ca="1">IF(
   OR(
     Cartera1017[[#This Row],[Estado TI]]="09. Descartado",
     Cartera1017[[#This Row],[Comienzo Desarrollo]]="",
     Cartera1017[[#This Row],[Fin Producción]]=""
   ),
   "",
   Cartera1017[[#This Row],[% PLANIFICADO]]-Cartera1017[[#This Row],[% COMPLETADO]]
)</f>
        <v>9.9999999999999978E-2</v>
      </c>
      <c r="CL13" s="388">
        <f ca="1">IF(
   OR(
     Cartera1017[[#This Row],[Estado TI]]="09. Descartado",
     Cartera1017[[#This Row],[Comienzo Desarrollo]]="",
     Cartera1017[[#This Row],[Fin Producción]]="",
     Cartera1017[[#This Row],[% PLANIFICADO]]=0
   ),
   "",
   MIN(Cartera1017[[#This Row],[% COMPLETADO]]/Cartera1017[[#This Row],[% PLANIFICADO]],1.2)
)</f>
        <v>0.9</v>
      </c>
      <c r="CM13" s="377">
        <v>45187</v>
      </c>
      <c r="CN13" s="377">
        <v>45187</v>
      </c>
      <c r="CO13" s="377">
        <v>45226</v>
      </c>
      <c r="CP13" s="377">
        <v>45240</v>
      </c>
      <c r="CQ13" s="377">
        <v>45252</v>
      </c>
      <c r="CR13" s="377">
        <v>46072</v>
      </c>
      <c r="CS13" s="377">
        <v>46108</v>
      </c>
      <c r="CT13" s="44">
        <f>IF(Cartera1017[[#This Row],[Fin Desarrollo]]="",25,IFERROR(NETWORKDAYS(Cartera1017[[#This Row],[Comienzo Desarrollo]],Cartera1017[[#This Row],[Fin Desarrollo]],FERIADOS[Fecha]),""))</f>
        <v>29</v>
      </c>
      <c r="CU1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3" s="44">
        <f>IF(OR(Cartera1017[[#This Row],[Comienzo Desarrollo]]="",Cartera1017[[#This Row],[Fin Desarrollo]]=""),200,IFERROR(Cartera1017[[#This Row],[DURACIÓN DESARROLLO DIAS]]*VLOOKUP(Cartera1017[[#This Row],[ID Mantenimiento]],MANT_HORAS[],2,FALSE),200))</f>
        <v>200</v>
      </c>
      <c r="CW13" s="110"/>
      <c r="CX13" s="110" t="str">
        <f>VLOOKUP(Cartera1017[[#This Row],[Estado TI]],Definiciones!$A$549:$B$559,2,FALSE)</f>
        <v>3. DESPLIEGUE</v>
      </c>
      <c r="CY13" s="28">
        <f ca="1">1-Cartera1017[[#This Row],[Porcentaje avanzado desarrollo]]</f>
        <v>0</v>
      </c>
      <c r="CZ1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29</v>
      </c>
      <c r="DA13" s="28">
        <f ca="1">MAX(0,Cartera1017[[#This Row],[DURACIÓN DESARROLLO DIAS]]-Cartera1017[[#This Row],[Dias avanzados]])</f>
        <v>0</v>
      </c>
      <c r="DB13" s="28">
        <f ca="1">Cartera1017[[#This Row],[Dias avanzados]]*IFERROR(VLOOKUP(Cartera1017[[#This Row],[ID Mantenimiento]],MANT_HORAS[],2,FALSE),8)</f>
        <v>232</v>
      </c>
      <c r="DC13" s="28">
        <f ca="1">Cartera1017[[#This Row],[Dias faltantes]]*IFERROR(VLOOKUP(Cartera1017[[#This Row],[ID Mantenimiento]],MANT_HORAS[],2,FALSE),8)</f>
        <v>0</v>
      </c>
      <c r="DD13" s="28" t="str">
        <f>IF(Cartera1017[[#This Row],[Fin Producción]]=0,"Por definir",CONCATENATE(YEAR(Cartera1017[[#This Row],[Fin Producción]]),"-",ROUNDUP(MONTH(Cartera1017[[#This Row],[Fin Producción]]),0)))</f>
        <v>2026-3</v>
      </c>
      <c r="DE13" s="18" t="s">
        <v>510</v>
      </c>
      <c r="DF13" s="28" t="s">
        <v>584</v>
      </c>
      <c r="DG13" s="28" t="s">
        <v>585</v>
      </c>
      <c r="DH13" s="565"/>
    </row>
    <row r="14" spans="1:112" s="28" customFormat="1" ht="44.25" hidden="1" customHeight="1">
      <c r="A14" s="229" t="s">
        <v>586</v>
      </c>
      <c r="B14" s="18">
        <v>1246</v>
      </c>
      <c r="C14" s="18" t="s">
        <v>485</v>
      </c>
      <c r="D14" s="18" t="s">
        <v>587</v>
      </c>
      <c r="E14" s="39" t="s">
        <v>44</v>
      </c>
      <c r="F14" s="33" t="s">
        <v>45</v>
      </c>
      <c r="G14" s="19" t="s">
        <v>588</v>
      </c>
      <c r="H14" s="18" t="s">
        <v>46</v>
      </c>
      <c r="I14" s="18" t="s">
        <v>46</v>
      </c>
      <c r="J14" s="18" t="s">
        <v>46</v>
      </c>
      <c r="K14" s="20">
        <v>44924</v>
      </c>
      <c r="L14" s="43" t="s">
        <v>589</v>
      </c>
      <c r="M14" s="43" t="s">
        <v>590</v>
      </c>
      <c r="N14" s="43"/>
      <c r="O14" s="18"/>
      <c r="P14" s="18"/>
      <c r="Q14" s="18"/>
      <c r="R14" s="18" t="s">
        <v>497</v>
      </c>
      <c r="S14" s="18"/>
      <c r="T14" s="18"/>
      <c r="U14" s="18"/>
      <c r="V14" s="18"/>
      <c r="W14" s="18"/>
      <c r="X14" s="18"/>
      <c r="Y14" s="20"/>
      <c r="Z14" s="18" t="s">
        <v>499</v>
      </c>
      <c r="AA14" s="20">
        <v>44938</v>
      </c>
      <c r="AB14" s="18" t="s">
        <v>533</v>
      </c>
      <c r="AC14" s="18" t="s">
        <v>558</v>
      </c>
      <c r="AD14" s="18" t="s">
        <v>49</v>
      </c>
      <c r="AE14" s="18" t="s">
        <v>47</v>
      </c>
      <c r="AF14" s="18" t="s">
        <v>48</v>
      </c>
      <c r="AG14" s="14" t="str">
        <f>VLOOKUP(AF14,Tabla3[[Estado Requerimiento]:[Macro estado]],2,FALSE)</f>
        <v>02. En Proceso</v>
      </c>
      <c r="AH14" s="18"/>
      <c r="AI14" s="80">
        <v>45119</v>
      </c>
      <c r="AJ14" s="80"/>
      <c r="AK14" s="80">
        <v>45204</v>
      </c>
      <c r="AL14" s="80"/>
      <c r="AM14" s="80"/>
      <c r="AN14" s="80"/>
      <c r="AO14" s="80"/>
      <c r="AP14" s="81" t="str">
        <f t="shared" si="0"/>
        <v/>
      </c>
      <c r="AQ14" s="80"/>
      <c r="AR14" s="80"/>
      <c r="AS14" s="81" t="str">
        <f t="shared" si="1"/>
        <v/>
      </c>
      <c r="AT14" s="19" t="s">
        <v>591</v>
      </c>
      <c r="AU14" s="44" t="str">
        <f>VLOOKUP(Cartera1017[[#This Row],[Gerencia]],tbGerencia[#All],3,FALSE)</f>
        <v>PLAFT</v>
      </c>
      <c r="AV14" s="44" t="str">
        <f>IFERROR(VLOOKUP(Cartera1017[[#This Row],[Subgerencia]],Definiciones!$A$90:$B$144,2,FALSE),"")</f>
        <v>OficialíaPLAFT</v>
      </c>
      <c r="AW14" s="44" t="str">
        <f>IF(OR(LEN(Cartera1017[[#This Row],[Fecha de Solicitud]])=0,(Cartera1017[[#This Row],[Fecha de Solicitud]])="No definido"),"No definido",IF(YEAR(Cartera1017[[#This Row],[Fecha de Solicitud]])&lt;2023," &lt;  2023",TEXT(Cartera1017[[#This Row],[Fecha de Solicitud]],"yyyy-mm")))</f>
        <v xml:space="preserve"> &lt;  2023</v>
      </c>
      <c r="AX14" s="44" t="str">
        <f>IF(Cartera1017[[#This Row],[Fecha de Priorización Comité]]="","No definido",TEXT(Cartera1017[[#This Row],[Fecha de Priorización Comité]],"yyyy-mm"))</f>
        <v>2023-01</v>
      </c>
      <c r="AY14" s="44" t="str">
        <f>IF(Cartera1017[[#This Row],[Fecha Fin- Desarrollo]]="","No definido",TEXT(Cartera1017[[#This Row],[Fecha Fin- Desarrollo]],"yyyy-mm"))</f>
        <v>No definido</v>
      </c>
      <c r="AZ14" s="44" t="str">
        <f>IF(Cartera1017[[#This Row],[Fecha Fin- Producción]]="","No definido",TEXT(Cartera1017[[#This Row],[Fecha Fin- Producción]],"yyyy-mm"))</f>
        <v>No definido</v>
      </c>
      <c r="BA14" s="44" t="str">
        <f>IF(Cartera1017[[#This Row],[Fecha Fin-Planificada]]="","No definido",TEXT(Cartera1017[[#This Row],[Fecha Fin-Planificada]],"yyyy-mm"))</f>
        <v>No definido</v>
      </c>
      <c r="BB14" s="33"/>
      <c r="BC14" s="66"/>
      <c r="BD14" s="66"/>
      <c r="BE14" s="66"/>
      <c r="BF14" s="386">
        <v>44938</v>
      </c>
      <c r="BG14" s="387" t="s">
        <v>561</v>
      </c>
      <c r="BH1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 s="90" t="str">
        <f>IF(ISNUMBER(Cartera1017[[#This Row],[Duracion en Dias]]),Cartera1017[[#This Row],[Duracion en Dias]]/30, "No Aplica")</f>
        <v>No Aplica</v>
      </c>
      <c r="BJ14" s="109"/>
      <c r="BK14" s="28" t="s">
        <v>506</v>
      </c>
      <c r="BL14" s="110" t="s">
        <v>592</v>
      </c>
      <c r="BM14" s="342">
        <v>45827.883900462963</v>
      </c>
      <c r="BN14" s="227"/>
      <c r="BO14" s="227"/>
      <c r="BP14" s="227"/>
      <c r="BQ1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 s="14" t="str">
        <f>IFERROR(VLOOKUP(Cartera1017[[#This Row],[Aplicativo]],Tabla76[],2,FALSE),"Sin Aplicativo")</f>
        <v>BackOffice</v>
      </c>
      <c r="BS14" s="14" t="str">
        <f>IFERROR(VLOOKUP(Cartera1017[[#This Row],[Aplicativo]],Tabla76[],3,FALSE),"Sin Aplicativo")</f>
        <v>Otros Requerimientos</v>
      </c>
      <c r="BT14" s="400">
        <v>45870</v>
      </c>
      <c r="BU14" s="142">
        <v>45870</v>
      </c>
      <c r="BV14" s="61" t="s">
        <v>593</v>
      </c>
      <c r="BW14"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1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4" s="97" t="str">
        <f ca="1">IF(Cartera1017[[#This Row],[Fecha Fin2]]="","No definido",CONCATENATE(TEXT(Cartera1017[[#This Row],[Fecha Fin2]],"mmm")," ",YEAR(Cartera1017[[#This Row],[Fecha Fin2]])))</f>
        <v>Ago 2025</v>
      </c>
      <c r="BZ14" s="28">
        <v>2025</v>
      </c>
      <c r="CA14" s="48" t="str">
        <f>IF(Cartera1017[[#This Row],[Estado TI]] = "08. Producción Finalizada","Culminado",IF(Cartera1017[[#This Row],[Estado TI]]= "09. Descartado","Descartado","Activos"))</f>
        <v>Activos</v>
      </c>
      <c r="CC1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14" s="54" t="str">
        <f>IF(
AND(
Cartera1017[[#This Row],[DEVOLVER 27]]="NO",
NOT(ISBLANK(Cartera1017[[#This Row],[ESTADO NO DEVUELTOS 27]]))
),
"PRE",
"POST"
)</f>
        <v>PRE</v>
      </c>
      <c r="CE14" s="54" t="s">
        <v>509</v>
      </c>
      <c r="CF14" s="28" t="s">
        <v>48</v>
      </c>
      <c r="CG1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RIESGO 🟡</v>
      </c>
      <c r="CI1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0.33333333333333331</v>
      </c>
      <c r="CJ14" s="406">
        <f>Cartera1017[[#This Row],[Porcentaje de Avance]]</f>
        <v>0.15</v>
      </c>
      <c r="CK14" s="388">
        <f ca="1">IF(
   OR(
     Cartera1017[[#This Row],[Estado TI]]="09. Descartado",
     Cartera1017[[#This Row],[Comienzo Desarrollo]]="",
     Cartera1017[[#This Row],[Fin Producción]]=""
   ),
   "",
   Cartera1017[[#This Row],[% PLANIFICADO]]-Cartera1017[[#This Row],[% COMPLETADO]]
)</f>
        <v>0.18333333333333332</v>
      </c>
      <c r="CL14" s="388">
        <f ca="1">IF(
   OR(
     Cartera1017[[#This Row],[Estado TI]]="09. Descartado",
     Cartera1017[[#This Row],[Comienzo Desarrollo]]="",
     Cartera1017[[#This Row],[Fin Producción]]="",
     Cartera1017[[#This Row],[% PLANIFICADO]]=0
   ),
   "",
   MIN(Cartera1017[[#This Row],[% COMPLETADO]]/Cartera1017[[#This Row],[% PLANIFICADO]],1.2)
)</f>
        <v>0.45</v>
      </c>
      <c r="CM14" s="377">
        <v>46125</v>
      </c>
      <c r="CN14" s="377">
        <v>46125</v>
      </c>
      <c r="CO14" s="377">
        <v>46203</v>
      </c>
      <c r="CP14" s="377">
        <v>46207</v>
      </c>
      <c r="CQ14" s="377">
        <v>46228</v>
      </c>
      <c r="CR14" s="377">
        <v>46236</v>
      </c>
      <c r="CS14" s="377">
        <v>46243</v>
      </c>
      <c r="CT14" s="44">
        <f>IF(Cartera1017[[#This Row],[Fin Desarrollo]]="",25,IFERROR(NETWORKDAYS(Cartera1017[[#This Row],[Comienzo Desarrollo]],Cartera1017[[#This Row],[Fin Desarrollo]],FERIADOS[Fecha]),""))</f>
        <v>55</v>
      </c>
      <c r="CU1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0.47368421052631576</v>
      </c>
      <c r="CV14" s="44">
        <f>IF(OR(Cartera1017[[#This Row],[Comienzo Desarrollo]]="",Cartera1017[[#This Row],[Fin Desarrollo]]=""),200,IFERROR(Cartera1017[[#This Row],[DURACIÓN DESARROLLO DIAS]]*VLOOKUP(Cartera1017[[#This Row],[ID Mantenimiento]],MANT_HORAS[],2,FALSE),200))</f>
        <v>88</v>
      </c>
      <c r="CW14" s="110"/>
      <c r="CX14" s="110" t="str">
        <f>VLOOKUP(Cartera1017[[#This Row],[Estado TI]],Definiciones!$A$549:$B$559,2,FALSE)</f>
        <v>1. DESARROLLO</v>
      </c>
      <c r="CY14" s="28">
        <f ca="1">1-Cartera1017[[#This Row],[Porcentaje avanzado desarrollo]]</f>
        <v>0.52631578947368429</v>
      </c>
      <c r="CZ1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26</v>
      </c>
      <c r="DA14" s="28">
        <f ca="1">MAX(0,Cartera1017[[#This Row],[DURACIÓN DESARROLLO DIAS]]-Cartera1017[[#This Row],[Dias avanzados]])</f>
        <v>29</v>
      </c>
      <c r="DB14" s="28">
        <f ca="1">Cartera1017[[#This Row],[Dias avanzados]]*IFERROR(VLOOKUP(Cartera1017[[#This Row],[ID Mantenimiento]],MANT_HORAS[],2,FALSE),8)</f>
        <v>41.6</v>
      </c>
      <c r="DC14" s="28">
        <f ca="1">Cartera1017[[#This Row],[Dias faltantes]]*IFERROR(VLOOKUP(Cartera1017[[#This Row],[ID Mantenimiento]],MANT_HORAS[],2,FALSE),8)</f>
        <v>46.400000000000006</v>
      </c>
      <c r="DD14" s="28" t="str">
        <f>IF(Cartera1017[[#This Row],[Fin Producción]]=0,"Por definir",CONCATENATE(YEAR(Cartera1017[[#This Row],[Fin Producción]]),"-",ROUNDUP(MONTH(Cartera1017[[#This Row],[Fin Producción]]),0)))</f>
        <v>2026-8</v>
      </c>
      <c r="DE14" s="18" t="s">
        <v>510</v>
      </c>
      <c r="DH14" s="565"/>
    </row>
    <row r="15" spans="1:112" s="28" customFormat="1" ht="44.25" hidden="1" customHeight="1">
      <c r="A15" s="229" t="s">
        <v>594</v>
      </c>
      <c r="B15" s="39">
        <v>1319</v>
      </c>
      <c r="C15" s="18" t="s">
        <v>485</v>
      </c>
      <c r="D15" s="39" t="s">
        <v>595</v>
      </c>
      <c r="E15" s="39" t="s">
        <v>50</v>
      </c>
      <c r="F15" s="60" t="s">
        <v>51</v>
      </c>
      <c r="G15" s="35"/>
      <c r="H15" s="39" t="s">
        <v>52</v>
      </c>
      <c r="I15" s="39" t="s">
        <v>596</v>
      </c>
      <c r="J15" s="39"/>
      <c r="K15" s="113">
        <v>44958</v>
      </c>
      <c r="L15" s="114"/>
      <c r="M15" s="114" t="s">
        <v>597</v>
      </c>
      <c r="N15" s="114" t="s">
        <v>598</v>
      </c>
      <c r="O15" s="39" t="s">
        <v>530</v>
      </c>
      <c r="P15" s="39"/>
      <c r="Q15" s="39"/>
      <c r="R15" s="39" t="s">
        <v>599</v>
      </c>
      <c r="S15" s="18" t="s">
        <v>599</v>
      </c>
      <c r="T15" s="39" t="s">
        <v>600</v>
      </c>
      <c r="U15" s="39" t="s">
        <v>601</v>
      </c>
      <c r="V15" s="39"/>
      <c r="W15" s="39"/>
      <c r="X15" s="39"/>
      <c r="Y15" s="111"/>
      <c r="Z15" s="39" t="s">
        <v>602</v>
      </c>
      <c r="AA15" s="113">
        <v>44834</v>
      </c>
      <c r="AB15" s="39" t="s">
        <v>500</v>
      </c>
      <c r="AC15" s="18" t="s">
        <v>570</v>
      </c>
      <c r="AD15" s="39" t="s">
        <v>54</v>
      </c>
      <c r="AE15" s="39" t="s">
        <v>47</v>
      </c>
      <c r="AF15" s="39" t="s">
        <v>53</v>
      </c>
      <c r="AG15" s="14" t="str">
        <f>VLOOKUP(AF15,Tabla3[[Estado Requerimiento]:[Macro estado]],2,FALSE)</f>
        <v>03. Culminado</v>
      </c>
      <c r="AH15" s="39"/>
      <c r="AI15" s="111">
        <v>44958</v>
      </c>
      <c r="AJ15" s="111"/>
      <c r="AK15" s="116">
        <v>45870</v>
      </c>
      <c r="AL15" s="116">
        <v>45870</v>
      </c>
      <c r="AM15" s="119">
        <v>45863</v>
      </c>
      <c r="AN15" s="116">
        <v>45911</v>
      </c>
      <c r="AO15" s="116">
        <v>45929</v>
      </c>
      <c r="AP15" s="81">
        <f t="shared" si="0"/>
        <v>45860.2</v>
      </c>
      <c r="AQ15" s="116">
        <v>46063</v>
      </c>
      <c r="AR15" s="116">
        <v>46063</v>
      </c>
      <c r="AS15" s="81">
        <f t="shared" si="1"/>
        <v>45867.199999999997</v>
      </c>
      <c r="AT15" s="35" t="s">
        <v>603</v>
      </c>
      <c r="AU15" s="44" t="str">
        <f>VLOOKUP(Cartera1017[[#This Row],[Gerencia]],tbGerencia[#All],3,FALSE)</f>
        <v>Finanzas</v>
      </c>
      <c r="AV15" s="44" t="str">
        <f>IFERROR(VLOOKUP(Cartera1017[[#This Row],[Subgerencia]],Definiciones!$A$90:$B$144,2,FALSE),"")</f>
        <v>Contabilidad</v>
      </c>
      <c r="AW15" s="44" t="str">
        <f>IF(OR(LEN(Cartera1017[[#This Row],[Fecha de Solicitud]])=0,(Cartera1017[[#This Row],[Fecha de Solicitud]])="No definido"),"No definido",IF(YEAR(Cartera1017[[#This Row],[Fecha de Solicitud]])&lt;2023," &lt;  2023",TEXT(Cartera1017[[#This Row],[Fecha de Solicitud]],"yyyy-mm")))</f>
        <v>2023-02</v>
      </c>
      <c r="AX15" s="44" t="str">
        <f>IF(Cartera1017[[#This Row],[Fecha de Priorización Comité]]="","No definido",TEXT(Cartera1017[[#This Row],[Fecha de Priorización Comité]],"yyyy-mm"))</f>
        <v>2022-09</v>
      </c>
      <c r="AY15" s="44" t="str">
        <f>IF(Cartera1017[[#This Row],[Fecha Fin- Desarrollo]]="","No definido",TEXT(Cartera1017[[#This Row],[Fecha Fin- Desarrollo]],"yyyy-mm"))</f>
        <v>2025-08</v>
      </c>
      <c r="AZ15" s="44" t="str">
        <f>IF(Cartera1017[[#This Row],[Fecha Fin- Producción]]="","No definido",TEXT(Cartera1017[[#This Row],[Fecha Fin- Producción]],"yyyy-mm"))</f>
        <v>2026-02</v>
      </c>
      <c r="BA15" s="44" t="str">
        <f>IF(Cartera1017[[#This Row],[Fecha Fin-Planificada]]="","No definido",TEXT(Cartera1017[[#This Row],[Fecha Fin-Planificada]],"yyyy-mm"))</f>
        <v>2025-07</v>
      </c>
      <c r="BB15" s="33" t="s">
        <v>604</v>
      </c>
      <c r="BC15" s="66">
        <v>45062</v>
      </c>
      <c r="BD15" s="66">
        <v>45863</v>
      </c>
      <c r="BE15" s="66">
        <v>45863</v>
      </c>
      <c r="BF15" s="386">
        <v>44834</v>
      </c>
      <c r="BG15" s="387" t="s">
        <v>561</v>
      </c>
      <c r="BH1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193</v>
      </c>
      <c r="BI15" s="90">
        <f>IF(ISNUMBER(Cartera1017[[#This Row],[Duracion en Dias]]),Cartera1017[[#This Row],[Duracion en Dias]]/30, "No Aplica")</f>
        <v>6.4333333333333336</v>
      </c>
      <c r="BJ15" s="109"/>
      <c r="BK15" s="28" t="s">
        <v>506</v>
      </c>
      <c r="BL15" s="110" t="s">
        <v>536</v>
      </c>
      <c r="BM15" s="342">
        <v>46063.715891203705</v>
      </c>
      <c r="BN15" s="227"/>
      <c r="BO15" s="227"/>
      <c r="BP15" s="227"/>
      <c r="BQ1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5" s="14" t="str">
        <f>IFERROR(VLOOKUP(Cartera1017[[#This Row],[Aplicativo]],Tabla76[],2,FALSE),"Sin Aplicativo")</f>
        <v>BackOffice</v>
      </c>
      <c r="BS15" s="14" t="str">
        <f>IFERROR(VLOOKUP(Cartera1017[[#This Row],[Aplicativo]],Tabla76[],3,FALSE),"Sin Aplicativo")</f>
        <v>Otros Requerimientos</v>
      </c>
      <c r="BT15" s="400">
        <v>45717</v>
      </c>
      <c r="BU15" s="140">
        <v>45717</v>
      </c>
      <c r="BV15" s="28" t="s">
        <v>605</v>
      </c>
      <c r="BW15"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46063</v>
      </c>
      <c r="BX1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5" s="97" t="str">
        <f ca="1">IF(Cartera1017[[#This Row],[Fecha Fin2]]="","No definido",CONCATENATE(TEXT(Cartera1017[[#This Row],[Fecha Fin2]],"mmm")," ",YEAR(Cartera1017[[#This Row],[Fecha Fin2]])))</f>
        <v>Feb 2026</v>
      </c>
      <c r="BZ15" s="28">
        <v>2025</v>
      </c>
      <c r="CA15" s="48" t="str">
        <f>IF(Cartera1017[[#This Row],[Estado TI]] = "08. Producción Finalizada","Culminado",IF(Cartera1017[[#This Row],[Estado TI]]= "09. Descartado","Descartado","Activos"))</f>
        <v>Culminado</v>
      </c>
      <c r="CC1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5" s="54" t="str">
        <f>IF(
AND(
Cartera1017[[#This Row],[DEVOLVER 27]]="NO",
NOT(ISBLANK(Cartera1017[[#This Row],[ESTADO NO DEVUELTOS 27]]))
),
"PRE",
"POST"
)</f>
        <v>PRE</v>
      </c>
      <c r="CE15" s="54" t="s">
        <v>509</v>
      </c>
      <c r="CF15" s="28" t="s">
        <v>42</v>
      </c>
      <c r="CG1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 s="406">
        <f>Cartera1017[[#This Row],[Porcentaje de Avance]]</f>
        <v>1</v>
      </c>
      <c r="CK15" s="388">
        <f ca="1">IF(
   OR(
     Cartera1017[[#This Row],[Estado TI]]="09. Descartado",
     Cartera1017[[#This Row],[Comienzo Desarrollo]]="",
     Cartera1017[[#This Row],[Fin Producción]]=""
   ),
   "",
   Cartera1017[[#This Row],[% PLANIFICADO]]-Cartera1017[[#This Row],[% COMPLETADO]]
)</f>
        <v>0</v>
      </c>
      <c r="CL15" s="388">
        <f ca="1">IF(
   OR(
     Cartera1017[[#This Row],[Estado TI]]="09. Descartado",
     Cartera1017[[#This Row],[Comienzo Desarrollo]]="",
     Cartera1017[[#This Row],[Fin Producción]]="",
     Cartera1017[[#This Row],[% PLANIFICADO]]=0
   ),
   "",
   MIN(Cartera1017[[#This Row],[% COMPLETADO]]/Cartera1017[[#This Row],[% PLANIFICADO]],1.2)
)</f>
        <v>1</v>
      </c>
      <c r="CM15" s="377">
        <v>45870</v>
      </c>
      <c r="CN15" s="377">
        <v>45870</v>
      </c>
      <c r="CO15" s="377">
        <v>45870</v>
      </c>
      <c r="CP15" s="377">
        <v>45911</v>
      </c>
      <c r="CQ15" s="377">
        <v>45929</v>
      </c>
      <c r="CR15" s="377">
        <v>46063</v>
      </c>
      <c r="CS15" s="377">
        <v>46122</v>
      </c>
      <c r="CT15" s="44">
        <f>IF(Cartera1017[[#This Row],[Fin Desarrollo]]="",25,IFERROR(NETWORKDAYS(Cartera1017[[#This Row],[Comienzo Desarrollo]],Cartera1017[[#This Row],[Fin Desarrollo]],FERIADOS[Fecha]),""))</f>
        <v>1</v>
      </c>
      <c r="CU1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5" s="44">
        <f>IF(OR(Cartera1017[[#This Row],[Comienzo Desarrollo]]="",Cartera1017[[#This Row],[Fin Desarrollo]]=""),200,IFERROR(Cartera1017[[#This Row],[DURACIÓN DESARROLLO DIAS]]*VLOOKUP(Cartera1017[[#This Row],[ID Mantenimiento]],MANT_HORAS[],2,FALSE),200))</f>
        <v>200</v>
      </c>
      <c r="CW15" s="110"/>
      <c r="CX15" s="110" t="str">
        <f>VLOOKUP(Cartera1017[[#This Row],[Estado TI]],Definiciones!$A$549:$B$559,2,FALSE)</f>
        <v>4. PRODUCCIÓN</v>
      </c>
      <c r="CY15" s="28">
        <f ca="1">1-Cartera1017[[#This Row],[Porcentaje avanzado desarrollo]]</f>
        <v>0</v>
      </c>
      <c r="CZ1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5" s="28">
        <f ca="1">MAX(0,Cartera1017[[#This Row],[DURACIÓN DESARROLLO DIAS]]-Cartera1017[[#This Row],[Dias avanzados]])</f>
        <v>0</v>
      </c>
      <c r="DB15" s="28">
        <f ca="1">Cartera1017[[#This Row],[Dias avanzados]]*IFERROR(VLOOKUP(Cartera1017[[#This Row],[ID Mantenimiento]],MANT_HORAS[],2,FALSE),8)</f>
        <v>8</v>
      </c>
      <c r="DC15" s="28">
        <f ca="1">Cartera1017[[#This Row],[Dias faltantes]]*IFERROR(VLOOKUP(Cartera1017[[#This Row],[ID Mantenimiento]],MANT_HORAS[],2,FALSE),8)</f>
        <v>0</v>
      </c>
      <c r="DD15" s="28" t="str">
        <f>IF(Cartera1017[[#This Row],[Fin Producción]]=0,"Por definir",CONCATENATE(YEAR(Cartera1017[[#This Row],[Fin Producción]]),"-",ROUNDUP(MONTH(Cartera1017[[#This Row],[Fin Producción]]),0)))</f>
        <v>2026-4</v>
      </c>
      <c r="DE15" s="18" t="s">
        <v>510</v>
      </c>
      <c r="DH15" s="565"/>
    </row>
    <row r="16" spans="1:112" s="28" customFormat="1" ht="44.25" hidden="1" customHeight="1">
      <c r="A16" s="229" t="s">
        <v>606</v>
      </c>
      <c r="B16" s="18">
        <v>1462</v>
      </c>
      <c r="C16" s="18" t="s">
        <v>485</v>
      </c>
      <c r="D16" s="45" t="s">
        <v>607</v>
      </c>
      <c r="E16" s="18" t="s">
        <v>55</v>
      </c>
      <c r="F16" s="33" t="s">
        <v>56</v>
      </c>
      <c r="G16" s="19" t="s">
        <v>608</v>
      </c>
      <c r="H16" s="18" t="s">
        <v>26</v>
      </c>
      <c r="I16" s="18" t="s">
        <v>539</v>
      </c>
      <c r="J16" s="18" t="s">
        <v>554</v>
      </c>
      <c r="K16" s="20">
        <v>45015</v>
      </c>
      <c r="L16" s="43" t="s">
        <v>609</v>
      </c>
      <c r="M16" s="43" t="s">
        <v>556</v>
      </c>
      <c r="N16" s="43" t="s">
        <v>557</v>
      </c>
      <c r="O16" s="18" t="s">
        <v>610</v>
      </c>
      <c r="P16" s="18" t="s">
        <v>496</v>
      </c>
      <c r="Q16" s="18" t="s">
        <v>611</v>
      </c>
      <c r="R16" s="18" t="s">
        <v>497</v>
      </c>
      <c r="S16" s="18"/>
      <c r="T16" s="18"/>
      <c r="U16" s="18" t="s">
        <v>496</v>
      </c>
      <c r="V16" s="18"/>
      <c r="W16" s="18"/>
      <c r="X16" s="18"/>
      <c r="Y16" s="80" t="s">
        <v>496</v>
      </c>
      <c r="Z16" s="18" t="s">
        <v>499</v>
      </c>
      <c r="AA16" s="20">
        <v>45271</v>
      </c>
      <c r="AB16" s="18" t="s">
        <v>500</v>
      </c>
      <c r="AC16" s="18" t="s">
        <v>570</v>
      </c>
      <c r="AD16" s="18" t="s">
        <v>54</v>
      </c>
      <c r="AE16" s="18" t="s">
        <v>27</v>
      </c>
      <c r="AF16" s="18" t="s">
        <v>48</v>
      </c>
      <c r="AG16" s="14" t="str">
        <f>VLOOKUP(AF16,Tabla3[[Estado Requerimiento]:[Macro estado]],2,FALSE)</f>
        <v>02. En Proceso</v>
      </c>
      <c r="AH16" s="18"/>
      <c r="AI16" s="80">
        <v>45021</v>
      </c>
      <c r="AJ16" s="80"/>
      <c r="AK16" s="80">
        <v>45835</v>
      </c>
      <c r="AL16" s="80"/>
      <c r="AM16" s="80">
        <v>45891</v>
      </c>
      <c r="AN16" s="80"/>
      <c r="AO16" s="80"/>
      <c r="AP16" s="81">
        <f t="shared" si="0"/>
        <v>45913.4</v>
      </c>
      <c r="AQ16" s="80"/>
      <c r="AR16" s="80"/>
      <c r="AS16" s="81">
        <f t="shared" si="1"/>
        <v>45920.4</v>
      </c>
      <c r="AT16" s="19" t="s">
        <v>612</v>
      </c>
      <c r="AU16" s="44" t="str">
        <f>VLOOKUP(Cartera1017[[#This Row],[Gerencia]],tbGerencia[#All],3,FALSE)</f>
        <v>B.Digital</v>
      </c>
      <c r="AV16" s="44" t="str">
        <f>IFERROR(VLOOKUP(Cartera1017[[#This Row],[Subgerencia]],Definiciones!$A$90:$B$144,2,FALSE),"")</f>
        <v>CanalesAlternos</v>
      </c>
      <c r="AW16" s="44" t="str">
        <f>IF(OR(LEN(Cartera1017[[#This Row],[Fecha de Solicitud]])=0,(Cartera1017[[#This Row],[Fecha de Solicitud]])="No definido"),"No definido",IF(YEAR(Cartera1017[[#This Row],[Fecha de Solicitud]])&lt;2023," &lt;  2023",TEXT(Cartera1017[[#This Row],[Fecha de Solicitud]],"yyyy-mm")))</f>
        <v>2023-03</v>
      </c>
      <c r="AX16" s="44" t="str">
        <f>IF(Cartera1017[[#This Row],[Fecha de Priorización Comité]]="","No definido",TEXT(Cartera1017[[#This Row],[Fecha de Priorización Comité]],"yyyy-mm"))</f>
        <v>2023-12</v>
      </c>
      <c r="AY16" s="44" t="str">
        <f>IF(Cartera1017[[#This Row],[Fecha Fin- Desarrollo]]="","No definido",TEXT(Cartera1017[[#This Row],[Fecha Fin- Desarrollo]],"yyyy-mm"))</f>
        <v>No definido</v>
      </c>
      <c r="AZ16" s="44" t="str">
        <f>IF(Cartera1017[[#This Row],[Fecha Fin- Producción]]="","No definido",TEXT(Cartera1017[[#This Row],[Fecha Fin- Producción]],"yyyy-mm"))</f>
        <v>No definido</v>
      </c>
      <c r="BA16" s="44" t="str">
        <f>IF(Cartera1017[[#This Row],[Fecha Fin-Planificada]]="","No definido",TEXT(Cartera1017[[#This Row],[Fecha Fin-Planificada]],"yyyy-mm"))</f>
        <v>2025-09</v>
      </c>
      <c r="BB16" s="33" t="s">
        <v>604</v>
      </c>
      <c r="BC16" s="66">
        <v>45811</v>
      </c>
      <c r="BD16" s="66">
        <v>45891</v>
      </c>
      <c r="BE16" s="66">
        <v>45891</v>
      </c>
      <c r="BF16" s="407">
        <v>45271</v>
      </c>
      <c r="BG16" s="387" t="s">
        <v>561</v>
      </c>
      <c r="BH1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 s="90" t="str">
        <f>IF(ISNUMBER(Cartera1017[[#This Row],[Duracion en Dias]]),Cartera1017[[#This Row],[Duracion en Dias]]/30, "No Aplica")</f>
        <v>No Aplica</v>
      </c>
      <c r="BJ16" s="109"/>
      <c r="BK16" s="28" t="s">
        <v>613</v>
      </c>
      <c r="BL16" s="110" t="s">
        <v>592</v>
      </c>
      <c r="BM16" s="342">
        <v>45835.483263888891</v>
      </c>
      <c r="BN16" s="227"/>
      <c r="BO16" s="227"/>
      <c r="BP16" s="227"/>
      <c r="BQ1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 s="14" t="str">
        <f>IFERROR(VLOOKUP(Cartera1017[[#This Row],[Aplicativo]],Tabla76[],2,FALSE),"Sin Aplicativo")</f>
        <v>ATM-Agentes-VISA</v>
      </c>
      <c r="BS16" s="14" t="str">
        <f>IFERROR(VLOOKUP(Cartera1017[[#This Row],[Aplicativo]],Tabla76[],3,FALSE),"Sin Aplicativo")</f>
        <v>Canales Presenciales</v>
      </c>
      <c r="BT16" s="400">
        <v>45809</v>
      </c>
      <c r="BU16" s="140">
        <v>45809</v>
      </c>
      <c r="BV16" s="33" t="s">
        <v>614</v>
      </c>
      <c r="BW1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45838</v>
      </c>
      <c r="BX1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6" s="97" t="str">
        <f ca="1">IF(Cartera1017[[#This Row],[Fecha Fin2]]="","No definido",CONCATENATE(TEXT(Cartera1017[[#This Row],[Fecha Fin2]],"mmm")," ",YEAR(Cartera1017[[#This Row],[Fecha Fin2]])))</f>
        <v>Jun 2025</v>
      </c>
      <c r="BZ16" s="28">
        <v>2025</v>
      </c>
      <c r="CA16" s="48" t="str">
        <f>IF(Cartera1017[[#This Row],[Estado TI]] = "08. Producción Finalizada","Culminado",IF(Cartera1017[[#This Row],[Estado TI]]= "09. Descartado","Descartado","Activos"))</f>
        <v>Activos</v>
      </c>
      <c r="CB16" s="28" t="s">
        <v>564</v>
      </c>
      <c r="CC1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6" s="54" t="str">
        <f>IF(
AND(
Cartera1017[[#This Row],[DEVOLVER 27]]="NO",
NOT(ISBLANK(Cartera1017[[#This Row],[ESTADO NO DEVUELTOS 27]]))
),
"PRE",
"POST"
)</f>
        <v>PRE</v>
      </c>
      <c r="CE16" s="54" t="s">
        <v>509</v>
      </c>
      <c r="CF16" s="399" t="s">
        <v>48</v>
      </c>
      <c r="CG16"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0.70370370370370372</v>
      </c>
      <c r="CJ16" s="406">
        <f>Cartera1017[[#This Row],[Porcentaje de Avance]]</f>
        <v>0.25</v>
      </c>
      <c r="CK16" s="416">
        <f ca="1">IF(
   OR(
     Cartera1017[[#This Row],[Estado TI]]="09. Descartado",
     Cartera1017[[#This Row],[Comienzo Desarrollo]]="",
     Cartera1017[[#This Row],[Fin Producción]]=""
   ),
   "",
   Cartera1017[[#This Row],[% PLANIFICADO]]-Cartera1017[[#This Row],[% COMPLETADO]]
)</f>
        <v>0.45370370370370372</v>
      </c>
      <c r="CL16" s="416">
        <f ca="1">IF(
   OR(
     Cartera1017[[#This Row],[Estado TI]]="09. Descartado",
     Cartera1017[[#This Row],[Comienzo Desarrollo]]="",
     Cartera1017[[#This Row],[Fin Producción]]="",
     Cartera1017[[#This Row],[% PLANIFICADO]]=0
   ),
   "",
   MIN(Cartera1017[[#This Row],[% COMPLETADO]]/Cartera1017[[#This Row],[% PLANIFICADO]],1.2)
)</f>
        <v>0.35526315789473684</v>
      </c>
      <c r="CM16" s="475">
        <v>45971</v>
      </c>
      <c r="CN16" s="377">
        <v>46083</v>
      </c>
      <c r="CO16" s="377">
        <v>46135</v>
      </c>
      <c r="CP16" s="377">
        <v>46136</v>
      </c>
      <c r="CQ16" s="377">
        <v>46171</v>
      </c>
      <c r="CR16" s="377">
        <v>46174</v>
      </c>
      <c r="CS16" s="377">
        <v>46196</v>
      </c>
      <c r="CT16" s="44">
        <f>IF(Cartera1017[[#This Row],[Fin Desarrollo]]="",25,IFERROR(NETWORKDAYS(Cartera1017[[#This Row],[Comienzo Desarrollo]],Cartera1017[[#This Row],[Fin Desarrollo]],FERIADOS[Fecha]),""))</f>
        <v>39</v>
      </c>
      <c r="CU1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6" s="44">
        <f>IF(OR(Cartera1017[[#This Row],[Comienzo Desarrollo]]="",Cartera1017[[#This Row],[Fin Desarrollo]]=""),200,IFERROR(Cartera1017[[#This Row],[DURACIÓN DESARROLLO DIAS]]*VLOOKUP(Cartera1017[[#This Row],[ID Mantenimiento]],MANT_HORAS[],2,FALSE),200))</f>
        <v>44.571428571428569</v>
      </c>
      <c r="CW16" s="110" t="s">
        <v>544</v>
      </c>
      <c r="CX16" s="110" t="str">
        <f>VLOOKUP(Cartera1017[[#This Row],[Estado TI]],Definiciones!$A$549:$B$559,2,FALSE)</f>
        <v>1. DESARROLLO</v>
      </c>
      <c r="CY16" s="28">
        <f ca="1">1-Cartera1017[[#This Row],[Porcentaje avanzado desarrollo]]</f>
        <v>0</v>
      </c>
      <c r="CZ1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39</v>
      </c>
      <c r="DA16" s="28">
        <f ca="1">MAX(0,Cartera1017[[#This Row],[DURACIÓN DESARROLLO DIAS]]-Cartera1017[[#This Row],[Dias avanzados]])</f>
        <v>0</v>
      </c>
      <c r="DB16" s="28">
        <f ca="1">Cartera1017[[#This Row],[Dias avanzados]]*IFERROR(VLOOKUP(Cartera1017[[#This Row],[ID Mantenimiento]],MANT_HORAS[],2,FALSE),8)</f>
        <v>44.571428571428569</v>
      </c>
      <c r="DC16" s="28">
        <f ca="1">Cartera1017[[#This Row],[Dias faltantes]]*IFERROR(VLOOKUP(Cartera1017[[#This Row],[ID Mantenimiento]],MANT_HORAS[],2,FALSE),8)</f>
        <v>0</v>
      </c>
      <c r="DD16" s="28" t="str">
        <f>IF(Cartera1017[[#This Row],[Fin Producción]]=0,"Por definir",CONCATENATE(YEAR(Cartera1017[[#This Row],[Fin Producción]]),"-",ROUNDUP(MONTH(Cartera1017[[#This Row],[Fin Producción]]),0)))</f>
        <v>2026-6</v>
      </c>
      <c r="DE16" s="18" t="s">
        <v>510</v>
      </c>
      <c r="DH16" s="565"/>
    </row>
    <row r="17" spans="1:112" s="28" customFormat="1" ht="44.25" hidden="1" customHeight="1">
      <c r="A17" s="229" t="s">
        <v>615</v>
      </c>
      <c r="B17" s="18">
        <v>1501</v>
      </c>
      <c r="C17" s="18" t="s">
        <v>485</v>
      </c>
      <c r="D17" s="18" t="s">
        <v>616</v>
      </c>
      <c r="E17" s="39" t="s">
        <v>57</v>
      </c>
      <c r="F17" s="33" t="s">
        <v>58</v>
      </c>
      <c r="G17" s="19" t="s">
        <v>617</v>
      </c>
      <c r="H17" s="18" t="s">
        <v>59</v>
      </c>
      <c r="I17" s="18" t="s">
        <v>618</v>
      </c>
      <c r="J17" s="18" t="s">
        <v>619</v>
      </c>
      <c r="K17" s="20">
        <v>45044</v>
      </c>
      <c r="L17" s="43"/>
      <c r="M17" s="43" t="s">
        <v>620</v>
      </c>
      <c r="N17" s="43"/>
      <c r="O17" s="18" t="s">
        <v>530</v>
      </c>
      <c r="P17" s="18" t="s">
        <v>496</v>
      </c>
      <c r="Q17" s="18" t="s">
        <v>496</v>
      </c>
      <c r="R17" s="18" t="s">
        <v>497</v>
      </c>
      <c r="S17" s="18"/>
      <c r="T17" s="18" t="s">
        <v>621</v>
      </c>
      <c r="U17" s="18" t="s">
        <v>497</v>
      </c>
      <c r="V17" s="18"/>
      <c r="W17" s="18"/>
      <c r="X17" s="18"/>
      <c r="Y17" s="20" t="s">
        <v>622</v>
      </c>
      <c r="Z17" s="18" t="s">
        <v>499</v>
      </c>
      <c r="AA17" s="20">
        <v>45098</v>
      </c>
      <c r="AB17" s="18" t="s">
        <v>533</v>
      </c>
      <c r="AC17" s="18" t="s">
        <v>558</v>
      </c>
      <c r="AD17" s="18" t="s">
        <v>49</v>
      </c>
      <c r="AE17" s="39" t="s">
        <v>47</v>
      </c>
      <c r="AF17" s="18" t="s">
        <v>48</v>
      </c>
      <c r="AG17" s="14" t="str">
        <f>VLOOKUP(AF17,Tabla3[[Estado Requerimiento]:[Macro estado]],2,FALSE)</f>
        <v>02. En Proceso</v>
      </c>
      <c r="AH17" s="18"/>
      <c r="AI17" s="80">
        <v>45334</v>
      </c>
      <c r="AJ17" s="80"/>
      <c r="AK17" s="115">
        <v>45407</v>
      </c>
      <c r="AL17" s="115"/>
      <c r="AM17" s="121">
        <v>45898</v>
      </c>
      <c r="AN17" s="200"/>
      <c r="AO17" s="200"/>
      <c r="AP17" s="81">
        <f t="shared" si="0"/>
        <v>46094.400000000001</v>
      </c>
      <c r="AQ17" s="200"/>
      <c r="AR17" s="200"/>
      <c r="AS17" s="81">
        <f t="shared" si="1"/>
        <v>46101.4</v>
      </c>
      <c r="AT17" s="19" t="s">
        <v>623</v>
      </c>
      <c r="AU17" s="44" t="str">
        <f>VLOOKUP(Cartera1017[[#This Row],[Gerencia]],tbGerencia[#All],3,FALSE)</f>
        <v>RRHH</v>
      </c>
      <c r="AV17" s="44" t="str">
        <f>IFERROR(VLOOKUP(Cartera1017[[#This Row],[Subgerencia]],Definiciones!$A$90:$B$144,2,FALSE),"")</f>
        <v>AdministraciónPersonal</v>
      </c>
      <c r="AW17" s="44" t="str">
        <f>IF(OR(LEN(Cartera1017[[#This Row],[Fecha de Solicitud]])=0,(Cartera1017[[#This Row],[Fecha de Solicitud]])="No definido"),"No definido",IF(YEAR(Cartera1017[[#This Row],[Fecha de Solicitud]])&lt;2023," &lt;  2023",TEXT(Cartera1017[[#This Row],[Fecha de Solicitud]],"yyyy-mm")))</f>
        <v>2023-04</v>
      </c>
      <c r="AX17" s="44" t="str">
        <f>IF(Cartera1017[[#This Row],[Fecha de Priorización Comité]]="","No definido",TEXT(Cartera1017[[#This Row],[Fecha de Priorización Comité]],"yyyy-mm"))</f>
        <v>2023-06</v>
      </c>
      <c r="AY17" s="44" t="str">
        <f>IF(Cartera1017[[#This Row],[Fecha Fin- Desarrollo]]="","No definido",TEXT(Cartera1017[[#This Row],[Fecha Fin- Desarrollo]],"yyyy-mm"))</f>
        <v>No definido</v>
      </c>
      <c r="AZ17" s="44" t="str">
        <f>IF(Cartera1017[[#This Row],[Fecha Fin- Producción]]="","No definido",TEXT(Cartera1017[[#This Row],[Fecha Fin- Producción]],"yyyy-mm"))</f>
        <v>No definido</v>
      </c>
      <c r="BA17" s="44" t="str">
        <f>IF(Cartera1017[[#This Row],[Fecha Fin-Planificada]]="","No definido",TEXT(Cartera1017[[#This Row],[Fecha Fin-Planificada]],"yyyy-mm"))</f>
        <v>2026-03</v>
      </c>
      <c r="BB17" s="33"/>
      <c r="BC17" s="66"/>
      <c r="BD17" s="66"/>
      <c r="BE17" s="66"/>
      <c r="BF17" s="386">
        <v>45098</v>
      </c>
      <c r="BG17" s="387" t="s">
        <v>561</v>
      </c>
      <c r="BH1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 s="90" t="str">
        <f>IF(ISNUMBER(Cartera1017[[#This Row],[Duracion en Dias]]),Cartera1017[[#This Row],[Duracion en Dias]]/30, "No Aplica")</f>
        <v>No Aplica</v>
      </c>
      <c r="BJ17" s="109"/>
      <c r="BK17" s="28" t="s">
        <v>506</v>
      </c>
      <c r="BL17" s="110" t="s">
        <v>592</v>
      </c>
      <c r="BM17" s="342">
        <v>45923.786932870367</v>
      </c>
      <c r="BN17" s="227"/>
      <c r="BO17" s="227"/>
      <c r="BP17" s="227"/>
      <c r="BQ1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 s="14" t="str">
        <f>IFERROR(VLOOKUP(Cartera1017[[#This Row],[Aplicativo]],Tabla76[],2,FALSE),"Sin Aplicativo")</f>
        <v>BackOffice</v>
      </c>
      <c r="BS17" s="14" t="str">
        <f>IFERROR(VLOOKUP(Cartera1017[[#This Row],[Aplicativo]],Tabla76[],3,FALSE),"Sin Aplicativo")</f>
        <v>Otros Requerimientos</v>
      </c>
      <c r="BT17" s="400">
        <v>45870</v>
      </c>
      <c r="BU17" s="140">
        <v>45870</v>
      </c>
      <c r="BV17" s="28" t="s">
        <v>624</v>
      </c>
      <c r="BW17"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1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7" s="97" t="str">
        <f ca="1">IF(Cartera1017[[#This Row],[Fecha Fin2]]="","No definido",CONCATENATE(TEXT(Cartera1017[[#This Row],[Fecha Fin2]],"mmm")," ",YEAR(Cartera1017[[#This Row],[Fecha Fin2]])))</f>
        <v>Ago 2025</v>
      </c>
      <c r="BZ17" s="28">
        <v>2025</v>
      </c>
      <c r="CA17" s="48" t="str">
        <f>IF(Cartera1017[[#This Row],[Estado TI]] = "08. Producción Finalizada","Culminado",IF(Cartera1017[[#This Row],[Estado TI]]= "09. Descartado","Descartado","Activos"))</f>
        <v>Activos</v>
      </c>
      <c r="CC1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17" s="54" t="str">
        <f>IF(
AND(
Cartera1017[[#This Row],[DEVOLVER 27]]="NO",
NOT(ISBLANK(Cartera1017[[#This Row],[ESTADO NO DEVUELTOS 27]]))
),
"PRE",
"POST"
)</f>
        <v>PRE</v>
      </c>
      <c r="CE17" s="54" t="s">
        <v>509</v>
      </c>
      <c r="CF17" s="399" t="s">
        <v>48</v>
      </c>
      <c r="CG17"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17" s="406">
        <f>Cartera1017[[#This Row],[Porcentaje de Avance]]</f>
        <v>0.15</v>
      </c>
      <c r="CK17" s="417">
        <f ca="1">IF(
   OR(
     Cartera1017[[#This Row],[Estado TI]]="09. Descartado",
     Cartera1017[[#This Row],[Comienzo Desarrollo]]="",
     Cartera1017[[#This Row],[Fin Producción]]=""
   ),
   "",
   Cartera1017[[#This Row],[% PLANIFICADO]]-Cartera1017[[#This Row],[% COMPLETADO]]
)</f>
        <v>-0.15</v>
      </c>
      <c r="CL17" s="417" t="str">
        <f ca="1">IF(
   OR(
     Cartera1017[[#This Row],[Estado TI]]="09. Descartado",
     Cartera1017[[#This Row],[Comienzo Desarrollo]]="",
     Cartera1017[[#This Row],[Fin Producción]]="",
     Cartera1017[[#This Row],[% PLANIFICADO]]=0
   ),
   "",
   MIN(Cartera1017[[#This Row],[% COMPLETADO]]/Cartera1017[[#This Row],[% PLANIFICADO]],1.2)
)</f>
        <v/>
      </c>
      <c r="CM17" s="476">
        <v>46174</v>
      </c>
      <c r="CN17" s="377">
        <v>46174</v>
      </c>
      <c r="CO17" s="377">
        <v>46234</v>
      </c>
      <c r="CP17" s="377">
        <v>46235</v>
      </c>
      <c r="CQ17" s="377">
        <v>46254</v>
      </c>
      <c r="CR17" s="377">
        <v>46266</v>
      </c>
      <c r="CS17" s="377">
        <v>46272</v>
      </c>
      <c r="CT17" s="44">
        <f>IF(Cartera1017[[#This Row],[Fin Desarrollo]]="",25,IFERROR(NETWORKDAYS(Cartera1017[[#This Row],[Comienzo Desarrollo]],Cartera1017[[#This Row],[Fin Desarrollo]],FERIADOS[Fecha]),""))</f>
        <v>42</v>
      </c>
      <c r="CU1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V17" s="44">
        <f>IF(OR(Cartera1017[[#This Row],[Comienzo Desarrollo]]="",Cartera1017[[#This Row],[Fin Desarrollo]]=""),200,IFERROR(Cartera1017[[#This Row],[DURACIÓN DESARROLLO DIAS]]*VLOOKUP(Cartera1017[[#This Row],[ID Mantenimiento]],MANT_HORAS[],2,FALSE),200))</f>
        <v>67.2</v>
      </c>
      <c r="CW17" s="110"/>
      <c r="CX17" s="110" t="str">
        <f>VLOOKUP(Cartera1017[[#This Row],[Estado TI]],Definiciones!$A$549:$B$559,2,FALSE)</f>
        <v>1. DESARROLLO</v>
      </c>
      <c r="CY17" s="28">
        <f ca="1">1-Cartera1017[[#This Row],[Porcentaje avanzado desarrollo]]</f>
        <v>1</v>
      </c>
      <c r="CZ1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17" s="28">
        <f ca="1">MAX(0,Cartera1017[[#This Row],[DURACIÓN DESARROLLO DIAS]]-Cartera1017[[#This Row],[Dias avanzados]])</f>
        <v>42</v>
      </c>
      <c r="DB17" s="28">
        <f ca="1">Cartera1017[[#This Row],[Dias avanzados]]*IFERROR(VLOOKUP(Cartera1017[[#This Row],[ID Mantenimiento]],MANT_HORAS[],2,FALSE),8)</f>
        <v>0</v>
      </c>
      <c r="DC17" s="28">
        <f ca="1">Cartera1017[[#This Row],[Dias faltantes]]*IFERROR(VLOOKUP(Cartera1017[[#This Row],[ID Mantenimiento]],MANT_HORAS[],2,FALSE),8)</f>
        <v>67.2</v>
      </c>
      <c r="DD17" s="28" t="str">
        <f>IF(Cartera1017[[#This Row],[Fin Producción]]=0,"Por definir",CONCATENATE(YEAR(Cartera1017[[#This Row],[Fin Producción]]),"-",ROUNDUP(MONTH(Cartera1017[[#This Row],[Fin Producción]]),0)))</f>
        <v>2026-9</v>
      </c>
      <c r="DE17" s="18" t="s">
        <v>510</v>
      </c>
      <c r="DH17" s="565"/>
    </row>
    <row r="18" spans="1:112" s="28" customFormat="1" ht="44.25" hidden="1" customHeight="1">
      <c r="A18" s="229" t="s">
        <v>625</v>
      </c>
      <c r="B18" s="263">
        <v>1516</v>
      </c>
      <c r="C18" s="18" t="s">
        <v>485</v>
      </c>
      <c r="D18" s="343" t="s">
        <v>626</v>
      </c>
      <c r="E18" s="523" t="s">
        <v>60</v>
      </c>
      <c r="F18" s="265" t="s">
        <v>61</v>
      </c>
      <c r="G18" s="265" t="s">
        <v>627</v>
      </c>
      <c r="H18" s="263" t="s">
        <v>62</v>
      </c>
      <c r="I18" s="263" t="s">
        <v>628</v>
      </c>
      <c r="J18" s="263" t="s">
        <v>629</v>
      </c>
      <c r="K18" s="266">
        <v>45075</v>
      </c>
      <c r="L18" s="267" t="s">
        <v>630</v>
      </c>
      <c r="M18" s="267" t="s">
        <v>631</v>
      </c>
      <c r="N18" s="267"/>
      <c r="O18" s="263" t="s">
        <v>530</v>
      </c>
      <c r="P18" s="263" t="s">
        <v>496</v>
      </c>
      <c r="Q18" s="263" t="s">
        <v>496</v>
      </c>
      <c r="R18" s="263" t="s">
        <v>599</v>
      </c>
      <c r="S18" s="263" t="s">
        <v>599</v>
      </c>
      <c r="T18" s="263" t="s">
        <v>632</v>
      </c>
      <c r="U18" s="263" t="s">
        <v>633</v>
      </c>
      <c r="V18" s="263" t="s">
        <v>634</v>
      </c>
      <c r="W18" s="263"/>
      <c r="X18" s="263"/>
      <c r="Y18" s="268" t="s">
        <v>622</v>
      </c>
      <c r="Z18" s="263" t="s">
        <v>499</v>
      </c>
      <c r="AA18" s="266">
        <v>45098</v>
      </c>
      <c r="AB18" s="263" t="s">
        <v>533</v>
      </c>
      <c r="AC18" s="18" t="s">
        <v>570</v>
      </c>
      <c r="AD18" s="263" t="s">
        <v>49</v>
      </c>
      <c r="AE18" s="18" t="s">
        <v>63</v>
      </c>
      <c r="AF18" s="263" t="s">
        <v>53</v>
      </c>
      <c r="AG18" s="14" t="str">
        <f>VLOOKUP(AF18,Tabla3[[Estado Requerimiento]:[Macro estado]],2,FALSE)</f>
        <v>03. Culminado</v>
      </c>
      <c r="AH18" s="263"/>
      <c r="AI18" s="268">
        <v>45036</v>
      </c>
      <c r="AJ18" s="268"/>
      <c r="AK18" s="268">
        <v>45702</v>
      </c>
      <c r="AL18" s="268">
        <v>45708</v>
      </c>
      <c r="AM18" s="268">
        <v>45622</v>
      </c>
      <c r="AN18" s="268">
        <v>45709</v>
      </c>
      <c r="AO18" s="268">
        <v>45714</v>
      </c>
      <c r="AP18" s="81">
        <f t="shared" si="0"/>
        <v>45590</v>
      </c>
      <c r="AQ18" s="268">
        <v>45715</v>
      </c>
      <c r="AR18" s="268">
        <v>46091</v>
      </c>
      <c r="AS18" s="81">
        <f t="shared" si="1"/>
        <v>45597</v>
      </c>
      <c r="AT18" s="55" t="s">
        <v>635</v>
      </c>
      <c r="AU18" s="44" t="str">
        <f>VLOOKUP(Cartera1017[[#This Row],[Gerencia]],tbGerencia[#All],3,FALSE)</f>
        <v>Logística</v>
      </c>
      <c r="AV18" s="44" t="str">
        <f>IFERROR(VLOOKUP(Cartera1017[[#This Row],[Subgerencia]],Definiciones!$A$90:$B$144,2,FALSE),"")</f>
        <v>Servicios</v>
      </c>
      <c r="AW18" s="44" t="str">
        <f>IF(OR(LEN(Cartera1017[[#This Row],[Fecha de Solicitud]])=0,(Cartera1017[[#This Row],[Fecha de Solicitud]])="No definido"),"No definido",IF(YEAR(Cartera1017[[#This Row],[Fecha de Solicitud]])&lt;2023," &lt;  2023",TEXT(Cartera1017[[#This Row],[Fecha de Solicitud]],"yyyy-mm")))</f>
        <v>2023-05</v>
      </c>
      <c r="AX18" s="44" t="str">
        <f>IF(Cartera1017[[#This Row],[Fecha de Priorización Comité]]="","No definido",TEXT(Cartera1017[[#This Row],[Fecha de Priorización Comité]],"yyyy-mm"))</f>
        <v>2023-06</v>
      </c>
      <c r="AY18" s="44" t="str">
        <f>IF(Cartera1017[[#This Row],[Fecha Fin- Desarrollo]]="","No definido",TEXT(Cartera1017[[#This Row],[Fecha Fin- Desarrollo]],"yyyy-mm"))</f>
        <v>2025-02</v>
      </c>
      <c r="AZ18" s="44" t="str">
        <f>IF(Cartera1017[[#This Row],[Fecha Fin- Producción]]="","No definido",TEXT(Cartera1017[[#This Row],[Fecha Fin- Producción]],"yyyy-mm"))</f>
        <v>2026-03</v>
      </c>
      <c r="BA18" s="44" t="str">
        <f>IF(Cartera1017[[#This Row],[Fecha Fin-Planificada]]="","No definido",TEXT(Cartera1017[[#This Row],[Fecha Fin-Planificada]],"yyyy-mm"))</f>
        <v>2024-11</v>
      </c>
      <c r="BB18" s="33" t="s">
        <v>572</v>
      </c>
      <c r="BC18" s="66">
        <v>45547</v>
      </c>
      <c r="BD18" s="66">
        <v>45622</v>
      </c>
      <c r="BE18" s="66">
        <v>45622</v>
      </c>
      <c r="BF18" s="386">
        <v>45098</v>
      </c>
      <c r="BG18" s="387" t="s">
        <v>561</v>
      </c>
      <c r="BH1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389</v>
      </c>
      <c r="BI18" s="90">
        <f>IF(ISNUMBER(Cartera1017[[#This Row],[Duracion en Dias]]),Cartera1017[[#This Row],[Duracion en Dias]]/30, "No Aplica")</f>
        <v>12.966666666666667</v>
      </c>
      <c r="BJ18" s="109"/>
      <c r="BK18" s="28" t="s">
        <v>506</v>
      </c>
      <c r="BL18" s="110" t="s">
        <v>636</v>
      </c>
      <c r="BM18" s="342">
        <v>46091.710185185184</v>
      </c>
      <c r="BN18" s="227"/>
      <c r="BO18" s="227"/>
      <c r="BP18" s="227"/>
      <c r="BQ1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 s="14" t="str">
        <f>IFERROR(VLOOKUP(Cartera1017[[#This Row],[Aplicativo]],Tabla76[],2,FALSE),"Sin Aplicativo")</f>
        <v>BackOffice</v>
      </c>
      <c r="BS18" s="14" t="str">
        <f>IFERROR(VLOOKUP(Cartera1017[[#This Row],[Aplicativo]],Tabla76[],3,FALSE),"Sin Aplicativo")</f>
        <v>Otros Requerimientos</v>
      </c>
      <c r="BT18" s="400">
        <v>45717</v>
      </c>
      <c r="BU18" s="140">
        <v>45748</v>
      </c>
      <c r="BW1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1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 s="97" t="str">
        <f ca="1">IF(Cartera1017[[#This Row],[Fecha Fin2]]="","No definido",CONCATENATE(TEXT(Cartera1017[[#This Row],[Fecha Fin2]],"mmm")," ",YEAR(Cartera1017[[#This Row],[Fecha Fin2]])))</f>
        <v>Mar 2026</v>
      </c>
      <c r="CA18" s="48" t="str">
        <f>IF(Cartera1017[[#This Row],[Estado TI]] = "08. Producción Finalizada","Culminado",IF(Cartera1017[[#This Row],[Estado TI]]= "09. Descartado","Descartado","Activos"))</f>
        <v>Culminado</v>
      </c>
      <c r="CC1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8" s="54" t="str">
        <f>IF(
AND(
Cartera1017[[#This Row],[DEVOLVER 27]]="NO",
NOT(ISBLANK(Cartera1017[[#This Row],[ESTADO NO DEVUELTOS 27]]))
),
"PRE",
"POST"
)</f>
        <v>PRE</v>
      </c>
      <c r="CE18" s="54" t="s">
        <v>509</v>
      </c>
      <c r="CF18" s="28" t="s">
        <v>35</v>
      </c>
      <c r="CG1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 s="406">
        <f>Cartera1017[[#This Row],[Porcentaje de Avance]]</f>
        <v>1</v>
      </c>
      <c r="CK18" s="388">
        <f ca="1">IF(
   OR(
     Cartera1017[[#This Row],[Estado TI]]="09. Descartado",
     Cartera1017[[#This Row],[Comienzo Desarrollo]]="",
     Cartera1017[[#This Row],[Fin Producción]]=""
   ),
   "",
   Cartera1017[[#This Row],[% PLANIFICADO]]-Cartera1017[[#This Row],[% COMPLETADO]]
)</f>
        <v>0</v>
      </c>
      <c r="CL18" s="388">
        <f ca="1">IF(
   OR(
     Cartera1017[[#This Row],[Estado TI]]="09. Descartado",
     Cartera1017[[#This Row],[Comienzo Desarrollo]]="",
     Cartera1017[[#This Row],[Fin Producción]]="",
     Cartera1017[[#This Row],[% PLANIFICADO]]=0
   ),
   "",
   MIN(Cartera1017[[#This Row],[% COMPLETADO]]/Cartera1017[[#This Row],[% PLANIFICADO]],1.2)
)</f>
        <v>1</v>
      </c>
      <c r="CM18" s="377">
        <v>45702</v>
      </c>
      <c r="CN18" s="377">
        <v>45702</v>
      </c>
      <c r="CO18" s="377">
        <v>45708</v>
      </c>
      <c r="CP18" s="377">
        <v>45709</v>
      </c>
      <c r="CQ18" s="377">
        <v>45714</v>
      </c>
      <c r="CR18" s="377">
        <v>45726</v>
      </c>
      <c r="CS18" s="377">
        <v>46108</v>
      </c>
      <c r="CT18" s="44">
        <f>IF(Cartera1017[[#This Row],[Fin Desarrollo]]="",25,IFERROR(NETWORKDAYS(Cartera1017[[#This Row],[Comienzo Desarrollo]],Cartera1017[[#This Row],[Fin Desarrollo]],FERIADOS[Fecha]),""))</f>
        <v>5</v>
      </c>
      <c r="CU1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8" s="44">
        <f>IF(OR(Cartera1017[[#This Row],[Comienzo Desarrollo]]="",Cartera1017[[#This Row],[Fin Desarrollo]]=""),200,IFERROR(Cartera1017[[#This Row],[DURACIÓN DESARROLLO DIAS]]*VLOOKUP(Cartera1017[[#This Row],[ID Mantenimiento]],MANT_HORAS[],2,FALSE),200))</f>
        <v>200</v>
      </c>
      <c r="CW18" s="110"/>
      <c r="CX18" s="110" t="str">
        <f>VLOOKUP(Cartera1017[[#This Row],[Estado TI]],Definiciones!$A$549:$B$559,2,FALSE)</f>
        <v>4. PRODUCCIÓN</v>
      </c>
      <c r="CY18" s="28">
        <f ca="1">1-Cartera1017[[#This Row],[Porcentaje avanzado desarrollo]]</f>
        <v>0</v>
      </c>
      <c r="CZ1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DA18" s="28">
        <f ca="1">MAX(0,Cartera1017[[#This Row],[DURACIÓN DESARROLLO DIAS]]-Cartera1017[[#This Row],[Dias avanzados]])</f>
        <v>0</v>
      </c>
      <c r="DB18" s="28">
        <f ca="1">Cartera1017[[#This Row],[Dias avanzados]]*IFERROR(VLOOKUP(Cartera1017[[#This Row],[ID Mantenimiento]],MANT_HORAS[],2,FALSE),8)</f>
        <v>40</v>
      </c>
      <c r="DC18" s="28">
        <f ca="1">Cartera1017[[#This Row],[Dias faltantes]]*IFERROR(VLOOKUP(Cartera1017[[#This Row],[ID Mantenimiento]],MANT_HORAS[],2,FALSE),8)</f>
        <v>0</v>
      </c>
      <c r="DD18" s="28" t="str">
        <f>IF(Cartera1017[[#This Row],[Fin Producción]]=0,"Por definir",CONCATENATE(YEAR(Cartera1017[[#This Row],[Fin Producción]]),"-",ROUNDUP(MONTH(Cartera1017[[#This Row],[Fin Producción]]),0)))</f>
        <v>2026-3</v>
      </c>
      <c r="DE18" s="18" t="s">
        <v>510</v>
      </c>
      <c r="DH18" s="565"/>
    </row>
    <row r="19" spans="1:112" s="28" customFormat="1" ht="44.25" hidden="1" customHeight="1">
      <c r="A19" s="229" t="s">
        <v>637</v>
      </c>
      <c r="B19" s="263">
        <v>1590</v>
      </c>
      <c r="C19" s="18" t="s">
        <v>485</v>
      </c>
      <c r="D19" s="263" t="s">
        <v>638</v>
      </c>
      <c r="E19" s="523" t="s">
        <v>64</v>
      </c>
      <c r="F19" s="264" t="s">
        <v>65</v>
      </c>
      <c r="G19" s="265" t="s">
        <v>639</v>
      </c>
      <c r="H19" s="263" t="s">
        <v>26</v>
      </c>
      <c r="I19" s="263" t="s">
        <v>539</v>
      </c>
      <c r="J19" s="263" t="s">
        <v>554</v>
      </c>
      <c r="K19" s="266">
        <v>45100</v>
      </c>
      <c r="L19" s="267" t="s">
        <v>640</v>
      </c>
      <c r="M19" s="267" t="s">
        <v>641</v>
      </c>
      <c r="N19" s="267"/>
      <c r="O19" s="263" t="s">
        <v>642</v>
      </c>
      <c r="P19" s="263" t="s">
        <v>496</v>
      </c>
      <c r="Q19" s="263" t="s">
        <v>496</v>
      </c>
      <c r="R19" s="263" t="s">
        <v>497</v>
      </c>
      <c r="S19" s="263"/>
      <c r="T19" s="263"/>
      <c r="U19" s="263"/>
      <c r="V19" s="263"/>
      <c r="W19" s="263"/>
      <c r="X19" s="263"/>
      <c r="Y19" s="268"/>
      <c r="Z19" s="263" t="s">
        <v>499</v>
      </c>
      <c r="AA19" s="266">
        <v>45271</v>
      </c>
      <c r="AB19" s="263" t="s">
        <v>533</v>
      </c>
      <c r="AC19" s="18" t="s">
        <v>558</v>
      </c>
      <c r="AD19" s="263" t="s">
        <v>49</v>
      </c>
      <c r="AE19" s="18" t="s">
        <v>27</v>
      </c>
      <c r="AF19" s="18" t="s">
        <v>28</v>
      </c>
      <c r="AG19" s="14" t="str">
        <f>VLOOKUP(AF19,Tabla3[[Estado Requerimiento]:[Macro estado]],2,FALSE)</f>
        <v>04. Paralizado</v>
      </c>
      <c r="AH19" s="263" t="s">
        <v>559</v>
      </c>
      <c r="AI19" s="268">
        <v>45334</v>
      </c>
      <c r="AJ19" s="268"/>
      <c r="AK19" s="268">
        <v>46001</v>
      </c>
      <c r="AL19" s="268">
        <v>45915</v>
      </c>
      <c r="AM19" s="268"/>
      <c r="AN19" s="268">
        <v>45841</v>
      </c>
      <c r="AO19" s="268"/>
      <c r="AP19" s="81">
        <f t="shared" si="0"/>
        <v>45880.6</v>
      </c>
      <c r="AQ19" s="268"/>
      <c r="AR19" s="268"/>
      <c r="AS19" s="81">
        <f t="shared" si="1"/>
        <v>45887.6</v>
      </c>
      <c r="AT19" s="55" t="s">
        <v>643</v>
      </c>
      <c r="AU19" s="44" t="str">
        <f>VLOOKUP(Cartera1017[[#This Row],[Gerencia]],tbGerencia[#All],3,FALSE)</f>
        <v>B.Digital</v>
      </c>
      <c r="AV19" s="44" t="str">
        <f>IFERROR(VLOOKUP(Cartera1017[[#This Row],[Subgerencia]],Definiciones!$A$90:$B$144,2,FALSE),"")</f>
        <v>CanalesAlternos</v>
      </c>
      <c r="AW19" s="44" t="str">
        <f>IF(OR(LEN(Cartera1017[[#This Row],[Fecha de Solicitud]])=0,(Cartera1017[[#This Row],[Fecha de Solicitud]])="No definido"),"No definido",IF(YEAR(Cartera1017[[#This Row],[Fecha de Solicitud]])&lt;2023," &lt;  2023",TEXT(Cartera1017[[#This Row],[Fecha de Solicitud]],"yyyy-mm")))</f>
        <v>2023-06</v>
      </c>
      <c r="AX19" s="44" t="str">
        <f>IF(Cartera1017[[#This Row],[Fecha de Priorización Comité]]="","No definido",TEXT(Cartera1017[[#This Row],[Fecha de Priorización Comité]],"yyyy-mm"))</f>
        <v>2023-12</v>
      </c>
      <c r="AY19" s="44" t="str">
        <f>IF(Cartera1017[[#This Row],[Fecha Fin- Desarrollo]]="","No definido",TEXT(Cartera1017[[#This Row],[Fecha Fin- Desarrollo]],"yyyy-mm"))</f>
        <v>2025-09</v>
      </c>
      <c r="AZ19" s="44" t="str">
        <f>IF(Cartera1017[[#This Row],[Fecha Fin- Producción]]="","No definido",TEXT(Cartera1017[[#This Row],[Fecha Fin- Producción]],"yyyy-mm"))</f>
        <v>No definido</v>
      </c>
      <c r="BA19" s="44" t="str">
        <f>IF(Cartera1017[[#This Row],[Fecha Fin-Planificada]]="","No definido",TEXT(Cartera1017[[#This Row],[Fecha Fin-Planificada]],"yyyy-mm"))</f>
        <v>2025-08</v>
      </c>
      <c r="BB19" s="33"/>
      <c r="BC19" s="66"/>
      <c r="BD19" s="66"/>
      <c r="BE19" s="66"/>
      <c r="BF19" s="386">
        <v>45271</v>
      </c>
      <c r="BG19" s="387" t="s">
        <v>561</v>
      </c>
      <c r="BH1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9" s="90" t="str">
        <f>IF(ISNUMBER(Cartera1017[[#This Row],[Duracion en Dias]]),Cartera1017[[#This Row],[Duracion en Dias]]/30, "No Aplica")</f>
        <v>No Aplica</v>
      </c>
      <c r="BJ19" s="109"/>
      <c r="BK19" s="28" t="s">
        <v>506</v>
      </c>
      <c r="BL19" s="110" t="s">
        <v>562</v>
      </c>
      <c r="BM19" s="342">
        <v>46007.380937499998</v>
      </c>
      <c r="BN19" s="227"/>
      <c r="BO19" s="227"/>
      <c r="BP19" s="227"/>
      <c r="BQ1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9" s="14" t="str">
        <f>IFERROR(VLOOKUP(Cartera1017[[#This Row],[Aplicativo]],Tabla76[],2,FALSE),"Sin Aplicativo")</f>
        <v>Sin Aplicativo</v>
      </c>
      <c r="BS19" s="14" t="str">
        <f>IFERROR(VLOOKUP(Cartera1017[[#This Row],[Aplicativo]],Tabla76[],3,FALSE),"Sin Aplicativo")</f>
        <v>Sin Aplicativo</v>
      </c>
      <c r="BT19" s="400">
        <v>45809</v>
      </c>
      <c r="BU19" s="140">
        <v>45809</v>
      </c>
      <c r="BV19" s="28" t="s">
        <v>644</v>
      </c>
      <c r="BW19"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45838</v>
      </c>
      <c r="BX1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9" s="97" t="str">
        <f ca="1">IF(Cartera1017[[#This Row],[Fecha Fin2]]="","No definido",CONCATENATE(TEXT(Cartera1017[[#This Row],[Fecha Fin2]],"mmm")," ",YEAR(Cartera1017[[#This Row],[Fecha Fin2]])))</f>
        <v>Jun 2025</v>
      </c>
      <c r="BZ19" s="28">
        <v>2025</v>
      </c>
      <c r="CA19" s="48" t="str">
        <f>IF(Cartera1017[[#This Row],[Estado TI]] = "08. Producción Finalizada","Culminado",IF(Cartera1017[[#This Row],[Estado TI]]= "09. Descartado","Descartado","Activos"))</f>
        <v>Activos</v>
      </c>
      <c r="CB19" s="28" t="s">
        <v>645</v>
      </c>
      <c r="CC1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9" s="54" t="str">
        <f>IF(
AND(
Cartera1017[[#This Row],[DEVOLVER 27]]="NO",
NOT(ISBLANK(Cartera1017[[#This Row],[ESTADO NO DEVUELTOS 27]]))
),
"PRE",
"POST"
)</f>
        <v>PRE</v>
      </c>
      <c r="CE19" s="54" t="s">
        <v>509</v>
      </c>
      <c r="CF19" s="28" t="s">
        <v>48</v>
      </c>
      <c r="CG1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19" s="406">
        <f>Cartera1017[[#This Row],[Porcentaje de Avance]]</f>
        <v>0.12</v>
      </c>
      <c r="CK19" s="388">
        <f ca="1">IF(
   OR(
     Cartera1017[[#This Row],[Estado TI]]="09. Descartado",
     Cartera1017[[#This Row],[Comienzo Desarrollo]]="",
     Cartera1017[[#This Row],[Fin Producción]]=""
   ),
   "",
   Cartera1017[[#This Row],[% PLANIFICADO]]-Cartera1017[[#This Row],[% COMPLETADO]]
)</f>
        <v>-0.12</v>
      </c>
      <c r="CL19" s="388" t="str">
        <f ca="1">IF(
   OR(
     Cartera1017[[#This Row],[Estado TI]]="09. Descartado",
     Cartera1017[[#This Row],[Comienzo Desarrollo]]="",
     Cartera1017[[#This Row],[Fin Producción]]="",
     Cartera1017[[#This Row],[% PLANIFICADO]]=0
   ),
   "",
   MIN(Cartera1017[[#This Row],[% COMPLETADO]]/Cartera1017[[#This Row],[% PLANIFICADO]],1.2)
)</f>
        <v/>
      </c>
      <c r="CM19" s="377"/>
      <c r="CN19" s="377">
        <v>46204</v>
      </c>
      <c r="CO19" s="377">
        <v>46264</v>
      </c>
      <c r="CP19" s="377">
        <v>46266</v>
      </c>
      <c r="CQ19" s="377">
        <v>46295</v>
      </c>
      <c r="CR19" s="377">
        <v>46296</v>
      </c>
      <c r="CS19" s="377">
        <v>46300</v>
      </c>
      <c r="CT19" s="44">
        <f>IF(Cartera1017[[#This Row],[Fin Desarrollo]]="",25,IFERROR(NETWORKDAYS(Cartera1017[[#This Row],[Comienzo Desarrollo]],Cartera1017[[#This Row],[Fin Desarrollo]],FERIADOS[Fecha]),""))</f>
        <v>41</v>
      </c>
      <c r="CU1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V19" s="44">
        <f>IF(OR(Cartera1017[[#This Row],[Comienzo Desarrollo]]="",Cartera1017[[#This Row],[Fin Desarrollo]]=""),200,IFERROR(Cartera1017[[#This Row],[DURACIÓN DESARROLLO DIAS]]*VLOOKUP(Cartera1017[[#This Row],[ID Mantenimiento]],MANT_HORAS[],2,FALSE),200))</f>
        <v>200</v>
      </c>
      <c r="CW19" s="110" t="s">
        <v>544</v>
      </c>
      <c r="CX19" s="110" t="str">
        <f>VLOOKUP(Cartera1017[[#This Row],[Estado TI]],Definiciones!$A$549:$B$559,2,FALSE)</f>
        <v>6. PARALIZADO</v>
      </c>
      <c r="CY19" s="28">
        <f ca="1">1-Cartera1017[[#This Row],[Porcentaje avanzado desarrollo]]</f>
        <v>1</v>
      </c>
      <c r="CZ1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19" s="28">
        <f ca="1">MAX(0,Cartera1017[[#This Row],[DURACIÓN DESARROLLO DIAS]]-Cartera1017[[#This Row],[Dias avanzados]])</f>
        <v>41</v>
      </c>
      <c r="DB19" s="28">
        <f ca="1">Cartera1017[[#This Row],[Dias avanzados]]*IFERROR(VLOOKUP(Cartera1017[[#This Row],[ID Mantenimiento]],MANT_HORAS[],2,FALSE),8)</f>
        <v>0</v>
      </c>
      <c r="DC19" s="28">
        <f ca="1">Cartera1017[[#This Row],[Dias faltantes]]*IFERROR(VLOOKUP(Cartera1017[[#This Row],[ID Mantenimiento]],MANT_HORAS[],2,FALSE),8)</f>
        <v>328</v>
      </c>
      <c r="DD19" s="28" t="str">
        <f>IF(Cartera1017[[#This Row],[Fin Producción]]=0,"Por definir",CONCATENATE(YEAR(Cartera1017[[#This Row],[Fin Producción]]),"-",ROUNDUP(MONTH(Cartera1017[[#This Row],[Fin Producción]]),0)))</f>
        <v>2026-10</v>
      </c>
      <c r="DE19" s="18" t="s">
        <v>510</v>
      </c>
      <c r="DH19" s="565"/>
    </row>
    <row r="20" spans="1:112" s="28" customFormat="1" ht="44.25" hidden="1" customHeight="1">
      <c r="A20" s="229" t="s">
        <v>646</v>
      </c>
      <c r="B20" s="263">
        <v>1715</v>
      </c>
      <c r="C20" s="18" t="s">
        <v>485</v>
      </c>
      <c r="D20" s="263" t="s">
        <v>647</v>
      </c>
      <c r="E20" s="263" t="s">
        <v>66</v>
      </c>
      <c r="F20" s="269" t="s">
        <v>67</v>
      </c>
      <c r="G20" s="265" t="s">
        <v>648</v>
      </c>
      <c r="H20" s="263" t="s">
        <v>26</v>
      </c>
      <c r="I20" s="263" t="s">
        <v>539</v>
      </c>
      <c r="J20" s="263" t="s">
        <v>540</v>
      </c>
      <c r="K20" s="266">
        <v>45167</v>
      </c>
      <c r="L20" s="267" t="s">
        <v>649</v>
      </c>
      <c r="M20" s="267" t="s">
        <v>556</v>
      </c>
      <c r="N20" s="267" t="s">
        <v>650</v>
      </c>
      <c r="O20" s="263" t="s">
        <v>651</v>
      </c>
      <c r="P20" s="263" t="s">
        <v>549</v>
      </c>
      <c r="Q20" s="263"/>
      <c r="R20" s="263" t="s">
        <v>599</v>
      </c>
      <c r="S20" s="263" t="s">
        <v>599</v>
      </c>
      <c r="T20" s="263" t="s">
        <v>652</v>
      </c>
      <c r="U20" s="263" t="s">
        <v>653</v>
      </c>
      <c r="V20" s="263"/>
      <c r="W20" s="263"/>
      <c r="X20" s="263"/>
      <c r="Y20" s="268">
        <v>45499</v>
      </c>
      <c r="Z20" s="263" t="s">
        <v>499</v>
      </c>
      <c r="AA20" s="266">
        <v>45271</v>
      </c>
      <c r="AB20" s="263" t="s">
        <v>500</v>
      </c>
      <c r="AC20" s="263" t="s">
        <v>570</v>
      </c>
      <c r="AD20" s="348" t="s">
        <v>30</v>
      </c>
      <c r="AE20" s="18" t="s">
        <v>27</v>
      </c>
      <c r="AF20" s="263" t="s">
        <v>42</v>
      </c>
      <c r="AG20" s="14" t="str">
        <f>VLOOKUP(AF20,Tabla3[[Estado Requerimiento]:[Macro estado]],2,FALSE)</f>
        <v>02. En Proceso</v>
      </c>
      <c r="AH20" s="263"/>
      <c r="AI20" s="268">
        <v>45282</v>
      </c>
      <c r="AJ20" s="268"/>
      <c r="AK20" s="268">
        <v>45490</v>
      </c>
      <c r="AL20" s="268">
        <v>45863</v>
      </c>
      <c r="AM20" s="268">
        <v>45680</v>
      </c>
      <c r="AN20" s="268">
        <v>45872</v>
      </c>
      <c r="AO20" s="268">
        <v>45902</v>
      </c>
      <c r="AP20" s="81">
        <f t="shared" si="0"/>
        <v>45756</v>
      </c>
      <c r="AQ20" s="268"/>
      <c r="AR20" s="268"/>
      <c r="AS20" s="81">
        <f t="shared" si="1"/>
        <v>45763</v>
      </c>
      <c r="AT20" s="19" t="s">
        <v>654</v>
      </c>
      <c r="AU20" s="44" t="str">
        <f>VLOOKUP(Cartera1017[[#This Row],[Gerencia]],tbGerencia[#All],3,FALSE)</f>
        <v>B.Digital</v>
      </c>
      <c r="AV20" s="44" t="str">
        <f>IFERROR(VLOOKUP(Cartera1017[[#This Row],[Subgerencia]],Definiciones!$A$90:$B$144,2,FALSE),"")</f>
        <v>CanalesAlternos</v>
      </c>
      <c r="AW20" s="44" t="str">
        <f>IF(OR(LEN(Cartera1017[[#This Row],[Fecha de Solicitud]])=0,(Cartera1017[[#This Row],[Fecha de Solicitud]])="No definido"),"No definido",IF(YEAR(Cartera1017[[#This Row],[Fecha de Solicitud]])&lt;2023," &lt;  2023",TEXT(Cartera1017[[#This Row],[Fecha de Solicitud]],"yyyy-mm")))</f>
        <v>2023-08</v>
      </c>
      <c r="AX20" s="44" t="str">
        <f>IF(Cartera1017[[#This Row],[Fecha de Priorización Comité]]="","No definido",TEXT(Cartera1017[[#This Row],[Fecha de Priorización Comité]],"yyyy-mm"))</f>
        <v>2023-12</v>
      </c>
      <c r="AY20" s="44" t="str">
        <f>IF(Cartera1017[[#This Row],[Fecha Fin- Desarrollo]]="","No definido",TEXT(Cartera1017[[#This Row],[Fecha Fin- Desarrollo]],"yyyy-mm"))</f>
        <v>2025-07</v>
      </c>
      <c r="AZ20" s="44" t="str">
        <f>IF(Cartera1017[[#This Row],[Fecha Fin- Producción]]="","No definido",TEXT(Cartera1017[[#This Row],[Fecha Fin- Producción]],"yyyy-mm"))</f>
        <v>No definido</v>
      </c>
      <c r="BA20" s="44" t="str">
        <f>IF(Cartera1017[[#This Row],[Fecha Fin-Planificada]]="","No definido",TEXT(Cartera1017[[#This Row],[Fecha Fin-Planificada]],"yyyy-mm"))</f>
        <v>2025-04</v>
      </c>
      <c r="BB20" s="33" t="s">
        <v>604</v>
      </c>
      <c r="BC20" s="66">
        <v>45453</v>
      </c>
      <c r="BD20" s="66">
        <v>45680</v>
      </c>
      <c r="BE20" s="66">
        <v>45680</v>
      </c>
      <c r="BF20" s="386">
        <v>45271</v>
      </c>
      <c r="BG20" s="387" t="s">
        <v>561</v>
      </c>
      <c r="BH2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 s="90" t="str">
        <f>IF(ISNUMBER(Cartera1017[[#This Row],[Duracion en Dias]]),Cartera1017[[#This Row],[Duracion en Dias]]/30, "No Aplica")</f>
        <v>No Aplica</v>
      </c>
      <c r="BJ20" s="109"/>
      <c r="BK20" s="28" t="s">
        <v>506</v>
      </c>
      <c r="BL20" s="110" t="s">
        <v>655</v>
      </c>
      <c r="BM20" s="342">
        <v>45992.642268518517</v>
      </c>
      <c r="BN20" s="227"/>
      <c r="BO20" s="227"/>
      <c r="BP20" s="227"/>
      <c r="BQ2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0" s="14" t="str">
        <f>IFERROR(VLOOKUP(Cartera1017[[#This Row],[Aplicativo]],Tabla76[],2,FALSE),"Sin Aplicativo")</f>
        <v>ATM-Agentes-VISA</v>
      </c>
      <c r="BS20" s="14" t="str">
        <f>IFERROR(VLOOKUP(Cartera1017[[#This Row],[Aplicativo]],Tabla76[],3,FALSE),"Sin Aplicativo")</f>
        <v>Canales Presenciales</v>
      </c>
      <c r="BT20" s="162">
        <v>45778</v>
      </c>
      <c r="BU20" s="162">
        <v>45778</v>
      </c>
      <c r="BV20" s="28" t="s">
        <v>656</v>
      </c>
      <c r="BW20"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2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0" s="97" t="str">
        <f ca="1">IF(Cartera1017[[#This Row],[Fecha Fin2]]="","No definido",CONCATENATE(TEXT(Cartera1017[[#This Row],[Fecha Fin2]],"mmm")," ",YEAR(Cartera1017[[#This Row],[Fecha Fin2]])))</f>
        <v>May 2025</v>
      </c>
      <c r="BZ20" s="28">
        <v>2025</v>
      </c>
      <c r="CA20" s="48" t="str">
        <f>IF(Cartera1017[[#This Row],[Estado TI]] = "08. Producción Finalizada","Culminado",IF(Cartera1017[[#This Row],[Estado TI]]= "09. Descartado","Descartado","Activos"))</f>
        <v>Activos</v>
      </c>
      <c r="CB20" s="28" t="s">
        <v>657</v>
      </c>
      <c r="CC2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20" s="54" t="str">
        <f>IF(
AND(
Cartera1017[[#This Row],[DEVOLVER 27]]="NO",
NOT(ISBLANK(Cartera1017[[#This Row],[ESTADO NO DEVUELTOS 27]]))
),
"PRE",
"POST"
)</f>
        <v>PRE</v>
      </c>
      <c r="CE20" s="54" t="s">
        <v>509</v>
      </c>
      <c r="CF20" s="28" t="s">
        <v>42</v>
      </c>
      <c r="CG2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0" s="406">
        <f>Cartera1017[[#This Row],[Porcentaje de Avance]]</f>
        <v>0.85</v>
      </c>
      <c r="CK20" s="388">
        <f ca="1">IF(
   OR(
     Cartera1017[[#This Row],[Estado TI]]="09. Descartado",
     Cartera1017[[#This Row],[Comienzo Desarrollo]]="",
     Cartera1017[[#This Row],[Fin Producción]]=""
   ),
   "",
   Cartera1017[[#This Row],[% PLANIFICADO]]-Cartera1017[[#This Row],[% COMPLETADO]]
)</f>
        <v>0.15000000000000002</v>
      </c>
      <c r="CL20" s="388">
        <f ca="1">IF(
   OR(
     Cartera1017[[#This Row],[Estado TI]]="09. Descartado",
     Cartera1017[[#This Row],[Comienzo Desarrollo]]="",
     Cartera1017[[#This Row],[Fin Producción]]="",
     Cartera1017[[#This Row],[% PLANIFICADO]]=0
   ),
   "",
   MIN(Cartera1017[[#This Row],[% COMPLETADO]]/Cartera1017[[#This Row],[% PLANIFICADO]],1.2)
)</f>
        <v>0.85</v>
      </c>
      <c r="CM20" s="377">
        <v>45490</v>
      </c>
      <c r="CN20" s="377">
        <v>45490</v>
      </c>
      <c r="CO20" s="377">
        <v>45863</v>
      </c>
      <c r="CP20" s="377">
        <v>45872</v>
      </c>
      <c r="CQ20" s="377">
        <v>45902</v>
      </c>
      <c r="CR20" s="377">
        <v>46072</v>
      </c>
      <c r="CS20" s="377">
        <v>46108</v>
      </c>
      <c r="CT20" s="44">
        <f>IF(Cartera1017[[#This Row],[Fin Desarrollo]]="",25,IFERROR(NETWORKDAYS(Cartera1017[[#This Row],[Comienzo Desarrollo]],Cartera1017[[#This Row],[Fin Desarrollo]],FERIADOS[Fecha]),""))</f>
        <v>253</v>
      </c>
      <c r="CU2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20" s="44">
        <f>IF(OR(Cartera1017[[#This Row],[Comienzo Desarrollo]]="",Cartera1017[[#This Row],[Fin Desarrollo]]=""),200,IFERROR(Cartera1017[[#This Row],[DURACIÓN DESARROLLO DIAS]]*VLOOKUP(Cartera1017[[#This Row],[ID Mantenimiento]],MANT_HORAS[],2,FALSE),200))</f>
        <v>200</v>
      </c>
      <c r="CW20" s="110"/>
      <c r="CX20" s="110" t="str">
        <f>VLOOKUP(Cartera1017[[#This Row],[Estado TI]],Definiciones!$A$549:$B$559,2,FALSE)</f>
        <v>2. CALIDAD</v>
      </c>
      <c r="CY20" s="28">
        <f ca="1">1-Cartera1017[[#This Row],[Porcentaje avanzado desarrollo]]</f>
        <v>0</v>
      </c>
      <c r="CZ2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253</v>
      </c>
      <c r="DA20" s="28">
        <f ca="1">MAX(0,Cartera1017[[#This Row],[DURACIÓN DESARROLLO DIAS]]-Cartera1017[[#This Row],[Dias avanzados]])</f>
        <v>0</v>
      </c>
      <c r="DB20" s="28">
        <f ca="1">Cartera1017[[#This Row],[Dias avanzados]]*IFERROR(VLOOKUP(Cartera1017[[#This Row],[ID Mantenimiento]],MANT_HORAS[],2,FALSE),8)</f>
        <v>2024</v>
      </c>
      <c r="DC20" s="28">
        <f ca="1">Cartera1017[[#This Row],[Dias faltantes]]*IFERROR(VLOOKUP(Cartera1017[[#This Row],[ID Mantenimiento]],MANT_HORAS[],2,FALSE),8)</f>
        <v>0</v>
      </c>
      <c r="DD20" s="28" t="str">
        <f>IF(Cartera1017[[#This Row],[Fin Producción]]=0,"Por definir",CONCATENATE(YEAR(Cartera1017[[#This Row],[Fin Producción]]),"-",ROUNDUP(MONTH(Cartera1017[[#This Row],[Fin Producción]]),0)))</f>
        <v>2026-3</v>
      </c>
      <c r="DE20" s="18" t="s">
        <v>510</v>
      </c>
      <c r="DF20" s="28" t="s">
        <v>658</v>
      </c>
      <c r="DG20" s="28" t="s">
        <v>659</v>
      </c>
      <c r="DH20" s="565"/>
    </row>
    <row r="21" spans="1:112" s="28" customFormat="1" ht="44.25" hidden="1" customHeight="1">
      <c r="A21" s="229" t="s">
        <v>660</v>
      </c>
      <c r="B21" s="263">
        <v>1779</v>
      </c>
      <c r="C21" s="18" t="s">
        <v>485</v>
      </c>
      <c r="D21" s="263" t="s">
        <v>661</v>
      </c>
      <c r="E21" s="263" t="s">
        <v>68</v>
      </c>
      <c r="F21" s="264" t="s">
        <v>69</v>
      </c>
      <c r="G21" s="265"/>
      <c r="H21" s="263" t="s">
        <v>40</v>
      </c>
      <c r="I21" s="263" t="s">
        <v>490</v>
      </c>
      <c r="J21" s="263" t="s">
        <v>662</v>
      </c>
      <c r="K21" s="266">
        <v>45189</v>
      </c>
      <c r="L21" s="267" t="s">
        <v>663</v>
      </c>
      <c r="M21" s="267" t="s">
        <v>664</v>
      </c>
      <c r="N21" s="43"/>
      <c r="O21" s="263" t="s">
        <v>494</v>
      </c>
      <c r="P21" s="263" t="s">
        <v>495</v>
      </c>
      <c r="Q21" s="263" t="s">
        <v>496</v>
      </c>
      <c r="R21" s="263" t="s">
        <v>497</v>
      </c>
      <c r="S21" s="263"/>
      <c r="T21" s="263" t="s">
        <v>495</v>
      </c>
      <c r="U21" s="18" t="s">
        <v>495</v>
      </c>
      <c r="V21" s="18" t="s">
        <v>495</v>
      </c>
      <c r="W21" s="18" t="s">
        <v>495</v>
      </c>
      <c r="X21" s="18" t="s">
        <v>495</v>
      </c>
      <c r="Y21" s="80" t="s">
        <v>495</v>
      </c>
      <c r="Z21" s="263" t="s">
        <v>499</v>
      </c>
      <c r="AA21" s="266">
        <v>45271</v>
      </c>
      <c r="AB21" s="263" t="s">
        <v>500</v>
      </c>
      <c r="AC21" s="263" t="s">
        <v>558</v>
      </c>
      <c r="AD21" s="263" t="s">
        <v>54</v>
      </c>
      <c r="AE21" s="18" t="s">
        <v>41</v>
      </c>
      <c r="AF21" s="263" t="s">
        <v>48</v>
      </c>
      <c r="AG21" s="14" t="str">
        <f>VLOOKUP(AF21,Tabla3[[Estado Requerimiento]:[Macro estado]],2,FALSE)</f>
        <v>02. En Proceso</v>
      </c>
      <c r="AH21" s="263"/>
      <c r="AI21" s="268">
        <v>45202</v>
      </c>
      <c r="AJ21" s="268"/>
      <c r="AK21" s="268">
        <v>46142</v>
      </c>
      <c r="AL21" s="268">
        <v>45624</v>
      </c>
      <c r="AM21" s="268"/>
      <c r="AN21" s="268">
        <v>45659</v>
      </c>
      <c r="AO21" s="268">
        <v>45660</v>
      </c>
      <c r="AP21" s="81">
        <f t="shared" si="0"/>
        <v>45416.800000000003</v>
      </c>
      <c r="AQ21" s="268">
        <v>46106</v>
      </c>
      <c r="AR21" s="268"/>
      <c r="AS21" s="81">
        <f t="shared" si="1"/>
        <v>45423.8</v>
      </c>
      <c r="AT21" s="19" t="s">
        <v>665</v>
      </c>
      <c r="AU21" s="44" t="str">
        <f>VLOOKUP(Cartera1017[[#This Row],[Gerencia]],tbGerencia[#All],3,FALSE)</f>
        <v>Operac.</v>
      </c>
      <c r="AV21" s="44" t="str">
        <f>IFERROR(VLOOKUP(Cartera1017[[#This Row],[Subgerencia]],Definiciones!$A$90:$B$144,2,FALSE),"")</f>
        <v>BancariosRecaudación</v>
      </c>
      <c r="AW21" s="44" t="str">
        <f>IF(OR(LEN(Cartera1017[[#This Row],[Fecha de Solicitud]])=0,(Cartera1017[[#This Row],[Fecha de Solicitud]])="No definido"),"No definido",IF(YEAR(Cartera1017[[#This Row],[Fecha de Solicitud]])&lt;2023," &lt;  2023",TEXT(Cartera1017[[#This Row],[Fecha de Solicitud]],"yyyy-mm")))</f>
        <v>2023-09</v>
      </c>
      <c r="AX21" s="44" t="str">
        <f>IF(Cartera1017[[#This Row],[Fecha de Priorización Comité]]="","No definido",TEXT(Cartera1017[[#This Row],[Fecha de Priorización Comité]],"yyyy-mm"))</f>
        <v>2023-12</v>
      </c>
      <c r="AY21" s="44" t="str">
        <f>IF(Cartera1017[[#This Row],[Fecha Fin- Desarrollo]]="","No definido",TEXT(Cartera1017[[#This Row],[Fecha Fin- Desarrollo]],"yyyy-mm"))</f>
        <v>2024-11</v>
      </c>
      <c r="AZ21" s="44" t="str">
        <f>IF(Cartera1017[[#This Row],[Fecha Fin- Producción]]="","No definido",TEXT(Cartera1017[[#This Row],[Fecha Fin- Producción]],"yyyy-mm"))</f>
        <v>No definido</v>
      </c>
      <c r="BA21" s="44" t="str">
        <f>IF(Cartera1017[[#This Row],[Fecha Fin-Planificada]]="","No definido",TEXT(Cartera1017[[#This Row],[Fecha Fin-Planificada]],"yyyy-mm"))</f>
        <v>2024-05</v>
      </c>
      <c r="BB21" s="33"/>
      <c r="BC21" s="66"/>
      <c r="BD21" s="66"/>
      <c r="BE21" s="66"/>
      <c r="BF21" s="386">
        <v>45271</v>
      </c>
      <c r="BG21" s="387" t="s">
        <v>561</v>
      </c>
      <c r="BH2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 s="90" t="str">
        <f>IF(ISNUMBER(Cartera1017[[#This Row],[Duracion en Dias]]),Cartera1017[[#This Row],[Duracion en Dias]]/30, "No Aplica")</f>
        <v>No Aplica</v>
      </c>
      <c r="BJ21" s="109"/>
      <c r="BK21" s="28" t="s">
        <v>506</v>
      </c>
      <c r="BL21" s="110" t="s">
        <v>592</v>
      </c>
      <c r="BM21" s="342">
        <v>46142.396874999999</v>
      </c>
      <c r="BN21" s="227"/>
      <c r="BO21" s="227"/>
      <c r="BP21" s="227"/>
      <c r="BQ2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1" s="14" t="str">
        <f>IFERROR(VLOOKUP(Cartera1017[[#This Row],[Aplicativo]],Tabla76[],2,FALSE),"Sin Aplicativo")</f>
        <v>BackOffice</v>
      </c>
      <c r="BS21" s="14" t="str">
        <f>IFERROR(VLOOKUP(Cartera1017[[#This Row],[Aplicativo]],Tabla76[],3,FALSE),"Sin Aplicativo")</f>
        <v>Otros Requerimientos</v>
      </c>
      <c r="BT21" s="400">
        <v>45689</v>
      </c>
      <c r="BU21" s="140">
        <v>45689</v>
      </c>
      <c r="BW2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45716</v>
      </c>
      <c r="BX2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1" s="97" t="str">
        <f ca="1">IF(Cartera1017[[#This Row],[Fecha Fin2]]="","No definido",CONCATENATE(TEXT(Cartera1017[[#This Row],[Fecha Fin2]],"mmm")," ",YEAR(Cartera1017[[#This Row],[Fecha Fin2]])))</f>
        <v>Feb 2025</v>
      </c>
      <c r="CA21" s="48" t="str">
        <f>IF(Cartera1017[[#This Row],[Estado TI]] = "08. Producción Finalizada","Culminado",IF(Cartera1017[[#This Row],[Estado TI]]= "09. Descartado","Descartado","Activos"))</f>
        <v>Activos</v>
      </c>
      <c r="CC2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1" s="54" t="str">
        <f>IF(
AND(
Cartera1017[[#This Row],[DEVOLVER 27]]="NO",
NOT(ISBLANK(Cartera1017[[#This Row],[ESTADO NO DEVUELTOS 27]]))
),
"PRE",
"POST"
)</f>
        <v>PRE</v>
      </c>
      <c r="CE21" s="54" t="s">
        <v>509</v>
      </c>
      <c r="CF21" s="28" t="s">
        <v>42</v>
      </c>
      <c r="CG2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1" s="406">
        <f>Cartera1017[[#This Row],[Porcentaje de Avance]]</f>
        <v>0.15</v>
      </c>
      <c r="CK21" s="388">
        <f ca="1">IF(
   OR(
     Cartera1017[[#This Row],[Estado TI]]="09. Descartado",
     Cartera1017[[#This Row],[Comienzo Desarrollo]]="",
     Cartera1017[[#This Row],[Fin Producción]]=""
   ),
   "",
   Cartera1017[[#This Row],[% PLANIFICADO]]-Cartera1017[[#This Row],[% COMPLETADO]]
)</f>
        <v>0.85</v>
      </c>
      <c r="CL21" s="388">
        <f ca="1">IF(
   OR(
     Cartera1017[[#This Row],[Estado TI]]="09. Descartado",
     Cartera1017[[#This Row],[Comienzo Desarrollo]]="",
     Cartera1017[[#This Row],[Fin Producción]]="",
     Cartera1017[[#This Row],[% PLANIFICADO]]=0
   ),
   "",
   MIN(Cartera1017[[#This Row],[% COMPLETADO]]/Cartera1017[[#This Row],[% PLANIFICADO]],1.2)
)</f>
        <v>0.15</v>
      </c>
      <c r="CM21" s="377">
        <v>45470</v>
      </c>
      <c r="CN21" s="377">
        <v>45470</v>
      </c>
      <c r="CO21" s="377">
        <v>45624</v>
      </c>
      <c r="CP21" s="377">
        <v>45659</v>
      </c>
      <c r="CQ21" s="377">
        <v>45660</v>
      </c>
      <c r="CR21" s="377">
        <v>46072</v>
      </c>
      <c r="CS21" s="377">
        <v>46108</v>
      </c>
      <c r="CT21" s="44">
        <f>IF(Cartera1017[[#This Row],[Fin Desarrollo]]="",25,IFERROR(NETWORKDAYS(Cartera1017[[#This Row],[Comienzo Desarrollo]],Cartera1017[[#This Row],[Fin Desarrollo]],FERIADOS[Fecha]),""))</f>
        <v>105</v>
      </c>
      <c r="CU2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21" s="44">
        <f>IF(OR(Cartera1017[[#This Row],[Comienzo Desarrollo]]="",Cartera1017[[#This Row],[Fin Desarrollo]]=""),200,IFERROR(Cartera1017[[#This Row],[DURACIÓN DESARROLLO DIAS]]*VLOOKUP(Cartera1017[[#This Row],[ID Mantenimiento]],MANT_HORAS[],2,FALSE),200))</f>
        <v>120</v>
      </c>
      <c r="CW21" s="110"/>
      <c r="CX21" s="110" t="str">
        <f>VLOOKUP(Cartera1017[[#This Row],[Estado TI]],Definiciones!$A$549:$B$559,2,FALSE)</f>
        <v>1. DESARROLLO</v>
      </c>
      <c r="CY21" s="28">
        <f ca="1">1-Cartera1017[[#This Row],[Porcentaje avanzado desarrollo]]</f>
        <v>0</v>
      </c>
      <c r="CZ2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105</v>
      </c>
      <c r="DA21" s="28">
        <f ca="1">MAX(0,Cartera1017[[#This Row],[DURACIÓN DESARROLLO DIAS]]-Cartera1017[[#This Row],[Dias avanzados]])</f>
        <v>0</v>
      </c>
      <c r="DB21" s="28">
        <f ca="1">Cartera1017[[#This Row],[Dias avanzados]]*IFERROR(VLOOKUP(Cartera1017[[#This Row],[ID Mantenimiento]],MANT_HORAS[],2,FALSE),8)</f>
        <v>120</v>
      </c>
      <c r="DC21" s="28">
        <f ca="1">Cartera1017[[#This Row],[Dias faltantes]]*IFERROR(VLOOKUP(Cartera1017[[#This Row],[ID Mantenimiento]],MANT_HORAS[],2,FALSE),8)</f>
        <v>0</v>
      </c>
      <c r="DD21" s="28" t="str">
        <f>IF(Cartera1017[[#This Row],[Fin Producción]]=0,"Por definir",CONCATENATE(YEAR(Cartera1017[[#This Row],[Fin Producción]]),"-",ROUNDUP(MONTH(Cartera1017[[#This Row],[Fin Producción]]),0)))</f>
        <v>2026-3</v>
      </c>
      <c r="DE21" s="18" t="s">
        <v>510</v>
      </c>
      <c r="DH21" s="565"/>
    </row>
    <row r="22" spans="1:112" s="28" customFormat="1" ht="44.25" hidden="1" customHeight="1">
      <c r="A22" s="229" t="s">
        <v>666</v>
      </c>
      <c r="B22" s="263">
        <v>1824</v>
      </c>
      <c r="C22" s="18" t="s">
        <v>485</v>
      </c>
      <c r="D22" s="263" t="s">
        <v>667</v>
      </c>
      <c r="E22" s="263" t="s">
        <v>70</v>
      </c>
      <c r="F22" s="269" t="s">
        <v>71</v>
      </c>
      <c r="G22" s="265" t="s">
        <v>668</v>
      </c>
      <c r="H22" s="263" t="s">
        <v>26</v>
      </c>
      <c r="I22" s="263" t="s">
        <v>539</v>
      </c>
      <c r="J22" s="263" t="s">
        <v>540</v>
      </c>
      <c r="K22" s="266">
        <v>45224</v>
      </c>
      <c r="L22" s="267" t="s">
        <v>669</v>
      </c>
      <c r="M22" s="267" t="s">
        <v>556</v>
      </c>
      <c r="N22" s="267" t="s">
        <v>650</v>
      </c>
      <c r="O22" s="263" t="s">
        <v>670</v>
      </c>
      <c r="P22" s="263" t="s">
        <v>549</v>
      </c>
      <c r="Q22" s="263" t="s">
        <v>496</v>
      </c>
      <c r="R22" s="263" t="s">
        <v>599</v>
      </c>
      <c r="S22" s="18" t="s">
        <v>599</v>
      </c>
      <c r="T22" s="263" t="s">
        <v>650</v>
      </c>
      <c r="U22" s="263" t="s">
        <v>671</v>
      </c>
      <c r="V22" s="263"/>
      <c r="W22" s="263"/>
      <c r="X22" s="263"/>
      <c r="Y22" s="268" t="s">
        <v>671</v>
      </c>
      <c r="Z22" s="263" t="s">
        <v>499</v>
      </c>
      <c r="AA22" s="266">
        <v>45271</v>
      </c>
      <c r="AB22" s="263" t="s">
        <v>500</v>
      </c>
      <c r="AC22" s="263" t="s">
        <v>570</v>
      </c>
      <c r="AD22" s="263" t="s">
        <v>30</v>
      </c>
      <c r="AE22" s="18" t="s">
        <v>27</v>
      </c>
      <c r="AF22" s="263" t="s">
        <v>42</v>
      </c>
      <c r="AG22" s="14" t="str">
        <f>VLOOKUP(AF22,Tabla3[[Estado Requerimiento]:[Macro estado]],2,FALSE)</f>
        <v>02. En Proceso</v>
      </c>
      <c r="AH22" s="263"/>
      <c r="AI22" s="268">
        <v>45282</v>
      </c>
      <c r="AJ22" s="268"/>
      <c r="AK22" s="268">
        <v>45673</v>
      </c>
      <c r="AL22" s="268">
        <v>45890</v>
      </c>
      <c r="AM22" s="268">
        <v>45869</v>
      </c>
      <c r="AN22" s="268">
        <v>45892</v>
      </c>
      <c r="AO22" s="268">
        <v>45902</v>
      </c>
      <c r="AP22" s="81">
        <f t="shared" si="0"/>
        <v>45947.4</v>
      </c>
      <c r="AQ22" s="268"/>
      <c r="AR22" s="268"/>
      <c r="AS22" s="81">
        <f t="shared" si="1"/>
        <v>45954.400000000001</v>
      </c>
      <c r="AT22" s="19" t="s">
        <v>672</v>
      </c>
      <c r="AU22" s="44" t="str">
        <f>VLOOKUP(Cartera1017[[#This Row],[Gerencia]],tbGerencia[#All],3,FALSE)</f>
        <v>B.Digital</v>
      </c>
      <c r="AV22" s="44" t="str">
        <f>IFERROR(VLOOKUP(Cartera1017[[#This Row],[Subgerencia]],Definiciones!$A$90:$B$144,2,FALSE),"")</f>
        <v>CanalesAlternos</v>
      </c>
      <c r="AW22" s="44" t="str">
        <f>IF(OR(LEN(Cartera1017[[#This Row],[Fecha de Solicitud]])=0,(Cartera1017[[#This Row],[Fecha de Solicitud]])="No definido"),"No definido",IF(YEAR(Cartera1017[[#This Row],[Fecha de Solicitud]])&lt;2023," &lt;  2023",TEXT(Cartera1017[[#This Row],[Fecha de Solicitud]],"yyyy-mm")))</f>
        <v>2023-10</v>
      </c>
      <c r="AX22" s="44" t="str">
        <f>IF(Cartera1017[[#This Row],[Fecha de Priorización Comité]]="","No definido",TEXT(Cartera1017[[#This Row],[Fecha de Priorización Comité]],"yyyy-mm"))</f>
        <v>2023-12</v>
      </c>
      <c r="AY22" s="44" t="str">
        <f>IF(Cartera1017[[#This Row],[Fecha Fin- Desarrollo]]="","No definido",TEXT(Cartera1017[[#This Row],[Fecha Fin- Desarrollo]],"yyyy-mm"))</f>
        <v>2025-08</v>
      </c>
      <c r="AZ22" s="44" t="str">
        <f>IF(Cartera1017[[#This Row],[Fecha Fin- Producción]]="","No definido",TEXT(Cartera1017[[#This Row],[Fecha Fin- Producción]],"yyyy-mm"))</f>
        <v>No definido</v>
      </c>
      <c r="BA22" s="44" t="str">
        <f>IF(Cartera1017[[#This Row],[Fecha Fin-Planificada]]="","No definido",TEXT(Cartera1017[[#This Row],[Fecha Fin-Planificada]],"yyyy-mm"))</f>
        <v>2025-10</v>
      </c>
      <c r="BB22" s="33" t="s">
        <v>604</v>
      </c>
      <c r="BC22" s="66">
        <v>45810</v>
      </c>
      <c r="BD22" s="66">
        <v>45869</v>
      </c>
      <c r="BE22" s="66">
        <v>45995</v>
      </c>
      <c r="BF22" s="386">
        <v>45271</v>
      </c>
      <c r="BG22" s="387" t="s">
        <v>561</v>
      </c>
      <c r="BH2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 s="90" t="str">
        <f>IF(ISNUMBER(Cartera1017[[#This Row],[Duracion en Dias]]),Cartera1017[[#This Row],[Duracion en Dias]]/30, "No Aplica")</f>
        <v>No Aplica</v>
      </c>
      <c r="BJ22" s="109"/>
      <c r="BK22" s="28" t="s">
        <v>506</v>
      </c>
      <c r="BL22" s="110" t="s">
        <v>655</v>
      </c>
      <c r="BM22" s="342">
        <v>45992.641793981478</v>
      </c>
      <c r="BN22" s="227"/>
      <c r="BO22" s="227"/>
      <c r="BP22" s="227"/>
      <c r="BQ2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2" s="14" t="str">
        <f>IFERROR(VLOOKUP(Cartera1017[[#This Row],[Aplicativo]],Tabla76[],2,FALSE),"Sin Aplicativo")</f>
        <v>ATM-Agentes-VISA</v>
      </c>
      <c r="BS22" s="14" t="str">
        <f>IFERROR(VLOOKUP(Cartera1017[[#This Row],[Aplicativo]],Tabla76[],3,FALSE),"Sin Aplicativo")</f>
        <v>Canales Presenciales</v>
      </c>
      <c r="BT22" s="162">
        <v>45839</v>
      </c>
      <c r="BU22" s="162">
        <v>45839</v>
      </c>
      <c r="BV22" s="33" t="s">
        <v>673</v>
      </c>
      <c r="BW2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45869</v>
      </c>
      <c r="BX2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2" s="97" t="str">
        <f ca="1">IF(Cartera1017[[#This Row],[Fecha Fin2]]="","No definido",CONCATENATE(TEXT(Cartera1017[[#This Row],[Fecha Fin2]],"mmm")," ",YEAR(Cartera1017[[#This Row],[Fecha Fin2]])))</f>
        <v>Jul 2025</v>
      </c>
      <c r="BZ22" s="28">
        <v>2025</v>
      </c>
      <c r="CA22" s="48" t="str">
        <f>IF(Cartera1017[[#This Row],[Estado TI]] = "08. Producción Finalizada","Culminado",IF(Cartera1017[[#This Row],[Estado TI]]= "09. Descartado","Descartado","Activos"))</f>
        <v>Activos</v>
      </c>
      <c r="CB22" s="28" t="s">
        <v>657</v>
      </c>
      <c r="CC2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22" s="54" t="str">
        <f>IF(
AND(
Cartera1017[[#This Row],[DEVOLVER 27]]="NO",
NOT(ISBLANK(Cartera1017[[#This Row],[ESTADO NO DEVUELTOS 27]]))
),
"PRE",
"POST"
)</f>
        <v>PRE</v>
      </c>
      <c r="CE22" s="54" t="s">
        <v>509</v>
      </c>
      <c r="CF22" s="28" t="s">
        <v>42</v>
      </c>
      <c r="CG2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2" s="406">
        <f>Cartera1017[[#This Row],[Porcentaje de Avance]]</f>
        <v>0.85</v>
      </c>
      <c r="CK22" s="388">
        <f ca="1">IF(
   OR(
     Cartera1017[[#This Row],[Estado TI]]="09. Descartado",
     Cartera1017[[#This Row],[Comienzo Desarrollo]]="",
     Cartera1017[[#This Row],[Fin Producción]]=""
   ),
   "",
   Cartera1017[[#This Row],[% PLANIFICADO]]-Cartera1017[[#This Row],[% COMPLETADO]]
)</f>
        <v>0.15000000000000002</v>
      </c>
      <c r="CL22" s="388">
        <f ca="1">IF(
   OR(
     Cartera1017[[#This Row],[Estado TI]]="09. Descartado",
     Cartera1017[[#This Row],[Comienzo Desarrollo]]="",
     Cartera1017[[#This Row],[Fin Producción]]="",
     Cartera1017[[#This Row],[% PLANIFICADO]]=0
   ),
   "",
   MIN(Cartera1017[[#This Row],[% COMPLETADO]]/Cartera1017[[#This Row],[% PLANIFICADO]],1.2)
)</f>
        <v>0.85</v>
      </c>
      <c r="CM22" s="377">
        <v>45673</v>
      </c>
      <c r="CN22" s="377">
        <v>45673</v>
      </c>
      <c r="CO22" s="377">
        <v>45890</v>
      </c>
      <c r="CP22" s="377">
        <v>45892</v>
      </c>
      <c r="CQ22" s="377">
        <v>45902</v>
      </c>
      <c r="CR22" s="377">
        <v>46072</v>
      </c>
      <c r="CS22" s="377">
        <v>46108</v>
      </c>
      <c r="CT22" s="44">
        <f>IF(Cartera1017[[#This Row],[Fin Desarrollo]]="",25,IFERROR(NETWORKDAYS(Cartera1017[[#This Row],[Comienzo Desarrollo]],Cartera1017[[#This Row],[Fin Desarrollo]],FERIADOS[Fecha]),""))</f>
        <v>153</v>
      </c>
      <c r="CU2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22" s="44">
        <f>IF(OR(Cartera1017[[#This Row],[Comienzo Desarrollo]]="",Cartera1017[[#This Row],[Fin Desarrollo]]=""),200,IFERROR(Cartera1017[[#This Row],[DURACIÓN DESARROLLO DIAS]]*VLOOKUP(Cartera1017[[#This Row],[ID Mantenimiento]],MANT_HORAS[],2,FALSE),200))</f>
        <v>200</v>
      </c>
      <c r="CW22" s="110"/>
      <c r="CX22" s="110" t="str">
        <f>VLOOKUP(Cartera1017[[#This Row],[Estado TI]],Definiciones!$A$549:$B$559,2,FALSE)</f>
        <v>2. CALIDAD</v>
      </c>
      <c r="CY22" s="28">
        <f ca="1">1-Cartera1017[[#This Row],[Porcentaje avanzado desarrollo]]</f>
        <v>0</v>
      </c>
      <c r="CZ2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153</v>
      </c>
      <c r="DA22" s="28">
        <f ca="1">MAX(0,Cartera1017[[#This Row],[DURACIÓN DESARROLLO DIAS]]-Cartera1017[[#This Row],[Dias avanzados]])</f>
        <v>0</v>
      </c>
      <c r="DB22" s="28">
        <f ca="1">Cartera1017[[#This Row],[Dias avanzados]]*IFERROR(VLOOKUP(Cartera1017[[#This Row],[ID Mantenimiento]],MANT_HORAS[],2,FALSE),8)</f>
        <v>1224</v>
      </c>
      <c r="DC22" s="28">
        <f ca="1">Cartera1017[[#This Row],[Dias faltantes]]*IFERROR(VLOOKUP(Cartera1017[[#This Row],[ID Mantenimiento]],MANT_HORAS[],2,FALSE),8)</f>
        <v>0</v>
      </c>
      <c r="DD22" s="28" t="str">
        <f>IF(Cartera1017[[#This Row],[Fin Producción]]=0,"Por definir",CONCATENATE(YEAR(Cartera1017[[#This Row],[Fin Producción]]),"-",ROUNDUP(MONTH(Cartera1017[[#This Row],[Fin Producción]]),0)))</f>
        <v>2026-3</v>
      </c>
      <c r="DE22" s="18" t="s">
        <v>510</v>
      </c>
      <c r="DF22" s="28" t="s">
        <v>674</v>
      </c>
      <c r="DG22" s="28" t="s">
        <v>585</v>
      </c>
      <c r="DH22" s="565"/>
    </row>
    <row r="23" spans="1:112" s="28" customFormat="1" ht="44.25" hidden="1" customHeight="1">
      <c r="A23" s="229" t="s">
        <v>675</v>
      </c>
      <c r="B23" s="18">
        <v>1825</v>
      </c>
      <c r="C23" s="18" t="s">
        <v>485</v>
      </c>
      <c r="D23" s="18" t="s">
        <v>676</v>
      </c>
      <c r="E23" s="18" t="s">
        <v>72</v>
      </c>
      <c r="F23" s="33" t="s">
        <v>73</v>
      </c>
      <c r="G23" s="19" t="s">
        <v>671</v>
      </c>
      <c r="H23" s="18" t="s">
        <v>26</v>
      </c>
      <c r="I23" s="18" t="s">
        <v>539</v>
      </c>
      <c r="J23" s="18" t="s">
        <v>540</v>
      </c>
      <c r="K23" s="20">
        <v>45224</v>
      </c>
      <c r="L23" s="43" t="s">
        <v>669</v>
      </c>
      <c r="M23" s="43" t="s">
        <v>556</v>
      </c>
      <c r="N23" s="43" t="s">
        <v>650</v>
      </c>
      <c r="O23" s="18" t="s">
        <v>670</v>
      </c>
      <c r="P23" s="18" t="s">
        <v>549</v>
      </c>
      <c r="Q23" s="18" t="s">
        <v>496</v>
      </c>
      <c r="R23" s="18" t="s">
        <v>599</v>
      </c>
      <c r="S23" s="18" t="s">
        <v>599</v>
      </c>
      <c r="T23" s="18" t="s">
        <v>650</v>
      </c>
      <c r="U23" s="18" t="s">
        <v>671</v>
      </c>
      <c r="V23" s="18"/>
      <c r="W23" s="18"/>
      <c r="X23" s="18"/>
      <c r="Y23" s="80" t="s">
        <v>671</v>
      </c>
      <c r="Z23" s="18" t="s">
        <v>499</v>
      </c>
      <c r="AA23" s="20">
        <v>45271</v>
      </c>
      <c r="AB23" s="18" t="s">
        <v>500</v>
      </c>
      <c r="AC23" s="18" t="s">
        <v>570</v>
      </c>
      <c r="AD23" s="18" t="s">
        <v>30</v>
      </c>
      <c r="AE23" s="18" t="s">
        <v>27</v>
      </c>
      <c r="AF23" s="18" t="s">
        <v>42</v>
      </c>
      <c r="AG23" s="14" t="str">
        <f>VLOOKUP(AF23,Tabla3[[Estado Requerimiento]:[Macro estado]],2,FALSE)</f>
        <v>02. En Proceso</v>
      </c>
      <c r="AH23" s="18"/>
      <c r="AI23" s="80">
        <v>45282</v>
      </c>
      <c r="AJ23" s="80"/>
      <c r="AK23" s="80">
        <v>45761</v>
      </c>
      <c r="AL23" s="80">
        <v>45890</v>
      </c>
      <c r="AM23" s="80">
        <v>45807</v>
      </c>
      <c r="AN23" s="80">
        <v>45892</v>
      </c>
      <c r="AO23" s="80">
        <v>45902</v>
      </c>
      <c r="AP23" s="81">
        <f t="shared" si="0"/>
        <v>45825.4</v>
      </c>
      <c r="AQ23" s="80"/>
      <c r="AR23" s="80"/>
      <c r="AS23" s="81">
        <f t="shared" si="1"/>
        <v>45832.4</v>
      </c>
      <c r="AT23" s="59" t="s">
        <v>677</v>
      </c>
      <c r="AU23" s="44" t="str">
        <f>VLOOKUP(Cartera1017[[#This Row],[Gerencia]],tbGerencia[#All],3,FALSE)</f>
        <v>B.Digital</v>
      </c>
      <c r="AV23" s="44" t="str">
        <f>IFERROR(VLOOKUP(Cartera1017[[#This Row],[Subgerencia]],Definiciones!$A$90:$B$144,2,FALSE),"")</f>
        <v>CanalesAlternos</v>
      </c>
      <c r="AW23" s="44" t="str">
        <f>IF(OR(LEN(Cartera1017[[#This Row],[Fecha de Solicitud]])=0,(Cartera1017[[#This Row],[Fecha de Solicitud]])="No definido"),"No definido",IF(YEAR(Cartera1017[[#This Row],[Fecha de Solicitud]])&lt;2023," &lt;  2023",TEXT(Cartera1017[[#This Row],[Fecha de Solicitud]],"yyyy-mm")))</f>
        <v>2023-10</v>
      </c>
      <c r="AX23" s="44" t="str">
        <f>IF(Cartera1017[[#This Row],[Fecha de Priorización Comité]]="","No definido",TEXT(Cartera1017[[#This Row],[Fecha de Priorización Comité]],"yyyy-mm"))</f>
        <v>2023-12</v>
      </c>
      <c r="AY23" s="44" t="str">
        <f>IF(Cartera1017[[#This Row],[Fecha Fin- Desarrollo]]="","No definido",TEXT(Cartera1017[[#This Row],[Fecha Fin- Desarrollo]],"yyyy-mm"))</f>
        <v>2025-08</v>
      </c>
      <c r="AZ23" s="44" t="str">
        <f>IF(Cartera1017[[#This Row],[Fecha Fin- Producción]]="","No definido",TEXT(Cartera1017[[#This Row],[Fecha Fin- Producción]],"yyyy-mm"))</f>
        <v>No definido</v>
      </c>
      <c r="BA23" s="44" t="str">
        <f>IF(Cartera1017[[#This Row],[Fecha Fin-Planificada]]="","No definido",TEXT(Cartera1017[[#This Row],[Fecha Fin-Planificada]],"yyyy-mm"))</f>
        <v>2025-06</v>
      </c>
      <c r="BB23" s="33" t="s">
        <v>604</v>
      </c>
      <c r="BC23" s="66">
        <v>45747</v>
      </c>
      <c r="BD23" s="66">
        <v>45807</v>
      </c>
      <c r="BE23" s="66">
        <v>45807</v>
      </c>
      <c r="BF23" s="386">
        <v>45271</v>
      </c>
      <c r="BG23" s="387" t="s">
        <v>561</v>
      </c>
      <c r="BH2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 s="90" t="str">
        <f>IF(ISNUMBER(Cartera1017[[#This Row],[Duracion en Dias]]),Cartera1017[[#This Row],[Duracion en Dias]]/30, "No Aplica")</f>
        <v>No Aplica</v>
      </c>
      <c r="BJ23" s="109"/>
      <c r="BK23" s="28" t="s">
        <v>506</v>
      </c>
      <c r="BL23" s="110" t="s">
        <v>655</v>
      </c>
      <c r="BM23" s="342">
        <v>46070.737476851849</v>
      </c>
      <c r="BN23" s="227"/>
      <c r="BO23" s="227"/>
      <c r="BP23" s="227"/>
      <c r="BQ2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3" s="14" t="str">
        <f>IFERROR(VLOOKUP(Cartera1017[[#This Row],[Aplicativo]],Tabla76[],2,FALSE),"Sin Aplicativo")</f>
        <v>ATM-Agentes-VISA</v>
      </c>
      <c r="BS23" s="14" t="str">
        <f>IFERROR(VLOOKUP(Cartera1017[[#This Row],[Aplicativo]],Tabla76[],3,FALSE),"Sin Aplicativo")</f>
        <v>Canales Presenciales</v>
      </c>
      <c r="BT23" s="162">
        <v>45778</v>
      </c>
      <c r="BU23" s="162">
        <v>45778</v>
      </c>
      <c r="BV23" s="33" t="s">
        <v>678</v>
      </c>
      <c r="BW2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2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3" s="97" t="str">
        <f ca="1">IF(Cartera1017[[#This Row],[Fecha Fin2]]="","No definido",CONCATENATE(TEXT(Cartera1017[[#This Row],[Fecha Fin2]],"mmm")," ",YEAR(Cartera1017[[#This Row],[Fecha Fin2]])))</f>
        <v>May 2025</v>
      </c>
      <c r="BZ23" s="28">
        <v>2025</v>
      </c>
      <c r="CA23" s="48" t="str">
        <f>IF(Cartera1017[[#This Row],[Estado TI]] = "08. Producción Finalizada","Culminado",IF(Cartera1017[[#This Row],[Estado TI]]= "09. Descartado","Descartado","Activos"))</f>
        <v>Activos</v>
      </c>
      <c r="CB23" s="28" t="s">
        <v>657</v>
      </c>
      <c r="CC2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23" s="54" t="str">
        <f>IF(
AND(
Cartera1017[[#This Row],[DEVOLVER 27]]="NO",
NOT(ISBLANK(Cartera1017[[#This Row],[ESTADO NO DEVUELTOS 27]]))
),
"PRE",
"POST"
)</f>
        <v>PRE</v>
      </c>
      <c r="CE23" s="54" t="s">
        <v>509</v>
      </c>
      <c r="CF23" s="28" t="s">
        <v>42</v>
      </c>
      <c r="CG2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 s="406">
        <f>Cartera1017[[#This Row],[Porcentaje de Avance]]</f>
        <v>0.85</v>
      </c>
      <c r="CK23" s="388">
        <f ca="1">IF(
   OR(
     Cartera1017[[#This Row],[Estado TI]]="09. Descartado",
     Cartera1017[[#This Row],[Comienzo Desarrollo]]="",
     Cartera1017[[#This Row],[Fin Producción]]=""
   ),
   "",
   Cartera1017[[#This Row],[% PLANIFICADO]]-Cartera1017[[#This Row],[% COMPLETADO]]
)</f>
        <v>0.15000000000000002</v>
      </c>
      <c r="CL23" s="388">
        <f ca="1">IF(
   OR(
     Cartera1017[[#This Row],[Estado TI]]="09. Descartado",
     Cartera1017[[#This Row],[Comienzo Desarrollo]]="",
     Cartera1017[[#This Row],[Fin Producción]]="",
     Cartera1017[[#This Row],[% PLANIFICADO]]=0
   ),
   "",
   MIN(Cartera1017[[#This Row],[% COMPLETADO]]/Cartera1017[[#This Row],[% PLANIFICADO]],1.2)
)</f>
        <v>0.85</v>
      </c>
      <c r="CM23" s="377">
        <v>45761</v>
      </c>
      <c r="CN23" s="377">
        <v>45761</v>
      </c>
      <c r="CO23" s="377">
        <v>45890</v>
      </c>
      <c r="CP23" s="377">
        <v>45892</v>
      </c>
      <c r="CQ23" s="377">
        <v>45902</v>
      </c>
      <c r="CR23" s="377">
        <v>46072</v>
      </c>
      <c r="CS23" s="377">
        <v>46108</v>
      </c>
      <c r="CT23" s="44">
        <f>IF(Cartera1017[[#This Row],[Fin Desarrollo]]="",25,IFERROR(NETWORKDAYS(Cartera1017[[#This Row],[Comienzo Desarrollo]],Cartera1017[[#This Row],[Fin Desarrollo]],FERIADOS[Fecha]),""))</f>
        <v>91</v>
      </c>
      <c r="CU2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23" s="44">
        <f>IF(OR(Cartera1017[[#This Row],[Comienzo Desarrollo]]="",Cartera1017[[#This Row],[Fin Desarrollo]]=""),200,IFERROR(Cartera1017[[#This Row],[DURACIÓN DESARROLLO DIAS]]*VLOOKUP(Cartera1017[[#This Row],[ID Mantenimiento]],MANT_HORAS[],2,FALSE),200))</f>
        <v>200</v>
      </c>
      <c r="CW23" s="110"/>
      <c r="CX23" s="110" t="str">
        <f>VLOOKUP(Cartera1017[[#This Row],[Estado TI]],Definiciones!$A$549:$B$559,2,FALSE)</f>
        <v>2. CALIDAD</v>
      </c>
      <c r="CY23" s="28">
        <f ca="1">1-Cartera1017[[#This Row],[Porcentaje avanzado desarrollo]]</f>
        <v>0</v>
      </c>
      <c r="CZ2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91</v>
      </c>
      <c r="DA23" s="28">
        <f ca="1">MAX(0,Cartera1017[[#This Row],[DURACIÓN DESARROLLO DIAS]]-Cartera1017[[#This Row],[Dias avanzados]])</f>
        <v>0</v>
      </c>
      <c r="DB23" s="28">
        <f ca="1">Cartera1017[[#This Row],[Dias avanzados]]*IFERROR(VLOOKUP(Cartera1017[[#This Row],[ID Mantenimiento]],MANT_HORAS[],2,FALSE),8)</f>
        <v>728</v>
      </c>
      <c r="DC23" s="28">
        <f ca="1">Cartera1017[[#This Row],[Dias faltantes]]*IFERROR(VLOOKUP(Cartera1017[[#This Row],[ID Mantenimiento]],MANT_HORAS[],2,FALSE),8)</f>
        <v>0</v>
      </c>
      <c r="DD23" s="28" t="str">
        <f>IF(Cartera1017[[#This Row],[Fin Producción]]=0,"Por definir",CONCATENATE(YEAR(Cartera1017[[#This Row],[Fin Producción]]),"-",ROUNDUP(MONTH(Cartera1017[[#This Row],[Fin Producción]]),0)))</f>
        <v>2026-3</v>
      </c>
      <c r="DE23" s="18" t="s">
        <v>510</v>
      </c>
      <c r="DF23" s="28" t="s">
        <v>679</v>
      </c>
      <c r="DG23" s="28" t="s">
        <v>585</v>
      </c>
      <c r="DH23" s="565"/>
    </row>
    <row r="24" spans="1:112" s="28" customFormat="1" ht="44.25" hidden="1" customHeight="1">
      <c r="A24" s="229" t="s">
        <v>680</v>
      </c>
      <c r="B24" s="18">
        <v>1827</v>
      </c>
      <c r="C24" s="18" t="s">
        <v>485</v>
      </c>
      <c r="D24" s="18" t="s">
        <v>681</v>
      </c>
      <c r="E24" s="18" t="s">
        <v>74</v>
      </c>
      <c r="F24" s="345" t="s">
        <v>75</v>
      </c>
      <c r="G24" s="19" t="s">
        <v>682</v>
      </c>
      <c r="H24" s="18" t="s">
        <v>26</v>
      </c>
      <c r="I24" s="18" t="s">
        <v>539</v>
      </c>
      <c r="J24" s="18" t="s">
        <v>540</v>
      </c>
      <c r="K24" s="20">
        <v>45153</v>
      </c>
      <c r="L24" s="43" t="s">
        <v>683</v>
      </c>
      <c r="M24" s="43" t="s">
        <v>684</v>
      </c>
      <c r="N24" s="43" t="s">
        <v>650</v>
      </c>
      <c r="O24" s="18" t="s">
        <v>670</v>
      </c>
      <c r="P24" s="18" t="s">
        <v>549</v>
      </c>
      <c r="Q24" s="18" t="s">
        <v>496</v>
      </c>
      <c r="R24" s="18" t="s">
        <v>497</v>
      </c>
      <c r="S24" s="18"/>
      <c r="T24" s="18" t="s">
        <v>652</v>
      </c>
      <c r="U24" s="18" t="s">
        <v>685</v>
      </c>
      <c r="V24" s="39" t="s">
        <v>686</v>
      </c>
      <c r="W24" s="114" t="s">
        <v>687</v>
      </c>
      <c r="X24" s="39" t="s">
        <v>688</v>
      </c>
      <c r="Y24" s="80">
        <v>45657</v>
      </c>
      <c r="Z24" s="18" t="s">
        <v>499</v>
      </c>
      <c r="AA24" s="20">
        <v>45271</v>
      </c>
      <c r="AB24" s="18" t="s">
        <v>533</v>
      </c>
      <c r="AC24" s="18" t="s">
        <v>570</v>
      </c>
      <c r="AD24" s="18" t="s">
        <v>76</v>
      </c>
      <c r="AE24" s="18" t="s">
        <v>27</v>
      </c>
      <c r="AF24" s="18" t="s">
        <v>53</v>
      </c>
      <c r="AG24" s="14" t="str">
        <f>VLOOKUP(AF24,Tabla3[[Estado Requerimiento]:[Macro estado]],2,FALSE)</f>
        <v>03. Culminado</v>
      </c>
      <c r="AH24" s="18"/>
      <c r="AI24" s="80">
        <v>45289</v>
      </c>
      <c r="AJ24" s="80"/>
      <c r="AK24" s="80">
        <v>45798</v>
      </c>
      <c r="AL24" s="80">
        <v>45859</v>
      </c>
      <c r="AM24" s="349">
        <v>45677</v>
      </c>
      <c r="AN24" s="80">
        <v>45861</v>
      </c>
      <c r="AO24" s="80">
        <v>45931</v>
      </c>
      <c r="AP24" s="81">
        <f t="shared" si="0"/>
        <v>45628.6</v>
      </c>
      <c r="AQ24" s="80">
        <v>46091</v>
      </c>
      <c r="AR24" s="80">
        <v>46125</v>
      </c>
      <c r="AS24" s="81">
        <f t="shared" si="1"/>
        <v>45635.6</v>
      </c>
      <c r="AT24" s="59" t="s">
        <v>689</v>
      </c>
      <c r="AU24" s="44" t="str">
        <f>VLOOKUP(Cartera1017[[#This Row],[Gerencia]],tbGerencia[#All],3,FALSE)</f>
        <v>B.Digital</v>
      </c>
      <c r="AV24" s="44" t="str">
        <f>IFERROR(VLOOKUP(Cartera1017[[#This Row],[Subgerencia]],Definiciones!$A$90:$B$144,2,FALSE),"")</f>
        <v>CanalesAlternos</v>
      </c>
      <c r="AW24" s="44" t="str">
        <f>IF(OR(LEN(Cartera1017[[#This Row],[Fecha de Solicitud]])=0,(Cartera1017[[#This Row],[Fecha de Solicitud]])="No definido"),"No definido",IF(YEAR(Cartera1017[[#This Row],[Fecha de Solicitud]])&lt;2023," &lt;  2023",TEXT(Cartera1017[[#This Row],[Fecha de Solicitud]],"yyyy-mm")))</f>
        <v>2023-08</v>
      </c>
      <c r="AX24" s="44" t="str">
        <f>IF(Cartera1017[[#This Row],[Fecha de Priorización Comité]]="","No definido",TEXT(Cartera1017[[#This Row],[Fecha de Priorización Comité]],"yyyy-mm"))</f>
        <v>2023-12</v>
      </c>
      <c r="AY24" s="44" t="str">
        <f>IF(Cartera1017[[#This Row],[Fecha Fin- Desarrollo]]="","No definido",TEXT(Cartera1017[[#This Row],[Fecha Fin- Desarrollo]],"yyyy-mm"))</f>
        <v>2025-07</v>
      </c>
      <c r="AZ24" s="44" t="str">
        <f>IF(Cartera1017[[#This Row],[Fecha Fin- Producción]]="","No definido",TEXT(Cartera1017[[#This Row],[Fecha Fin- Producción]],"yyyy-mm"))</f>
        <v>2026-04</v>
      </c>
      <c r="BA24" s="44" t="str">
        <f>IF(Cartera1017[[#This Row],[Fecha Fin-Planificada]]="","No definido",TEXT(Cartera1017[[#This Row],[Fecha Fin-Planificada]],"yyyy-mm"))</f>
        <v>2024-12</v>
      </c>
      <c r="BB24" s="33" t="s">
        <v>604</v>
      </c>
      <c r="BC24" s="66">
        <v>45414</v>
      </c>
      <c r="BD24" s="66">
        <v>45677</v>
      </c>
      <c r="BE24" s="66">
        <v>45930</v>
      </c>
      <c r="BF24" s="386">
        <v>45271</v>
      </c>
      <c r="BG24" s="387" t="s">
        <v>561</v>
      </c>
      <c r="BH2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327</v>
      </c>
      <c r="BI24" s="90">
        <f>IF(ISNUMBER(Cartera1017[[#This Row],[Duracion en Dias]]),Cartera1017[[#This Row],[Duracion en Dias]]/30, "No Aplica")</f>
        <v>10.9</v>
      </c>
      <c r="BJ24" s="109"/>
      <c r="BK24" s="28" t="s">
        <v>506</v>
      </c>
      <c r="BL24" s="110" t="s">
        <v>536</v>
      </c>
      <c r="BM24" s="342">
        <v>46125.950358796297</v>
      </c>
      <c r="BN24" s="227"/>
      <c r="BO24" s="227"/>
      <c r="BP24" s="227"/>
      <c r="BQ2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4" s="14" t="str">
        <f>IFERROR(VLOOKUP(Cartera1017[[#This Row],[Aplicativo]],Tabla76[],2,FALSE),"Sin Aplicativo")</f>
        <v>BackOffice</v>
      </c>
      <c r="BS24" s="14" t="str">
        <f>IFERROR(VLOOKUP(Cartera1017[[#This Row],[Aplicativo]],Tabla76[],3,FALSE),"Sin Aplicativo")</f>
        <v>Otros Requerimientos</v>
      </c>
      <c r="BT24" s="162">
        <v>45778</v>
      </c>
      <c r="BU24" s="162">
        <v>45778</v>
      </c>
      <c r="BW24"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46125</v>
      </c>
      <c r="BX2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4" s="97" t="str">
        <f ca="1">IF(Cartera1017[[#This Row],[Fecha Fin2]]="","No definido",CONCATENATE(TEXT(Cartera1017[[#This Row],[Fecha Fin2]],"mmm")," ",YEAR(Cartera1017[[#This Row],[Fecha Fin2]])))</f>
        <v>Abr 2026</v>
      </c>
      <c r="BZ24" s="28">
        <v>2025</v>
      </c>
      <c r="CA24" s="48" t="str">
        <f>IF(Cartera1017[[#This Row],[Estado TI]] = "08. Producción Finalizada","Culminado",IF(Cartera1017[[#This Row],[Estado TI]]= "09. Descartado","Descartado","Activos"))</f>
        <v>Culminado</v>
      </c>
      <c r="CB24" s="28" t="s">
        <v>657</v>
      </c>
      <c r="CC2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4" s="54" t="str">
        <f>IF(
AND(
Cartera1017[[#This Row],[DEVOLVER 27]]="NO",
NOT(ISBLANK(Cartera1017[[#This Row],[ESTADO NO DEVUELTOS 27]]))
),
"PRE",
"POST"
)</f>
        <v>PRE</v>
      </c>
      <c r="CE24" s="54" t="s">
        <v>509</v>
      </c>
      <c r="CF24" s="28" t="s">
        <v>42</v>
      </c>
      <c r="CG2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4" s="406">
        <f>Cartera1017[[#This Row],[Porcentaje de Avance]]</f>
        <v>1</v>
      </c>
      <c r="CK24" s="388">
        <f ca="1">IF(
   OR(
     Cartera1017[[#This Row],[Estado TI]]="09. Descartado",
     Cartera1017[[#This Row],[Comienzo Desarrollo]]="",
     Cartera1017[[#This Row],[Fin Producción]]=""
   ),
   "",
   Cartera1017[[#This Row],[% PLANIFICADO]]-Cartera1017[[#This Row],[% COMPLETADO]]
)</f>
        <v>0</v>
      </c>
      <c r="CL24" s="388">
        <f ca="1">IF(
   OR(
     Cartera1017[[#This Row],[Estado TI]]="09. Descartado",
     Cartera1017[[#This Row],[Comienzo Desarrollo]]="",
     Cartera1017[[#This Row],[Fin Producción]]="",
     Cartera1017[[#This Row],[% PLANIFICADO]]=0
   ),
   "",
   MIN(Cartera1017[[#This Row],[% COMPLETADO]]/Cartera1017[[#This Row],[% PLANIFICADO]],1.2)
)</f>
        <v>1</v>
      </c>
      <c r="CM24" s="377">
        <v>45798</v>
      </c>
      <c r="CN24" s="377">
        <v>45798</v>
      </c>
      <c r="CO24" s="377">
        <v>45859</v>
      </c>
      <c r="CP24" s="377">
        <v>45861</v>
      </c>
      <c r="CQ24" s="377">
        <v>45933</v>
      </c>
      <c r="CR24" s="377">
        <v>46083</v>
      </c>
      <c r="CS24" s="377">
        <v>46111</v>
      </c>
      <c r="CT24" s="44">
        <f>IF(Cartera1017[[#This Row],[Fin Desarrollo]]="",25,IFERROR(NETWORKDAYS(Cartera1017[[#This Row],[Comienzo Desarrollo]],Cartera1017[[#This Row],[Fin Desarrollo]],FERIADOS[Fecha]),""))</f>
        <v>44</v>
      </c>
      <c r="CU2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24" s="44">
        <f>IF(OR(Cartera1017[[#This Row],[Comienzo Desarrollo]]="",Cartera1017[[#This Row],[Fin Desarrollo]]=""),200,IFERROR(Cartera1017[[#This Row],[DURACIÓN DESARROLLO DIAS]]*VLOOKUP(Cartera1017[[#This Row],[ID Mantenimiento]],MANT_HORAS[],2,FALSE),200))</f>
        <v>200</v>
      </c>
      <c r="CW24" s="110"/>
      <c r="CX24" s="110" t="str">
        <f>VLOOKUP(Cartera1017[[#This Row],[Estado TI]],Definiciones!$A$549:$B$559,2,FALSE)</f>
        <v>4. PRODUCCIÓN</v>
      </c>
      <c r="CY24" s="28">
        <f ca="1">1-Cartera1017[[#This Row],[Porcentaje avanzado desarrollo]]</f>
        <v>0</v>
      </c>
      <c r="CZ2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44</v>
      </c>
      <c r="DA24" s="28">
        <f ca="1">MAX(0,Cartera1017[[#This Row],[DURACIÓN DESARROLLO DIAS]]-Cartera1017[[#This Row],[Dias avanzados]])</f>
        <v>0</v>
      </c>
      <c r="DB24" s="28">
        <f ca="1">Cartera1017[[#This Row],[Dias avanzados]]*IFERROR(VLOOKUP(Cartera1017[[#This Row],[ID Mantenimiento]],MANT_HORAS[],2,FALSE),8)</f>
        <v>352</v>
      </c>
      <c r="DC24" s="28">
        <f ca="1">Cartera1017[[#This Row],[Dias faltantes]]*IFERROR(VLOOKUP(Cartera1017[[#This Row],[ID Mantenimiento]],MANT_HORAS[],2,FALSE),8)</f>
        <v>0</v>
      </c>
      <c r="DD24" s="28" t="str">
        <f>IF(Cartera1017[[#This Row],[Fin Producción]]=0,"Por definir",CONCATENATE(YEAR(Cartera1017[[#This Row],[Fin Producción]]),"-",ROUNDUP(MONTH(Cartera1017[[#This Row],[Fin Producción]]),0)))</f>
        <v>2026-3</v>
      </c>
      <c r="DE24" s="18" t="s">
        <v>510</v>
      </c>
      <c r="DH24" s="565"/>
    </row>
    <row r="25" spans="1:112" s="28" customFormat="1" ht="44.25" hidden="1" customHeight="1">
      <c r="A25" s="229" t="s">
        <v>690</v>
      </c>
      <c r="B25" s="39">
        <v>2102</v>
      </c>
      <c r="C25" s="18" t="s">
        <v>485</v>
      </c>
      <c r="D25" s="39" t="s">
        <v>691</v>
      </c>
      <c r="E25" s="39" t="s">
        <v>77</v>
      </c>
      <c r="F25" s="60" t="s">
        <v>78</v>
      </c>
      <c r="G25" s="35" t="s">
        <v>692</v>
      </c>
      <c r="H25" s="39" t="s">
        <v>40</v>
      </c>
      <c r="I25" s="39" t="s">
        <v>490</v>
      </c>
      <c r="J25" s="39" t="s">
        <v>662</v>
      </c>
      <c r="K25" s="113">
        <v>45366</v>
      </c>
      <c r="L25" s="114"/>
      <c r="M25" s="114" t="s">
        <v>693</v>
      </c>
      <c r="N25" s="114" t="s">
        <v>598</v>
      </c>
      <c r="O25" s="39" t="s">
        <v>548</v>
      </c>
      <c r="P25" s="39" t="s">
        <v>495</v>
      </c>
      <c r="Q25" s="39" t="s">
        <v>496</v>
      </c>
      <c r="R25" s="39" t="s">
        <v>497</v>
      </c>
      <c r="S25" s="39"/>
      <c r="T25" s="39" t="s">
        <v>600</v>
      </c>
      <c r="U25" s="18" t="s">
        <v>495</v>
      </c>
      <c r="V25" s="18" t="s">
        <v>495</v>
      </c>
      <c r="W25" s="18" t="s">
        <v>495</v>
      </c>
      <c r="X25" s="18" t="s">
        <v>495</v>
      </c>
      <c r="Y25" s="80" t="s">
        <v>495</v>
      </c>
      <c r="Z25" s="39" t="s">
        <v>602</v>
      </c>
      <c r="AA25" s="113">
        <v>45199</v>
      </c>
      <c r="AB25" s="39" t="s">
        <v>500</v>
      </c>
      <c r="AC25" s="18" t="s">
        <v>570</v>
      </c>
      <c r="AD25" s="39" t="s">
        <v>79</v>
      </c>
      <c r="AE25" s="39" t="s">
        <v>47</v>
      </c>
      <c r="AF25" s="39" t="s">
        <v>53</v>
      </c>
      <c r="AG25" s="14" t="str">
        <f>VLOOKUP(AF25,Tabla3[[Estado Requerimiento]:[Macro estado]],2,FALSE)</f>
        <v>03. Culminado</v>
      </c>
      <c r="AH25" s="39"/>
      <c r="AI25" s="111">
        <v>45314</v>
      </c>
      <c r="AJ25" s="111"/>
      <c r="AK25" s="111">
        <v>45329</v>
      </c>
      <c r="AL25" s="111">
        <v>45890</v>
      </c>
      <c r="AM25" s="111">
        <v>45832</v>
      </c>
      <c r="AN25" s="111">
        <v>45931</v>
      </c>
      <c r="AO25" s="111">
        <v>45933</v>
      </c>
      <c r="AP25" s="81">
        <f t="shared" si="0"/>
        <v>46033.2</v>
      </c>
      <c r="AQ25" s="111">
        <v>46090</v>
      </c>
      <c r="AR25" s="111">
        <v>46090</v>
      </c>
      <c r="AS25" s="81">
        <f t="shared" si="1"/>
        <v>46040.2</v>
      </c>
      <c r="AT25" s="35" t="s">
        <v>694</v>
      </c>
      <c r="AU25" s="44" t="str">
        <f>VLOOKUP(Cartera1017[[#This Row],[Gerencia]],tbGerencia[#All],3,FALSE)</f>
        <v>Operac.</v>
      </c>
      <c r="AV25" s="44" t="str">
        <f>IFERROR(VLOOKUP(Cartera1017[[#This Row],[Subgerencia]],Definiciones!$A$90:$B$144,2,FALSE),"")</f>
        <v>BancariosRecaudación</v>
      </c>
      <c r="AW25" s="44" t="str">
        <f>IF(OR(LEN(Cartera1017[[#This Row],[Fecha de Solicitud]])=0,(Cartera1017[[#This Row],[Fecha de Solicitud]])="No definido"),"No definido",IF(YEAR(Cartera1017[[#This Row],[Fecha de Solicitud]])&lt;2023," &lt;  2023",TEXT(Cartera1017[[#This Row],[Fecha de Solicitud]],"yyyy-mm")))</f>
        <v>2024-03</v>
      </c>
      <c r="AX25" s="44" t="str">
        <f>IF(Cartera1017[[#This Row],[Fecha de Priorización Comité]]="","No definido",TEXT(Cartera1017[[#This Row],[Fecha de Priorización Comité]],"yyyy-mm"))</f>
        <v>2023-09</v>
      </c>
      <c r="AY25" s="44" t="str">
        <f>IF(Cartera1017[[#This Row],[Fecha Fin- Desarrollo]]="","No definido",TEXT(Cartera1017[[#This Row],[Fecha Fin- Desarrollo]],"yyyy-mm"))</f>
        <v>2025-08</v>
      </c>
      <c r="AZ25" s="44" t="str">
        <f>IF(Cartera1017[[#This Row],[Fecha Fin- Producción]]="","No definido",TEXT(Cartera1017[[#This Row],[Fecha Fin- Producción]],"yyyy-mm"))</f>
        <v>2026-03</v>
      </c>
      <c r="BA25" s="44" t="str">
        <f>IF(Cartera1017[[#This Row],[Fecha Fin-Planificada]]="","No definido",TEXT(Cartera1017[[#This Row],[Fecha Fin-Planificada]],"yyyy-mm"))</f>
        <v>2026-01</v>
      </c>
      <c r="BB25" s="33" t="s">
        <v>604</v>
      </c>
      <c r="BC25" s="66">
        <v>45583</v>
      </c>
      <c r="BD25" s="66">
        <v>45832</v>
      </c>
      <c r="BE25" s="66">
        <v>45832</v>
      </c>
      <c r="BF25" s="386">
        <v>45199</v>
      </c>
      <c r="BG25" s="387" t="s">
        <v>695</v>
      </c>
      <c r="BH2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761</v>
      </c>
      <c r="BI25" s="90">
        <f>IF(ISNUMBER(Cartera1017[[#This Row],[Duracion en Dias]]),Cartera1017[[#This Row],[Duracion en Dias]]/30, "No Aplica")</f>
        <v>25.366666666666667</v>
      </c>
      <c r="BJ25" s="109"/>
      <c r="BK25" s="28" t="s">
        <v>506</v>
      </c>
      <c r="BL25" s="110" t="s">
        <v>536</v>
      </c>
      <c r="BM25" s="342">
        <v>46090.368009259262</v>
      </c>
      <c r="BN25" s="227"/>
      <c r="BO25" s="227"/>
      <c r="BP25" s="227"/>
      <c r="BQ2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5" s="14" t="str">
        <f>IFERROR(VLOOKUP(Cartera1017[[#This Row],[Aplicativo]],Tabla76[],2,FALSE),"Sin Aplicativo")</f>
        <v>BackOffice</v>
      </c>
      <c r="BS25" s="14" t="str">
        <f>IFERROR(VLOOKUP(Cartera1017[[#This Row],[Aplicativo]],Tabla76[],3,FALSE),"Sin Aplicativo")</f>
        <v>Otros Requerimientos</v>
      </c>
      <c r="BT25" s="400">
        <v>45778</v>
      </c>
      <c r="BU25" s="140">
        <v>45778</v>
      </c>
      <c r="BV25" s="33" t="s">
        <v>696</v>
      </c>
      <c r="BW25"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2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5" s="97" t="str">
        <f ca="1">IF(Cartera1017[[#This Row],[Fecha Fin2]]="","No definido",CONCATENATE(TEXT(Cartera1017[[#This Row],[Fecha Fin2]],"mmm")," ",YEAR(Cartera1017[[#This Row],[Fecha Fin2]])))</f>
        <v>Mar 2026</v>
      </c>
      <c r="BZ25" s="28">
        <v>2025</v>
      </c>
      <c r="CA25" s="48" t="str">
        <f>IF(Cartera1017[[#This Row],[Estado TI]] = "08. Producción Finalizada","Culminado",IF(Cartera1017[[#This Row],[Estado TI]]= "09. Descartado","Descartado","Activos"))</f>
        <v>Culminado</v>
      </c>
      <c r="CC2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5" s="54" t="str">
        <f>IF(
AND(
Cartera1017[[#This Row],[DEVOLVER 27]]="NO",
NOT(ISBLANK(Cartera1017[[#This Row],[ESTADO NO DEVUELTOS 27]]))
),
"PRE",
"POST"
)</f>
        <v>PRE</v>
      </c>
      <c r="CE25" s="54" t="s">
        <v>509</v>
      </c>
      <c r="CF25" s="28" t="s">
        <v>42</v>
      </c>
      <c r="CG2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5" s="406">
        <f>Cartera1017[[#This Row],[Porcentaje de Avance]]</f>
        <v>1</v>
      </c>
      <c r="CK25" s="388">
        <f ca="1">IF(
   OR(
     Cartera1017[[#This Row],[Estado TI]]="09. Descartado",
     Cartera1017[[#This Row],[Comienzo Desarrollo]]="",
     Cartera1017[[#This Row],[Fin Producción]]=""
   ),
   "",
   Cartera1017[[#This Row],[% PLANIFICADO]]-Cartera1017[[#This Row],[% COMPLETADO]]
)</f>
        <v>0</v>
      </c>
      <c r="CL25" s="388">
        <f ca="1">IF(
   OR(
     Cartera1017[[#This Row],[Estado TI]]="09. Descartado",
     Cartera1017[[#This Row],[Comienzo Desarrollo]]="",
     Cartera1017[[#This Row],[Fin Producción]]="",
     Cartera1017[[#This Row],[% PLANIFICADO]]=0
   ),
   "",
   MIN(Cartera1017[[#This Row],[% COMPLETADO]]/Cartera1017[[#This Row],[% PLANIFICADO]],1.2)
)</f>
        <v>1</v>
      </c>
      <c r="CM25" s="377">
        <v>45329</v>
      </c>
      <c r="CN25" s="377">
        <v>45329</v>
      </c>
      <c r="CO25" s="377">
        <v>45890</v>
      </c>
      <c r="CP25" s="377">
        <v>45931</v>
      </c>
      <c r="CQ25" s="377">
        <v>45933</v>
      </c>
      <c r="CR25" s="377">
        <v>46072</v>
      </c>
      <c r="CS25" s="377">
        <v>46108</v>
      </c>
      <c r="CT25" s="44">
        <f>IF(Cartera1017[[#This Row],[Fin Desarrollo]]="",25,IFERROR(NETWORKDAYS(Cartera1017[[#This Row],[Comienzo Desarrollo]],Cartera1017[[#This Row],[Fin Desarrollo]],FERIADOS[Fecha]),""))</f>
        <v>384</v>
      </c>
      <c r="CU2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25" s="44">
        <f>IF(OR(Cartera1017[[#This Row],[Comienzo Desarrollo]]="",Cartera1017[[#This Row],[Fin Desarrollo]]=""),200,IFERROR(Cartera1017[[#This Row],[DURACIÓN DESARROLLO DIAS]]*VLOOKUP(Cartera1017[[#This Row],[ID Mantenimiento]],MANT_HORAS[],2,FALSE),200))</f>
        <v>200</v>
      </c>
      <c r="CW25" s="110"/>
      <c r="CX25" s="110" t="str">
        <f>VLOOKUP(Cartera1017[[#This Row],[Estado TI]],Definiciones!$A$549:$B$559,2,FALSE)</f>
        <v>4. PRODUCCIÓN</v>
      </c>
      <c r="CY25" s="28">
        <f ca="1">1-Cartera1017[[#This Row],[Porcentaje avanzado desarrollo]]</f>
        <v>0</v>
      </c>
      <c r="CZ2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384</v>
      </c>
      <c r="DA25" s="28">
        <f ca="1">MAX(0,Cartera1017[[#This Row],[DURACIÓN DESARROLLO DIAS]]-Cartera1017[[#This Row],[Dias avanzados]])</f>
        <v>0</v>
      </c>
      <c r="DB25" s="28">
        <f ca="1">Cartera1017[[#This Row],[Dias avanzados]]*IFERROR(VLOOKUP(Cartera1017[[#This Row],[ID Mantenimiento]],MANT_HORAS[],2,FALSE),8)</f>
        <v>3072</v>
      </c>
      <c r="DC25" s="28">
        <f ca="1">Cartera1017[[#This Row],[Dias faltantes]]*IFERROR(VLOOKUP(Cartera1017[[#This Row],[ID Mantenimiento]],MANT_HORAS[],2,FALSE),8)</f>
        <v>0</v>
      </c>
      <c r="DD25" s="28" t="str">
        <f>IF(Cartera1017[[#This Row],[Fin Producción]]=0,"Por definir",CONCATENATE(YEAR(Cartera1017[[#This Row],[Fin Producción]]),"-",ROUNDUP(MONTH(Cartera1017[[#This Row],[Fin Producción]]),0)))</f>
        <v>2026-3</v>
      </c>
      <c r="DE25" s="18" t="s">
        <v>510</v>
      </c>
      <c r="DH25" s="565"/>
    </row>
    <row r="26" spans="1:112" s="28" customFormat="1" ht="44.25" customHeight="1">
      <c r="A26" s="229" t="s">
        <v>697</v>
      </c>
      <c r="B26" s="18">
        <v>2011</v>
      </c>
      <c r="C26" s="18" t="s">
        <v>485</v>
      </c>
      <c r="D26" s="18" t="s">
        <v>698</v>
      </c>
      <c r="E26" s="18" t="s">
        <v>80</v>
      </c>
      <c r="F26" s="19" t="s">
        <v>81</v>
      </c>
      <c r="G26" s="19" t="s">
        <v>699</v>
      </c>
      <c r="H26" s="18" t="s">
        <v>82</v>
      </c>
      <c r="I26" s="18" t="s">
        <v>700</v>
      </c>
      <c r="J26" s="18" t="s">
        <v>701</v>
      </c>
      <c r="K26" s="20">
        <v>45167</v>
      </c>
      <c r="L26" s="43" t="s">
        <v>702</v>
      </c>
      <c r="M26" s="43" t="s">
        <v>703</v>
      </c>
      <c r="N26" s="43"/>
      <c r="O26" s="18" t="s">
        <v>530</v>
      </c>
      <c r="P26" s="18" t="s">
        <v>495</v>
      </c>
      <c r="Q26" s="18" t="s">
        <v>496</v>
      </c>
      <c r="R26" s="18" t="s">
        <v>599</v>
      </c>
      <c r="S26" s="18" t="s">
        <v>599</v>
      </c>
      <c r="T26" s="18" t="s">
        <v>652</v>
      </c>
      <c r="U26" s="18" t="s">
        <v>704</v>
      </c>
      <c r="V26" s="18"/>
      <c r="W26" s="18"/>
      <c r="X26" s="18"/>
      <c r="Y26" s="80">
        <v>45473</v>
      </c>
      <c r="Z26" s="18" t="s">
        <v>499</v>
      </c>
      <c r="AA26" s="20">
        <v>45338</v>
      </c>
      <c r="AB26" s="18" t="s">
        <v>500</v>
      </c>
      <c r="AC26" s="18" t="s">
        <v>570</v>
      </c>
      <c r="AD26" s="18" t="s">
        <v>84</v>
      </c>
      <c r="AE26" s="18" t="s">
        <v>63</v>
      </c>
      <c r="AF26" s="18" t="s">
        <v>42</v>
      </c>
      <c r="AG26" s="14" t="str">
        <f>VLOOKUP(AF26,Tabla3[[Estado Requerimiento]:[Macro estado]],2,FALSE)</f>
        <v>02. En Proceso</v>
      </c>
      <c r="AH26" s="18" t="s">
        <v>659</v>
      </c>
      <c r="AI26" s="80">
        <v>45324</v>
      </c>
      <c r="AJ26" s="80"/>
      <c r="AK26" s="80">
        <v>46079</v>
      </c>
      <c r="AL26" s="80">
        <v>46119</v>
      </c>
      <c r="AM26" s="80"/>
      <c r="AN26" s="80">
        <v>46132</v>
      </c>
      <c r="AO26" s="80">
        <v>46134</v>
      </c>
      <c r="AP26" s="81">
        <f t="shared" si="0"/>
        <v>46135</v>
      </c>
      <c r="AQ26" s="80"/>
      <c r="AR26" s="80"/>
      <c r="AS26" s="81">
        <f t="shared" si="1"/>
        <v>46142</v>
      </c>
      <c r="AT26" s="19" t="s">
        <v>705</v>
      </c>
      <c r="AU26" s="44" t="str">
        <f>VLOOKUP(Cartera1017[[#This Row],[Gerencia]],tbGerencia[#All],3,FALSE)</f>
        <v>Riesgos</v>
      </c>
      <c r="AV26" s="44" t="str">
        <f>IFERROR(VLOOKUP(Cartera1017[[#This Row],[Subgerencia]],Definiciones!$A$90:$B$144,2,FALSE),"")</f>
        <v>CrediticiosFinancieros</v>
      </c>
      <c r="AW26" s="44" t="str">
        <f>IF(OR(LEN(Cartera1017[[#This Row],[Fecha de Solicitud]])=0,(Cartera1017[[#This Row],[Fecha de Solicitud]])="No definido"),"No definido",IF(YEAR(Cartera1017[[#This Row],[Fecha de Solicitud]])&lt;2023," &lt;  2023",TEXT(Cartera1017[[#This Row],[Fecha de Solicitud]],"yyyy-mm")))</f>
        <v>2023-08</v>
      </c>
      <c r="AX26" s="44" t="str">
        <f>IF(Cartera1017[[#This Row],[Fecha de Priorización Comité]]="","No definido",TEXT(Cartera1017[[#This Row],[Fecha de Priorización Comité]],"yyyy-mm"))</f>
        <v>2024-02</v>
      </c>
      <c r="AY26" s="44" t="str">
        <f>IF(Cartera1017[[#This Row],[Fecha Fin- Desarrollo]]="","No definido",TEXT(Cartera1017[[#This Row],[Fecha Fin- Desarrollo]],"yyyy-mm"))</f>
        <v>2026-04</v>
      </c>
      <c r="AZ26" s="44" t="str">
        <f>IF(Cartera1017[[#This Row],[Fecha Fin- Producción]]="","No definido",TEXT(Cartera1017[[#This Row],[Fecha Fin- Producción]],"yyyy-mm"))</f>
        <v>No definido</v>
      </c>
      <c r="BA26" s="44" t="str">
        <f>IF(Cartera1017[[#This Row],[Fecha Fin-Planificada]]="","No definido",TEXT(Cartera1017[[#This Row],[Fecha Fin-Planificada]],"yyyy-mm"))</f>
        <v>2026-04</v>
      </c>
      <c r="BB26" s="33" t="s">
        <v>572</v>
      </c>
      <c r="BC26" s="66">
        <v>45453</v>
      </c>
      <c r="BD26" s="66">
        <v>45565</v>
      </c>
      <c r="BE26" s="66">
        <v>45565</v>
      </c>
      <c r="BF26" s="386">
        <v>45338</v>
      </c>
      <c r="BG26" s="387" t="s">
        <v>695</v>
      </c>
      <c r="BH2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6" s="90" t="str">
        <f>IF(ISNUMBER(Cartera1017[[#This Row],[Duracion en Dias]]),Cartera1017[[#This Row],[Duracion en Dias]]/30, "No Aplica")</f>
        <v>No Aplica</v>
      </c>
      <c r="BJ26" s="109"/>
      <c r="BK26" s="28" t="s">
        <v>506</v>
      </c>
      <c r="BL26" s="110" t="s">
        <v>655</v>
      </c>
      <c r="BM26" s="342">
        <v>46134.623703703706</v>
      </c>
      <c r="BN26" s="227"/>
      <c r="BO26" s="227"/>
      <c r="BP26" s="227"/>
      <c r="BQ2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6" s="14" t="str">
        <f>IFERROR(VLOOKUP(Cartera1017[[#This Row],[Aplicativo]],Tabla76[],2,FALSE),"Sin Aplicativo")</f>
        <v>BackOffice</v>
      </c>
      <c r="BS26" s="14" t="str">
        <f>IFERROR(VLOOKUP(Cartera1017[[#This Row],[Aplicativo]],Tabla76[],3,FALSE),"Sin Aplicativo")</f>
        <v>Otros Requerimientos</v>
      </c>
      <c r="BT26" s="400">
        <v>45689</v>
      </c>
      <c r="BU26" s="140">
        <v>45689</v>
      </c>
      <c r="BW2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45716</v>
      </c>
      <c r="BX2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6" s="97" t="str">
        <f ca="1">IF(Cartera1017[[#This Row],[Fecha Fin2]]="","No definido",CONCATENATE(TEXT(Cartera1017[[#This Row],[Fecha Fin2]],"mmm")," ",YEAR(Cartera1017[[#This Row],[Fecha Fin2]])))</f>
        <v>Feb 2025</v>
      </c>
      <c r="CA26" s="48" t="str">
        <f>IF(Cartera1017[[#This Row],[Estado TI]] = "08. Producción Finalizada","Culminado",IF(Cartera1017[[#This Row],[Estado TI]]= "09. Descartado","Descartado","Activos"))</f>
        <v>Activos</v>
      </c>
      <c r="CC2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26" s="54" t="str">
        <f>IF(
AND(
Cartera1017[[#This Row],[DEVOLVER 27]]="NO",
NOT(ISBLANK(Cartera1017[[#This Row],[ESTADO NO DEVUELTOS 27]]))
),
"PRE",
"POST"
)</f>
        <v>PRE</v>
      </c>
      <c r="CE26" s="54" t="s">
        <v>509</v>
      </c>
      <c r="CF26" s="28" t="s">
        <v>42</v>
      </c>
      <c r="CG2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6" s="388">
        <v>0.9</v>
      </c>
      <c r="CJ26" s="406">
        <f>Cartera1017[[#This Row],[Porcentaje de Avance]]</f>
        <v>0.85</v>
      </c>
      <c r="CK26" s="388">
        <f>IF(
   OR(
     Cartera1017[[#This Row],[Estado TI]]="09. Descartado",
     Cartera1017[[#This Row],[Comienzo Desarrollo]]="",
     Cartera1017[[#This Row],[Fin Producción]]=""
   ),
   "",
   Cartera1017[[#This Row],[% PLANIFICADO]]-Cartera1017[[#This Row],[% COMPLETADO]]
)</f>
        <v>5.0000000000000044E-2</v>
      </c>
      <c r="CL26" s="388">
        <f>IF(
   OR(
     Cartera1017[[#This Row],[Estado TI]]="09. Descartado",
     Cartera1017[[#This Row],[Comienzo Desarrollo]]="",
     Cartera1017[[#This Row],[Fin Producción]]="",
     Cartera1017[[#This Row],[% PLANIFICADO]]=0
   ),
   "",
   MIN(Cartera1017[[#This Row],[% COMPLETADO]]/Cartera1017[[#This Row],[% PLANIFICADO]],1.2)
)</f>
        <v>0.94444444444444442</v>
      </c>
      <c r="CM26" s="377">
        <v>46079</v>
      </c>
      <c r="CN26" s="377">
        <v>46083</v>
      </c>
      <c r="CO26" s="377">
        <v>46119</v>
      </c>
      <c r="CP26" s="377">
        <v>46119</v>
      </c>
      <c r="CQ26" s="377">
        <v>46129</v>
      </c>
      <c r="CR26" s="377">
        <v>46132</v>
      </c>
      <c r="CS26" s="377">
        <v>46160</v>
      </c>
      <c r="CT26" s="44">
        <f>IF(Cartera1017[[#This Row],[Fin Desarrollo]]="",25,IFERROR(NETWORKDAYS(Cartera1017[[#This Row],[Comienzo Desarrollo]],Cartera1017[[#This Row],[Fin Desarrollo]],FERIADOS[Fecha]),""))</f>
        <v>27</v>
      </c>
      <c r="CU2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26" s="44">
        <f>IF(OR(Cartera1017[[#This Row],[Comienzo Desarrollo]]="",Cartera1017[[#This Row],[Fin Desarrollo]]=""),200,IFERROR(Cartera1017[[#This Row],[DURACIÓN DESARROLLO DIAS]]*VLOOKUP(Cartera1017[[#This Row],[ID Mantenimiento]],MANT_HORAS[],2,FALSE),200))</f>
        <v>200</v>
      </c>
      <c r="CW26" s="110"/>
      <c r="CX26" s="110" t="str">
        <f>VLOOKUP(Cartera1017[[#This Row],[Estado TI]],Definiciones!$A$549:$B$559,2,FALSE)</f>
        <v>2. CALIDAD</v>
      </c>
      <c r="CY26" s="28">
        <f ca="1">1-Cartera1017[[#This Row],[Porcentaje avanzado desarrollo]]</f>
        <v>0</v>
      </c>
      <c r="CZ2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27</v>
      </c>
      <c r="DA26" s="28">
        <f ca="1">MAX(0,Cartera1017[[#This Row],[DURACIÓN DESARROLLO DIAS]]-Cartera1017[[#This Row],[Dias avanzados]])</f>
        <v>0</v>
      </c>
      <c r="DB26" s="28">
        <f ca="1">Cartera1017[[#This Row],[Dias avanzados]]*IFERROR(VLOOKUP(Cartera1017[[#This Row],[ID Mantenimiento]],MANT_HORAS[],2,FALSE),8)</f>
        <v>216</v>
      </c>
      <c r="DC26" s="28">
        <f ca="1">Cartera1017[[#This Row],[Dias faltantes]]*IFERROR(VLOOKUP(Cartera1017[[#This Row],[ID Mantenimiento]],MANT_HORAS[],2,FALSE),8)</f>
        <v>0</v>
      </c>
      <c r="DD26" s="28" t="str">
        <f>IF(Cartera1017[[#This Row],[Fin Producción]]=0,"Por definir",CONCATENATE(YEAR(Cartera1017[[#This Row],[Fin Producción]]),"-",ROUNDUP(MONTH(Cartera1017[[#This Row],[Fin Producción]]),0)))</f>
        <v>2026-5</v>
      </c>
      <c r="DE26" s="18" t="s">
        <v>510</v>
      </c>
      <c r="DG26" s="28" t="s">
        <v>622</v>
      </c>
      <c r="DH26" s="565"/>
    </row>
    <row r="27" spans="1:112" s="28" customFormat="1" ht="44.25" hidden="1" customHeight="1">
      <c r="A27" s="229" t="s">
        <v>706</v>
      </c>
      <c r="B27" s="18">
        <v>2074</v>
      </c>
      <c r="C27" s="18" t="s">
        <v>485</v>
      </c>
      <c r="D27" s="18" t="s">
        <v>707</v>
      </c>
      <c r="E27" s="18" t="s">
        <v>85</v>
      </c>
      <c r="F27" s="519" t="s">
        <v>86</v>
      </c>
      <c r="G27" s="19" t="s">
        <v>708</v>
      </c>
      <c r="H27" s="18" t="s">
        <v>26</v>
      </c>
      <c r="I27" s="18" t="s">
        <v>539</v>
      </c>
      <c r="J27" s="18" t="s">
        <v>540</v>
      </c>
      <c r="K27" s="20">
        <v>45309</v>
      </c>
      <c r="L27" s="43" t="s">
        <v>709</v>
      </c>
      <c r="M27" s="43" t="s">
        <v>710</v>
      </c>
      <c r="N27" s="43" t="s">
        <v>711</v>
      </c>
      <c r="O27" s="18" t="s">
        <v>712</v>
      </c>
      <c r="P27" s="18" t="s">
        <v>549</v>
      </c>
      <c r="Q27" s="18" t="s">
        <v>496</v>
      </c>
      <c r="R27" s="18" t="s">
        <v>497</v>
      </c>
      <c r="S27" s="18"/>
      <c r="T27" s="18"/>
      <c r="U27" s="18"/>
      <c r="V27" s="18"/>
      <c r="W27" s="18"/>
      <c r="X27" s="18"/>
      <c r="Y27" s="50"/>
      <c r="Z27" s="18" t="s">
        <v>499</v>
      </c>
      <c r="AA27" s="20">
        <v>45371</v>
      </c>
      <c r="AB27" s="18" t="s">
        <v>713</v>
      </c>
      <c r="AC27" s="18" t="s">
        <v>570</v>
      </c>
      <c r="AD27" s="18" t="s">
        <v>88</v>
      </c>
      <c r="AE27" s="18" t="s">
        <v>27</v>
      </c>
      <c r="AF27" s="18" t="s">
        <v>42</v>
      </c>
      <c r="AG27" s="14" t="str">
        <f>VLOOKUP(AF27,Tabla3[[Estado Requerimiento]:[Macro estado]],2,FALSE)</f>
        <v>02. En Proceso</v>
      </c>
      <c r="AH27" s="18"/>
      <c r="AI27" s="80">
        <v>45351</v>
      </c>
      <c r="AJ27" s="80"/>
      <c r="AK27" s="80">
        <v>46014</v>
      </c>
      <c r="AL27" s="80">
        <v>46014</v>
      </c>
      <c r="AM27" s="80">
        <v>45860</v>
      </c>
      <c r="AN27" s="80">
        <v>46029</v>
      </c>
      <c r="AO27" s="80">
        <v>46098</v>
      </c>
      <c r="AP27" s="81">
        <f t="shared" si="0"/>
        <v>45798.400000000001</v>
      </c>
      <c r="AQ27" s="80"/>
      <c r="AR27" s="80"/>
      <c r="AS27" s="81">
        <f t="shared" si="1"/>
        <v>45805.4</v>
      </c>
      <c r="AT27" s="19" t="s">
        <v>714</v>
      </c>
      <c r="AU27" s="44" t="str">
        <f>VLOOKUP(Cartera1017[[#This Row],[Gerencia]],tbGerencia[#All],3,FALSE)</f>
        <v>B.Digital</v>
      </c>
      <c r="AV27" s="44" t="str">
        <f>IFERROR(VLOOKUP(Cartera1017[[#This Row],[Subgerencia]],Definiciones!$A$90:$B$144,2,FALSE),"")</f>
        <v>CanalesAlternos</v>
      </c>
      <c r="AW27" s="44" t="str">
        <f>IF(OR(LEN(Cartera1017[[#This Row],[Fecha de Solicitud]])=0,(Cartera1017[[#This Row],[Fecha de Solicitud]])="No definido"),"No definido",IF(YEAR(Cartera1017[[#This Row],[Fecha de Solicitud]])&lt;2023," &lt;  2023",TEXT(Cartera1017[[#This Row],[Fecha de Solicitud]],"yyyy-mm")))</f>
        <v>2024-01</v>
      </c>
      <c r="AX27" s="44" t="str">
        <f>IF(Cartera1017[[#This Row],[Fecha de Priorización Comité]]="","No definido",TEXT(Cartera1017[[#This Row],[Fecha de Priorización Comité]],"yyyy-mm"))</f>
        <v>2024-03</v>
      </c>
      <c r="AY27" s="44" t="str">
        <f>IF(Cartera1017[[#This Row],[Fecha Fin- Desarrollo]]="","No definido",TEXT(Cartera1017[[#This Row],[Fecha Fin- Desarrollo]],"yyyy-mm"))</f>
        <v>2025-12</v>
      </c>
      <c r="AZ27" s="44" t="str">
        <f>IF(Cartera1017[[#This Row],[Fecha Fin- Producción]]="","No definido",TEXT(Cartera1017[[#This Row],[Fecha Fin- Producción]],"yyyy-mm"))</f>
        <v>No definido</v>
      </c>
      <c r="BA27" s="44" t="str">
        <f>IF(Cartera1017[[#This Row],[Fecha Fin-Planificada]]="","No definido",TEXT(Cartera1017[[#This Row],[Fecha Fin-Planificada]],"yyyy-mm"))</f>
        <v>2025-05</v>
      </c>
      <c r="BB27" s="33" t="s">
        <v>604</v>
      </c>
      <c r="BC27" s="66">
        <v>45368</v>
      </c>
      <c r="BD27" s="66">
        <v>45860</v>
      </c>
      <c r="BE27" s="66">
        <v>45925</v>
      </c>
      <c r="BF27" s="386">
        <v>45371</v>
      </c>
      <c r="BG27" s="387" t="s">
        <v>695</v>
      </c>
      <c r="BH2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7" s="90" t="str">
        <f>IF(ISNUMBER(Cartera1017[[#This Row],[Duracion en Dias]]),Cartera1017[[#This Row],[Duracion en Dias]]/30, "No Aplica")</f>
        <v>No Aplica</v>
      </c>
      <c r="BJ27" s="109" t="s">
        <v>715</v>
      </c>
      <c r="BK27" s="28" t="s">
        <v>582</v>
      </c>
      <c r="BL27" s="110" t="s">
        <v>655</v>
      </c>
      <c r="BM27" s="342">
        <v>46135.468553240738</v>
      </c>
      <c r="BN27" s="227"/>
      <c r="BO27" s="227"/>
      <c r="BP27" s="227"/>
      <c r="BQ2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7" s="14" t="str">
        <f>IFERROR(VLOOKUP(Cartera1017[[#This Row],[Aplicativo]],Tabla76[],2,FALSE),"Sin Aplicativo")</f>
        <v>Banca Movil</v>
      </c>
      <c r="BS27" s="14" t="str">
        <f>IFERROR(VLOOKUP(Cartera1017[[#This Row],[Aplicativo]],Tabla76[],3,FALSE),"Sin Aplicativo")</f>
        <v>Canales Virtuales</v>
      </c>
      <c r="BT27" s="161">
        <v>45839</v>
      </c>
      <c r="BU27" s="161">
        <v>45839</v>
      </c>
      <c r="BV27" s="104" t="s">
        <v>716</v>
      </c>
      <c r="BW27"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45869</v>
      </c>
      <c r="BX2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7" s="97" t="str">
        <f ca="1">IF(Cartera1017[[#This Row],[Fecha Fin2]]="","No definido",CONCATENATE(TEXT(Cartera1017[[#This Row],[Fecha Fin2]],"mmm")," ",YEAR(Cartera1017[[#This Row],[Fecha Fin2]])))</f>
        <v>Jul 2025</v>
      </c>
      <c r="BZ27" s="28">
        <v>2025</v>
      </c>
      <c r="CA27" s="48" t="str">
        <f>IF(Cartera1017[[#This Row],[Estado TI]] = "08. Producción Finalizada","Culminado",IF(Cartera1017[[#This Row],[Estado TI]]= "09. Descartado","Descartado","Activos"))</f>
        <v>Activos</v>
      </c>
      <c r="CB27" s="28" t="s">
        <v>717</v>
      </c>
      <c r="CC2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27" s="54" t="str">
        <f>IF(
AND(
Cartera1017[[#This Row],[DEVOLVER 27]]="NO",
NOT(ISBLANK(Cartera1017[[#This Row],[ESTADO NO DEVUELTOS 27]]))
),
"PRE",
"POST"
)</f>
        <v>PRE</v>
      </c>
      <c r="CE27" s="54" t="s">
        <v>509</v>
      </c>
      <c r="CF27" s="28" t="s">
        <v>87</v>
      </c>
      <c r="CG2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7" s="406">
        <f>Cartera1017[[#This Row],[Porcentaje de Avance]]</f>
        <v>0.85</v>
      </c>
      <c r="CK27" s="388">
        <f ca="1">IF(
   OR(
     Cartera1017[[#This Row],[Estado TI]]="09. Descartado",
     Cartera1017[[#This Row],[Comienzo Desarrollo]]="",
     Cartera1017[[#This Row],[Fin Producción]]=""
   ),
   "",
   Cartera1017[[#This Row],[% PLANIFICADO]]-Cartera1017[[#This Row],[% COMPLETADO]]
)</f>
        <v>0.15000000000000002</v>
      </c>
      <c r="CL27" s="388">
        <f ca="1">IF(
   OR(
     Cartera1017[[#This Row],[Estado TI]]="09. Descartado",
     Cartera1017[[#This Row],[Comienzo Desarrollo]]="",
     Cartera1017[[#This Row],[Fin Producción]]="",
     Cartera1017[[#This Row],[% PLANIFICADO]]=0
   ),
   "",
   MIN(Cartera1017[[#This Row],[% COMPLETADO]]/Cartera1017[[#This Row],[% PLANIFICADO]],1.2)
)</f>
        <v>0.85</v>
      </c>
      <c r="CM27" s="377">
        <v>46014</v>
      </c>
      <c r="CN27" s="377">
        <v>46014</v>
      </c>
      <c r="CO27" s="377">
        <v>46014</v>
      </c>
      <c r="CP27" s="377">
        <v>46029</v>
      </c>
      <c r="CQ27" s="377">
        <v>46100</v>
      </c>
      <c r="CR27" s="377">
        <v>46101</v>
      </c>
      <c r="CS27" s="377">
        <v>46112</v>
      </c>
      <c r="CT27" s="44">
        <f>IF(Cartera1017[[#This Row],[Fin Desarrollo]]="",25,IFERROR(NETWORKDAYS(Cartera1017[[#This Row],[Comienzo Desarrollo]],Cartera1017[[#This Row],[Fin Desarrollo]],FERIADOS[Fecha]),""))</f>
        <v>1</v>
      </c>
      <c r="CU2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27" s="44">
        <f>IF(OR(Cartera1017[[#This Row],[Comienzo Desarrollo]]="",Cartera1017[[#This Row],[Fin Desarrollo]]=""),200,IFERROR(Cartera1017[[#This Row],[DURACIÓN DESARROLLO DIAS]]*VLOOKUP(Cartera1017[[#This Row],[ID Mantenimiento]],MANT_HORAS[],2,FALSE),200))</f>
        <v>200</v>
      </c>
      <c r="CW27" s="110" t="s">
        <v>544</v>
      </c>
      <c r="CX27" s="110" t="str">
        <f>VLOOKUP(Cartera1017[[#This Row],[Estado TI]],Definiciones!$A$549:$B$559,2,FALSE)</f>
        <v>2. CALIDAD</v>
      </c>
      <c r="CY27" s="28">
        <f ca="1">1-Cartera1017[[#This Row],[Porcentaje avanzado desarrollo]]</f>
        <v>0</v>
      </c>
      <c r="CZ2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7" s="28">
        <f ca="1">MAX(0,Cartera1017[[#This Row],[DURACIÓN DESARROLLO DIAS]]-Cartera1017[[#This Row],[Dias avanzados]])</f>
        <v>0</v>
      </c>
      <c r="DB27" s="28">
        <f ca="1">Cartera1017[[#This Row],[Dias avanzados]]*IFERROR(VLOOKUP(Cartera1017[[#This Row],[ID Mantenimiento]],MANT_HORAS[],2,FALSE),8)</f>
        <v>8</v>
      </c>
      <c r="DC27" s="28">
        <f ca="1">Cartera1017[[#This Row],[Dias faltantes]]*IFERROR(VLOOKUP(Cartera1017[[#This Row],[ID Mantenimiento]],MANT_HORAS[],2,FALSE),8)</f>
        <v>0</v>
      </c>
      <c r="DD27" s="28" t="str">
        <f>IF(Cartera1017[[#This Row],[Fin Producción]]=0,"Por definir",CONCATENATE(YEAR(Cartera1017[[#This Row],[Fin Producción]]),"-",ROUNDUP(MONTH(Cartera1017[[#This Row],[Fin Producción]]),0)))</f>
        <v>2026-3</v>
      </c>
      <c r="DE27" s="18" t="s">
        <v>510</v>
      </c>
      <c r="DF27" s="28" t="s">
        <v>718</v>
      </c>
      <c r="DG27" s="28" t="s">
        <v>659</v>
      </c>
      <c r="DH27" s="565"/>
    </row>
    <row r="28" spans="1:112" s="28" customFormat="1" ht="44.25" hidden="1" customHeight="1">
      <c r="A28" s="229" t="s">
        <v>719</v>
      </c>
      <c r="B28" s="18">
        <v>2076</v>
      </c>
      <c r="C28" s="18" t="s">
        <v>485</v>
      </c>
      <c r="D28" s="18" t="s">
        <v>720</v>
      </c>
      <c r="E28" s="18" t="s">
        <v>85</v>
      </c>
      <c r="F28" s="519" t="s">
        <v>89</v>
      </c>
      <c r="G28" s="19" t="s">
        <v>721</v>
      </c>
      <c r="H28" s="18" t="s">
        <v>26</v>
      </c>
      <c r="I28" s="18" t="s">
        <v>539</v>
      </c>
      <c r="J28" s="18" t="s">
        <v>540</v>
      </c>
      <c r="K28" s="20">
        <v>45351</v>
      </c>
      <c r="L28" s="43" t="s">
        <v>722</v>
      </c>
      <c r="M28" s="43" t="s">
        <v>710</v>
      </c>
      <c r="N28" s="43" t="s">
        <v>711</v>
      </c>
      <c r="O28" s="18" t="s">
        <v>712</v>
      </c>
      <c r="P28" s="18" t="s">
        <v>549</v>
      </c>
      <c r="Q28" s="18" t="s">
        <v>496</v>
      </c>
      <c r="R28" s="18" t="s">
        <v>497</v>
      </c>
      <c r="S28" s="18"/>
      <c r="T28" s="18"/>
      <c r="U28" s="18"/>
      <c r="V28" s="18"/>
      <c r="W28" s="18"/>
      <c r="X28" s="18"/>
      <c r="Y28" s="50"/>
      <c r="Z28" s="18" t="s">
        <v>499</v>
      </c>
      <c r="AA28" s="20">
        <v>45371</v>
      </c>
      <c r="AB28" s="18" t="s">
        <v>713</v>
      </c>
      <c r="AC28" s="18" t="s">
        <v>570</v>
      </c>
      <c r="AD28" s="18" t="s">
        <v>88</v>
      </c>
      <c r="AE28" s="18" t="s">
        <v>27</v>
      </c>
      <c r="AF28" s="18" t="s">
        <v>42</v>
      </c>
      <c r="AG28" s="14" t="str">
        <f>VLOOKUP(AF28,Tabla3[[Estado Requerimiento]:[Macro estado]],2,FALSE)</f>
        <v>02. En Proceso</v>
      </c>
      <c r="AH28" s="18"/>
      <c r="AI28" s="80">
        <v>45351</v>
      </c>
      <c r="AJ28" s="80"/>
      <c r="AK28" s="80">
        <v>46014</v>
      </c>
      <c r="AL28" s="80">
        <v>46014</v>
      </c>
      <c r="AM28" s="80">
        <v>45860</v>
      </c>
      <c r="AN28" s="80">
        <v>46029</v>
      </c>
      <c r="AO28" s="80">
        <v>46098</v>
      </c>
      <c r="AP28" s="81">
        <f t="shared" si="0"/>
        <v>45798.400000000001</v>
      </c>
      <c r="AQ28" s="80"/>
      <c r="AR28" s="80"/>
      <c r="AS28" s="81">
        <f t="shared" si="1"/>
        <v>45805.4</v>
      </c>
      <c r="AT28" s="19" t="s">
        <v>723</v>
      </c>
      <c r="AU28" s="44" t="str">
        <f>VLOOKUP(Cartera1017[[#This Row],[Gerencia]],tbGerencia[#All],3,FALSE)</f>
        <v>B.Digital</v>
      </c>
      <c r="AV28" s="44" t="str">
        <f>IFERROR(VLOOKUP(Cartera1017[[#This Row],[Subgerencia]],Definiciones!$A$90:$B$144,2,FALSE),"")</f>
        <v>CanalesAlternos</v>
      </c>
      <c r="AW28" s="44" t="str">
        <f>IF(OR(LEN(Cartera1017[[#This Row],[Fecha de Solicitud]])=0,(Cartera1017[[#This Row],[Fecha de Solicitud]])="No definido"),"No definido",IF(YEAR(Cartera1017[[#This Row],[Fecha de Solicitud]])&lt;2023," &lt;  2023",TEXT(Cartera1017[[#This Row],[Fecha de Solicitud]],"yyyy-mm")))</f>
        <v>2024-02</v>
      </c>
      <c r="AX28" s="44" t="str">
        <f>IF(Cartera1017[[#This Row],[Fecha de Priorización Comité]]="","No definido",TEXT(Cartera1017[[#This Row],[Fecha de Priorización Comité]],"yyyy-mm"))</f>
        <v>2024-03</v>
      </c>
      <c r="AY28" s="44" t="str">
        <f>IF(Cartera1017[[#This Row],[Fecha Fin- Desarrollo]]="","No definido",TEXT(Cartera1017[[#This Row],[Fecha Fin- Desarrollo]],"yyyy-mm"))</f>
        <v>2025-12</v>
      </c>
      <c r="AZ28" s="44" t="str">
        <f>IF(Cartera1017[[#This Row],[Fecha Fin- Producción]]="","No definido",TEXT(Cartera1017[[#This Row],[Fecha Fin- Producción]],"yyyy-mm"))</f>
        <v>No definido</v>
      </c>
      <c r="BA28" s="44" t="str">
        <f>IF(Cartera1017[[#This Row],[Fecha Fin-Planificada]]="","No definido",TEXT(Cartera1017[[#This Row],[Fecha Fin-Planificada]],"yyyy-mm"))</f>
        <v>2025-05</v>
      </c>
      <c r="BB28" s="33" t="s">
        <v>604</v>
      </c>
      <c r="BC28" s="66">
        <v>45368</v>
      </c>
      <c r="BD28" s="66">
        <v>45860</v>
      </c>
      <c r="BE28" s="66">
        <v>45925</v>
      </c>
      <c r="BF28" s="386">
        <v>45371</v>
      </c>
      <c r="BG28" s="387" t="s">
        <v>695</v>
      </c>
      <c r="BH2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8" s="90" t="str">
        <f>IF(ISNUMBER(Cartera1017[[#This Row],[Duracion en Dias]]),Cartera1017[[#This Row],[Duracion en Dias]]/30, "No Aplica")</f>
        <v>No Aplica</v>
      </c>
      <c r="BJ28" s="109"/>
      <c r="BK28" s="28" t="s">
        <v>582</v>
      </c>
      <c r="BL28" s="110" t="s">
        <v>655</v>
      </c>
      <c r="BM28" s="342">
        <v>46135.468553240738</v>
      </c>
      <c r="BN28" s="227"/>
      <c r="BO28" s="227"/>
      <c r="BP28" s="227"/>
      <c r="BQ2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8" s="14" t="str">
        <f>IFERROR(VLOOKUP(Cartera1017[[#This Row],[Aplicativo]],Tabla76[],2,FALSE),"Sin Aplicativo")</f>
        <v>Banca Movil</v>
      </c>
      <c r="BS28" s="14" t="str">
        <f>IFERROR(VLOOKUP(Cartera1017[[#This Row],[Aplicativo]],Tabla76[],3,FALSE),"Sin Aplicativo")</f>
        <v>Canales Virtuales</v>
      </c>
      <c r="BT28" s="161">
        <v>45839</v>
      </c>
      <c r="BU28" s="161">
        <v>45839</v>
      </c>
      <c r="BV28" s="104" t="s">
        <v>716</v>
      </c>
      <c r="BW2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45869</v>
      </c>
      <c r="BX2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8" s="97" t="str">
        <f ca="1">IF(Cartera1017[[#This Row],[Fecha Fin2]]="","No definido",CONCATENATE(TEXT(Cartera1017[[#This Row],[Fecha Fin2]],"mmm")," ",YEAR(Cartera1017[[#This Row],[Fecha Fin2]])))</f>
        <v>Jul 2025</v>
      </c>
      <c r="BZ28" s="28">
        <v>2025</v>
      </c>
      <c r="CA28" s="48" t="str">
        <f>IF(Cartera1017[[#This Row],[Estado TI]] = "08. Producción Finalizada","Culminado",IF(Cartera1017[[#This Row],[Estado TI]]= "09. Descartado","Descartado","Activos"))</f>
        <v>Activos</v>
      </c>
      <c r="CB28" s="28" t="s">
        <v>717</v>
      </c>
      <c r="CC2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28" s="54" t="str">
        <f>IF(
AND(
Cartera1017[[#This Row],[DEVOLVER 27]]="NO",
NOT(ISBLANK(Cartera1017[[#This Row],[ESTADO NO DEVUELTOS 27]]))
),
"PRE",
"POST"
)</f>
        <v>PRE</v>
      </c>
      <c r="CE28" s="54" t="s">
        <v>509</v>
      </c>
      <c r="CF28" s="28" t="s">
        <v>87</v>
      </c>
      <c r="CG2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8" s="406">
        <f>Cartera1017[[#This Row],[Porcentaje de Avance]]</f>
        <v>0.85</v>
      </c>
      <c r="CK28" s="388">
        <f ca="1">IF(
   OR(
     Cartera1017[[#This Row],[Estado TI]]="09. Descartado",
     Cartera1017[[#This Row],[Comienzo Desarrollo]]="",
     Cartera1017[[#This Row],[Fin Producción]]=""
   ),
   "",
   Cartera1017[[#This Row],[% PLANIFICADO]]-Cartera1017[[#This Row],[% COMPLETADO]]
)</f>
        <v>0.15000000000000002</v>
      </c>
      <c r="CL28" s="388">
        <f ca="1">IF(
   OR(
     Cartera1017[[#This Row],[Estado TI]]="09. Descartado",
     Cartera1017[[#This Row],[Comienzo Desarrollo]]="",
     Cartera1017[[#This Row],[Fin Producción]]="",
     Cartera1017[[#This Row],[% PLANIFICADO]]=0
   ),
   "",
   MIN(Cartera1017[[#This Row],[% COMPLETADO]]/Cartera1017[[#This Row],[% PLANIFICADO]],1.2)
)</f>
        <v>0.85</v>
      </c>
      <c r="CM28" s="377">
        <v>46014</v>
      </c>
      <c r="CN28" s="377">
        <v>46014</v>
      </c>
      <c r="CO28" s="377">
        <v>46014</v>
      </c>
      <c r="CP28" s="377">
        <v>46029</v>
      </c>
      <c r="CQ28" s="377">
        <v>46100</v>
      </c>
      <c r="CR28" s="377">
        <v>46101</v>
      </c>
      <c r="CS28" s="377">
        <v>46112</v>
      </c>
      <c r="CT28" s="44">
        <f>IF(Cartera1017[[#This Row],[Fin Desarrollo]]="",25,IFERROR(NETWORKDAYS(Cartera1017[[#This Row],[Comienzo Desarrollo]],Cartera1017[[#This Row],[Fin Desarrollo]],FERIADOS[Fecha]),""))</f>
        <v>1</v>
      </c>
      <c r="CU2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28" s="44">
        <f>IF(OR(Cartera1017[[#This Row],[Comienzo Desarrollo]]="",Cartera1017[[#This Row],[Fin Desarrollo]]=""),200,IFERROR(Cartera1017[[#This Row],[DURACIÓN DESARROLLO DIAS]]*VLOOKUP(Cartera1017[[#This Row],[ID Mantenimiento]],MANT_HORAS[],2,FALSE),200))</f>
        <v>200</v>
      </c>
      <c r="CW28" s="110" t="s">
        <v>544</v>
      </c>
      <c r="CX28" s="110" t="str">
        <f>VLOOKUP(Cartera1017[[#This Row],[Estado TI]],Definiciones!$A$549:$B$559,2,FALSE)</f>
        <v>2. CALIDAD</v>
      </c>
      <c r="CY28" s="28">
        <f ca="1">1-Cartera1017[[#This Row],[Porcentaje avanzado desarrollo]]</f>
        <v>0</v>
      </c>
      <c r="CZ2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8" s="28">
        <f ca="1">MAX(0,Cartera1017[[#This Row],[DURACIÓN DESARROLLO DIAS]]-Cartera1017[[#This Row],[Dias avanzados]])</f>
        <v>0</v>
      </c>
      <c r="DB28" s="28">
        <f ca="1">Cartera1017[[#This Row],[Dias avanzados]]*IFERROR(VLOOKUP(Cartera1017[[#This Row],[ID Mantenimiento]],MANT_HORAS[],2,FALSE),8)</f>
        <v>8</v>
      </c>
      <c r="DC28" s="28">
        <f ca="1">Cartera1017[[#This Row],[Dias faltantes]]*IFERROR(VLOOKUP(Cartera1017[[#This Row],[ID Mantenimiento]],MANT_HORAS[],2,FALSE),8)</f>
        <v>0</v>
      </c>
      <c r="DD28" s="28" t="str">
        <f>IF(Cartera1017[[#This Row],[Fin Producción]]=0,"Por definir",CONCATENATE(YEAR(Cartera1017[[#This Row],[Fin Producción]]),"-",ROUNDUP(MONTH(Cartera1017[[#This Row],[Fin Producción]]),0)))</f>
        <v>2026-3</v>
      </c>
      <c r="DE28" s="18" t="s">
        <v>510</v>
      </c>
      <c r="DF28" s="28" t="s">
        <v>718</v>
      </c>
      <c r="DG28" s="28" t="s">
        <v>659</v>
      </c>
      <c r="DH28" s="565"/>
    </row>
    <row r="29" spans="1:112" s="28" customFormat="1" ht="44.25" hidden="1" customHeight="1">
      <c r="A29" s="229" t="s">
        <v>724</v>
      </c>
      <c r="B29" s="18">
        <v>2086</v>
      </c>
      <c r="C29" s="18" t="s">
        <v>485</v>
      </c>
      <c r="D29" s="18" t="s">
        <v>725</v>
      </c>
      <c r="E29" s="18" t="s">
        <v>90</v>
      </c>
      <c r="F29" s="33" t="s">
        <v>91</v>
      </c>
      <c r="G29" s="19" t="s">
        <v>726</v>
      </c>
      <c r="H29" s="18" t="s">
        <v>33</v>
      </c>
      <c r="I29" s="18" t="s">
        <v>727</v>
      </c>
      <c r="J29" s="18" t="s">
        <v>728</v>
      </c>
      <c r="K29" s="20">
        <v>45349</v>
      </c>
      <c r="L29" s="43" t="s">
        <v>729</v>
      </c>
      <c r="M29" s="43" t="s">
        <v>730</v>
      </c>
      <c r="N29" s="43"/>
      <c r="O29" s="18" t="s">
        <v>548</v>
      </c>
      <c r="P29" s="18" t="s">
        <v>731</v>
      </c>
      <c r="Q29" s="18" t="s">
        <v>496</v>
      </c>
      <c r="R29" s="18" t="s">
        <v>599</v>
      </c>
      <c r="S29" s="18" t="s">
        <v>599</v>
      </c>
      <c r="T29" s="18" t="s">
        <v>652</v>
      </c>
      <c r="U29" s="18" t="s">
        <v>732</v>
      </c>
      <c r="V29" s="18"/>
      <c r="W29" s="18"/>
      <c r="X29" s="18"/>
      <c r="Y29" s="80">
        <v>45473</v>
      </c>
      <c r="Z29" s="18" t="s">
        <v>499</v>
      </c>
      <c r="AA29" s="20">
        <v>45371</v>
      </c>
      <c r="AB29" s="18" t="s">
        <v>500</v>
      </c>
      <c r="AC29" s="18" t="s">
        <v>501</v>
      </c>
      <c r="AD29" s="18" t="s">
        <v>126</v>
      </c>
      <c r="AE29" s="18" t="s">
        <v>34</v>
      </c>
      <c r="AF29" s="18" t="s">
        <v>35</v>
      </c>
      <c r="AG29" s="14" t="str">
        <f>VLOOKUP(AF29,Tabla3[[Estado Requerimiento]:[Macro estado]],2,FALSE)</f>
        <v>02. En Proceso</v>
      </c>
      <c r="AH29" s="18"/>
      <c r="AI29" s="80">
        <v>45355</v>
      </c>
      <c r="AJ29" s="80"/>
      <c r="AK29" s="80">
        <v>45371</v>
      </c>
      <c r="AL29" s="80">
        <v>45471</v>
      </c>
      <c r="AM29" s="80"/>
      <c r="AN29" s="80">
        <v>45553</v>
      </c>
      <c r="AO29" s="80">
        <v>45699</v>
      </c>
      <c r="AP29" s="81">
        <f t="shared" si="0"/>
        <v>45511</v>
      </c>
      <c r="AQ29" s="80">
        <v>45972</v>
      </c>
      <c r="AR29" s="80"/>
      <c r="AS29" s="81">
        <f t="shared" si="1"/>
        <v>45518</v>
      </c>
      <c r="AT29" s="19" t="s">
        <v>733</v>
      </c>
      <c r="AU29" s="44" t="str">
        <f>VLOOKUP(Cartera1017[[#This Row],[Gerencia]],tbGerencia[#All],3,FALSE)</f>
        <v>Productos</v>
      </c>
      <c r="AV29" s="44" t="str">
        <f>IFERROR(VLOOKUP(Cartera1017[[#This Row],[Subgerencia]],Definiciones!$A$90:$B$144,2,FALSE),"")</f>
        <v>BancaPersonal</v>
      </c>
      <c r="AW29" s="44" t="str">
        <f>IF(OR(LEN(Cartera1017[[#This Row],[Fecha de Solicitud]])=0,(Cartera1017[[#This Row],[Fecha de Solicitud]])="No definido"),"No definido",IF(YEAR(Cartera1017[[#This Row],[Fecha de Solicitud]])&lt;2023," &lt;  2023",TEXT(Cartera1017[[#This Row],[Fecha de Solicitud]],"yyyy-mm")))</f>
        <v>2024-02</v>
      </c>
      <c r="AX29" s="44" t="str">
        <f>IF(Cartera1017[[#This Row],[Fecha de Priorización Comité]]="","No definido",TEXT(Cartera1017[[#This Row],[Fecha de Priorización Comité]],"yyyy-mm"))</f>
        <v>2024-03</v>
      </c>
      <c r="AY29" s="44" t="str">
        <f>IF(Cartera1017[[#This Row],[Fecha Fin- Desarrollo]]="","No definido",TEXT(Cartera1017[[#This Row],[Fecha Fin- Desarrollo]],"yyyy-mm"))</f>
        <v>2024-06</v>
      </c>
      <c r="AZ29" s="44" t="str">
        <f>IF(Cartera1017[[#This Row],[Fecha Fin- Producción]]="","No definido",TEXT(Cartera1017[[#This Row],[Fecha Fin- Producción]],"yyyy-mm"))</f>
        <v>No definido</v>
      </c>
      <c r="BA29" s="44" t="str">
        <f>IF(Cartera1017[[#This Row],[Fecha Fin-Planificada]]="","No definido",TEXT(Cartera1017[[#This Row],[Fecha Fin-Planificada]],"yyyy-mm"))</f>
        <v>2024-08</v>
      </c>
      <c r="BB29" s="33"/>
      <c r="BC29" s="66"/>
      <c r="BD29" s="66"/>
      <c r="BE29" s="66"/>
      <c r="BF29" s="386">
        <v>45371</v>
      </c>
      <c r="BG29" s="387" t="s">
        <v>695</v>
      </c>
      <c r="BH2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9" s="90" t="str">
        <f>IF(ISNUMBER(Cartera1017[[#This Row],[Duracion en Dias]]),Cartera1017[[#This Row],[Duracion en Dias]]/30, "No Aplica")</f>
        <v>No Aplica</v>
      </c>
      <c r="BJ29" s="109"/>
      <c r="BK29" s="28" t="s">
        <v>506</v>
      </c>
      <c r="BL29" s="110" t="s">
        <v>734</v>
      </c>
      <c r="BM29" s="342">
        <v>46079.516886574071</v>
      </c>
      <c r="BN29" s="227"/>
      <c r="BO29" s="227"/>
      <c r="BP29" s="227"/>
      <c r="BQ2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9" s="14" t="str">
        <f>IFERROR(VLOOKUP(Cartera1017[[#This Row],[Aplicativo]],Tabla76[],2,FALSE),"Sin Aplicativo")</f>
        <v>Tarjeta Tesoro</v>
      </c>
      <c r="BS29" s="14" t="str">
        <f>IFERROR(VLOOKUP(Cartera1017[[#This Row],[Aplicativo]],Tabla76[],3,FALSE),"Sin Aplicativo")</f>
        <v>Productos</v>
      </c>
      <c r="BT29" s="400" t="s">
        <v>521</v>
      </c>
      <c r="BV29" s="33" t="s">
        <v>735</v>
      </c>
      <c r="BW29"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9" s="97" t="str">
        <f ca="1">IF(Cartera1017[[#This Row],[Fecha Fin2]]="","No definido",CONCATENATE(TEXT(Cartera1017[[#This Row],[Fecha Fin2]],"mmm")," ",YEAR(Cartera1017[[#This Row],[Fecha Fin2]])))</f>
        <v>No definido</v>
      </c>
      <c r="BZ29" s="28">
        <v>2025</v>
      </c>
      <c r="CA29" s="48" t="str">
        <f>IF(Cartera1017[[#This Row],[Estado TI]] = "08. Producción Finalizada","Culminado",IF(Cartera1017[[#This Row],[Estado TI]]= "09. Descartado","Descartado","Activos"))</f>
        <v>Activos</v>
      </c>
      <c r="CC2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29" s="54" t="str">
        <f>IF(
AND(
Cartera1017[[#This Row],[DEVOLVER 27]]="NO",
NOT(ISBLANK(Cartera1017[[#This Row],[ESTADO NO DEVUELTOS 27]]))
),
"PRE",
"POST"
)</f>
        <v>PRE</v>
      </c>
      <c r="CE29" s="54" t="s">
        <v>509</v>
      </c>
      <c r="CF29" s="28" t="s">
        <v>48</v>
      </c>
      <c r="CG2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9" s="406">
        <f>Cartera1017[[#This Row],[Porcentaje de Avance]]</f>
        <v>0.9</v>
      </c>
      <c r="CK29" s="388">
        <f ca="1">IF(
   OR(
     Cartera1017[[#This Row],[Estado TI]]="09. Descartado",
     Cartera1017[[#This Row],[Comienzo Desarrollo]]="",
     Cartera1017[[#This Row],[Fin Producción]]=""
   ),
   "",
   Cartera1017[[#This Row],[% PLANIFICADO]]-Cartera1017[[#This Row],[% COMPLETADO]]
)</f>
        <v>9.9999999999999978E-2</v>
      </c>
      <c r="CL29" s="388">
        <f ca="1">IF(
   OR(
     Cartera1017[[#This Row],[Estado TI]]="09. Descartado",
     Cartera1017[[#This Row],[Comienzo Desarrollo]]="",
     Cartera1017[[#This Row],[Fin Producción]]="",
     Cartera1017[[#This Row],[% PLANIFICADO]]=0
   ),
   "",
   MIN(Cartera1017[[#This Row],[% COMPLETADO]]/Cartera1017[[#This Row],[% PLANIFICADO]],1.2)
)</f>
        <v>0.9</v>
      </c>
      <c r="CM29" s="377">
        <v>45371</v>
      </c>
      <c r="CN29" s="377">
        <v>45371</v>
      </c>
      <c r="CO29" s="377">
        <v>45471</v>
      </c>
      <c r="CP29" s="377">
        <v>45553</v>
      </c>
      <c r="CQ29" s="377">
        <v>45699</v>
      </c>
      <c r="CR29" s="377">
        <v>45972</v>
      </c>
      <c r="CS29" s="377">
        <v>46108</v>
      </c>
      <c r="CT29" s="123">
        <f>IF(Cartera1017[[#This Row],[Fin Desarrollo]]="",25,IFERROR(NETWORKDAYS(Cartera1017[[#This Row],[Comienzo Desarrollo]],Cartera1017[[#This Row],[Fin Desarrollo]],FERIADOS[Fecha]),""))</f>
        <v>72</v>
      </c>
      <c r="CU2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29" s="44">
        <f>IF(OR(Cartera1017[[#This Row],[Comienzo Desarrollo]]="",Cartera1017[[#This Row],[Fin Desarrollo]]=""),200,IFERROR(Cartera1017[[#This Row],[DURACIÓN DESARROLLO DIAS]]*VLOOKUP(Cartera1017[[#This Row],[ID Mantenimiento]],MANT_HORAS[],2,FALSE),200))</f>
        <v>200</v>
      </c>
      <c r="CW29" s="110"/>
      <c r="CX29" s="110" t="str">
        <f>VLOOKUP(Cartera1017[[#This Row],[Estado TI]],Definiciones!$A$549:$B$559,2,FALSE)</f>
        <v>3. DESPLIEGUE</v>
      </c>
      <c r="CY29" s="28">
        <f ca="1">1-Cartera1017[[#This Row],[Porcentaje avanzado desarrollo]]</f>
        <v>0</v>
      </c>
      <c r="CZ2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72</v>
      </c>
      <c r="DA29" s="28">
        <f ca="1">MAX(0,Cartera1017[[#This Row],[DURACIÓN DESARROLLO DIAS]]-Cartera1017[[#This Row],[Dias avanzados]])</f>
        <v>0</v>
      </c>
      <c r="DB29" s="28">
        <f ca="1">Cartera1017[[#This Row],[Dias avanzados]]*IFERROR(VLOOKUP(Cartera1017[[#This Row],[ID Mantenimiento]],MANT_HORAS[],2,FALSE),8)</f>
        <v>576</v>
      </c>
      <c r="DC29" s="28">
        <f ca="1">Cartera1017[[#This Row],[Dias faltantes]]*IFERROR(VLOOKUP(Cartera1017[[#This Row],[ID Mantenimiento]],MANT_HORAS[],2,FALSE),8)</f>
        <v>0</v>
      </c>
      <c r="DD29" s="28" t="str">
        <f>IF(Cartera1017[[#This Row],[Fin Producción]]=0,"Por definir",CONCATENATE(YEAR(Cartera1017[[#This Row],[Fin Producción]]),"-",ROUNDUP(MONTH(Cartera1017[[#This Row],[Fin Producción]]),0)))</f>
        <v>2026-3</v>
      </c>
      <c r="DE29" s="18" t="s">
        <v>510</v>
      </c>
      <c r="DF29" s="28" t="s">
        <v>736</v>
      </c>
      <c r="DG29" s="28" t="s">
        <v>659</v>
      </c>
      <c r="DH29" s="565"/>
    </row>
    <row r="30" spans="1:112" s="28" customFormat="1" ht="44.25" hidden="1" customHeight="1">
      <c r="A30" s="229" t="s">
        <v>737</v>
      </c>
      <c r="B30" s="18">
        <v>2097</v>
      </c>
      <c r="C30" s="18" t="s">
        <v>485</v>
      </c>
      <c r="D30" s="18" t="s">
        <v>738</v>
      </c>
      <c r="E30" s="18" t="s">
        <v>92</v>
      </c>
      <c r="F30" s="33" t="s">
        <v>93</v>
      </c>
      <c r="G30" s="19" t="s">
        <v>739</v>
      </c>
      <c r="H30" s="18" t="s">
        <v>40</v>
      </c>
      <c r="I30" s="18" t="s">
        <v>490</v>
      </c>
      <c r="J30" s="18" t="s">
        <v>740</v>
      </c>
      <c r="K30" s="20">
        <v>45364</v>
      </c>
      <c r="L30" s="43" t="s">
        <v>741</v>
      </c>
      <c r="M30" s="43" t="s">
        <v>742</v>
      </c>
      <c r="N30" s="43" t="s">
        <v>743</v>
      </c>
      <c r="O30" s="18" t="s">
        <v>744</v>
      </c>
      <c r="P30" s="18" t="s">
        <v>495</v>
      </c>
      <c r="Q30" s="18" t="s">
        <v>495</v>
      </c>
      <c r="R30" s="18" t="s">
        <v>497</v>
      </c>
      <c r="S30" s="18"/>
      <c r="T30" s="263" t="s">
        <v>743</v>
      </c>
      <c r="U30" s="18" t="s">
        <v>495</v>
      </c>
      <c r="V30" s="18" t="s">
        <v>495</v>
      </c>
      <c r="W30" s="18" t="s">
        <v>495</v>
      </c>
      <c r="X30" s="18" t="s">
        <v>495</v>
      </c>
      <c r="Y30" s="80" t="s">
        <v>495</v>
      </c>
      <c r="Z30" s="18" t="s">
        <v>499</v>
      </c>
      <c r="AA30" s="20">
        <v>45371</v>
      </c>
      <c r="AB30" s="18" t="s">
        <v>500</v>
      </c>
      <c r="AC30" s="18" t="s">
        <v>570</v>
      </c>
      <c r="AD30" s="18" t="s">
        <v>94</v>
      </c>
      <c r="AE30" s="18" t="s">
        <v>41</v>
      </c>
      <c r="AF30" s="18" t="s">
        <v>48</v>
      </c>
      <c r="AG30" s="14" t="str">
        <f>VLOOKUP(AF30,Tabla3[[Estado Requerimiento]:[Macro estado]],2,FALSE)</f>
        <v>02. En Proceso</v>
      </c>
      <c r="AH30" s="18"/>
      <c r="AI30" s="80">
        <v>45366</v>
      </c>
      <c r="AJ30" s="80"/>
      <c r="AK30" s="271"/>
      <c r="AL30" s="271"/>
      <c r="AM30" s="271">
        <v>45727</v>
      </c>
      <c r="AN30" s="271"/>
      <c r="AO30" s="271"/>
      <c r="AP30" s="81" t="str">
        <f t="shared" si="0"/>
        <v/>
      </c>
      <c r="AQ30" s="271"/>
      <c r="AR30" s="271"/>
      <c r="AS30" s="81" t="str">
        <f t="shared" si="1"/>
        <v/>
      </c>
      <c r="AT30" s="19" t="s">
        <v>745</v>
      </c>
      <c r="AU30" s="44" t="str">
        <f>VLOOKUP(Cartera1017[[#This Row],[Gerencia]],tbGerencia[#All],3,FALSE)</f>
        <v>Operac.</v>
      </c>
      <c r="AV30" s="44" t="str">
        <f>IFERROR(VLOOKUP(Cartera1017[[#This Row],[Subgerencia]],Definiciones!$A$90:$B$144,2,FALSE),"")</f>
        <v>BancariosRecaudación</v>
      </c>
      <c r="AW30" s="44" t="str">
        <f>IF(OR(LEN(Cartera1017[[#This Row],[Fecha de Solicitud]])=0,(Cartera1017[[#This Row],[Fecha de Solicitud]])="No definido"),"No definido",IF(YEAR(Cartera1017[[#This Row],[Fecha de Solicitud]])&lt;2023," &lt;  2023",TEXT(Cartera1017[[#This Row],[Fecha de Solicitud]],"yyyy-mm")))</f>
        <v>2024-03</v>
      </c>
      <c r="AX30" s="44" t="str">
        <f>IF(Cartera1017[[#This Row],[Fecha de Priorización Comité]]="","No definido",TEXT(Cartera1017[[#This Row],[Fecha de Priorización Comité]],"yyyy-mm"))</f>
        <v>2024-03</v>
      </c>
      <c r="AY30" s="44" t="str">
        <f>IF(Cartera1017[[#This Row],[Fecha Fin- Desarrollo]]="","No definido",TEXT(Cartera1017[[#This Row],[Fecha Fin- Desarrollo]],"yyyy-mm"))</f>
        <v>No definido</v>
      </c>
      <c r="AZ30" s="44" t="str">
        <f>IF(Cartera1017[[#This Row],[Fecha Fin- Producción]]="","No definido",TEXT(Cartera1017[[#This Row],[Fecha Fin- Producción]],"yyyy-mm"))</f>
        <v>No definido</v>
      </c>
      <c r="BA30" s="44" t="str">
        <f>IF(Cartera1017[[#This Row],[Fecha Fin-Planificada]]="","No definido",TEXT(Cartera1017[[#This Row],[Fecha Fin-Planificada]],"yyyy-mm"))</f>
        <v>No definido</v>
      </c>
      <c r="BB30" s="33" t="s">
        <v>572</v>
      </c>
      <c r="BC30" s="66">
        <v>45372</v>
      </c>
      <c r="BD30" s="66">
        <v>45727</v>
      </c>
      <c r="BE30" s="66">
        <v>45727</v>
      </c>
      <c r="BF30" s="386">
        <v>45371</v>
      </c>
      <c r="BG30" s="387" t="s">
        <v>695</v>
      </c>
      <c r="BH3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30" s="90" t="str">
        <f>IF(ISNUMBER(Cartera1017[[#This Row],[Duracion en Dias]]),Cartera1017[[#This Row],[Duracion en Dias]]/30, "No Aplica")</f>
        <v>No Aplica</v>
      </c>
      <c r="BJ30" s="109" t="s">
        <v>746</v>
      </c>
      <c r="BK30" s="28" t="s">
        <v>582</v>
      </c>
      <c r="BL30" s="110" t="s">
        <v>581</v>
      </c>
      <c r="BM30" s="342">
        <v>46093.367442129631</v>
      </c>
      <c r="BN30" s="227"/>
      <c r="BO30" s="227"/>
      <c r="BP30" s="227"/>
      <c r="BQ3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30" s="14" t="str">
        <f>IFERROR(VLOOKUP(Cartera1017[[#This Row],[Aplicativo]],Tabla76[],2,FALSE),"Sin Aplicativo")</f>
        <v>Pagalo.pe</v>
      </c>
      <c r="BS30" s="14" t="str">
        <f>IFERROR(VLOOKUP(Cartera1017[[#This Row],[Aplicativo]],Tabla76[],3,FALSE),"Sin Aplicativo")</f>
        <v>Canales Virtuales</v>
      </c>
      <c r="BT30" s="162">
        <v>45778</v>
      </c>
      <c r="BU30" s="162">
        <v>45778</v>
      </c>
      <c r="BV30" s="33"/>
      <c r="BW30"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3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0" s="97" t="str">
        <f ca="1">IF(Cartera1017[[#This Row],[Fecha Fin2]]="","No definido",CONCATENATE(TEXT(Cartera1017[[#This Row],[Fecha Fin2]],"mmm")," ",YEAR(Cartera1017[[#This Row],[Fecha Fin2]])))</f>
        <v>May 2025</v>
      </c>
      <c r="CA30" s="48" t="str">
        <f>IF(Cartera1017[[#This Row],[Estado TI]] = "08. Producción Finalizada","Culminado",IF(Cartera1017[[#This Row],[Estado TI]]= "09. Descartado","Descartado","Activos"))</f>
        <v>Activos</v>
      </c>
      <c r="CB30" s="28" t="s">
        <v>747</v>
      </c>
      <c r="CC3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30" s="54" t="str">
        <f>IF(
AND(
Cartera1017[[#This Row],[DEVOLVER 27]]="NO",
NOT(ISBLANK(Cartera1017[[#This Row],[ESTADO NO DEVUELTOS 27]]))
),
"PRE",
"POST"
)</f>
        <v>PRE</v>
      </c>
      <c r="CE30" s="54" t="s">
        <v>509</v>
      </c>
      <c r="CF30" s="28" t="s">
        <v>42</v>
      </c>
      <c r="CG3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3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3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0.99617590822179736</v>
      </c>
      <c r="CJ30" s="406">
        <f>Cartera1017[[#This Row],[Porcentaje de Avance]]</f>
        <v>0.45</v>
      </c>
      <c r="CK30" s="388">
        <f ca="1">IF(
   OR(
     Cartera1017[[#This Row],[Estado TI]]="09. Descartado",
     Cartera1017[[#This Row],[Comienzo Desarrollo]]="",
     Cartera1017[[#This Row],[Fin Producción]]=""
   ),
   "",
   Cartera1017[[#This Row],[% PLANIFICADO]]-Cartera1017[[#This Row],[% COMPLETADO]]
)</f>
        <v>0.5461759082217974</v>
      </c>
      <c r="CL30" s="388">
        <f ca="1">IF(
   OR(
     Cartera1017[[#This Row],[Estado TI]]="09. Descartado",
     Cartera1017[[#This Row],[Comienzo Desarrollo]]="",
     Cartera1017[[#This Row],[Fin Producción]]="",
     Cartera1017[[#This Row],[% PLANIFICADO]]=0
   ),
   "",
   MIN(Cartera1017[[#This Row],[% COMPLETADO]]/Cartera1017[[#This Row],[% PLANIFICADO]],1.2)
)</f>
        <v>0.45172744721689057</v>
      </c>
      <c r="CM30" s="377">
        <v>45366</v>
      </c>
      <c r="CN30" s="377">
        <v>45399</v>
      </c>
      <c r="CO30" s="377">
        <v>45771</v>
      </c>
      <c r="CP30" s="377">
        <v>45774</v>
      </c>
      <c r="CQ30" s="377">
        <v>45793</v>
      </c>
      <c r="CR30" s="377">
        <v>46160</v>
      </c>
      <c r="CS30" s="377">
        <v>46164</v>
      </c>
      <c r="CT30" s="44">
        <f>IF(Cartera1017[[#This Row],[Fin Desarrollo]]="",25,IFERROR(NETWORKDAYS(Cartera1017[[#This Row],[Comienzo Desarrollo]],Cartera1017[[#This Row],[Fin Desarrollo]],FERIADOS[Fecha]),""))</f>
        <v>252</v>
      </c>
      <c r="CU3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30" s="44">
        <f>IF(OR(Cartera1017[[#This Row],[Comienzo Desarrollo]]="",Cartera1017[[#This Row],[Fin Desarrollo]]=""),200,IFERROR(Cartera1017[[#This Row],[DURACIÓN DESARROLLO DIAS]]*VLOOKUP(Cartera1017[[#This Row],[ID Mantenimiento]],MANT_HORAS[],2,FALSE),200))</f>
        <v>1008</v>
      </c>
      <c r="CW30" s="110"/>
      <c r="CX30" s="110" t="str">
        <f>VLOOKUP(Cartera1017[[#This Row],[Estado TI]],Definiciones!$A$549:$B$559,2,FALSE)</f>
        <v>1. DESARROLLO</v>
      </c>
      <c r="CY30" s="28">
        <f ca="1">1-Cartera1017[[#This Row],[Porcentaje avanzado desarrollo]]</f>
        <v>0</v>
      </c>
      <c r="CZ3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252</v>
      </c>
      <c r="DA30" s="28">
        <f ca="1">MAX(0,Cartera1017[[#This Row],[DURACIÓN DESARROLLO DIAS]]-Cartera1017[[#This Row],[Dias avanzados]])</f>
        <v>0</v>
      </c>
      <c r="DB30" s="28">
        <f ca="1">Cartera1017[[#This Row],[Dias avanzados]]*IFERROR(VLOOKUP(Cartera1017[[#This Row],[ID Mantenimiento]],MANT_HORAS[],2,FALSE),8)</f>
        <v>1008</v>
      </c>
      <c r="DC30" s="28">
        <f ca="1">Cartera1017[[#This Row],[Dias faltantes]]*IFERROR(VLOOKUP(Cartera1017[[#This Row],[ID Mantenimiento]],MANT_HORAS[],2,FALSE),8)</f>
        <v>0</v>
      </c>
      <c r="DD30" s="28" t="str">
        <f>IF(Cartera1017[[#This Row],[Fin Producción]]=0,"Por definir",CONCATENATE(YEAR(Cartera1017[[#This Row],[Fin Producción]]),"-",ROUNDUP(MONTH(Cartera1017[[#This Row],[Fin Producción]]),0)))</f>
        <v>2026-5</v>
      </c>
      <c r="DE30" s="18" t="s">
        <v>510</v>
      </c>
      <c r="DH30" s="565"/>
    </row>
    <row r="31" spans="1:112" s="28" customFormat="1" ht="44.25" hidden="1" customHeight="1">
      <c r="A31" s="229" t="s">
        <v>748</v>
      </c>
      <c r="B31" s="18">
        <v>2140</v>
      </c>
      <c r="C31" s="18" t="s">
        <v>485</v>
      </c>
      <c r="D31" s="18" t="s">
        <v>749</v>
      </c>
      <c r="E31" s="18" t="s">
        <v>95</v>
      </c>
      <c r="F31" s="33" t="s">
        <v>96</v>
      </c>
      <c r="G31" s="19" t="s">
        <v>750</v>
      </c>
      <c r="H31" s="18" t="s">
        <v>26</v>
      </c>
      <c r="I31" s="18" t="s">
        <v>539</v>
      </c>
      <c r="J31" s="18" t="s">
        <v>540</v>
      </c>
      <c r="K31" s="20">
        <v>45369</v>
      </c>
      <c r="L31" s="43" t="s">
        <v>751</v>
      </c>
      <c r="M31" s="43" t="s">
        <v>556</v>
      </c>
      <c r="N31" s="43" t="s">
        <v>650</v>
      </c>
      <c r="O31" s="18" t="s">
        <v>670</v>
      </c>
      <c r="P31" s="18" t="s">
        <v>549</v>
      </c>
      <c r="Q31" s="18" t="s">
        <v>549</v>
      </c>
      <c r="R31" s="18" t="s">
        <v>599</v>
      </c>
      <c r="S31" s="18" t="s">
        <v>599</v>
      </c>
      <c r="T31" s="18" t="s">
        <v>650</v>
      </c>
      <c r="U31" s="18"/>
      <c r="V31" s="18"/>
      <c r="W31" s="18"/>
      <c r="X31" s="18"/>
      <c r="Y31" s="80">
        <v>45366</v>
      </c>
      <c r="Z31" s="18" t="s">
        <v>499</v>
      </c>
      <c r="AA31" s="20">
        <v>45371</v>
      </c>
      <c r="AB31" s="18" t="s">
        <v>500</v>
      </c>
      <c r="AC31" s="18" t="s">
        <v>558</v>
      </c>
      <c r="AD31" s="18" t="s">
        <v>30</v>
      </c>
      <c r="AE31" s="18" t="s">
        <v>27</v>
      </c>
      <c r="AF31" s="563" t="s">
        <v>28</v>
      </c>
      <c r="AG31" s="430" t="str">
        <f>VLOOKUP(AF31,Tabla3[[Estado Requerimiento]:[Macro estado]],2,FALSE)</f>
        <v>04. Paralizado</v>
      </c>
      <c r="AH31" s="18" t="s">
        <v>559</v>
      </c>
      <c r="AI31" s="80">
        <v>45370</v>
      </c>
      <c r="AJ31" s="80"/>
      <c r="AK31" s="80">
        <v>45415</v>
      </c>
      <c r="AL31" s="80"/>
      <c r="AM31" s="80"/>
      <c r="AN31" s="80"/>
      <c r="AO31" s="80"/>
      <c r="AP31" s="81" t="str">
        <f t="shared" si="0"/>
        <v/>
      </c>
      <c r="AQ31" s="80"/>
      <c r="AR31" s="80"/>
      <c r="AS31" s="81" t="str">
        <f t="shared" si="1"/>
        <v/>
      </c>
      <c r="AT31" s="19" t="s">
        <v>752</v>
      </c>
      <c r="AU31" s="44" t="str">
        <f>VLOOKUP(Cartera1017[[#This Row],[Gerencia]],tbGerencia[#All],3,FALSE)</f>
        <v>B.Digital</v>
      </c>
      <c r="AV31" s="44" t="str">
        <f>IFERROR(VLOOKUP(Cartera1017[[#This Row],[Subgerencia]],Definiciones!$A$90:$B$144,2,FALSE),"")</f>
        <v>CanalesAlternos</v>
      </c>
      <c r="AW31" s="44" t="str">
        <f>IF(OR(LEN(Cartera1017[[#This Row],[Fecha de Solicitud]])=0,(Cartera1017[[#This Row],[Fecha de Solicitud]])="No definido"),"No definido",IF(YEAR(Cartera1017[[#This Row],[Fecha de Solicitud]])&lt;2023," &lt;  2023",TEXT(Cartera1017[[#This Row],[Fecha de Solicitud]],"yyyy-mm")))</f>
        <v>2024-03</v>
      </c>
      <c r="AX31" s="44" t="str">
        <f>IF(Cartera1017[[#This Row],[Fecha de Priorización Comité]]="","No definido",TEXT(Cartera1017[[#This Row],[Fecha de Priorización Comité]],"yyyy-mm"))</f>
        <v>2024-03</v>
      </c>
      <c r="AY31" s="44" t="str">
        <f>IF(Cartera1017[[#This Row],[Fecha Fin- Desarrollo]]="","No definido",TEXT(Cartera1017[[#This Row],[Fecha Fin- Desarrollo]],"yyyy-mm"))</f>
        <v>No definido</v>
      </c>
      <c r="AZ31" s="44" t="str">
        <f>IF(Cartera1017[[#This Row],[Fecha Fin- Producción]]="","No definido",TEXT(Cartera1017[[#This Row],[Fecha Fin- Producción]],"yyyy-mm"))</f>
        <v>No definido</v>
      </c>
      <c r="BA31" s="44" t="str">
        <f>IF(Cartera1017[[#This Row],[Fecha Fin-Planificada]]="","No definido",TEXT(Cartera1017[[#This Row],[Fecha Fin-Planificada]],"yyyy-mm"))</f>
        <v>No definido</v>
      </c>
      <c r="BB31" s="33"/>
      <c r="BC31" s="66"/>
      <c r="BD31" s="66"/>
      <c r="BE31" s="66"/>
      <c r="BF31" s="386">
        <v>45371</v>
      </c>
      <c r="BG31" s="387" t="s">
        <v>695</v>
      </c>
      <c r="BH3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1" s="90" t="str">
        <f>IF(ISNUMBER(Cartera1017[[#This Row],[Duracion en Dias]]),Cartera1017[[#This Row],[Duracion en Dias]]/30, "No Aplica")</f>
        <v>No Aplica</v>
      </c>
      <c r="BJ31" s="109" t="s">
        <v>753</v>
      </c>
      <c r="BK31" s="28" t="s">
        <v>754</v>
      </c>
      <c r="BL31" s="110" t="s">
        <v>562</v>
      </c>
      <c r="BM31" s="342">
        <v>45988.644178240742</v>
      </c>
      <c r="BN31" s="227"/>
      <c r="BO31" s="227"/>
      <c r="BP31" s="227"/>
      <c r="BQ3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31" s="14" t="str">
        <f>IFERROR(VLOOKUP(Cartera1017[[#This Row],[Aplicativo]],Tabla76[],2,FALSE),"Sin Aplicativo")</f>
        <v>ATM-Agentes-VISA</v>
      </c>
      <c r="BS31" s="14" t="str">
        <f>IFERROR(VLOOKUP(Cartera1017[[#This Row],[Aplicativo]],Tabla76[],3,FALSE),"Sin Aplicativo")</f>
        <v>Canales Presenciales</v>
      </c>
      <c r="BT31" s="400">
        <v>45870</v>
      </c>
      <c r="BU31" s="140">
        <v>45870</v>
      </c>
      <c r="BV31" s="33" t="s">
        <v>755</v>
      </c>
      <c r="BW3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3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1" s="97" t="str">
        <f ca="1">IF(Cartera1017[[#This Row],[Fecha Fin2]]="","No definido",CONCATENATE(TEXT(Cartera1017[[#This Row],[Fecha Fin2]],"mmm")," ",YEAR(Cartera1017[[#This Row],[Fecha Fin2]])))</f>
        <v>Ago 2025</v>
      </c>
      <c r="BZ31" s="28">
        <v>2025</v>
      </c>
      <c r="CA31" s="48" t="str">
        <f>IF(Cartera1017[[#This Row],[Estado TI]] = "08. Producción Finalizada","Culminado",IF(Cartera1017[[#This Row],[Estado TI]]= "09. Descartado","Descartado","Activos"))</f>
        <v>Activos</v>
      </c>
      <c r="CB31" s="28" t="s">
        <v>657</v>
      </c>
      <c r="CC3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31" s="54" t="str">
        <f>IF(
AND(
Cartera1017[[#This Row],[DEVOLVER 27]]="NO",
NOT(ISBLANK(Cartera1017[[#This Row],[ESTADO NO DEVUELTOS 27]]))
),
"PRE",
"POST"
)</f>
        <v>POST</v>
      </c>
      <c r="CE31" s="54" t="s">
        <v>523</v>
      </c>
      <c r="CF31" s="28" t="s">
        <v>524</v>
      </c>
      <c r="CG3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31"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31" s="406">
        <f>Cartera1017[[#This Row],[Porcentaje de Avance]]</f>
        <v>0.12</v>
      </c>
      <c r="CK31" s="388" t="str">
        <f>IF(
   OR(
     Cartera1017[[#This Row],[Estado TI]]="09. Descartado",
     Cartera1017[[#This Row],[Comienzo Desarrollo]]="",
     Cartera1017[[#This Row],[Fin Producción]]=""
   ),
   "",
   Cartera1017[[#This Row],[% PLANIFICADO]]-Cartera1017[[#This Row],[% COMPLETADO]]
)</f>
        <v/>
      </c>
      <c r="CL31" s="388" t="str">
        <f ca="1">IF(
   OR(
     Cartera1017[[#This Row],[Estado TI]]="09. Descartado",
     Cartera1017[[#This Row],[Comienzo Desarrollo]]="",
     Cartera1017[[#This Row],[Fin Producción]]="",
     Cartera1017[[#This Row],[% PLANIFICADO]]=0
   ),
   "",
   MIN(Cartera1017[[#This Row],[% COMPLETADO]]/Cartera1017[[#This Row],[% PLANIFICADO]],1.2)
)</f>
        <v/>
      </c>
      <c r="CM31" s="377"/>
      <c r="CN31" s="377"/>
      <c r="CO31" s="377"/>
      <c r="CP31" s="377"/>
      <c r="CQ31" s="377"/>
      <c r="CR31" s="377"/>
      <c r="CS31" s="377">
        <v>46265</v>
      </c>
      <c r="CT31" s="44">
        <f>IF(Cartera1017[[#This Row],[Fin Desarrollo]]="",25,IFERROR(NETWORKDAYS(Cartera1017[[#This Row],[Comienzo Desarrollo]],Cartera1017[[#This Row],[Fin Desarrollo]],FERIADOS[Fecha]),""))</f>
        <v>25</v>
      </c>
      <c r="CU3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31" s="44">
        <f>IF(OR(Cartera1017[[#This Row],[Comienzo Desarrollo]]="",Cartera1017[[#This Row],[Fin Desarrollo]]=""),200,IFERROR(Cartera1017[[#This Row],[DURACIÓN DESARROLLO DIAS]]*VLOOKUP(Cartera1017[[#This Row],[ID Mantenimiento]],MANT_HORAS[],2,FALSE),200))</f>
        <v>200</v>
      </c>
      <c r="CW31" s="110"/>
      <c r="CX31" s="110" t="str">
        <f>VLOOKUP(Cartera1017[[#This Row],[Estado TI]],Definiciones!$A$549:$B$559,2,FALSE)</f>
        <v>6. PARALIZADO</v>
      </c>
      <c r="CY31" s="28">
        <f ca="1">1-Cartera1017[[#This Row],[Porcentaje avanzado desarrollo]]</f>
        <v>0.9</v>
      </c>
      <c r="CZ3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31" s="28">
        <f ca="1">MAX(0,Cartera1017[[#This Row],[DURACIÓN DESARROLLO DIAS]]-Cartera1017[[#This Row],[Dias avanzados]])</f>
        <v>24</v>
      </c>
      <c r="DB31" s="28">
        <f ca="1">Cartera1017[[#This Row],[Dias avanzados]]*IFERROR(VLOOKUP(Cartera1017[[#This Row],[ID Mantenimiento]],MANT_HORAS[],2,FALSE),8)</f>
        <v>8</v>
      </c>
      <c r="DC31" s="28">
        <f ca="1">Cartera1017[[#This Row],[Dias faltantes]]*IFERROR(VLOOKUP(Cartera1017[[#This Row],[ID Mantenimiento]],MANT_HORAS[],2,FALSE),8)</f>
        <v>192</v>
      </c>
      <c r="DD31" s="28" t="str">
        <f>IF(Cartera1017[[#This Row],[Fin Producción]]=0,"Por definir",CONCATENATE(YEAR(Cartera1017[[#This Row],[Fin Producción]]),"-",ROUNDUP(MONTH(Cartera1017[[#This Row],[Fin Producción]]),0)))</f>
        <v>2026-8</v>
      </c>
      <c r="DE31" s="18" t="s">
        <v>510</v>
      </c>
      <c r="DH31" s="565"/>
    </row>
    <row r="32" spans="1:112" s="28" customFormat="1" ht="44.25" hidden="1" customHeight="1">
      <c r="A32" s="229" t="s">
        <v>756</v>
      </c>
      <c r="B32" s="39">
        <v>2008</v>
      </c>
      <c r="C32" s="18" t="s">
        <v>485</v>
      </c>
      <c r="D32" s="39" t="s">
        <v>757</v>
      </c>
      <c r="E32" s="39" t="s">
        <v>97</v>
      </c>
      <c r="F32" s="60" t="s">
        <v>98</v>
      </c>
      <c r="G32" s="35" t="s">
        <v>758</v>
      </c>
      <c r="H32" s="39" t="s">
        <v>59</v>
      </c>
      <c r="I32" s="39" t="s">
        <v>759</v>
      </c>
      <c r="J32" s="39" t="s">
        <v>760</v>
      </c>
      <c r="K32" s="113">
        <v>45314</v>
      </c>
      <c r="L32" s="114" t="s">
        <v>761</v>
      </c>
      <c r="M32" s="114" t="s">
        <v>762</v>
      </c>
      <c r="N32" s="114"/>
      <c r="O32" s="39" t="s">
        <v>530</v>
      </c>
      <c r="P32" s="39" t="s">
        <v>495</v>
      </c>
      <c r="Q32" s="39" t="s">
        <v>496</v>
      </c>
      <c r="R32" s="39" t="s">
        <v>497</v>
      </c>
      <c r="S32" s="39"/>
      <c r="T32" s="39"/>
      <c r="U32" s="39"/>
      <c r="V32" s="39"/>
      <c r="W32" s="39"/>
      <c r="X32" s="39"/>
      <c r="Y32" s="122"/>
      <c r="Z32" s="39" t="s">
        <v>499</v>
      </c>
      <c r="AA32" s="113">
        <v>45401</v>
      </c>
      <c r="AB32" s="39" t="s">
        <v>533</v>
      </c>
      <c r="AC32" s="18" t="s">
        <v>501</v>
      </c>
      <c r="AD32" s="39" t="s">
        <v>49</v>
      </c>
      <c r="AE32" s="39" t="s">
        <v>47</v>
      </c>
      <c r="AF32" s="39" t="s">
        <v>48</v>
      </c>
      <c r="AG32" s="14" t="str">
        <f>VLOOKUP(AF32,Tabla3[[Estado Requerimiento]:[Macro estado]],2,FALSE)</f>
        <v>02. En Proceso</v>
      </c>
      <c r="AH32" s="39"/>
      <c r="AI32" s="111">
        <v>45331</v>
      </c>
      <c r="AJ32" s="111"/>
      <c r="AK32" s="116">
        <v>45527</v>
      </c>
      <c r="AL32" s="80"/>
      <c r="AM32" s="80">
        <v>45898</v>
      </c>
      <c r="AN32" s="80"/>
      <c r="AO32" s="80"/>
      <c r="AP32" s="81">
        <f t="shared" si="0"/>
        <v>46046.400000000001</v>
      </c>
      <c r="AQ32" s="80"/>
      <c r="AR32" s="80"/>
      <c r="AS32" s="81">
        <f t="shared" si="1"/>
        <v>46053.4</v>
      </c>
      <c r="AT32" s="35" t="s">
        <v>763</v>
      </c>
      <c r="AU32" s="123" t="str">
        <f>VLOOKUP(Cartera1017[[#This Row],[Gerencia]],tbGerencia[#All],3,FALSE)</f>
        <v>RRHH</v>
      </c>
      <c r="AV32" s="123" t="str">
        <f>IFERROR(VLOOKUP(Cartera1017[[#This Row],[Subgerencia]],Definiciones!$A$90:$B$144,2,FALSE),"")</f>
        <v>DesarrolloTalento</v>
      </c>
      <c r="AW32" s="123" t="str">
        <f>IF(OR(LEN(Cartera1017[[#This Row],[Fecha de Solicitud]])=0,(Cartera1017[[#This Row],[Fecha de Solicitud]])="No definido"),"No definido",IF(YEAR(Cartera1017[[#This Row],[Fecha de Solicitud]])&lt;2023," &lt;  2023",TEXT(Cartera1017[[#This Row],[Fecha de Solicitud]],"yyyy-mm")))</f>
        <v>2024-01</v>
      </c>
      <c r="AX32" s="123" t="str">
        <f>IF(Cartera1017[[#This Row],[Fecha de Priorización Comité]]="","No definido",TEXT(Cartera1017[[#This Row],[Fecha de Priorización Comité]],"yyyy-mm"))</f>
        <v>2024-04</v>
      </c>
      <c r="AY32" s="123" t="str">
        <f>IF(Cartera1017[[#This Row],[Fecha Fin- Desarrollo]]="","No definido",TEXT(Cartera1017[[#This Row],[Fecha Fin- Desarrollo]],"yyyy-mm"))</f>
        <v>No definido</v>
      </c>
      <c r="AZ32" s="123" t="str">
        <f>IF(Cartera1017[[#This Row],[Fecha Fin- Producción]]="","No definido",TEXT(Cartera1017[[#This Row],[Fecha Fin- Producción]],"yyyy-mm"))</f>
        <v>No definido</v>
      </c>
      <c r="BA32" s="123" t="str">
        <f>IF(Cartera1017[[#This Row],[Fecha Fin-Planificada]]="","No definido",TEXT(Cartera1017[[#This Row],[Fecha Fin-Planificada]],"yyyy-mm"))</f>
        <v>2026-01</v>
      </c>
      <c r="BB32" s="33" t="s">
        <v>581</v>
      </c>
      <c r="BC32" s="66">
        <v>45621</v>
      </c>
      <c r="BD32" s="66">
        <v>45721</v>
      </c>
      <c r="BE32" s="66"/>
      <c r="BF32" s="409">
        <v>45401</v>
      </c>
      <c r="BG32" s="387" t="s">
        <v>504</v>
      </c>
      <c r="BH3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2" s="90" t="str">
        <f>IF(ISNUMBER(Cartera1017[[#This Row],[Duracion en Dias]]),Cartera1017[[#This Row],[Duracion en Dias]]/30, "No Aplica")</f>
        <v>No Aplica</v>
      </c>
      <c r="BJ32" s="109" t="s">
        <v>764</v>
      </c>
      <c r="BK32" s="28" t="s">
        <v>506</v>
      </c>
      <c r="BL32" s="110" t="s">
        <v>592</v>
      </c>
      <c r="BM32" s="342">
        <v>45891.605868055558</v>
      </c>
      <c r="BN32" s="227"/>
      <c r="BO32" s="227"/>
      <c r="BP32" s="227"/>
      <c r="BQ3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32" s="14" t="str">
        <f>IFERROR(VLOOKUP(Cartera1017[[#This Row],[Aplicativo]],Tabla76[],2,FALSE),"Sin Aplicativo")</f>
        <v>BackOffice</v>
      </c>
      <c r="BS32" s="14" t="str">
        <f>IFERROR(VLOOKUP(Cartera1017[[#This Row],[Aplicativo]],Tabla76[],3,FALSE),"Sin Aplicativo")</f>
        <v>Otros Requerimientos</v>
      </c>
      <c r="BT32" s="400">
        <v>45992</v>
      </c>
      <c r="BU32" s="140">
        <v>45992</v>
      </c>
      <c r="BV32" s="28" t="s">
        <v>765</v>
      </c>
      <c r="BW3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46022</v>
      </c>
      <c r="BX3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2" s="97" t="str">
        <f ca="1">IF(Cartera1017[[#This Row],[Fecha Fin2]]="","No definido",CONCATENATE(TEXT(Cartera1017[[#This Row],[Fecha Fin2]],"mmm")," ",YEAR(Cartera1017[[#This Row],[Fecha Fin2]])))</f>
        <v>Dic 2025</v>
      </c>
      <c r="BZ32" s="28">
        <v>2025</v>
      </c>
      <c r="CA32" s="48" t="str">
        <f>IF(Cartera1017[[#This Row],[Estado TI]] = "08. Producción Finalizada","Culminado",IF(Cartera1017[[#This Row],[Estado TI]]= "09. Descartado","Descartado","Activos"))</f>
        <v>Activos</v>
      </c>
      <c r="CC3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32" s="54" t="str">
        <f>IF(
AND(
Cartera1017[[#This Row],[DEVOLVER 27]]="NO",
NOT(ISBLANK(Cartera1017[[#This Row],[ESTADO NO DEVUELTOS 27]]))
),
"PRE",
"POST"
)</f>
        <v>PRE</v>
      </c>
      <c r="CE32" s="54" t="s">
        <v>509</v>
      </c>
      <c r="CF32" s="399" t="s">
        <v>48</v>
      </c>
      <c r="CG32"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3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3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32" s="406">
        <f>Cartera1017[[#This Row],[Porcentaje de Avance]]</f>
        <v>0.15</v>
      </c>
      <c r="CK32" s="417">
        <f ca="1">IF(
   OR(
     Cartera1017[[#This Row],[Estado TI]]="09. Descartado",
     Cartera1017[[#This Row],[Comienzo Desarrollo]]="",
     Cartera1017[[#This Row],[Fin Producción]]=""
   ),
   "",
   Cartera1017[[#This Row],[% PLANIFICADO]]-Cartera1017[[#This Row],[% COMPLETADO]]
)</f>
        <v>-0.15</v>
      </c>
      <c r="CL32" s="417" t="str">
        <f ca="1">IF(
   OR(
     Cartera1017[[#This Row],[Estado TI]]="09. Descartado",
     Cartera1017[[#This Row],[Comienzo Desarrollo]]="",
     Cartera1017[[#This Row],[Fin Producción]]="",
     Cartera1017[[#This Row],[% PLANIFICADO]]=0
   ),
   "",
   MIN(Cartera1017[[#This Row],[% COMPLETADO]]/Cartera1017[[#This Row],[% PLANIFICADO]],1.2)
)</f>
        <v/>
      </c>
      <c r="CM32" s="476">
        <v>46174</v>
      </c>
      <c r="CN32" s="377">
        <v>46174</v>
      </c>
      <c r="CO32" s="377">
        <v>46234</v>
      </c>
      <c r="CP32" s="377">
        <v>46235</v>
      </c>
      <c r="CQ32" s="377">
        <v>46254</v>
      </c>
      <c r="CR32" s="377">
        <v>46266</v>
      </c>
      <c r="CS32" s="377">
        <v>46272</v>
      </c>
      <c r="CT32" s="44">
        <f>IF(Cartera1017[[#This Row],[Fin Desarrollo]]="",25,IFERROR(NETWORKDAYS(Cartera1017[[#This Row],[Comienzo Desarrollo]],Cartera1017[[#This Row],[Fin Desarrollo]],FERIADOS[Fecha]),""))</f>
        <v>42</v>
      </c>
      <c r="CU3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V32" s="44">
        <f>IF(OR(Cartera1017[[#This Row],[Comienzo Desarrollo]]="",Cartera1017[[#This Row],[Fin Desarrollo]]=""),200,IFERROR(Cartera1017[[#This Row],[DURACIÓN DESARROLLO DIAS]]*VLOOKUP(Cartera1017[[#This Row],[ID Mantenimiento]],MANT_HORAS[],2,FALSE),200))</f>
        <v>67.2</v>
      </c>
      <c r="CW32" s="110"/>
      <c r="CX32" s="110" t="str">
        <f>VLOOKUP(Cartera1017[[#This Row],[Estado TI]],Definiciones!$A$549:$B$559,2,FALSE)</f>
        <v>1. DESARROLLO</v>
      </c>
      <c r="CY32" s="28">
        <f ca="1">1-Cartera1017[[#This Row],[Porcentaje avanzado desarrollo]]</f>
        <v>1</v>
      </c>
      <c r="CZ3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32" s="28">
        <f ca="1">MAX(0,Cartera1017[[#This Row],[DURACIÓN DESARROLLO DIAS]]-Cartera1017[[#This Row],[Dias avanzados]])</f>
        <v>42</v>
      </c>
      <c r="DB32" s="28">
        <f ca="1">Cartera1017[[#This Row],[Dias avanzados]]*IFERROR(VLOOKUP(Cartera1017[[#This Row],[ID Mantenimiento]],MANT_HORAS[],2,FALSE),8)</f>
        <v>0</v>
      </c>
      <c r="DC32" s="28">
        <f ca="1">Cartera1017[[#This Row],[Dias faltantes]]*IFERROR(VLOOKUP(Cartera1017[[#This Row],[ID Mantenimiento]],MANT_HORAS[],2,FALSE),8)</f>
        <v>67.2</v>
      </c>
      <c r="DD32" s="28" t="str">
        <f>IF(Cartera1017[[#This Row],[Fin Producción]]=0,"Por definir",CONCATENATE(YEAR(Cartera1017[[#This Row],[Fin Producción]]),"-",ROUNDUP(MONTH(Cartera1017[[#This Row],[Fin Producción]]),0)))</f>
        <v>2026-9</v>
      </c>
      <c r="DE32" s="18" t="s">
        <v>510</v>
      </c>
      <c r="DH32" s="565"/>
    </row>
    <row r="33" spans="1:112" s="28" customFormat="1" ht="44.25" hidden="1" customHeight="1">
      <c r="A33" s="229" t="s">
        <v>766</v>
      </c>
      <c r="B33" s="18">
        <v>2058</v>
      </c>
      <c r="C33" s="18" t="s">
        <v>485</v>
      </c>
      <c r="D33" s="18" t="s">
        <v>767</v>
      </c>
      <c r="E33" s="18" t="s">
        <v>99</v>
      </c>
      <c r="F33" s="33" t="s">
        <v>100</v>
      </c>
      <c r="G33" s="19" t="s">
        <v>768</v>
      </c>
      <c r="H33" s="18" t="s">
        <v>26</v>
      </c>
      <c r="I33" s="18" t="s">
        <v>539</v>
      </c>
      <c r="J33" s="18" t="s">
        <v>540</v>
      </c>
      <c r="K33" s="20">
        <v>45336</v>
      </c>
      <c r="L33" s="43" t="s">
        <v>769</v>
      </c>
      <c r="M33" s="43" t="s">
        <v>770</v>
      </c>
      <c r="N33" s="43" t="s">
        <v>650</v>
      </c>
      <c r="O33" s="18" t="s">
        <v>642</v>
      </c>
      <c r="P33" s="18" t="s">
        <v>495</v>
      </c>
      <c r="Q33" s="18" t="s">
        <v>496</v>
      </c>
      <c r="R33" s="18" t="s">
        <v>531</v>
      </c>
      <c r="S33" s="18"/>
      <c r="T33" s="18"/>
      <c r="U33" s="18"/>
      <c r="V33" s="18"/>
      <c r="W33" s="18"/>
      <c r="X33" s="18"/>
      <c r="Y33" s="50"/>
      <c r="Z33" s="18" t="s">
        <v>499</v>
      </c>
      <c r="AA33" s="20">
        <v>45401</v>
      </c>
      <c r="AB33" s="18" t="s">
        <v>500</v>
      </c>
      <c r="AC33" s="18" t="s">
        <v>570</v>
      </c>
      <c r="AD33" s="18" t="s">
        <v>30</v>
      </c>
      <c r="AE33" s="18" t="s">
        <v>27</v>
      </c>
      <c r="AF33" s="18" t="s">
        <v>42</v>
      </c>
      <c r="AG33" s="14" t="str">
        <f>VLOOKUP(AF33,Tabla3[[Estado Requerimiento]:[Macro estado]],2,FALSE)</f>
        <v>02. En Proceso</v>
      </c>
      <c r="AH33" s="18"/>
      <c r="AI33" s="80">
        <v>45401</v>
      </c>
      <c r="AJ33" s="80"/>
      <c r="AK33" s="271">
        <v>45884</v>
      </c>
      <c r="AL33" s="271">
        <v>46038</v>
      </c>
      <c r="AM33" s="271">
        <v>45733</v>
      </c>
      <c r="AN33" s="271">
        <v>46041</v>
      </c>
      <c r="AO33" s="80">
        <v>46045</v>
      </c>
      <c r="AP33" s="81">
        <f t="shared" si="0"/>
        <v>45672.6</v>
      </c>
      <c r="AQ33" s="80"/>
      <c r="AR33" s="80"/>
      <c r="AS33" s="81">
        <f t="shared" si="1"/>
        <v>45679.6</v>
      </c>
      <c r="AT33" s="19" t="s">
        <v>771</v>
      </c>
      <c r="AU33" s="44" t="str">
        <f>VLOOKUP(Cartera1017[[#This Row],[Gerencia]],tbGerencia[#All],3,FALSE)</f>
        <v>B.Digital</v>
      </c>
      <c r="AV33" s="44" t="str">
        <f>IFERROR(VLOOKUP(Cartera1017[[#This Row],[Subgerencia]],Definiciones!$A$90:$B$144,2,FALSE),"")</f>
        <v>CanalesAlternos</v>
      </c>
      <c r="AW33" s="44" t="str">
        <f>IF(OR(LEN(Cartera1017[[#This Row],[Fecha de Solicitud]])=0,(Cartera1017[[#This Row],[Fecha de Solicitud]])="No definido"),"No definido",IF(YEAR(Cartera1017[[#This Row],[Fecha de Solicitud]])&lt;2023," &lt;  2023",TEXT(Cartera1017[[#This Row],[Fecha de Solicitud]],"yyyy-mm")))</f>
        <v>2024-02</v>
      </c>
      <c r="AX33" s="44" t="str">
        <f>IF(Cartera1017[[#This Row],[Fecha de Priorización Comité]]="","No definido",TEXT(Cartera1017[[#This Row],[Fecha de Priorización Comité]],"yyyy-mm"))</f>
        <v>2024-04</v>
      </c>
      <c r="AY33" s="44" t="str">
        <f>IF(Cartera1017[[#This Row],[Fecha Fin- Desarrollo]]="","No definido",TEXT(Cartera1017[[#This Row],[Fecha Fin- Desarrollo]],"yyyy-mm"))</f>
        <v>2026-01</v>
      </c>
      <c r="AZ33" s="44" t="str">
        <f>IF(Cartera1017[[#This Row],[Fecha Fin- Producción]]="","No definido",TEXT(Cartera1017[[#This Row],[Fecha Fin- Producción]],"yyyy-mm"))</f>
        <v>No definido</v>
      </c>
      <c r="BA33" s="44" t="str">
        <f>IF(Cartera1017[[#This Row],[Fecha Fin-Planificada]]="","No definido",TEXT(Cartera1017[[#This Row],[Fecha Fin-Planificada]],"yyyy-mm"))</f>
        <v>2025-01</v>
      </c>
      <c r="BB33" s="33" t="s">
        <v>772</v>
      </c>
      <c r="BC33" s="66">
        <v>45530</v>
      </c>
      <c r="BD33" s="66">
        <v>45733</v>
      </c>
      <c r="BE33" s="66"/>
      <c r="BF33" s="386">
        <v>45401</v>
      </c>
      <c r="BG33" s="387" t="s">
        <v>504</v>
      </c>
      <c r="BH3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3" s="90" t="str">
        <f>IF(ISNUMBER(Cartera1017[[#This Row],[Duracion en Dias]]),Cartera1017[[#This Row],[Duracion en Dias]]/30, "No Aplica")</f>
        <v>No Aplica</v>
      </c>
      <c r="BJ33" s="109" t="s">
        <v>773</v>
      </c>
      <c r="BK33" s="28" t="s">
        <v>506</v>
      </c>
      <c r="BL33" s="110" t="s">
        <v>655</v>
      </c>
      <c r="BM33" s="342">
        <v>46098.510150462964</v>
      </c>
      <c r="BN33" s="227"/>
      <c r="BO33" s="227"/>
      <c r="BP33" s="227"/>
      <c r="BQ3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33" s="14" t="str">
        <f>IFERROR(VLOOKUP(Cartera1017[[#This Row],[Aplicativo]],Tabla76[],2,FALSE),"Sin Aplicativo")</f>
        <v>ATM-Agentes-VISA</v>
      </c>
      <c r="BS33" s="14" t="str">
        <f>IFERROR(VLOOKUP(Cartera1017[[#This Row],[Aplicativo]],Tabla76[],3,FALSE),"Sin Aplicativo")</f>
        <v>Canales Presenciales</v>
      </c>
      <c r="BT33" s="162">
        <v>45870</v>
      </c>
      <c r="BU33" s="162">
        <v>45870</v>
      </c>
      <c r="BV33" s="33" t="s">
        <v>774</v>
      </c>
      <c r="BW3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3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3" s="97" t="str">
        <f ca="1">IF(Cartera1017[[#This Row],[Fecha Fin2]]="","No definido",CONCATENATE(TEXT(Cartera1017[[#This Row],[Fecha Fin2]],"mmm")," ",YEAR(Cartera1017[[#This Row],[Fecha Fin2]])))</f>
        <v>Ago 2025</v>
      </c>
      <c r="BZ33" s="28">
        <v>2025</v>
      </c>
      <c r="CA33" s="48" t="str">
        <f>IF(Cartera1017[[#This Row],[Estado TI]] = "08. Producción Finalizada","Culminado",IF(Cartera1017[[#This Row],[Estado TI]]= "09. Descartado","Descartado","Activos"))</f>
        <v>Activos</v>
      </c>
      <c r="CB33" s="28" t="s">
        <v>657</v>
      </c>
      <c r="CC3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33" s="54" t="str">
        <f>IF(
AND(
Cartera1017[[#This Row],[DEVOLVER 27]]="NO",
NOT(ISBLANK(Cartera1017[[#This Row],[ESTADO NO DEVUELTOS 27]]))
),
"PRE",
"POST"
)</f>
        <v>PRE</v>
      </c>
      <c r="CE33" s="54" t="s">
        <v>509</v>
      </c>
      <c r="CF33" s="104" t="s">
        <v>48</v>
      </c>
      <c r="CG33"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3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3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33" s="406">
        <f>Cartera1017[[#This Row],[Porcentaje de Avance]]</f>
        <v>0.85</v>
      </c>
      <c r="CK33" s="418">
        <f ca="1">IF(
   OR(
     Cartera1017[[#This Row],[Estado TI]]="09. Descartado",
     Cartera1017[[#This Row],[Comienzo Desarrollo]]="",
     Cartera1017[[#This Row],[Fin Producción]]=""
   ),
   "",
   Cartera1017[[#This Row],[% PLANIFICADO]]-Cartera1017[[#This Row],[% COMPLETADO]]
)</f>
        <v>0.15000000000000002</v>
      </c>
      <c r="CL33" s="418">
        <f ca="1">IF(
   OR(
     Cartera1017[[#This Row],[Estado TI]]="09. Descartado",
     Cartera1017[[#This Row],[Comienzo Desarrollo]]="",
     Cartera1017[[#This Row],[Fin Producción]]="",
     Cartera1017[[#This Row],[% PLANIFICADO]]=0
   ),
   "",
   MIN(Cartera1017[[#This Row],[% COMPLETADO]]/Cartera1017[[#This Row],[% PLANIFICADO]],1.2)
)</f>
        <v>0.85</v>
      </c>
      <c r="CM33" s="423">
        <v>45884</v>
      </c>
      <c r="CN33" s="377">
        <v>45884</v>
      </c>
      <c r="CO33" s="377">
        <v>46038</v>
      </c>
      <c r="CP33" s="377">
        <v>46041</v>
      </c>
      <c r="CQ33" s="377">
        <v>46045</v>
      </c>
      <c r="CR33" s="377">
        <v>46084</v>
      </c>
      <c r="CS33" s="377">
        <v>46108</v>
      </c>
      <c r="CT33" s="44">
        <f>IF(Cartera1017[[#This Row],[Fin Desarrollo]]="",25,IFERROR(NETWORKDAYS(Cartera1017[[#This Row],[Comienzo Desarrollo]],Cartera1017[[#This Row],[Fin Desarrollo]],FERIADOS[Fecha]),""))</f>
        <v>105</v>
      </c>
      <c r="CU3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33" s="44">
        <f>IF(OR(Cartera1017[[#This Row],[Comienzo Desarrollo]]="",Cartera1017[[#This Row],[Fin Desarrollo]]=""),200,IFERROR(Cartera1017[[#This Row],[DURACIÓN DESARROLLO DIAS]]*VLOOKUP(Cartera1017[[#This Row],[ID Mantenimiento]],MANT_HORAS[],2,FALSE),200))</f>
        <v>200</v>
      </c>
      <c r="CW33" s="110" t="s">
        <v>544</v>
      </c>
      <c r="CX33" s="110" t="str">
        <f>VLOOKUP(Cartera1017[[#This Row],[Estado TI]],Definiciones!$A$549:$B$559,2,FALSE)</f>
        <v>2. CALIDAD</v>
      </c>
      <c r="CY33" s="28">
        <f ca="1">1-Cartera1017[[#This Row],[Porcentaje avanzado desarrollo]]</f>
        <v>0</v>
      </c>
      <c r="CZ3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105</v>
      </c>
      <c r="DA33" s="28">
        <f ca="1">MAX(0,Cartera1017[[#This Row],[DURACIÓN DESARROLLO DIAS]]-Cartera1017[[#This Row],[Dias avanzados]])</f>
        <v>0</v>
      </c>
      <c r="DB33" s="28">
        <f ca="1">Cartera1017[[#This Row],[Dias avanzados]]*IFERROR(VLOOKUP(Cartera1017[[#This Row],[ID Mantenimiento]],MANT_HORAS[],2,FALSE),8)</f>
        <v>840</v>
      </c>
      <c r="DC33" s="28">
        <f ca="1">Cartera1017[[#This Row],[Dias faltantes]]*IFERROR(VLOOKUP(Cartera1017[[#This Row],[ID Mantenimiento]],MANT_HORAS[],2,FALSE),8)</f>
        <v>0</v>
      </c>
      <c r="DD33" s="28" t="str">
        <f>IF(Cartera1017[[#This Row],[Fin Producción]]=0,"Por definir",CONCATENATE(YEAR(Cartera1017[[#This Row],[Fin Producción]]),"-",ROUNDUP(MONTH(Cartera1017[[#This Row],[Fin Producción]]),0)))</f>
        <v>2026-3</v>
      </c>
      <c r="DE33" s="18" t="s">
        <v>510</v>
      </c>
      <c r="DF33" s="28" t="s">
        <v>775</v>
      </c>
      <c r="DG33" s="28" t="s">
        <v>659</v>
      </c>
      <c r="DH33" s="565"/>
    </row>
    <row r="34" spans="1:112" s="28" customFormat="1" ht="44.25" hidden="1" customHeight="1">
      <c r="A34" s="229" t="s">
        <v>776</v>
      </c>
      <c r="B34" s="18">
        <v>2059</v>
      </c>
      <c r="C34" s="18" t="s">
        <v>485</v>
      </c>
      <c r="D34" s="18" t="s">
        <v>777</v>
      </c>
      <c r="E34" s="39" t="s">
        <v>101</v>
      </c>
      <c r="F34" s="33" t="s">
        <v>102</v>
      </c>
      <c r="G34" s="19" t="s">
        <v>778</v>
      </c>
      <c r="H34" s="18" t="s">
        <v>26</v>
      </c>
      <c r="I34" s="18" t="s">
        <v>539</v>
      </c>
      <c r="J34" s="18" t="s">
        <v>554</v>
      </c>
      <c r="K34" s="20">
        <v>45336</v>
      </c>
      <c r="L34" s="43" t="s">
        <v>769</v>
      </c>
      <c r="M34" s="43" t="s">
        <v>779</v>
      </c>
      <c r="N34" s="43" t="s">
        <v>645</v>
      </c>
      <c r="O34" s="18" t="s">
        <v>642</v>
      </c>
      <c r="P34" s="18" t="s">
        <v>495</v>
      </c>
      <c r="Q34" s="18" t="s">
        <v>496</v>
      </c>
      <c r="R34" s="18" t="s">
        <v>780</v>
      </c>
      <c r="S34" s="18" t="s">
        <v>780</v>
      </c>
      <c r="T34" s="18" t="s">
        <v>781</v>
      </c>
      <c r="U34" s="18" t="s">
        <v>782</v>
      </c>
      <c r="V34" s="18" t="s">
        <v>783</v>
      </c>
      <c r="W34" s="18" t="s">
        <v>784</v>
      </c>
      <c r="X34" s="18" t="s">
        <v>784</v>
      </c>
      <c r="Y34" s="80">
        <v>45290</v>
      </c>
      <c r="Z34" s="18" t="s">
        <v>532</v>
      </c>
      <c r="AA34" s="20">
        <v>45401</v>
      </c>
      <c r="AB34" s="18" t="s">
        <v>533</v>
      </c>
      <c r="AC34" s="18" t="s">
        <v>501</v>
      </c>
      <c r="AD34" s="18" t="s">
        <v>49</v>
      </c>
      <c r="AE34" s="18" t="s">
        <v>27</v>
      </c>
      <c r="AF34" s="18" t="s">
        <v>28</v>
      </c>
      <c r="AG34" s="14" t="str">
        <f>VLOOKUP(AF34,Tabla3[[Estado Requerimiento]:[Macro estado]],2,FALSE)</f>
        <v>04. Paralizado</v>
      </c>
      <c r="AH34" s="18" t="s">
        <v>559</v>
      </c>
      <c r="AI34" s="80">
        <v>45397</v>
      </c>
      <c r="AJ34" s="80"/>
      <c r="AK34" s="80">
        <v>46080</v>
      </c>
      <c r="AL34" s="80">
        <v>45842</v>
      </c>
      <c r="AM34" s="80"/>
      <c r="AN34" s="80">
        <v>45848</v>
      </c>
      <c r="AO34" s="80">
        <v>45896</v>
      </c>
      <c r="AP34" s="81">
        <f t="shared" si="0"/>
        <v>45746.8</v>
      </c>
      <c r="AQ34" s="80">
        <v>45905</v>
      </c>
      <c r="AR34" s="80"/>
      <c r="AS34" s="81">
        <f t="shared" si="1"/>
        <v>45753.8</v>
      </c>
      <c r="AT34" s="19" t="s">
        <v>785</v>
      </c>
      <c r="AU34" s="44" t="str">
        <f>VLOOKUP(Cartera1017[[#This Row],[Gerencia]],tbGerencia[#All],3,FALSE)</f>
        <v>B.Digital</v>
      </c>
      <c r="AV34" s="44" t="str">
        <f>IFERROR(VLOOKUP(Cartera1017[[#This Row],[Subgerencia]],Definiciones!$A$90:$B$144,2,FALSE),"")</f>
        <v>CanalesAlternos</v>
      </c>
      <c r="AW34" s="44" t="str">
        <f>IF(OR(LEN(Cartera1017[[#This Row],[Fecha de Solicitud]])=0,(Cartera1017[[#This Row],[Fecha de Solicitud]])="No definido"),"No definido",IF(YEAR(Cartera1017[[#This Row],[Fecha de Solicitud]])&lt;2023," &lt;  2023",TEXT(Cartera1017[[#This Row],[Fecha de Solicitud]],"yyyy-mm")))</f>
        <v>2024-02</v>
      </c>
      <c r="AX34" s="44" t="str">
        <f>IF(Cartera1017[[#This Row],[Fecha de Priorización Comité]]="","No definido",TEXT(Cartera1017[[#This Row],[Fecha de Priorización Comité]],"yyyy-mm"))</f>
        <v>2024-04</v>
      </c>
      <c r="AY34" s="44" t="str">
        <f>IF(Cartera1017[[#This Row],[Fecha Fin- Desarrollo]]="","No definido",TEXT(Cartera1017[[#This Row],[Fecha Fin- Desarrollo]],"yyyy-mm"))</f>
        <v>2025-07</v>
      </c>
      <c r="AZ34" s="44" t="str">
        <f>IF(Cartera1017[[#This Row],[Fecha Fin- Producción]]="","No definido",TEXT(Cartera1017[[#This Row],[Fecha Fin- Producción]],"yyyy-mm"))</f>
        <v>No definido</v>
      </c>
      <c r="BA34" s="44" t="str">
        <f>IF(Cartera1017[[#This Row],[Fecha Fin-Planificada]]="","No definido",TEXT(Cartera1017[[#This Row],[Fecha Fin-Planificada]],"yyyy-mm"))</f>
        <v>2025-04</v>
      </c>
      <c r="BB34" s="33"/>
      <c r="BC34" s="66"/>
      <c r="BD34" s="66"/>
      <c r="BE34" s="66"/>
      <c r="BF34" s="386">
        <v>45401</v>
      </c>
      <c r="BG34" s="387" t="s">
        <v>504</v>
      </c>
      <c r="BH3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4" s="90" t="str">
        <f>IF(ISNUMBER(Cartera1017[[#This Row],[Duracion en Dias]]),Cartera1017[[#This Row],[Duracion en Dias]]/30, "No Aplica")</f>
        <v>No Aplica</v>
      </c>
      <c r="BJ34" s="109"/>
      <c r="BK34" s="28" t="s">
        <v>506</v>
      </c>
      <c r="BL34" s="110" t="s">
        <v>562</v>
      </c>
      <c r="BM34" s="342">
        <v>46080.640046296299</v>
      </c>
      <c r="BN34" s="227" t="s">
        <v>786</v>
      </c>
      <c r="BO34" s="227" t="s">
        <v>787</v>
      </c>
      <c r="BP34" s="227"/>
      <c r="BQ3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34" s="14" t="str">
        <f>IFERROR(VLOOKUP(Cartera1017[[#This Row],[Aplicativo]],Tabla76[],2,FALSE),"Sin Aplicativo")</f>
        <v>Sin Aplicativo</v>
      </c>
      <c r="BS34" s="14" t="str">
        <f>IFERROR(VLOOKUP(Cartera1017[[#This Row],[Aplicativo]],Tabla76[],3,FALSE),"Sin Aplicativo")</f>
        <v>Sin Aplicativo</v>
      </c>
      <c r="BT34" s="163">
        <v>45809</v>
      </c>
      <c r="BU34" s="163">
        <v>45809</v>
      </c>
      <c r="BV34" s="33" t="s">
        <v>788</v>
      </c>
      <c r="BW34"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45838</v>
      </c>
      <c r="BX3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4" s="97" t="str">
        <f ca="1">IF(Cartera1017[[#This Row],[Fecha Fin2]]="","No definido",CONCATENATE(TEXT(Cartera1017[[#This Row],[Fecha Fin2]],"mmm")," ",YEAR(Cartera1017[[#This Row],[Fecha Fin2]])))</f>
        <v>Jun 2025</v>
      </c>
      <c r="BZ34" s="28">
        <v>2025</v>
      </c>
      <c r="CA34" s="48" t="str">
        <f>IF(Cartera1017[[#This Row],[Estado TI]] = "08. Producción Finalizada","Culminado",IF(Cartera1017[[#This Row],[Estado TI]]= "09. Descartado","Descartado","Activos"))</f>
        <v>Activos</v>
      </c>
      <c r="CB34" s="28" t="s">
        <v>645</v>
      </c>
      <c r="CC3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34" s="54" t="str">
        <f>IF(
AND(
Cartera1017[[#This Row],[DEVOLVER 27]]="NO",
NOT(ISBLANK(Cartera1017[[#This Row],[ESTADO NO DEVUELTOS 27]]))
),
"PRE",
"POST"
)</f>
        <v>PRE</v>
      </c>
      <c r="CE34" s="54" t="s">
        <v>509</v>
      </c>
      <c r="CF34" s="28" t="s">
        <v>35</v>
      </c>
      <c r="CG3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3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34" s="406">
        <f>Cartera1017[[#This Row],[Porcentaje de Avance]]</f>
        <v>0.12</v>
      </c>
      <c r="CK34" s="388">
        <f ca="1">IF(
   OR(
     Cartera1017[[#This Row],[Estado TI]]="09. Descartado",
     Cartera1017[[#This Row],[Comienzo Desarrollo]]="",
     Cartera1017[[#This Row],[Fin Producción]]=""
   ),
   "",
   Cartera1017[[#This Row],[% PLANIFICADO]]-Cartera1017[[#This Row],[% COMPLETADO]]
)</f>
        <v>-0.12</v>
      </c>
      <c r="CL34" s="388" t="str">
        <f ca="1">IF(
   OR(
     Cartera1017[[#This Row],[Estado TI]]="09. Descartado",
     Cartera1017[[#This Row],[Comienzo Desarrollo]]="",
     Cartera1017[[#This Row],[Fin Producción]]="",
     Cartera1017[[#This Row],[% PLANIFICADO]]=0
   ),
   "",
   MIN(Cartera1017[[#This Row],[% COMPLETADO]]/Cartera1017[[#This Row],[% PLANIFICADO]],1.2)
)</f>
        <v/>
      </c>
      <c r="CM34" s="377"/>
      <c r="CN34" s="377">
        <v>46204</v>
      </c>
      <c r="CO34" s="377">
        <v>46264</v>
      </c>
      <c r="CP34" s="377">
        <v>46266</v>
      </c>
      <c r="CQ34" s="377">
        <v>46295</v>
      </c>
      <c r="CR34" s="377">
        <v>46296</v>
      </c>
      <c r="CS34" s="377">
        <v>46300</v>
      </c>
      <c r="CT34" s="44">
        <f>IF(Cartera1017[[#This Row],[Fin Desarrollo]]="",25,IFERROR(NETWORKDAYS(Cartera1017[[#This Row],[Comienzo Desarrollo]],Cartera1017[[#This Row],[Fin Desarrollo]],FERIADOS[Fecha]),""))</f>
        <v>41</v>
      </c>
      <c r="CU3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V34" s="44">
        <f>IF(OR(Cartera1017[[#This Row],[Comienzo Desarrollo]]="",Cartera1017[[#This Row],[Fin Desarrollo]]=""),200,IFERROR(Cartera1017[[#This Row],[DURACIÓN DESARROLLO DIAS]]*VLOOKUP(Cartera1017[[#This Row],[ID Mantenimiento]],MANT_HORAS[],2,FALSE),200))</f>
        <v>200</v>
      </c>
      <c r="CW34" s="110"/>
      <c r="CX34" s="110" t="str">
        <f>VLOOKUP(Cartera1017[[#This Row],[Estado TI]],Definiciones!$A$549:$B$559,2,FALSE)</f>
        <v>6. PARALIZADO</v>
      </c>
      <c r="CY34" s="28">
        <f ca="1">1-Cartera1017[[#This Row],[Porcentaje avanzado desarrollo]]</f>
        <v>1</v>
      </c>
      <c r="CZ3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34" s="28">
        <f ca="1">MAX(0,Cartera1017[[#This Row],[DURACIÓN DESARROLLO DIAS]]-Cartera1017[[#This Row],[Dias avanzados]])</f>
        <v>41</v>
      </c>
      <c r="DB34" s="28">
        <f ca="1">Cartera1017[[#This Row],[Dias avanzados]]*IFERROR(VLOOKUP(Cartera1017[[#This Row],[ID Mantenimiento]],MANT_HORAS[],2,FALSE),8)</f>
        <v>0</v>
      </c>
      <c r="DC34" s="28">
        <f ca="1">Cartera1017[[#This Row],[Dias faltantes]]*IFERROR(VLOOKUP(Cartera1017[[#This Row],[ID Mantenimiento]],MANT_HORAS[],2,FALSE),8)</f>
        <v>328</v>
      </c>
      <c r="DD34" s="28" t="str">
        <f>IF(Cartera1017[[#This Row],[Fin Producción]]=0,"Por definir",CONCATENATE(YEAR(Cartera1017[[#This Row],[Fin Producción]]),"-",ROUNDUP(MONTH(Cartera1017[[#This Row],[Fin Producción]]),0)))</f>
        <v>2026-10</v>
      </c>
      <c r="DE34" s="18" t="s">
        <v>510</v>
      </c>
      <c r="DH34" s="565"/>
    </row>
    <row r="35" spans="1:112" s="28" customFormat="1" ht="44.25" hidden="1" customHeight="1">
      <c r="A35" s="229" t="s">
        <v>789</v>
      </c>
      <c r="B35" s="18">
        <v>2173</v>
      </c>
      <c r="C35" s="18" t="s">
        <v>485</v>
      </c>
      <c r="D35" s="18" t="s">
        <v>790</v>
      </c>
      <c r="E35" s="18" t="s">
        <v>791</v>
      </c>
      <c r="F35" s="33" t="s">
        <v>792</v>
      </c>
      <c r="G35" s="19" t="s">
        <v>793</v>
      </c>
      <c r="H35" s="18" t="s">
        <v>40</v>
      </c>
      <c r="I35" s="18" t="s">
        <v>794</v>
      </c>
      <c r="J35" s="18" t="s">
        <v>795</v>
      </c>
      <c r="K35" s="20">
        <v>45378</v>
      </c>
      <c r="L35" s="50" t="s">
        <v>528</v>
      </c>
      <c r="M35" s="43" t="s">
        <v>796</v>
      </c>
      <c r="N35" s="43"/>
      <c r="O35" s="18" t="s">
        <v>494</v>
      </c>
      <c r="P35" s="18" t="s">
        <v>797</v>
      </c>
      <c r="Q35" s="18" t="s">
        <v>496</v>
      </c>
      <c r="R35" s="18" t="s">
        <v>531</v>
      </c>
      <c r="S35" s="18"/>
      <c r="T35" s="18" t="s">
        <v>495</v>
      </c>
      <c r="U35" s="18" t="s">
        <v>495</v>
      </c>
      <c r="V35" s="18" t="s">
        <v>495</v>
      </c>
      <c r="W35" s="18" t="s">
        <v>495</v>
      </c>
      <c r="X35" s="18" t="s">
        <v>495</v>
      </c>
      <c r="Y35" s="80" t="s">
        <v>495</v>
      </c>
      <c r="Z35" s="18" t="s">
        <v>499</v>
      </c>
      <c r="AA35" s="20">
        <v>45401</v>
      </c>
      <c r="AB35" s="18" t="s">
        <v>500</v>
      </c>
      <c r="AC35" s="18" t="s">
        <v>558</v>
      </c>
      <c r="AD35" s="18" t="s">
        <v>126</v>
      </c>
      <c r="AE35" s="18" t="s">
        <v>41</v>
      </c>
      <c r="AF35" s="18" t="s">
        <v>53</v>
      </c>
      <c r="AG35" s="14" t="str">
        <f>VLOOKUP(AF35,Tabla3[[Estado Requerimiento]:[Macro estado]],2,FALSE)</f>
        <v>03. Culminado</v>
      </c>
      <c r="AH35" s="18"/>
      <c r="AI35" s="80">
        <v>45386</v>
      </c>
      <c r="AJ35" s="80"/>
      <c r="AK35" s="271">
        <v>45964</v>
      </c>
      <c r="AL35" s="80">
        <v>45964</v>
      </c>
      <c r="AM35" s="80"/>
      <c r="AN35" s="80">
        <v>45965</v>
      </c>
      <c r="AO35" s="80">
        <v>45981</v>
      </c>
      <c r="AP35" s="81">
        <f t="shared" si="0"/>
        <v>45964</v>
      </c>
      <c r="AQ35" s="80">
        <v>46029</v>
      </c>
      <c r="AR35" s="271">
        <v>46034</v>
      </c>
      <c r="AS35" s="81">
        <f t="shared" si="1"/>
        <v>45971</v>
      </c>
      <c r="AT35" s="19" t="s">
        <v>798</v>
      </c>
      <c r="AU35" s="44" t="str">
        <f>VLOOKUP(Cartera1017[[#This Row],[Gerencia]],tbGerencia[#All],3,FALSE)</f>
        <v>Operac.</v>
      </c>
      <c r="AV35" s="44" t="str">
        <f>IFERROR(VLOOKUP(Cartera1017[[#This Row],[Subgerencia]],Definiciones!$A$90:$B$144,2,FALSE),"")</f>
        <v>Internacional</v>
      </c>
      <c r="AW35" s="44" t="str">
        <f>IF(OR(LEN(Cartera1017[[#This Row],[Fecha de Solicitud]])=0,(Cartera1017[[#This Row],[Fecha de Solicitud]])="No definido"),"No definido",IF(YEAR(Cartera1017[[#This Row],[Fecha de Solicitud]])&lt;2023," &lt;  2023",TEXT(Cartera1017[[#This Row],[Fecha de Solicitud]],"yyyy-mm")))</f>
        <v>2024-03</v>
      </c>
      <c r="AX35" s="44" t="str">
        <f>IF(Cartera1017[[#This Row],[Fecha de Priorización Comité]]="","No definido",TEXT(Cartera1017[[#This Row],[Fecha de Priorización Comité]],"yyyy-mm"))</f>
        <v>2024-04</v>
      </c>
      <c r="AY35" s="44" t="str">
        <f>IF(Cartera1017[[#This Row],[Fecha Fin- Desarrollo]]="","No definido",TEXT(Cartera1017[[#This Row],[Fecha Fin- Desarrollo]],"yyyy-mm"))</f>
        <v>2025-11</v>
      </c>
      <c r="AZ35" s="44" t="str">
        <f>IF(Cartera1017[[#This Row],[Fecha Fin- Producción]]="","No definido",TEXT(Cartera1017[[#This Row],[Fecha Fin- Producción]],"yyyy-mm"))</f>
        <v>2026-01</v>
      </c>
      <c r="BA35" s="44" t="str">
        <f>IF(Cartera1017[[#This Row],[Fecha Fin-Planificada]]="","No definido",TEXT(Cartera1017[[#This Row],[Fecha Fin-Planificada]],"yyyy-mm"))</f>
        <v>2025-11</v>
      </c>
      <c r="BB35" s="33"/>
      <c r="BC35" s="66"/>
      <c r="BD35" s="66"/>
      <c r="BE35" s="66"/>
      <c r="BF35" s="386">
        <v>45401</v>
      </c>
      <c r="BG35" s="387" t="s">
        <v>504</v>
      </c>
      <c r="BH3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70</v>
      </c>
      <c r="BI35" s="90">
        <f>IF(ISNUMBER(Cartera1017[[#This Row],[Duracion en Dias]]),Cartera1017[[#This Row],[Duracion en Dias]]/30, "No Aplica")</f>
        <v>2.3333333333333335</v>
      </c>
      <c r="BJ35" s="109"/>
      <c r="BK35" s="28" t="s">
        <v>506</v>
      </c>
      <c r="BL35" s="110" t="s">
        <v>536</v>
      </c>
      <c r="BM35" s="342">
        <v>46034.511620370373</v>
      </c>
      <c r="BN35" s="227"/>
      <c r="BO35" s="227"/>
      <c r="BP35" s="227"/>
      <c r="BQ3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35" s="14" t="str">
        <f>IFERROR(VLOOKUP(Cartera1017[[#This Row],[Aplicativo]],Tabla76[],2,FALSE),"Sin Aplicativo")</f>
        <v>BackOffice</v>
      </c>
      <c r="BS35" s="14" t="str">
        <f>IFERROR(VLOOKUP(Cartera1017[[#This Row],[Aplicativo]],Tabla76[],3,FALSE),"Sin Aplicativo")</f>
        <v>Otros Requerimientos</v>
      </c>
      <c r="BT35" s="400">
        <v>45870</v>
      </c>
      <c r="BU35" s="140">
        <v>45870</v>
      </c>
      <c r="BV35" s="33" t="s">
        <v>799</v>
      </c>
      <c r="BW35"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3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35" s="97" t="str">
        <f ca="1">IF(Cartera1017[[#This Row],[Fecha Fin2]]="","No definido",CONCATENATE(TEXT(Cartera1017[[#This Row],[Fecha Fin2]],"mmm")," ",YEAR(Cartera1017[[#This Row],[Fecha Fin2]])))</f>
        <v>Ene 2026</v>
      </c>
      <c r="BZ35" s="28">
        <v>2025</v>
      </c>
      <c r="CA35" s="48" t="str">
        <f>IF(Cartera1017[[#This Row],[Estado TI]] = "08. Producción Finalizada","Culminado",IF(Cartera1017[[#This Row],[Estado TI]]= "09. Descartado","Descartado","Activos"))</f>
        <v>Culminado</v>
      </c>
      <c r="CC3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35" s="54" t="str">
        <f>IF(
AND(
Cartera1017[[#This Row],[DEVOLVER 27]]="NO",
NOT(ISBLANK(Cartera1017[[#This Row],[ESTADO NO DEVUELTOS 27]]))
),
"PRE",
"POST"
)</f>
        <v>POST</v>
      </c>
      <c r="CE35" s="54" t="s">
        <v>523</v>
      </c>
      <c r="CF35" s="28" t="s">
        <v>524</v>
      </c>
      <c r="CG3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3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35" s="406">
        <f>Cartera1017[[#This Row],[Porcentaje de Avance]]</f>
        <v>1</v>
      </c>
      <c r="CK35" s="388">
        <f ca="1">IF(
   OR(
     Cartera1017[[#This Row],[Estado TI]]="09. Descartado",
     Cartera1017[[#This Row],[Comienzo Desarrollo]]="",
     Cartera1017[[#This Row],[Fin Producción]]=""
   ),
   "",
   Cartera1017[[#This Row],[% PLANIFICADO]]-Cartera1017[[#This Row],[% COMPLETADO]]
)</f>
        <v>0</v>
      </c>
      <c r="CL35" s="388">
        <f ca="1">IF(
   OR(
     Cartera1017[[#This Row],[Estado TI]]="09. Descartado",
     Cartera1017[[#This Row],[Comienzo Desarrollo]]="",
     Cartera1017[[#This Row],[Fin Producción]]="",
     Cartera1017[[#This Row],[% PLANIFICADO]]=0
   ),
   "",
   MIN(Cartera1017[[#This Row],[% COMPLETADO]]/Cartera1017[[#This Row],[% PLANIFICADO]],1.2)
)</f>
        <v>1</v>
      </c>
      <c r="CM35" s="377">
        <v>45964</v>
      </c>
      <c r="CN35" s="377">
        <v>45964</v>
      </c>
      <c r="CO35" s="377">
        <v>45964</v>
      </c>
      <c r="CP35" s="377">
        <v>45965</v>
      </c>
      <c r="CQ35" s="377">
        <v>45981</v>
      </c>
      <c r="CR35" s="377">
        <v>46029</v>
      </c>
      <c r="CS35" s="377">
        <v>46038</v>
      </c>
      <c r="CT35" s="44">
        <f>IF(Cartera1017[[#This Row],[Fin Desarrollo]]="",25,IFERROR(NETWORKDAYS(Cartera1017[[#This Row],[Comienzo Desarrollo]],Cartera1017[[#This Row],[Fin Desarrollo]],FERIADOS[Fecha]),""))</f>
        <v>1</v>
      </c>
      <c r="CU3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35" s="44">
        <f>IF(OR(Cartera1017[[#This Row],[Comienzo Desarrollo]]="",Cartera1017[[#This Row],[Fin Desarrollo]]=""),200,IFERROR(Cartera1017[[#This Row],[DURACIÓN DESARROLLO DIAS]]*VLOOKUP(Cartera1017[[#This Row],[ID Mantenimiento]],MANT_HORAS[],2,FALSE),200))</f>
        <v>200</v>
      </c>
      <c r="CW35" s="110"/>
      <c r="CX35" s="110" t="str">
        <f>VLOOKUP(Cartera1017[[#This Row],[Estado TI]],Definiciones!$A$549:$B$559,2,FALSE)</f>
        <v>4. PRODUCCIÓN</v>
      </c>
      <c r="CY35" s="28">
        <f ca="1">1-Cartera1017[[#This Row],[Porcentaje avanzado desarrollo]]</f>
        <v>0</v>
      </c>
      <c r="CZ3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35" s="28">
        <f ca="1">MAX(0,Cartera1017[[#This Row],[DURACIÓN DESARROLLO DIAS]]-Cartera1017[[#This Row],[Dias avanzados]])</f>
        <v>0</v>
      </c>
      <c r="DB35" s="28">
        <f ca="1">Cartera1017[[#This Row],[Dias avanzados]]*IFERROR(VLOOKUP(Cartera1017[[#This Row],[ID Mantenimiento]],MANT_HORAS[],2,FALSE),8)</f>
        <v>8</v>
      </c>
      <c r="DC35" s="28">
        <f ca="1">Cartera1017[[#This Row],[Dias faltantes]]*IFERROR(VLOOKUP(Cartera1017[[#This Row],[ID Mantenimiento]],MANT_HORAS[],2,FALSE),8)</f>
        <v>0</v>
      </c>
      <c r="DD35" s="28" t="str">
        <f>IF(Cartera1017[[#This Row],[Fin Producción]]=0,"Por definir",CONCATENATE(YEAR(Cartera1017[[#This Row],[Fin Producción]]),"-",ROUNDUP(MONTH(Cartera1017[[#This Row],[Fin Producción]]),0)))</f>
        <v>2026-1</v>
      </c>
      <c r="DE35" s="18" t="s">
        <v>510</v>
      </c>
      <c r="DH35" s="565"/>
    </row>
    <row r="36" spans="1:112" s="28" customFormat="1" ht="44.25" hidden="1" customHeight="1">
      <c r="A36" s="229" t="s">
        <v>800</v>
      </c>
      <c r="B36" s="18">
        <v>2182</v>
      </c>
      <c r="C36" s="18" t="s">
        <v>485</v>
      </c>
      <c r="D36" s="18" t="s">
        <v>801</v>
      </c>
      <c r="E36" s="18" t="s">
        <v>103</v>
      </c>
      <c r="F36" s="33" t="s">
        <v>104</v>
      </c>
      <c r="G36" s="19" t="s">
        <v>802</v>
      </c>
      <c r="H36" s="18" t="s">
        <v>26</v>
      </c>
      <c r="I36" s="18" t="s">
        <v>539</v>
      </c>
      <c r="J36" s="18" t="s">
        <v>540</v>
      </c>
      <c r="K36" s="20">
        <v>45391</v>
      </c>
      <c r="L36" s="43" t="s">
        <v>803</v>
      </c>
      <c r="M36" s="43" t="s">
        <v>804</v>
      </c>
      <c r="N36" s="43" t="s">
        <v>711</v>
      </c>
      <c r="O36" s="18" t="s">
        <v>712</v>
      </c>
      <c r="P36" s="18" t="s">
        <v>549</v>
      </c>
      <c r="Q36" s="18" t="s">
        <v>496</v>
      </c>
      <c r="R36" s="18" t="s">
        <v>599</v>
      </c>
      <c r="S36" s="18" t="s">
        <v>599</v>
      </c>
      <c r="T36" s="18" t="s">
        <v>652</v>
      </c>
      <c r="U36" s="18" t="s">
        <v>805</v>
      </c>
      <c r="V36" s="18"/>
      <c r="W36" s="18"/>
      <c r="X36" s="18"/>
      <c r="Y36" s="80"/>
      <c r="Z36" s="18" t="s">
        <v>499</v>
      </c>
      <c r="AA36" s="20">
        <v>45400</v>
      </c>
      <c r="AB36" s="18" t="s">
        <v>713</v>
      </c>
      <c r="AC36" s="18" t="s">
        <v>570</v>
      </c>
      <c r="AD36" s="18" t="s">
        <v>105</v>
      </c>
      <c r="AE36" s="18" t="s">
        <v>27</v>
      </c>
      <c r="AF36" s="18" t="s">
        <v>48</v>
      </c>
      <c r="AG36" s="14" t="str">
        <f>VLOOKUP(AF36,Tabla3[[Estado Requerimiento]:[Macro estado]],2,FALSE)</f>
        <v>02. En Proceso</v>
      </c>
      <c r="AH36" s="18"/>
      <c r="AI36" s="80">
        <v>45385</v>
      </c>
      <c r="AJ36" s="80"/>
      <c r="AK36" s="80"/>
      <c r="AL36" s="80"/>
      <c r="AM36" s="80">
        <v>45891</v>
      </c>
      <c r="AN36" s="80"/>
      <c r="AO36" s="80"/>
      <c r="AP36" s="81" t="str">
        <f t="shared" si="0"/>
        <v/>
      </c>
      <c r="AQ36" s="80"/>
      <c r="AR36" s="80"/>
      <c r="AS36" s="81" t="str">
        <f t="shared" si="1"/>
        <v/>
      </c>
      <c r="AT36" s="19" t="s">
        <v>806</v>
      </c>
      <c r="AU36" s="44" t="str">
        <f>VLOOKUP(Cartera1017[[#This Row],[Gerencia]],tbGerencia[#All],3,FALSE)</f>
        <v>B.Digital</v>
      </c>
      <c r="AV36" s="44" t="str">
        <f>IFERROR(VLOOKUP(Cartera1017[[#This Row],[Subgerencia]],Definiciones!$A$90:$B$144,2,FALSE),"")</f>
        <v>CanalesAlternos</v>
      </c>
      <c r="AW36" s="44" t="str">
        <f>IF(OR(LEN(Cartera1017[[#This Row],[Fecha de Solicitud]])=0,(Cartera1017[[#This Row],[Fecha de Solicitud]])="No definido"),"No definido",IF(YEAR(Cartera1017[[#This Row],[Fecha de Solicitud]])&lt;2023," &lt;  2023",TEXT(Cartera1017[[#This Row],[Fecha de Solicitud]],"yyyy-mm")))</f>
        <v>2024-04</v>
      </c>
      <c r="AX36" s="44" t="str">
        <f>IF(Cartera1017[[#This Row],[Fecha de Priorización Comité]]="","No definido",TEXT(Cartera1017[[#This Row],[Fecha de Priorización Comité]],"yyyy-mm"))</f>
        <v>2024-04</v>
      </c>
      <c r="AY36" s="44" t="str">
        <f>IF(Cartera1017[[#This Row],[Fecha Fin- Desarrollo]]="","No definido",TEXT(Cartera1017[[#This Row],[Fecha Fin- Desarrollo]],"yyyy-mm"))</f>
        <v>No definido</v>
      </c>
      <c r="AZ36" s="44" t="str">
        <f>IF(Cartera1017[[#This Row],[Fecha Fin- Producción]]="","No definido",TEXT(Cartera1017[[#This Row],[Fecha Fin- Producción]],"yyyy-mm"))</f>
        <v>No definido</v>
      </c>
      <c r="BA36" s="44" t="str">
        <f>IF(Cartera1017[[#This Row],[Fecha Fin-Planificada]]="","No definido",TEXT(Cartera1017[[#This Row],[Fecha Fin-Planificada]],"yyyy-mm"))</f>
        <v>No definido</v>
      </c>
      <c r="BB36" s="33" t="s">
        <v>772</v>
      </c>
      <c r="BC36" s="66">
        <v>45574</v>
      </c>
      <c r="BD36" s="66">
        <v>45891</v>
      </c>
      <c r="BE36" s="66"/>
      <c r="BF36" s="386">
        <v>45400</v>
      </c>
      <c r="BG36" s="387" t="s">
        <v>504</v>
      </c>
      <c r="BH3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36" s="90" t="str">
        <f>IF(ISNUMBER(Cartera1017[[#This Row],[Duracion en Dias]]),Cartera1017[[#This Row],[Duracion en Dias]]/30, "No Aplica")</f>
        <v>No Aplica</v>
      </c>
      <c r="BJ36" s="109" t="s">
        <v>807</v>
      </c>
      <c r="BK36" s="28" t="s">
        <v>506</v>
      </c>
      <c r="BL36" s="110" t="s">
        <v>581</v>
      </c>
      <c r="BM36" s="342">
        <v>46083.667500000003</v>
      </c>
      <c r="BN36" s="227"/>
      <c r="BO36" s="227"/>
      <c r="BP36" s="227"/>
      <c r="BQ3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36" s="14" t="str">
        <f>IFERROR(VLOOKUP(Cartera1017[[#This Row],[Aplicativo]],Tabla76[],2,FALSE),"Sin Aplicativo")</f>
        <v>Multired Virtual</v>
      </c>
      <c r="BS36" s="14" t="str">
        <f>IFERROR(VLOOKUP(Cartera1017[[#This Row],[Aplicativo]],Tabla76[],3,FALSE),"Sin Aplicativo")</f>
        <v>Canales Virtuales</v>
      </c>
      <c r="BT36" s="350">
        <v>45870</v>
      </c>
      <c r="BU36" s="350">
        <v>45870</v>
      </c>
      <c r="BV36" s="104" t="s">
        <v>716</v>
      </c>
      <c r="BW3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3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6" s="97" t="str">
        <f ca="1">IF(Cartera1017[[#This Row],[Fecha Fin2]]="","No definido",CONCATENATE(TEXT(Cartera1017[[#This Row],[Fecha Fin2]],"mmm")," ",YEAR(Cartera1017[[#This Row],[Fecha Fin2]])))</f>
        <v>Ago 2025</v>
      </c>
      <c r="BZ36" s="28">
        <v>2025</v>
      </c>
      <c r="CA36" s="48" t="str">
        <f>IF(Cartera1017[[#This Row],[Estado TI]] = "08. Producción Finalizada","Culminado",IF(Cartera1017[[#This Row],[Estado TI]]= "09. Descartado","Descartado","Activos"))</f>
        <v>Activos</v>
      </c>
      <c r="CB36" s="28" t="s">
        <v>717</v>
      </c>
      <c r="CC3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36" s="54" t="str">
        <f>IF(
AND(
Cartera1017[[#This Row],[DEVOLVER 27]]="NO",
NOT(ISBLANK(Cartera1017[[#This Row],[ESTADO NO DEVUELTOS 27]]))
),
"PRE",
"POST"
)</f>
        <v>PRE</v>
      </c>
      <c r="CE36" s="54" t="s">
        <v>509</v>
      </c>
      <c r="CF36" s="28" t="s">
        <v>87</v>
      </c>
      <c r="CG3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3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RIESGO 🟡</v>
      </c>
      <c r="CI3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0.53773584905660377</v>
      </c>
      <c r="CJ36" s="406">
        <f>Cartera1017[[#This Row],[Porcentaje de Avance]]</f>
        <v>0.45</v>
      </c>
      <c r="CK36" s="388">
        <f ca="1">IF(
   OR(
     Cartera1017[[#This Row],[Estado TI]]="09. Descartado",
     Cartera1017[[#This Row],[Comienzo Desarrollo]]="",
     Cartera1017[[#This Row],[Fin Producción]]=""
   ),
   "",
   Cartera1017[[#This Row],[% PLANIFICADO]]-Cartera1017[[#This Row],[% COMPLETADO]]
)</f>
        <v>8.7735849056603754E-2</v>
      </c>
      <c r="CL36" s="388">
        <f ca="1">IF(
   OR(
     Cartera1017[[#This Row],[Estado TI]]="09. Descartado",
     Cartera1017[[#This Row],[Comienzo Desarrollo]]="",
     Cartera1017[[#This Row],[Fin Producción]]="",
     Cartera1017[[#This Row],[% PLANIFICADO]]=0
   ),
   "",
   MIN(Cartera1017[[#This Row],[% COMPLETADO]]/Cartera1017[[#This Row],[% PLANIFICADO]],1.2)
)</f>
        <v>0.83684210526315794</v>
      </c>
      <c r="CM36" s="377">
        <v>45971</v>
      </c>
      <c r="CN36" s="377">
        <v>46083</v>
      </c>
      <c r="CO36" s="377">
        <v>46199</v>
      </c>
      <c r="CP36" s="377">
        <v>46202</v>
      </c>
      <c r="CQ36" s="377">
        <v>46227</v>
      </c>
      <c r="CR36" s="377">
        <v>46230</v>
      </c>
      <c r="CS36" s="377">
        <v>46234</v>
      </c>
      <c r="CT36" s="44">
        <f>IF(Cartera1017[[#This Row],[Fin Desarrollo]]="",25,IFERROR(NETWORKDAYS(Cartera1017[[#This Row],[Comienzo Desarrollo]],Cartera1017[[#This Row],[Fin Desarrollo]],FERIADOS[Fecha]),""))</f>
        <v>84</v>
      </c>
      <c r="CU3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0.6705882352941176</v>
      </c>
      <c r="CV36" s="44">
        <f>IF(OR(Cartera1017[[#This Row],[Comienzo Desarrollo]]="",Cartera1017[[#This Row],[Fin Desarrollo]]=""),200,IFERROR(Cartera1017[[#This Row],[DURACIÓN DESARROLLO DIAS]]*VLOOKUP(Cartera1017[[#This Row],[ID Mantenimiento]],MANT_HORAS[],2,FALSE),200))</f>
        <v>224</v>
      </c>
      <c r="CW36" s="110" t="s">
        <v>544</v>
      </c>
      <c r="CX36" s="110" t="str">
        <f>VLOOKUP(Cartera1017[[#This Row],[Estado TI]],Definiciones!$A$549:$B$559,2,FALSE)</f>
        <v>1. DESARROLLO</v>
      </c>
      <c r="CY36" s="28">
        <f ca="1">1-Cartera1017[[#This Row],[Porcentaje avanzado desarrollo]]</f>
        <v>0.3294117647058824</v>
      </c>
      <c r="CZ3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56</v>
      </c>
      <c r="DA36" s="28">
        <f ca="1">MAX(0,Cartera1017[[#This Row],[DURACIÓN DESARROLLO DIAS]]-Cartera1017[[#This Row],[Dias avanzados]])</f>
        <v>28</v>
      </c>
      <c r="DB36" s="28">
        <f ca="1">Cartera1017[[#This Row],[Dias avanzados]]*IFERROR(VLOOKUP(Cartera1017[[#This Row],[ID Mantenimiento]],MANT_HORAS[],2,FALSE),8)</f>
        <v>149.33333333333331</v>
      </c>
      <c r="DC36" s="28">
        <f ca="1">Cartera1017[[#This Row],[Dias faltantes]]*IFERROR(VLOOKUP(Cartera1017[[#This Row],[ID Mantenimiento]],MANT_HORAS[],2,FALSE),8)</f>
        <v>74.666666666666657</v>
      </c>
      <c r="DD36" s="28" t="str">
        <f>IF(Cartera1017[[#This Row],[Fin Producción]]=0,"Por definir",CONCATENATE(YEAR(Cartera1017[[#This Row],[Fin Producción]]),"-",ROUNDUP(MONTH(Cartera1017[[#This Row],[Fin Producción]]),0)))</f>
        <v>2026-7</v>
      </c>
      <c r="DE36" s="18" t="s">
        <v>510</v>
      </c>
      <c r="DH36" s="565"/>
    </row>
    <row r="37" spans="1:112" s="28" customFormat="1" ht="44.25" hidden="1" customHeight="1">
      <c r="A37" s="229" t="s">
        <v>808</v>
      </c>
      <c r="B37" s="18">
        <v>2212</v>
      </c>
      <c r="C37" s="18" t="s">
        <v>485</v>
      </c>
      <c r="D37" s="18" t="s">
        <v>809</v>
      </c>
      <c r="E37" s="18" t="s">
        <v>106</v>
      </c>
      <c r="F37" s="33" t="s">
        <v>107</v>
      </c>
      <c r="G37" s="19" t="s">
        <v>810</v>
      </c>
      <c r="H37" s="18" t="s">
        <v>108</v>
      </c>
      <c r="I37" s="18" t="s">
        <v>811</v>
      </c>
      <c r="J37" s="18" t="s">
        <v>500</v>
      </c>
      <c r="K37" s="20">
        <v>45393</v>
      </c>
      <c r="L37" s="43"/>
      <c r="M37" s="43" t="s">
        <v>812</v>
      </c>
      <c r="N37" s="43"/>
      <c r="O37" s="18" t="s">
        <v>670</v>
      </c>
      <c r="P37" s="18" t="s">
        <v>495</v>
      </c>
      <c r="Q37" s="18" t="s">
        <v>496</v>
      </c>
      <c r="R37" s="18" t="s">
        <v>531</v>
      </c>
      <c r="S37" s="18"/>
      <c r="T37" s="18"/>
      <c r="U37" s="18"/>
      <c r="V37" s="18"/>
      <c r="W37" s="18"/>
      <c r="X37" s="18"/>
      <c r="Y37" s="50"/>
      <c r="Z37" s="18" t="s">
        <v>499</v>
      </c>
      <c r="AA37" s="20">
        <v>45401</v>
      </c>
      <c r="AB37" s="18" t="s">
        <v>500</v>
      </c>
      <c r="AC37" s="18" t="s">
        <v>558</v>
      </c>
      <c r="AD37" s="18" t="s">
        <v>30</v>
      </c>
      <c r="AE37" s="18" t="s">
        <v>109</v>
      </c>
      <c r="AF37" s="18" t="s">
        <v>28</v>
      </c>
      <c r="AG37" s="14" t="str">
        <f>VLOOKUP(AF37,Tabla3[[Estado Requerimiento]:[Macro estado]],2,FALSE)</f>
        <v>04. Paralizado</v>
      </c>
      <c r="AH37" s="18" t="s">
        <v>559</v>
      </c>
      <c r="AI37" s="80">
        <v>45397</v>
      </c>
      <c r="AJ37" s="80"/>
      <c r="AK37" s="80">
        <v>45695</v>
      </c>
      <c r="AL37" s="80">
        <v>45408</v>
      </c>
      <c r="AM37" s="80"/>
      <c r="AN37" s="80">
        <v>45412</v>
      </c>
      <c r="AO37" s="80">
        <v>45412</v>
      </c>
      <c r="AP37" s="81">
        <f t="shared" si="0"/>
        <v>45293.2</v>
      </c>
      <c r="AQ37" s="80">
        <v>45419</v>
      </c>
      <c r="AR37" s="80"/>
      <c r="AS37" s="118">
        <f t="shared" si="1"/>
        <v>45300.2</v>
      </c>
      <c r="AT37" s="19" t="s">
        <v>813</v>
      </c>
      <c r="AU37" s="44" t="str">
        <f>VLOOKUP(Cartera1017[[#This Row],[Gerencia]],tbGerencia[#All],3,FALSE)</f>
        <v>TI</v>
      </c>
      <c r="AV37" s="44" t="str">
        <f>IFERROR(VLOOKUP(Cartera1017[[#This Row],[Subgerencia]],Definiciones!$A$90:$B$144,2,FALSE),"")</f>
        <v>ConstrucciónAplicaciones</v>
      </c>
      <c r="AW37" s="44" t="str">
        <f>IF(OR(LEN(Cartera1017[[#This Row],[Fecha de Solicitud]])=0,(Cartera1017[[#This Row],[Fecha de Solicitud]])="No definido"),"No definido",IF(YEAR(Cartera1017[[#This Row],[Fecha de Solicitud]])&lt;2023," &lt;  2023",TEXT(Cartera1017[[#This Row],[Fecha de Solicitud]],"yyyy-mm")))</f>
        <v>2024-04</v>
      </c>
      <c r="AX37" s="44" t="str">
        <f>IF(Cartera1017[[#This Row],[Fecha de Priorización Comité]]="","No definido",TEXT(Cartera1017[[#This Row],[Fecha de Priorización Comité]],"yyyy-mm"))</f>
        <v>2024-04</v>
      </c>
      <c r="AY37" s="44" t="str">
        <f>IF(Cartera1017[[#This Row],[Fecha Fin- Desarrollo]]="","No definido",TEXT(Cartera1017[[#This Row],[Fecha Fin- Desarrollo]],"yyyy-mm"))</f>
        <v>2024-04</v>
      </c>
      <c r="AZ37" s="44" t="str">
        <f>IF(Cartera1017[[#This Row],[Fecha Fin- Producción]]="","No definido",TEXT(Cartera1017[[#This Row],[Fecha Fin- Producción]],"yyyy-mm"))</f>
        <v>No definido</v>
      </c>
      <c r="BA37" s="44" t="str">
        <f>IF(Cartera1017[[#This Row],[Fecha Fin-Planificada]]="","No definido",TEXT(Cartera1017[[#This Row],[Fecha Fin-Planificada]],"yyyy-mm"))</f>
        <v>2024-01</v>
      </c>
      <c r="BB37" s="33"/>
      <c r="BC37" s="66"/>
      <c r="BD37" s="66"/>
      <c r="BE37" s="66"/>
      <c r="BF37" s="386">
        <v>45401</v>
      </c>
      <c r="BG37" s="387" t="s">
        <v>504</v>
      </c>
      <c r="BH3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7" s="90" t="str">
        <f>IF(ISNUMBER(Cartera1017[[#This Row],[Duracion en Dias]]),Cartera1017[[#This Row],[Duracion en Dias]]/30, "No Aplica")</f>
        <v>No Aplica</v>
      </c>
      <c r="BJ37" s="109"/>
      <c r="BK37" s="28" t="s">
        <v>506</v>
      </c>
      <c r="BL37" s="110" t="s">
        <v>562</v>
      </c>
      <c r="BM37" s="342">
        <v>45988.531377314815</v>
      </c>
      <c r="BN37" s="227"/>
      <c r="BO37" s="227"/>
      <c r="BP37" s="227"/>
      <c r="BQ3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37" s="14" t="str">
        <f>IFERROR(VLOOKUP(Cartera1017[[#This Row],[Aplicativo]],Tabla76[],2,FALSE),"Sin Aplicativo")</f>
        <v>ATM-Agentes-VISA</v>
      </c>
      <c r="BS37" s="14" t="str">
        <f>IFERROR(VLOOKUP(Cartera1017[[#This Row],[Aplicativo]],Tabla76[],3,FALSE),"Sin Aplicativo")</f>
        <v>Canales Presenciales</v>
      </c>
      <c r="BT37" s="400" t="s">
        <v>521</v>
      </c>
      <c r="BV37" s="112" t="s">
        <v>814</v>
      </c>
      <c r="BW37"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3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37" s="97" t="str">
        <f ca="1">IF(Cartera1017[[#This Row],[Fecha Fin2]]="","No definido",CONCATENATE(TEXT(Cartera1017[[#This Row],[Fecha Fin2]],"mmm")," ",YEAR(Cartera1017[[#This Row],[Fecha Fin2]])))</f>
        <v>No definido</v>
      </c>
      <c r="BZ37" s="28" t="s">
        <v>815</v>
      </c>
      <c r="CA37" s="48" t="str">
        <f>IF(Cartera1017[[#This Row],[Estado TI]] = "08. Producción Finalizada","Culminado",IF(Cartera1017[[#This Row],[Estado TI]]= "09. Descartado","Descartado","Activos"))</f>
        <v>Activos</v>
      </c>
      <c r="CC3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37" s="54" t="str">
        <f>IF(
AND(
Cartera1017[[#This Row],[DEVOLVER 27]]="NO",
NOT(ISBLANK(Cartera1017[[#This Row],[ESTADO NO DEVUELTOS 27]]))
),
"PRE",
"POST"
)</f>
        <v>POST</v>
      </c>
      <c r="CE37" s="54" t="s">
        <v>523</v>
      </c>
      <c r="CF37" s="28" t="s">
        <v>524</v>
      </c>
      <c r="CG3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37"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37" s="406">
        <f>Cartera1017[[#This Row],[Porcentaje de Avance]]</f>
        <v>0.12</v>
      </c>
      <c r="CK37" s="388" t="str">
        <f>IF(
   OR(
     Cartera1017[[#This Row],[Estado TI]]="09. Descartado",
     Cartera1017[[#This Row],[Comienzo Desarrollo]]="",
     Cartera1017[[#This Row],[Fin Producción]]=""
   ),
   "",
   Cartera1017[[#This Row],[% PLANIFICADO]]-Cartera1017[[#This Row],[% COMPLETADO]]
)</f>
        <v/>
      </c>
      <c r="CL37" s="388" t="str">
        <f ca="1">IF(
   OR(
     Cartera1017[[#This Row],[Estado TI]]="09. Descartado",
     Cartera1017[[#This Row],[Comienzo Desarrollo]]="",
     Cartera1017[[#This Row],[Fin Producción]]="",
     Cartera1017[[#This Row],[% PLANIFICADO]]=0
   ),
   "",
   MIN(Cartera1017[[#This Row],[% COMPLETADO]]/Cartera1017[[#This Row],[% PLANIFICADO]],1.2)
)</f>
        <v/>
      </c>
      <c r="CM37" s="377"/>
      <c r="CN37" s="377"/>
      <c r="CO37" s="377"/>
      <c r="CP37" s="377"/>
      <c r="CQ37" s="377"/>
      <c r="CR37" s="377"/>
      <c r="CS37" s="377">
        <v>46477</v>
      </c>
      <c r="CT37" s="44">
        <f>IF(Cartera1017[[#This Row],[Fin Desarrollo]]="",25,IFERROR(NETWORKDAYS(Cartera1017[[#This Row],[Comienzo Desarrollo]],Cartera1017[[#This Row],[Fin Desarrollo]],FERIADOS[Fecha]),""))</f>
        <v>25</v>
      </c>
      <c r="CU3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37" s="44">
        <f>IF(OR(Cartera1017[[#This Row],[Comienzo Desarrollo]]="",Cartera1017[[#This Row],[Fin Desarrollo]]=""),200,IFERROR(Cartera1017[[#This Row],[DURACIÓN DESARROLLO DIAS]]*VLOOKUP(Cartera1017[[#This Row],[ID Mantenimiento]],MANT_HORAS[],2,FALSE),200))</f>
        <v>200</v>
      </c>
      <c r="CW37" s="110"/>
      <c r="CX37" s="110" t="str">
        <f>VLOOKUP(Cartera1017[[#This Row],[Estado TI]],Definiciones!$A$549:$B$559,2,FALSE)</f>
        <v>6. PARALIZADO</v>
      </c>
      <c r="CY37" s="28">
        <f ca="1">1-Cartera1017[[#This Row],[Porcentaje avanzado desarrollo]]</f>
        <v>0.9</v>
      </c>
      <c r="CZ3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37" s="28">
        <f ca="1">MAX(0,Cartera1017[[#This Row],[DURACIÓN DESARROLLO DIAS]]-Cartera1017[[#This Row],[Dias avanzados]])</f>
        <v>24</v>
      </c>
      <c r="DB37" s="28">
        <f ca="1">Cartera1017[[#This Row],[Dias avanzados]]*IFERROR(VLOOKUP(Cartera1017[[#This Row],[ID Mantenimiento]],MANT_HORAS[],2,FALSE),8)</f>
        <v>8</v>
      </c>
      <c r="DC37" s="28">
        <f ca="1">Cartera1017[[#This Row],[Dias faltantes]]*IFERROR(VLOOKUP(Cartera1017[[#This Row],[ID Mantenimiento]],MANT_HORAS[],2,FALSE),8)</f>
        <v>192</v>
      </c>
      <c r="DD37" s="28" t="str">
        <f>IF(Cartera1017[[#This Row],[Fin Producción]]=0,"Por definir",CONCATENATE(YEAR(Cartera1017[[#This Row],[Fin Producción]]),"-",ROUNDUP(MONTH(Cartera1017[[#This Row],[Fin Producción]]),0)))</f>
        <v>2027-3</v>
      </c>
      <c r="DE37" s="18" t="s">
        <v>510</v>
      </c>
      <c r="DH37" s="565"/>
    </row>
    <row r="38" spans="1:112" s="28" customFormat="1" ht="44.25" hidden="1" customHeight="1">
      <c r="A38" s="229" t="s">
        <v>816</v>
      </c>
      <c r="B38" s="18">
        <v>2216</v>
      </c>
      <c r="C38" s="18" t="s">
        <v>485</v>
      </c>
      <c r="D38" s="18" t="s">
        <v>817</v>
      </c>
      <c r="E38" s="18" t="s">
        <v>110</v>
      </c>
      <c r="F38" s="33" t="s">
        <v>111</v>
      </c>
      <c r="G38" s="19" t="s">
        <v>818</v>
      </c>
      <c r="H38" s="18" t="s">
        <v>40</v>
      </c>
      <c r="I38" s="18" t="s">
        <v>490</v>
      </c>
      <c r="J38" s="18" t="s">
        <v>662</v>
      </c>
      <c r="K38" s="20">
        <v>45330</v>
      </c>
      <c r="L38" s="43" t="s">
        <v>819</v>
      </c>
      <c r="M38" s="43" t="s">
        <v>820</v>
      </c>
      <c r="N38" s="43" t="s">
        <v>821</v>
      </c>
      <c r="O38" s="18" t="s">
        <v>548</v>
      </c>
      <c r="P38" s="18" t="s">
        <v>495</v>
      </c>
      <c r="Q38" s="18" t="s">
        <v>822</v>
      </c>
      <c r="R38" s="18" t="s">
        <v>497</v>
      </c>
      <c r="S38" s="18"/>
      <c r="T38" s="18" t="s">
        <v>821</v>
      </c>
      <c r="U38" s="18" t="s">
        <v>495</v>
      </c>
      <c r="V38" s="18" t="s">
        <v>495</v>
      </c>
      <c r="W38" s="18" t="s">
        <v>495</v>
      </c>
      <c r="X38" s="18" t="s">
        <v>495</v>
      </c>
      <c r="Y38" s="80" t="s">
        <v>495</v>
      </c>
      <c r="Z38" s="18" t="s">
        <v>499</v>
      </c>
      <c r="AA38" s="20">
        <v>45401</v>
      </c>
      <c r="AB38" s="18" t="s">
        <v>500</v>
      </c>
      <c r="AC38" s="18" t="s">
        <v>558</v>
      </c>
      <c r="AD38" s="18" t="s">
        <v>823</v>
      </c>
      <c r="AE38" s="18" t="s">
        <v>41</v>
      </c>
      <c r="AF38" s="18" t="s">
        <v>53</v>
      </c>
      <c r="AG38" s="14" t="str">
        <f>VLOOKUP(AF38,Tabla3[[Estado Requerimiento]:[Macro estado]],2,FALSE)</f>
        <v>03. Culminado</v>
      </c>
      <c r="AH38" s="18"/>
      <c r="AI38" s="80">
        <v>45399</v>
      </c>
      <c r="AJ38" s="80"/>
      <c r="AK38" s="80">
        <v>45405</v>
      </c>
      <c r="AL38" s="80">
        <v>45554</v>
      </c>
      <c r="AM38" s="80"/>
      <c r="AN38" s="80">
        <v>45566</v>
      </c>
      <c r="AO38" s="80">
        <v>45574</v>
      </c>
      <c r="AP38" s="81">
        <f t="shared" si="0"/>
        <v>45613.599999999999</v>
      </c>
      <c r="AQ38" s="80">
        <v>46091</v>
      </c>
      <c r="AR38" s="80">
        <v>46091</v>
      </c>
      <c r="AS38" s="81">
        <f t="shared" si="1"/>
        <v>45620.6</v>
      </c>
      <c r="AT38" s="19" t="s">
        <v>824</v>
      </c>
      <c r="AU38" s="44" t="str">
        <f>VLOOKUP(Cartera1017[[#This Row],[Gerencia]],tbGerencia[#All],3,FALSE)</f>
        <v>Operac.</v>
      </c>
      <c r="AV38" s="44" t="str">
        <f>IFERROR(VLOOKUP(Cartera1017[[#This Row],[Subgerencia]],Definiciones!$A$90:$B$144,2,FALSE),"")</f>
        <v>BancariosRecaudación</v>
      </c>
      <c r="AW38" s="44" t="str">
        <f>IF(OR(LEN(Cartera1017[[#This Row],[Fecha de Solicitud]])=0,(Cartera1017[[#This Row],[Fecha de Solicitud]])="No definido"),"No definido",IF(YEAR(Cartera1017[[#This Row],[Fecha de Solicitud]])&lt;2023," &lt;  2023",TEXT(Cartera1017[[#This Row],[Fecha de Solicitud]],"yyyy-mm")))</f>
        <v>2024-02</v>
      </c>
      <c r="AX38" s="44" t="str">
        <f>IF(Cartera1017[[#This Row],[Fecha de Priorización Comité]]="","No definido",TEXT(Cartera1017[[#This Row],[Fecha de Priorización Comité]],"yyyy-mm"))</f>
        <v>2024-04</v>
      </c>
      <c r="AY38" s="44" t="str">
        <f>IF(Cartera1017[[#This Row],[Fecha Fin- Desarrollo]]="","No definido",TEXT(Cartera1017[[#This Row],[Fecha Fin- Desarrollo]],"yyyy-mm"))</f>
        <v>2024-09</v>
      </c>
      <c r="AZ38" s="44" t="str">
        <f>IF(Cartera1017[[#This Row],[Fecha Fin- Producción]]="","No definido",TEXT(Cartera1017[[#This Row],[Fecha Fin- Producción]],"yyyy-mm"))</f>
        <v>2026-03</v>
      </c>
      <c r="BA38" s="44" t="str">
        <f>IF(Cartera1017[[#This Row],[Fecha Fin-Planificada]]="","No definido",TEXT(Cartera1017[[#This Row],[Fecha Fin-Planificada]],"yyyy-mm"))</f>
        <v>2024-11</v>
      </c>
      <c r="BB38" s="33"/>
      <c r="BC38" s="66"/>
      <c r="BD38" s="66"/>
      <c r="BE38" s="66"/>
      <c r="BF38" s="386">
        <v>45401</v>
      </c>
      <c r="BG38" s="387" t="s">
        <v>504</v>
      </c>
      <c r="BH3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686</v>
      </c>
      <c r="BI38" s="90">
        <f>IF(ISNUMBER(Cartera1017[[#This Row],[Duracion en Dias]]),Cartera1017[[#This Row],[Duracion en Dias]]/30, "No Aplica")</f>
        <v>22.866666666666667</v>
      </c>
      <c r="BJ38" s="109" t="s">
        <v>825</v>
      </c>
      <c r="BK38" s="28" t="s">
        <v>582</v>
      </c>
      <c r="BL38" s="110" t="s">
        <v>536</v>
      </c>
      <c r="BM38" s="342">
        <v>46091.616747685184</v>
      </c>
      <c r="BN38" s="227"/>
      <c r="BO38" s="227"/>
      <c r="BP38" s="227"/>
      <c r="BQ3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38" s="14" t="str">
        <f>IFERROR(VLOOKUP(Cartera1017[[#This Row],[Aplicativo]],Tabla76[],2,FALSE),"Sin Aplicativo")</f>
        <v>BackOffice</v>
      </c>
      <c r="BS38" s="14" t="str">
        <f>IFERROR(VLOOKUP(Cartera1017[[#This Row],[Aplicativo]],Tabla76[],3,FALSE),"Sin Aplicativo")</f>
        <v>Otros Requerimientos</v>
      </c>
      <c r="BT38" s="400">
        <v>45689</v>
      </c>
      <c r="BU38" s="140">
        <v>45689</v>
      </c>
      <c r="BW3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3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38" s="97" t="str">
        <f ca="1">IF(Cartera1017[[#This Row],[Fecha Fin2]]="","No definido",CONCATENATE(TEXT(Cartera1017[[#This Row],[Fecha Fin2]],"mmm")," ",YEAR(Cartera1017[[#This Row],[Fecha Fin2]])))</f>
        <v>Mar 2026</v>
      </c>
      <c r="CA38" s="48" t="str">
        <f>IF(Cartera1017[[#This Row],[Estado TI]] = "08. Producción Finalizada","Culminado",IF(Cartera1017[[#This Row],[Estado TI]]= "09. Descartado","Descartado","Activos"))</f>
        <v>Culminado</v>
      </c>
      <c r="CC3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38" s="54" t="str">
        <f>IF(
AND(
Cartera1017[[#This Row],[DEVOLVER 27]]="NO",
NOT(ISBLANK(Cartera1017[[#This Row],[ESTADO NO DEVUELTOS 27]]))
),
"PRE",
"POST"
)</f>
        <v>PRE</v>
      </c>
      <c r="CE38" s="54" t="s">
        <v>509</v>
      </c>
      <c r="CF38" s="28" t="s">
        <v>42</v>
      </c>
      <c r="CG3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3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38" s="406">
        <f>Cartera1017[[#This Row],[Porcentaje de Avance]]</f>
        <v>1</v>
      </c>
      <c r="CK38" s="388">
        <f ca="1">IF(
   OR(
     Cartera1017[[#This Row],[Estado TI]]="09. Descartado",
     Cartera1017[[#This Row],[Comienzo Desarrollo]]="",
     Cartera1017[[#This Row],[Fin Producción]]=""
   ),
   "",
   Cartera1017[[#This Row],[% PLANIFICADO]]-Cartera1017[[#This Row],[% COMPLETADO]]
)</f>
        <v>0</v>
      </c>
      <c r="CL38" s="388">
        <f ca="1">IF(
   OR(
     Cartera1017[[#This Row],[Estado TI]]="09. Descartado",
     Cartera1017[[#This Row],[Comienzo Desarrollo]]="",
     Cartera1017[[#This Row],[Fin Producción]]="",
     Cartera1017[[#This Row],[% PLANIFICADO]]=0
   ),
   "",
   MIN(Cartera1017[[#This Row],[% COMPLETADO]]/Cartera1017[[#This Row],[% PLANIFICADO]],1.2)
)</f>
        <v>1</v>
      </c>
      <c r="CM38" s="377">
        <v>45405</v>
      </c>
      <c r="CN38" s="377">
        <v>45405</v>
      </c>
      <c r="CO38" s="377">
        <v>45554</v>
      </c>
      <c r="CP38" s="377">
        <v>45566</v>
      </c>
      <c r="CQ38" s="377">
        <v>45890</v>
      </c>
      <c r="CR38" s="377">
        <v>46072</v>
      </c>
      <c r="CS38" s="377">
        <v>46108</v>
      </c>
      <c r="CT38" s="44">
        <f>IF(Cartera1017[[#This Row],[Fin Desarrollo]]="",25,IFERROR(NETWORKDAYS(Cartera1017[[#This Row],[Comienzo Desarrollo]],Cartera1017[[#This Row],[Fin Desarrollo]],FERIADOS[Fecha]),""))</f>
        <v>104</v>
      </c>
      <c r="CU3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38" s="44">
        <f>IF(OR(Cartera1017[[#This Row],[Comienzo Desarrollo]]="",Cartera1017[[#This Row],[Fin Desarrollo]]=""),200,IFERROR(Cartera1017[[#This Row],[DURACIÓN DESARROLLO DIAS]]*VLOOKUP(Cartera1017[[#This Row],[ID Mantenimiento]],MANT_HORAS[],2,FALSE),200))</f>
        <v>200</v>
      </c>
      <c r="CW38" s="110"/>
      <c r="CX38" s="110" t="str">
        <f>VLOOKUP(Cartera1017[[#This Row],[Estado TI]],Definiciones!$A$549:$B$559,2,FALSE)</f>
        <v>4. PRODUCCIÓN</v>
      </c>
      <c r="CY38" s="28">
        <f ca="1">1-Cartera1017[[#This Row],[Porcentaje avanzado desarrollo]]</f>
        <v>0</v>
      </c>
      <c r="CZ3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104</v>
      </c>
      <c r="DA38" s="28">
        <f ca="1">MAX(0,Cartera1017[[#This Row],[DURACIÓN DESARROLLO DIAS]]-Cartera1017[[#This Row],[Dias avanzados]])</f>
        <v>0</v>
      </c>
      <c r="DB38" s="28">
        <f ca="1">Cartera1017[[#This Row],[Dias avanzados]]*IFERROR(VLOOKUP(Cartera1017[[#This Row],[ID Mantenimiento]],MANT_HORAS[],2,FALSE),8)</f>
        <v>832</v>
      </c>
      <c r="DC38" s="28">
        <f ca="1">Cartera1017[[#This Row],[Dias faltantes]]*IFERROR(VLOOKUP(Cartera1017[[#This Row],[ID Mantenimiento]],MANT_HORAS[],2,FALSE),8)</f>
        <v>0</v>
      </c>
      <c r="DD38" s="28" t="str">
        <f>IF(Cartera1017[[#This Row],[Fin Producción]]=0,"Por definir",CONCATENATE(YEAR(Cartera1017[[#This Row],[Fin Producción]]),"-",ROUNDUP(MONTH(Cartera1017[[#This Row],[Fin Producción]]),0)))</f>
        <v>2026-3</v>
      </c>
      <c r="DE38" s="18" t="s">
        <v>510</v>
      </c>
      <c r="DH38" s="565"/>
    </row>
    <row r="39" spans="1:112" s="28" customFormat="1" ht="44.25" hidden="1" customHeight="1">
      <c r="A39" s="229" t="s">
        <v>826</v>
      </c>
      <c r="B39" s="18">
        <v>2224</v>
      </c>
      <c r="C39" s="18" t="s">
        <v>485</v>
      </c>
      <c r="D39" s="18" t="s">
        <v>827</v>
      </c>
      <c r="E39" s="18" t="s">
        <v>113</v>
      </c>
      <c r="F39" s="33" t="s">
        <v>114</v>
      </c>
      <c r="G39" s="19" t="s">
        <v>828</v>
      </c>
      <c r="H39" s="18" t="s">
        <v>40</v>
      </c>
      <c r="I39" s="18" t="s">
        <v>490</v>
      </c>
      <c r="J39" s="18" t="s">
        <v>662</v>
      </c>
      <c r="K39" s="20">
        <v>45338</v>
      </c>
      <c r="L39" s="43" t="s">
        <v>829</v>
      </c>
      <c r="M39" s="43" t="s">
        <v>820</v>
      </c>
      <c r="N39" s="43" t="s">
        <v>821</v>
      </c>
      <c r="O39" s="18" t="s">
        <v>548</v>
      </c>
      <c r="P39" s="18" t="s">
        <v>495</v>
      </c>
      <c r="Q39" s="18" t="s">
        <v>822</v>
      </c>
      <c r="R39" s="18" t="s">
        <v>497</v>
      </c>
      <c r="S39" s="18"/>
      <c r="T39" s="18" t="s">
        <v>821</v>
      </c>
      <c r="U39" s="18" t="s">
        <v>495</v>
      </c>
      <c r="V39" s="18" t="s">
        <v>495</v>
      </c>
      <c r="W39" s="18" t="s">
        <v>495</v>
      </c>
      <c r="X39" s="18" t="s">
        <v>495</v>
      </c>
      <c r="Y39" s="80" t="s">
        <v>495</v>
      </c>
      <c r="Z39" s="18" t="s">
        <v>499</v>
      </c>
      <c r="AA39" s="20">
        <v>45401</v>
      </c>
      <c r="AB39" s="18" t="s">
        <v>500</v>
      </c>
      <c r="AC39" s="18" t="s">
        <v>501</v>
      </c>
      <c r="AD39" s="18" t="s">
        <v>823</v>
      </c>
      <c r="AE39" s="18" t="s">
        <v>41</v>
      </c>
      <c r="AF39" s="18" t="s">
        <v>53</v>
      </c>
      <c r="AG39" s="14" t="str">
        <f>VLOOKUP(AF39,Tabla3[[Estado Requerimiento]:[Macro estado]],2,FALSE)</f>
        <v>03. Culminado</v>
      </c>
      <c r="AH39" s="18"/>
      <c r="AI39" s="80">
        <v>45401</v>
      </c>
      <c r="AJ39" s="80"/>
      <c r="AK39" s="80">
        <v>45405</v>
      </c>
      <c r="AL39" s="80">
        <v>45824</v>
      </c>
      <c r="AM39" s="80"/>
      <c r="AN39" s="80">
        <v>45838</v>
      </c>
      <c r="AO39" s="80">
        <v>45838</v>
      </c>
      <c r="AP39" s="81">
        <f t="shared" si="0"/>
        <v>45991.6</v>
      </c>
      <c r="AQ39" s="80">
        <v>45839</v>
      </c>
      <c r="AR39" s="80">
        <v>46091</v>
      </c>
      <c r="AS39" s="81">
        <f t="shared" si="1"/>
        <v>45998.6</v>
      </c>
      <c r="AT39" s="19" t="s">
        <v>830</v>
      </c>
      <c r="AU39" s="44" t="str">
        <f>VLOOKUP(Cartera1017[[#This Row],[Gerencia]],tbGerencia[#All],3,FALSE)</f>
        <v>Operac.</v>
      </c>
      <c r="AV39" s="44" t="str">
        <f>IFERROR(VLOOKUP(Cartera1017[[#This Row],[Subgerencia]],Definiciones!$A$90:$B$144,2,FALSE),"")</f>
        <v>BancariosRecaudación</v>
      </c>
      <c r="AW39" s="44" t="str">
        <f>IF(OR(LEN(Cartera1017[[#This Row],[Fecha de Solicitud]])=0,(Cartera1017[[#This Row],[Fecha de Solicitud]])="No definido"),"No definido",IF(YEAR(Cartera1017[[#This Row],[Fecha de Solicitud]])&lt;2023," &lt;  2023",TEXT(Cartera1017[[#This Row],[Fecha de Solicitud]],"yyyy-mm")))</f>
        <v>2024-02</v>
      </c>
      <c r="AX39" s="44" t="str">
        <f>IF(Cartera1017[[#This Row],[Fecha de Priorización Comité]]="","No definido",TEXT(Cartera1017[[#This Row],[Fecha de Priorización Comité]],"yyyy-mm"))</f>
        <v>2024-04</v>
      </c>
      <c r="AY39" s="44" t="str">
        <f>IF(Cartera1017[[#This Row],[Fecha Fin- Desarrollo]]="","No definido",TEXT(Cartera1017[[#This Row],[Fecha Fin- Desarrollo]],"yyyy-mm"))</f>
        <v>2025-06</v>
      </c>
      <c r="AZ39" s="44" t="str">
        <f>IF(Cartera1017[[#This Row],[Fecha Fin- Producción]]="","No definido",TEXT(Cartera1017[[#This Row],[Fecha Fin- Producción]],"yyyy-mm"))</f>
        <v>2026-03</v>
      </c>
      <c r="BA39" s="44" t="str">
        <f>IF(Cartera1017[[#This Row],[Fecha Fin-Planificada]]="","No definido",TEXT(Cartera1017[[#This Row],[Fecha Fin-Planificada]],"yyyy-mm"))</f>
        <v>2025-12</v>
      </c>
      <c r="BB39" s="33"/>
      <c r="BC39" s="66"/>
      <c r="BD39" s="66"/>
      <c r="BE39" s="66"/>
      <c r="BF39" s="386">
        <v>45401</v>
      </c>
      <c r="BG39" s="387" t="s">
        <v>504</v>
      </c>
      <c r="BH3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686</v>
      </c>
      <c r="BI39" s="90">
        <f>IF(ISNUMBER(Cartera1017[[#This Row],[Duracion en Dias]]),Cartera1017[[#This Row],[Duracion en Dias]]/30, "No Aplica")</f>
        <v>22.866666666666667</v>
      </c>
      <c r="BJ39" s="109" t="s">
        <v>831</v>
      </c>
      <c r="BK39" s="28" t="s">
        <v>582</v>
      </c>
      <c r="BL39" s="110" t="s">
        <v>536</v>
      </c>
      <c r="BM39" s="342">
        <v>46142.386192129627</v>
      </c>
      <c r="BN39" s="227"/>
      <c r="BO39" s="227"/>
      <c r="BP39" s="227"/>
      <c r="BQ3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39" s="14" t="str">
        <f>IFERROR(VLOOKUP(Cartera1017[[#This Row],[Aplicativo]],Tabla76[],2,FALSE),"Sin Aplicativo")</f>
        <v>BackOffice</v>
      </c>
      <c r="BS39" s="14" t="str">
        <f>IFERROR(VLOOKUP(Cartera1017[[#This Row],[Aplicativo]],Tabla76[],3,FALSE),"Sin Aplicativo")</f>
        <v>Otros Requerimientos</v>
      </c>
      <c r="BT39" s="400">
        <v>45931</v>
      </c>
      <c r="BU39" s="140">
        <v>45931</v>
      </c>
      <c r="BV39" s="33" t="s">
        <v>832</v>
      </c>
      <c r="BW39"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3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39" s="97" t="str">
        <f ca="1">IF(Cartera1017[[#This Row],[Fecha Fin2]]="","No definido",CONCATENATE(TEXT(Cartera1017[[#This Row],[Fecha Fin2]],"mmm")," ",YEAR(Cartera1017[[#This Row],[Fecha Fin2]])))</f>
        <v>Mar 2026</v>
      </c>
      <c r="BZ39" s="28">
        <v>2025</v>
      </c>
      <c r="CA39" s="48" t="str">
        <f>IF(Cartera1017[[#This Row],[Estado TI]] = "08. Producción Finalizada","Culminado",IF(Cartera1017[[#This Row],[Estado TI]]= "09. Descartado","Descartado","Activos"))</f>
        <v>Culminado</v>
      </c>
      <c r="CC3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39" s="54" t="str">
        <f>IF(
AND(
Cartera1017[[#This Row],[DEVOLVER 27]]="NO",
NOT(ISBLANK(Cartera1017[[#This Row],[ESTADO NO DEVUELTOS 27]]))
),
"PRE",
"POST"
)</f>
        <v>PRE</v>
      </c>
      <c r="CE39" s="54" t="s">
        <v>509</v>
      </c>
      <c r="CF39" s="28" t="s">
        <v>35</v>
      </c>
      <c r="CG3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3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39" s="406">
        <f>Cartera1017[[#This Row],[Porcentaje de Avance]]</f>
        <v>1</v>
      </c>
      <c r="CK39" s="388">
        <f ca="1">IF(
   OR(
     Cartera1017[[#This Row],[Estado TI]]="09. Descartado",
     Cartera1017[[#This Row],[Comienzo Desarrollo]]="",
     Cartera1017[[#This Row],[Fin Producción]]=""
   ),
   "",
   Cartera1017[[#This Row],[% PLANIFICADO]]-Cartera1017[[#This Row],[% COMPLETADO]]
)</f>
        <v>0</v>
      </c>
      <c r="CL39" s="388">
        <f ca="1">IF(
   OR(
     Cartera1017[[#This Row],[Estado TI]]="09. Descartado",
     Cartera1017[[#This Row],[Comienzo Desarrollo]]="",
     Cartera1017[[#This Row],[Fin Producción]]="",
     Cartera1017[[#This Row],[% PLANIFICADO]]=0
   ),
   "",
   MIN(Cartera1017[[#This Row],[% COMPLETADO]]/Cartera1017[[#This Row],[% PLANIFICADO]],1.2)
)</f>
        <v>1</v>
      </c>
      <c r="CM39" s="377">
        <v>45405</v>
      </c>
      <c r="CN39" s="377">
        <v>45405</v>
      </c>
      <c r="CO39" s="377">
        <v>45824</v>
      </c>
      <c r="CP39" s="377">
        <v>45838</v>
      </c>
      <c r="CQ39" s="377">
        <v>45838</v>
      </c>
      <c r="CR39" s="377">
        <v>45839</v>
      </c>
      <c r="CS39" s="377">
        <v>46108</v>
      </c>
      <c r="CT39" s="44">
        <f>IF(Cartera1017[[#This Row],[Fin Desarrollo]]="",25,IFERROR(NETWORKDAYS(Cartera1017[[#This Row],[Comienzo Desarrollo]],Cartera1017[[#This Row],[Fin Desarrollo]],FERIADOS[Fecha]),""))</f>
        <v>284</v>
      </c>
      <c r="CU3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39" s="44">
        <f>IF(OR(Cartera1017[[#This Row],[Comienzo Desarrollo]]="",Cartera1017[[#This Row],[Fin Desarrollo]]=""),200,IFERROR(Cartera1017[[#This Row],[DURACIÓN DESARROLLO DIAS]]*VLOOKUP(Cartera1017[[#This Row],[ID Mantenimiento]],MANT_HORAS[],2,FALSE),200))</f>
        <v>200</v>
      </c>
      <c r="CW39" s="110"/>
      <c r="CX39" s="110" t="str">
        <f>VLOOKUP(Cartera1017[[#This Row],[Estado TI]],Definiciones!$A$549:$B$559,2,FALSE)</f>
        <v>4. PRODUCCIÓN</v>
      </c>
      <c r="CY39" s="28">
        <f ca="1">1-Cartera1017[[#This Row],[Porcentaje avanzado desarrollo]]</f>
        <v>0</v>
      </c>
      <c r="CZ3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284</v>
      </c>
      <c r="DA39" s="28">
        <f ca="1">MAX(0,Cartera1017[[#This Row],[DURACIÓN DESARROLLO DIAS]]-Cartera1017[[#This Row],[Dias avanzados]])</f>
        <v>0</v>
      </c>
      <c r="DB39" s="28">
        <f ca="1">Cartera1017[[#This Row],[Dias avanzados]]*IFERROR(VLOOKUP(Cartera1017[[#This Row],[ID Mantenimiento]],MANT_HORAS[],2,FALSE),8)</f>
        <v>2272</v>
      </c>
      <c r="DC39" s="28">
        <f ca="1">Cartera1017[[#This Row],[Dias faltantes]]*IFERROR(VLOOKUP(Cartera1017[[#This Row],[ID Mantenimiento]],MANT_HORAS[],2,FALSE),8)</f>
        <v>0</v>
      </c>
      <c r="DD39" s="28" t="str">
        <f>IF(Cartera1017[[#This Row],[Fin Producción]]=0,"Por definir",CONCATENATE(YEAR(Cartera1017[[#This Row],[Fin Producción]]),"-",ROUNDUP(MONTH(Cartera1017[[#This Row],[Fin Producción]]),0)))</f>
        <v>2026-3</v>
      </c>
      <c r="DE39" s="18" t="s">
        <v>510</v>
      </c>
      <c r="DH39" s="565"/>
    </row>
    <row r="40" spans="1:112" s="33" customFormat="1" ht="44.25" hidden="1" customHeight="1">
      <c r="A40" s="229" t="s">
        <v>833</v>
      </c>
      <c r="B40" s="18">
        <v>2286</v>
      </c>
      <c r="C40" s="18" t="s">
        <v>485</v>
      </c>
      <c r="D40" s="18" t="s">
        <v>834</v>
      </c>
      <c r="E40" s="18" t="s">
        <v>115</v>
      </c>
      <c r="F40" s="396" t="s">
        <v>116</v>
      </c>
      <c r="G40" s="19" t="s">
        <v>835</v>
      </c>
      <c r="H40" s="18" t="s">
        <v>108</v>
      </c>
      <c r="I40" s="18" t="s">
        <v>811</v>
      </c>
      <c r="J40" s="18" t="s">
        <v>500</v>
      </c>
      <c r="K40" s="20">
        <v>45439</v>
      </c>
      <c r="L40" s="273" t="s">
        <v>683</v>
      </c>
      <c r="M40" s="43" t="s">
        <v>556</v>
      </c>
      <c r="N40" s="43" t="s">
        <v>836</v>
      </c>
      <c r="O40" s="18" t="s">
        <v>670</v>
      </c>
      <c r="P40" s="18" t="s">
        <v>549</v>
      </c>
      <c r="Q40" s="18" t="s">
        <v>496</v>
      </c>
      <c r="R40" s="18" t="s">
        <v>497</v>
      </c>
      <c r="S40" s="18"/>
      <c r="T40" s="18" t="s">
        <v>652</v>
      </c>
      <c r="U40" s="18" t="s">
        <v>685</v>
      </c>
      <c r="V40" s="18" t="s">
        <v>686</v>
      </c>
      <c r="W40" s="43" t="s">
        <v>687</v>
      </c>
      <c r="X40" s="18"/>
      <c r="Y40" s="80">
        <v>45657</v>
      </c>
      <c r="Z40" s="18" t="s">
        <v>602</v>
      </c>
      <c r="AA40" s="20"/>
      <c r="AB40" s="18" t="s">
        <v>500</v>
      </c>
      <c r="AC40" s="18" t="s">
        <v>570</v>
      </c>
      <c r="AD40" s="360" t="s">
        <v>30</v>
      </c>
      <c r="AE40" s="18" t="s">
        <v>109</v>
      </c>
      <c r="AF40" s="564" t="s">
        <v>28</v>
      </c>
      <c r="AG40" s="395" t="str">
        <f>VLOOKUP(AF40,Tabla3[[Estado Requerimiento]:[Macro estado]],2,FALSE)</f>
        <v>04. Paralizado</v>
      </c>
      <c r="AH40" s="18" t="s">
        <v>837</v>
      </c>
      <c r="AI40" s="80">
        <v>45439</v>
      </c>
      <c r="AJ40" s="80"/>
      <c r="AK40" s="80">
        <v>45995</v>
      </c>
      <c r="AL40" s="80">
        <v>45685</v>
      </c>
      <c r="AM40" s="80"/>
      <c r="AN40" s="80">
        <v>45693</v>
      </c>
      <c r="AO40" s="80">
        <v>45701</v>
      </c>
      <c r="AP40" s="81">
        <f t="shared" si="0"/>
        <v>45561</v>
      </c>
      <c r="AQ40" s="80"/>
      <c r="AR40" s="80"/>
      <c r="AS40" s="81">
        <f t="shared" si="1"/>
        <v>45568</v>
      </c>
      <c r="AT40" s="19" t="s">
        <v>838</v>
      </c>
      <c r="AU40" s="44" t="str">
        <f>VLOOKUP(Cartera1017[[#This Row],[Gerencia]],tbGerencia[#All],3,FALSE)</f>
        <v>TI</v>
      </c>
      <c r="AV40" s="44" t="str">
        <f>IFERROR(VLOOKUP(Cartera1017[[#This Row],[Subgerencia]],Definiciones!$A$90:$B$144,2,FALSE),"")</f>
        <v>ConstrucciónAplicaciones</v>
      </c>
      <c r="AW40" s="44" t="str">
        <f>IF(OR(LEN(Cartera1017[[#This Row],[Fecha de Solicitud]])=0,(Cartera1017[[#This Row],[Fecha de Solicitud]])="No definido"),"No definido",IF(YEAR(Cartera1017[[#This Row],[Fecha de Solicitud]])&lt;2023," &lt;  2023",TEXT(Cartera1017[[#This Row],[Fecha de Solicitud]],"yyyy-mm")))</f>
        <v>2024-05</v>
      </c>
      <c r="AX40" s="44" t="str">
        <f>IF(Cartera1017[[#This Row],[Fecha de Priorización Comité]]="","No definido",TEXT(Cartera1017[[#This Row],[Fecha de Priorización Comité]],"yyyy-mm"))</f>
        <v>No definido</v>
      </c>
      <c r="AY40" s="44" t="str">
        <f>IF(Cartera1017[[#This Row],[Fecha Fin- Desarrollo]]="","No definido",TEXT(Cartera1017[[#This Row],[Fecha Fin- Desarrollo]],"yyyy-mm"))</f>
        <v>2025-01</v>
      </c>
      <c r="AZ40" s="44" t="str">
        <f>IF(Cartera1017[[#This Row],[Fecha Fin- Producción]]="","No definido",TEXT(Cartera1017[[#This Row],[Fecha Fin- Producción]],"yyyy-mm"))</f>
        <v>No definido</v>
      </c>
      <c r="BA40" s="44" t="str">
        <f>IF(Cartera1017[[#This Row],[Fecha Fin-Planificada]]="","No definido",TEXT(Cartera1017[[#This Row],[Fecha Fin-Planificada]],"yyyy-mm"))</f>
        <v>2024-10</v>
      </c>
      <c r="BB40" s="33" t="s">
        <v>572</v>
      </c>
      <c r="BC40" s="66">
        <v>45478</v>
      </c>
      <c r="BD40" s="66">
        <v>45680</v>
      </c>
      <c r="BE40" s="66">
        <v>45680</v>
      </c>
      <c r="BF40" s="386">
        <v>45439</v>
      </c>
      <c r="BG40" s="387" t="s">
        <v>504</v>
      </c>
      <c r="BH4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0" s="90" t="str">
        <f>IF(ISNUMBER(Cartera1017[[#This Row],[Duracion en Dias]]),Cartera1017[[#This Row],[Duracion en Dias]]/30, "No Aplica")</f>
        <v>No Aplica</v>
      </c>
      <c r="BJ40" s="109"/>
      <c r="BK40" s="28" t="s">
        <v>506</v>
      </c>
      <c r="BL40" s="110" t="s">
        <v>562</v>
      </c>
      <c r="BM40" s="342">
        <v>46079.74491898148</v>
      </c>
      <c r="BN40" s="227"/>
      <c r="BO40" s="227"/>
      <c r="BP40" s="227"/>
      <c r="BQ4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40" s="14" t="str">
        <f>IFERROR(VLOOKUP(Cartera1017[[#This Row],[Aplicativo]],Tabla76[],2,FALSE),"Sin Aplicativo")</f>
        <v>ATM-Agentes-VISA</v>
      </c>
      <c r="BS40" s="14" t="str">
        <f>IFERROR(VLOOKUP(Cartera1017[[#This Row],[Aplicativo]],Tabla76[],3,FALSE),"Sin Aplicativo")</f>
        <v>Canales Presenciales</v>
      </c>
      <c r="BT40" s="162">
        <v>45778</v>
      </c>
      <c r="BU40" s="162">
        <v>45778</v>
      </c>
      <c r="BV40" s="28"/>
      <c r="BW40"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4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40" s="97" t="str">
        <f ca="1">IF(Cartera1017[[#This Row],[Fecha Fin2]]="","No definido",CONCATENATE(TEXT(Cartera1017[[#This Row],[Fecha Fin2]],"mmm")," ",YEAR(Cartera1017[[#This Row],[Fecha Fin2]])))</f>
        <v>May 2025</v>
      </c>
      <c r="BZ40" s="28"/>
      <c r="CA40" s="48" t="str">
        <f>IF(Cartera1017[[#This Row],[Estado TI]] = "08. Producción Finalizada","Culminado",IF(Cartera1017[[#This Row],[Estado TI]]= "09. Descartado","Descartado","Activos"))</f>
        <v>Activos</v>
      </c>
      <c r="CB40" s="28" t="s">
        <v>657</v>
      </c>
      <c r="CC4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40" s="54" t="str">
        <f>IF(
AND(
Cartera1017[[#This Row],[DEVOLVER 27]]="NO",
NOT(ISBLANK(Cartera1017[[#This Row],[ESTADO NO DEVUELTOS 27]]))
),
"PRE",
"POST"
)</f>
        <v>PRE</v>
      </c>
      <c r="CE40" s="54" t="s">
        <v>509</v>
      </c>
      <c r="CF40" s="104" t="s">
        <v>48</v>
      </c>
      <c r="CG40"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40"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40" s="406">
        <f>Cartera1017[[#This Row],[Porcentaje de Avance]]</f>
        <v>0.12</v>
      </c>
      <c r="CK40" s="418" t="str">
        <f>IF(
   OR(
     Cartera1017[[#This Row],[Estado TI]]="09. Descartado",
     Cartera1017[[#This Row],[Comienzo Desarrollo]]="",
     Cartera1017[[#This Row],[Fin Producción]]=""
   ),
   "",
   Cartera1017[[#This Row],[% PLANIFICADO]]-Cartera1017[[#This Row],[% COMPLETADO]]
)</f>
        <v/>
      </c>
      <c r="CL40" s="418" t="str">
        <f ca="1">IF(
   OR(
     Cartera1017[[#This Row],[Estado TI]]="09. Descartado",
     Cartera1017[[#This Row],[Comienzo Desarrollo]]="",
     Cartera1017[[#This Row],[Fin Producción]]="",
     Cartera1017[[#This Row],[% PLANIFICADO]]=0
   ),
   "",
   MIN(Cartera1017[[#This Row],[% COMPLETADO]]/Cartera1017[[#This Row],[% PLANIFICADO]],1.2)
)</f>
        <v/>
      </c>
      <c r="CM40" s="423"/>
      <c r="CN40" s="377"/>
      <c r="CO40" s="377"/>
      <c r="CP40" s="377"/>
      <c r="CQ40" s="377"/>
      <c r="CR40" s="377"/>
      <c r="CS40" s="377">
        <v>46477</v>
      </c>
      <c r="CT40" s="44">
        <f>IF(Cartera1017[[#This Row],[Fin Desarrollo]]="",25,IFERROR(NETWORKDAYS(Cartera1017[[#This Row],[Comienzo Desarrollo]],Cartera1017[[#This Row],[Fin Desarrollo]],FERIADOS[Fecha]),""))</f>
        <v>25</v>
      </c>
      <c r="CU4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40" s="44">
        <f>IF(OR(Cartera1017[[#This Row],[Comienzo Desarrollo]]="",Cartera1017[[#This Row],[Fin Desarrollo]]=""),200,IFERROR(Cartera1017[[#This Row],[DURACIÓN DESARROLLO DIAS]]*VLOOKUP(Cartera1017[[#This Row],[ID Mantenimiento]],MANT_HORAS[],2,FALSE),200))</f>
        <v>200</v>
      </c>
      <c r="CW40" s="110"/>
      <c r="CX40" s="110" t="str">
        <f>VLOOKUP(Cartera1017[[#This Row],[Estado TI]],Definiciones!$A$549:$B$559,2,FALSE)</f>
        <v>6. PARALIZADO</v>
      </c>
      <c r="CY40" s="28">
        <f ca="1">1-Cartera1017[[#This Row],[Porcentaje avanzado desarrollo]]</f>
        <v>0.9</v>
      </c>
      <c r="CZ4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40" s="28">
        <f ca="1">MAX(0,Cartera1017[[#This Row],[DURACIÓN DESARROLLO DIAS]]-Cartera1017[[#This Row],[Dias avanzados]])</f>
        <v>24</v>
      </c>
      <c r="DB40" s="28">
        <f ca="1">Cartera1017[[#This Row],[Dias avanzados]]*IFERROR(VLOOKUP(Cartera1017[[#This Row],[ID Mantenimiento]],MANT_HORAS[],2,FALSE),8)</f>
        <v>8</v>
      </c>
      <c r="DC40" s="28">
        <f ca="1">Cartera1017[[#This Row],[Dias faltantes]]*IFERROR(VLOOKUP(Cartera1017[[#This Row],[ID Mantenimiento]],MANT_HORAS[],2,FALSE),8)</f>
        <v>192</v>
      </c>
      <c r="DD40" s="28" t="str">
        <f>IF(Cartera1017[[#This Row],[Fin Producción]]=0,"Por definir",CONCATENATE(YEAR(Cartera1017[[#This Row],[Fin Producción]]),"-",ROUNDUP(MONTH(Cartera1017[[#This Row],[Fin Producción]]),0)))</f>
        <v>2027-3</v>
      </c>
      <c r="DE40" s="18" t="s">
        <v>510</v>
      </c>
      <c r="DH40" s="566"/>
    </row>
    <row r="41" spans="1:112" s="28" customFormat="1" ht="44.25" hidden="1" customHeight="1">
      <c r="A41" s="229" t="s">
        <v>839</v>
      </c>
      <c r="B41" s="18">
        <v>2238</v>
      </c>
      <c r="C41" s="18" t="s">
        <v>485</v>
      </c>
      <c r="D41" s="18" t="s">
        <v>840</v>
      </c>
      <c r="E41" s="18" t="s">
        <v>117</v>
      </c>
      <c r="F41" s="33" t="s">
        <v>118</v>
      </c>
      <c r="G41" s="19" t="s">
        <v>841</v>
      </c>
      <c r="H41" s="18" t="s">
        <v>40</v>
      </c>
      <c r="I41" s="18" t="s">
        <v>842</v>
      </c>
      <c r="J41" s="18" t="s">
        <v>843</v>
      </c>
      <c r="K41" s="20">
        <v>45376</v>
      </c>
      <c r="L41" s="43" t="s">
        <v>844</v>
      </c>
      <c r="M41" s="43" t="s">
        <v>845</v>
      </c>
      <c r="N41" s="43"/>
      <c r="O41" s="18" t="s">
        <v>548</v>
      </c>
      <c r="P41" s="18" t="s">
        <v>549</v>
      </c>
      <c r="Q41" s="18" t="s">
        <v>496</v>
      </c>
      <c r="R41" s="18" t="s">
        <v>599</v>
      </c>
      <c r="S41" s="18" t="s">
        <v>599</v>
      </c>
      <c r="T41" s="18" t="s">
        <v>495</v>
      </c>
      <c r="U41" s="18" t="s">
        <v>495</v>
      </c>
      <c r="V41" s="18" t="s">
        <v>495</v>
      </c>
      <c r="W41" s="18" t="s">
        <v>495</v>
      </c>
      <c r="X41" s="18" t="s">
        <v>495</v>
      </c>
      <c r="Y41" s="80" t="s">
        <v>495</v>
      </c>
      <c r="Z41" s="18" t="s">
        <v>499</v>
      </c>
      <c r="AA41" s="20">
        <v>45434</v>
      </c>
      <c r="AB41" s="18" t="s">
        <v>533</v>
      </c>
      <c r="AC41" s="18" t="s">
        <v>570</v>
      </c>
      <c r="AD41" s="18" t="s">
        <v>76</v>
      </c>
      <c r="AE41" s="18" t="s">
        <v>41</v>
      </c>
      <c r="AF41" s="18" t="s">
        <v>53</v>
      </c>
      <c r="AG41" s="14" t="str">
        <f>VLOOKUP(AF41,Tabla3[[Estado Requerimiento]:[Macro estado]],2,FALSE)</f>
        <v>03. Culminado</v>
      </c>
      <c r="AH41" s="18"/>
      <c r="AI41" s="80">
        <v>45407</v>
      </c>
      <c r="AJ41" s="80"/>
      <c r="AK41" s="80">
        <v>46037</v>
      </c>
      <c r="AL41" s="80">
        <v>46044</v>
      </c>
      <c r="AM41" s="80">
        <v>46022</v>
      </c>
      <c r="AN41" s="80">
        <v>46045</v>
      </c>
      <c r="AO41" s="80">
        <v>46050</v>
      </c>
      <c r="AP41" s="81">
        <f t="shared" si="0"/>
        <v>46016</v>
      </c>
      <c r="AQ41" s="80">
        <v>46051</v>
      </c>
      <c r="AR41" s="80">
        <v>46105</v>
      </c>
      <c r="AS41" s="81">
        <f t="shared" si="1"/>
        <v>46023</v>
      </c>
      <c r="AT41" s="19" t="s">
        <v>846</v>
      </c>
      <c r="AU41" s="44" t="str">
        <f>VLOOKUP(Cartera1017[[#This Row],[Gerencia]],tbGerencia[#All],3,FALSE)</f>
        <v>Operac.</v>
      </c>
      <c r="AV41" s="44" t="str">
        <f>IFERROR(VLOOKUP(Cartera1017[[#This Row],[Subgerencia]],Definiciones!$A$90:$B$144,2,FALSE),"")</f>
        <v>CajaValores</v>
      </c>
      <c r="AW41" s="44" t="str">
        <f>IF(OR(LEN(Cartera1017[[#This Row],[Fecha de Solicitud]])=0,(Cartera1017[[#This Row],[Fecha de Solicitud]])="No definido"),"No definido",IF(YEAR(Cartera1017[[#This Row],[Fecha de Solicitud]])&lt;2023," &lt;  2023",TEXT(Cartera1017[[#This Row],[Fecha de Solicitud]],"yyyy-mm")))</f>
        <v>2024-03</v>
      </c>
      <c r="AX41" s="44" t="str">
        <f>IF(Cartera1017[[#This Row],[Fecha de Priorización Comité]]="","No definido",TEXT(Cartera1017[[#This Row],[Fecha de Priorización Comité]],"yyyy-mm"))</f>
        <v>2024-05</v>
      </c>
      <c r="AY41" s="44" t="str">
        <f>IF(Cartera1017[[#This Row],[Fecha Fin- Desarrollo]]="","No definido",TEXT(Cartera1017[[#This Row],[Fecha Fin- Desarrollo]],"yyyy-mm"))</f>
        <v>2026-01</v>
      </c>
      <c r="AZ41" s="44" t="str">
        <f>IF(Cartera1017[[#This Row],[Fecha Fin- Producción]]="","No definido",TEXT(Cartera1017[[#This Row],[Fecha Fin- Producción]],"yyyy-mm"))</f>
        <v>2026-03</v>
      </c>
      <c r="BA41" s="44" t="str">
        <f>IF(Cartera1017[[#This Row],[Fecha Fin-Planificada]]="","No definido",TEXT(Cartera1017[[#This Row],[Fecha Fin-Planificada]],"yyyy-mm"))</f>
        <v>2026-01</v>
      </c>
      <c r="BB41" s="33" t="s">
        <v>772</v>
      </c>
      <c r="BC41" s="66">
        <v>45482</v>
      </c>
      <c r="BD41" s="66">
        <v>45869</v>
      </c>
      <c r="BE41" s="66"/>
      <c r="BF41" s="386">
        <v>45434</v>
      </c>
      <c r="BG41" s="387" t="s">
        <v>504</v>
      </c>
      <c r="BH41"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68</v>
      </c>
      <c r="BI41" s="90">
        <f>IF(ISNUMBER(Cartera1017[[#This Row],[Duracion en Dias]]),Cartera1017[[#This Row],[Duracion en Dias]]/30, "No Aplica")</f>
        <v>2.2666666666666666</v>
      </c>
      <c r="BJ41" s="109" t="s">
        <v>847</v>
      </c>
      <c r="BK41" s="28" t="s">
        <v>506</v>
      </c>
      <c r="BL41" s="110" t="s">
        <v>636</v>
      </c>
      <c r="BM41" s="342">
        <v>46106.474421296298</v>
      </c>
      <c r="BN41" s="227"/>
      <c r="BO41" s="227"/>
      <c r="BP41" s="227"/>
      <c r="BQ4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1" s="14" t="str">
        <f>IFERROR(VLOOKUP(Cartera1017[[#This Row],[Aplicativo]],Tabla76[],2,FALSE),"Sin Aplicativo")</f>
        <v>Oracle</v>
      </c>
      <c r="BS41" s="14" t="str">
        <f>IFERROR(VLOOKUP(Cartera1017[[#This Row],[Aplicativo]],Tabla76[],3,FALSE),"Sin Aplicativo")</f>
        <v>Otros Requerimientos</v>
      </c>
      <c r="BT41" s="411">
        <v>45931</v>
      </c>
      <c r="BU41" s="272">
        <v>45931</v>
      </c>
      <c r="BV41" s="33" t="s">
        <v>848</v>
      </c>
      <c r="BW4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46105</v>
      </c>
      <c r="BX4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1" s="97" t="str">
        <f ca="1">IF(Cartera1017[[#This Row],[Fecha Fin2]]="","No definido",CONCATENATE(TEXT(Cartera1017[[#This Row],[Fecha Fin2]],"mmm")," ",YEAR(Cartera1017[[#This Row],[Fecha Fin2]])))</f>
        <v>Mar 2026</v>
      </c>
      <c r="BZ41" s="28">
        <v>2025</v>
      </c>
      <c r="CA41" s="48" t="str">
        <f>IF(Cartera1017[[#This Row],[Estado TI]] = "08. Producción Finalizada","Culminado",IF(Cartera1017[[#This Row],[Estado TI]]= "09. Descartado","Descartado","Activos"))</f>
        <v>Culminado</v>
      </c>
      <c r="CC4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41" s="54" t="str">
        <f>IF(
AND(
Cartera1017[[#This Row],[DEVOLVER 27]]="NO",
NOT(ISBLANK(Cartera1017[[#This Row],[ESTADO NO DEVUELTOS 27]]))
),
"PRE",
"POST"
)</f>
        <v>PRE</v>
      </c>
      <c r="CE41" s="54" t="s">
        <v>509</v>
      </c>
      <c r="CF41" s="28" t="s">
        <v>48</v>
      </c>
      <c r="CG4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4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1" s="406">
        <f>Cartera1017[[#This Row],[Porcentaje de Avance]]</f>
        <v>1</v>
      </c>
      <c r="CK41" s="388">
        <f ca="1">IF(
   OR(
     Cartera1017[[#This Row],[Estado TI]]="09. Descartado",
     Cartera1017[[#This Row],[Comienzo Desarrollo]]="",
     Cartera1017[[#This Row],[Fin Producción]]=""
   ),
   "",
   Cartera1017[[#This Row],[% PLANIFICADO]]-Cartera1017[[#This Row],[% COMPLETADO]]
)</f>
        <v>0</v>
      </c>
      <c r="CL41" s="388">
        <f ca="1">IF(
   OR(
     Cartera1017[[#This Row],[Estado TI]]="09. Descartado",
     Cartera1017[[#This Row],[Comienzo Desarrollo]]="",
     Cartera1017[[#This Row],[Fin Producción]]="",
     Cartera1017[[#This Row],[% PLANIFICADO]]=0
   ),
   "",
   MIN(Cartera1017[[#This Row],[% COMPLETADO]]/Cartera1017[[#This Row],[% PLANIFICADO]],1.2)
)</f>
        <v>1</v>
      </c>
      <c r="CM41" s="377">
        <v>46037</v>
      </c>
      <c r="CN41" s="377">
        <v>46037</v>
      </c>
      <c r="CO41" s="377">
        <v>46044</v>
      </c>
      <c r="CP41" s="377">
        <v>46045</v>
      </c>
      <c r="CQ41" s="377">
        <v>46050</v>
      </c>
      <c r="CR41" s="377">
        <v>46051</v>
      </c>
      <c r="CS41" s="377">
        <v>46125</v>
      </c>
      <c r="CT41" s="44">
        <f>IF(Cartera1017[[#This Row],[Fin Desarrollo]]="",25,IFERROR(NETWORKDAYS(Cartera1017[[#This Row],[Comienzo Desarrollo]],Cartera1017[[#This Row],[Fin Desarrollo]],FERIADOS[Fecha]),""))</f>
        <v>6</v>
      </c>
      <c r="CU4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41" s="44">
        <f>IF(OR(Cartera1017[[#This Row],[Comienzo Desarrollo]]="",Cartera1017[[#This Row],[Fin Desarrollo]]=""),200,IFERROR(Cartera1017[[#This Row],[DURACIÓN DESARROLLO DIAS]]*VLOOKUP(Cartera1017[[#This Row],[ID Mantenimiento]],MANT_HORAS[],2,FALSE),200))</f>
        <v>200</v>
      </c>
      <c r="CW41" s="110"/>
      <c r="CX41" s="110" t="str">
        <f>VLOOKUP(Cartera1017[[#This Row],[Estado TI]],Definiciones!$A$549:$B$559,2,FALSE)</f>
        <v>4. PRODUCCIÓN</v>
      </c>
      <c r="CY41" s="28">
        <f ca="1">1-Cartera1017[[#This Row],[Porcentaje avanzado desarrollo]]</f>
        <v>0</v>
      </c>
      <c r="CZ4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v>
      </c>
      <c r="DA41" s="28">
        <f ca="1">MAX(0,Cartera1017[[#This Row],[DURACIÓN DESARROLLO DIAS]]-Cartera1017[[#This Row],[Dias avanzados]])</f>
        <v>0</v>
      </c>
      <c r="DB41" s="28">
        <f ca="1">Cartera1017[[#This Row],[Dias avanzados]]*IFERROR(VLOOKUP(Cartera1017[[#This Row],[ID Mantenimiento]],MANT_HORAS[],2,FALSE),8)</f>
        <v>48</v>
      </c>
      <c r="DC41" s="28">
        <f ca="1">Cartera1017[[#This Row],[Dias faltantes]]*IFERROR(VLOOKUP(Cartera1017[[#This Row],[ID Mantenimiento]],MANT_HORAS[],2,FALSE),8)</f>
        <v>0</v>
      </c>
      <c r="DD41" s="28" t="str">
        <f>IF(Cartera1017[[#This Row],[Fin Producción]]=0,"Por definir",CONCATENATE(YEAR(Cartera1017[[#This Row],[Fin Producción]]),"-",ROUNDUP(MONTH(Cartera1017[[#This Row],[Fin Producción]]),0)))</f>
        <v>2026-4</v>
      </c>
      <c r="DE41" s="18" t="s">
        <v>510</v>
      </c>
      <c r="DH41" s="565"/>
    </row>
    <row r="42" spans="1:112" s="28" customFormat="1" ht="44.25" hidden="1" customHeight="1">
      <c r="A42" s="229" t="s">
        <v>849</v>
      </c>
      <c r="B42" s="39">
        <v>2242</v>
      </c>
      <c r="C42" s="18" t="s">
        <v>485</v>
      </c>
      <c r="D42" s="39" t="s">
        <v>850</v>
      </c>
      <c r="E42" s="39" t="s">
        <v>851</v>
      </c>
      <c r="F42" s="60" t="s">
        <v>852</v>
      </c>
      <c r="G42" s="35" t="s">
        <v>853</v>
      </c>
      <c r="H42" s="39" t="s">
        <v>59</v>
      </c>
      <c r="I42" s="39" t="s">
        <v>854</v>
      </c>
      <c r="J42" s="39" t="s">
        <v>855</v>
      </c>
      <c r="K42" s="113">
        <v>45411</v>
      </c>
      <c r="L42" s="114" t="s">
        <v>856</v>
      </c>
      <c r="M42" s="114" t="s">
        <v>857</v>
      </c>
      <c r="N42" s="114"/>
      <c r="O42" s="39" t="s">
        <v>494</v>
      </c>
      <c r="P42" s="39" t="s">
        <v>495</v>
      </c>
      <c r="Q42" s="39" t="s">
        <v>496</v>
      </c>
      <c r="R42" s="39" t="s">
        <v>531</v>
      </c>
      <c r="S42" s="39"/>
      <c r="T42" s="39"/>
      <c r="U42" s="39"/>
      <c r="V42" s="39"/>
      <c r="W42" s="39"/>
      <c r="X42" s="39"/>
      <c r="Y42" s="122"/>
      <c r="Z42" s="39" t="s">
        <v>499</v>
      </c>
      <c r="AA42" s="113">
        <v>45434</v>
      </c>
      <c r="AB42" s="39" t="s">
        <v>533</v>
      </c>
      <c r="AC42" s="39" t="s">
        <v>558</v>
      </c>
      <c r="AD42" s="39" t="s">
        <v>858</v>
      </c>
      <c r="AE42" s="18" t="s">
        <v>47</v>
      </c>
      <c r="AF42" s="263" t="s">
        <v>53</v>
      </c>
      <c r="AG42" s="14" t="str">
        <f>VLOOKUP(AF42,Tabla3[[Estado Requerimiento]:[Macro estado]],2,FALSE)</f>
        <v>03. Culminado</v>
      </c>
      <c r="AH42" s="39"/>
      <c r="AI42" s="111">
        <v>45441</v>
      </c>
      <c r="AJ42" s="111"/>
      <c r="AK42" s="111">
        <v>45484</v>
      </c>
      <c r="AL42" s="111">
        <v>45992</v>
      </c>
      <c r="AM42" s="111">
        <v>46112</v>
      </c>
      <c r="AN42" s="111">
        <v>46007</v>
      </c>
      <c r="AO42" s="111">
        <v>46021</v>
      </c>
      <c r="AP42" s="81">
        <f t="shared" si="0"/>
        <v>46363.199999999997</v>
      </c>
      <c r="AQ42" s="111">
        <v>46029</v>
      </c>
      <c r="AR42" s="111">
        <v>46034</v>
      </c>
      <c r="AS42" s="81">
        <f t="shared" si="1"/>
        <v>46370.2</v>
      </c>
      <c r="AT42" s="35" t="s">
        <v>859</v>
      </c>
      <c r="AU42" s="44" t="str">
        <f>VLOOKUP(Cartera1017[[#This Row],[Gerencia]],tbGerencia[#All],3,FALSE)</f>
        <v>RRHH</v>
      </c>
      <c r="AV42" s="44" t="str">
        <f>IFERROR(VLOOKUP(Cartera1017[[#This Row],[Subgerencia]],Definiciones!$A$90:$B$144,2,FALSE),"")</f>
        <v>Compensaciones</v>
      </c>
      <c r="AW42" s="44" t="str">
        <f>IF(OR(LEN(Cartera1017[[#This Row],[Fecha de Solicitud]])=0,(Cartera1017[[#This Row],[Fecha de Solicitud]])="No definido"),"No definido",IF(YEAR(Cartera1017[[#This Row],[Fecha de Solicitud]])&lt;2023," &lt;  2023",TEXT(Cartera1017[[#This Row],[Fecha de Solicitud]],"yyyy-mm")))</f>
        <v>2024-04</v>
      </c>
      <c r="AX42" s="44" t="str">
        <f>IF(Cartera1017[[#This Row],[Fecha de Priorización Comité]]="","No definido",TEXT(Cartera1017[[#This Row],[Fecha de Priorización Comité]],"yyyy-mm"))</f>
        <v>2024-05</v>
      </c>
      <c r="AY42" s="44" t="str">
        <f>IF(Cartera1017[[#This Row],[Fecha Fin- Desarrollo]]="","No definido",TEXT(Cartera1017[[#This Row],[Fecha Fin- Desarrollo]],"yyyy-mm"))</f>
        <v>2025-12</v>
      </c>
      <c r="AZ42" s="44" t="str">
        <f>IF(Cartera1017[[#This Row],[Fecha Fin- Producción]]="","No definido",TEXT(Cartera1017[[#This Row],[Fecha Fin- Producción]],"yyyy-mm"))</f>
        <v>2026-01</v>
      </c>
      <c r="BA42" s="44" t="str">
        <f>IF(Cartera1017[[#This Row],[Fecha Fin-Planificada]]="","No definido",TEXT(Cartera1017[[#This Row],[Fecha Fin-Planificada]],"yyyy-mm"))</f>
        <v>2026-12</v>
      </c>
      <c r="BB42" s="33"/>
      <c r="BC42" s="66"/>
      <c r="BD42" s="66"/>
      <c r="BE42" s="66"/>
      <c r="BF42" s="386">
        <v>45434</v>
      </c>
      <c r="BG42" s="387" t="s">
        <v>504</v>
      </c>
      <c r="BH4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550</v>
      </c>
      <c r="BI42" s="90">
        <f>IF(ISNUMBER(Cartera1017[[#This Row],[Duracion en Dias]]),Cartera1017[[#This Row],[Duracion en Dias]]/30, "No Aplica")</f>
        <v>18.333333333333332</v>
      </c>
      <c r="BJ42" s="109" t="s">
        <v>860</v>
      </c>
      <c r="BK42" s="28" t="s">
        <v>506</v>
      </c>
      <c r="BL42" s="110" t="s">
        <v>536</v>
      </c>
      <c r="BM42" s="342">
        <v>46037.486770833333</v>
      </c>
      <c r="BN42" s="227"/>
      <c r="BO42" s="227"/>
      <c r="BP42" s="227"/>
      <c r="BQ4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2" s="14" t="str">
        <f>IFERROR(VLOOKUP(Cartera1017[[#This Row],[Aplicativo]],Tabla76[],2,FALSE),"Sin Aplicativo")</f>
        <v>BackOffice</v>
      </c>
      <c r="BS42" s="14" t="str">
        <f>IFERROR(VLOOKUP(Cartera1017[[#This Row],[Aplicativo]],Tabla76[],3,FALSE),"Sin Aplicativo")</f>
        <v>Otros Requerimientos</v>
      </c>
      <c r="BT42" s="400" t="s">
        <v>521</v>
      </c>
      <c r="BU42" s="104"/>
      <c r="BV42" s="104" t="s">
        <v>861</v>
      </c>
      <c r="BW4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4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2" s="97" t="str">
        <f ca="1">IF(Cartera1017[[#This Row],[Fecha Fin2]]="","No definido",CONCATENATE(TEXT(Cartera1017[[#This Row],[Fecha Fin2]],"mmm")," ",YEAR(Cartera1017[[#This Row],[Fecha Fin2]])))</f>
        <v>Ene 2026</v>
      </c>
      <c r="BZ42" s="28">
        <v>2025</v>
      </c>
      <c r="CA42" s="48" t="str">
        <f>IF(Cartera1017[[#This Row],[Estado TI]] = "08. Producción Finalizada","Culminado",IF(Cartera1017[[#This Row],[Estado TI]]= "09. Descartado","Descartado","Activos"))</f>
        <v>Culminado</v>
      </c>
      <c r="CC4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42" s="54" t="str">
        <f>IF(
AND(
Cartera1017[[#This Row],[DEVOLVER 27]]="NO",
NOT(ISBLANK(Cartera1017[[#This Row],[ESTADO NO DEVUELTOS 27]]))
),
"PRE",
"POST"
)</f>
        <v>POST</v>
      </c>
      <c r="CE42" s="54" t="s">
        <v>523</v>
      </c>
      <c r="CF42" s="28" t="s">
        <v>524</v>
      </c>
      <c r="CG4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4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2" s="406">
        <f>Cartera1017[[#This Row],[Porcentaje de Avance]]</f>
        <v>1</v>
      </c>
      <c r="CK42" s="388">
        <f ca="1">IF(
   OR(
     Cartera1017[[#This Row],[Estado TI]]="09. Descartado",
     Cartera1017[[#This Row],[Comienzo Desarrollo]]="",
     Cartera1017[[#This Row],[Fin Producción]]=""
   ),
   "",
   Cartera1017[[#This Row],[% PLANIFICADO]]-Cartera1017[[#This Row],[% COMPLETADO]]
)</f>
        <v>0</v>
      </c>
      <c r="CL42" s="388">
        <f ca="1">IF(
   OR(
     Cartera1017[[#This Row],[Estado TI]]="09. Descartado",
     Cartera1017[[#This Row],[Comienzo Desarrollo]]="",
     Cartera1017[[#This Row],[Fin Producción]]="",
     Cartera1017[[#This Row],[% PLANIFICADO]]=0
   ),
   "",
   MIN(Cartera1017[[#This Row],[% COMPLETADO]]/Cartera1017[[#This Row],[% PLANIFICADO]],1.2)
)</f>
        <v>1</v>
      </c>
      <c r="CM42" s="377">
        <v>45484</v>
      </c>
      <c r="CN42" s="377">
        <v>45484</v>
      </c>
      <c r="CO42" s="377">
        <v>45992</v>
      </c>
      <c r="CP42" s="377">
        <v>46007</v>
      </c>
      <c r="CQ42" s="377">
        <v>46021</v>
      </c>
      <c r="CR42" s="377">
        <v>46029</v>
      </c>
      <c r="CS42" s="377">
        <v>46045</v>
      </c>
      <c r="CT42" s="44">
        <f>IF(Cartera1017[[#This Row],[Fin Desarrollo]]="",25,IFERROR(NETWORKDAYS(Cartera1017[[#This Row],[Comienzo Desarrollo]],Cartera1017[[#This Row],[Fin Desarrollo]],FERIADOS[Fecha]),""))</f>
        <v>345</v>
      </c>
      <c r="CU4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42" s="44">
        <f>IF(OR(Cartera1017[[#This Row],[Comienzo Desarrollo]]="",Cartera1017[[#This Row],[Fin Desarrollo]]=""),200,IFERROR(Cartera1017[[#This Row],[DURACIÓN DESARROLLO DIAS]]*VLOOKUP(Cartera1017[[#This Row],[ID Mantenimiento]],MANT_HORAS[],2,FALSE),200))</f>
        <v>200</v>
      </c>
      <c r="CW42" s="110"/>
      <c r="CX42" s="110" t="str">
        <f>VLOOKUP(Cartera1017[[#This Row],[Estado TI]],Definiciones!$A$549:$B$559,2,FALSE)</f>
        <v>4. PRODUCCIÓN</v>
      </c>
      <c r="CY42" s="28">
        <f ca="1">1-Cartera1017[[#This Row],[Porcentaje avanzado desarrollo]]</f>
        <v>0</v>
      </c>
      <c r="CZ4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345</v>
      </c>
      <c r="DA42" s="28">
        <f ca="1">MAX(0,Cartera1017[[#This Row],[DURACIÓN DESARROLLO DIAS]]-Cartera1017[[#This Row],[Dias avanzados]])</f>
        <v>0</v>
      </c>
      <c r="DB42" s="28">
        <f ca="1">Cartera1017[[#This Row],[Dias avanzados]]*IFERROR(VLOOKUP(Cartera1017[[#This Row],[ID Mantenimiento]],MANT_HORAS[],2,FALSE),8)</f>
        <v>2760</v>
      </c>
      <c r="DC42" s="28">
        <f ca="1">Cartera1017[[#This Row],[Dias faltantes]]*IFERROR(VLOOKUP(Cartera1017[[#This Row],[ID Mantenimiento]],MANT_HORAS[],2,FALSE),8)</f>
        <v>0</v>
      </c>
      <c r="DD42" s="28" t="str">
        <f>IF(Cartera1017[[#This Row],[Fin Producción]]=0,"Por definir",CONCATENATE(YEAR(Cartera1017[[#This Row],[Fin Producción]]),"-",ROUNDUP(MONTH(Cartera1017[[#This Row],[Fin Producción]]),0)))</f>
        <v>2026-1</v>
      </c>
      <c r="DE42" s="18" t="s">
        <v>510</v>
      </c>
      <c r="DH42" s="565"/>
    </row>
    <row r="43" spans="1:112" s="28" customFormat="1" ht="44.25" hidden="1" customHeight="1">
      <c r="A43" s="50" t="s">
        <v>862</v>
      </c>
      <c r="B43" s="18">
        <v>2268</v>
      </c>
      <c r="C43" s="18" t="s">
        <v>485</v>
      </c>
      <c r="D43" s="18" t="s">
        <v>863</v>
      </c>
      <c r="E43" s="18" t="s">
        <v>864</v>
      </c>
      <c r="F43" s="33" t="s">
        <v>865</v>
      </c>
      <c r="G43" s="19" t="s">
        <v>866</v>
      </c>
      <c r="H43" s="18" t="s">
        <v>62</v>
      </c>
      <c r="I43" s="18" t="s">
        <v>867</v>
      </c>
      <c r="J43" s="18" t="s">
        <v>868</v>
      </c>
      <c r="K43" s="20">
        <v>45432</v>
      </c>
      <c r="L43" s="43" t="s">
        <v>869</v>
      </c>
      <c r="M43" s="43" t="s">
        <v>870</v>
      </c>
      <c r="N43" s="114" t="s">
        <v>871</v>
      </c>
      <c r="O43" s="18" t="s">
        <v>494</v>
      </c>
      <c r="P43" s="18" t="s">
        <v>495</v>
      </c>
      <c r="Q43" s="18" t="s">
        <v>496</v>
      </c>
      <c r="R43" s="18" t="s">
        <v>780</v>
      </c>
      <c r="S43" s="18" t="s">
        <v>780</v>
      </c>
      <c r="T43" s="18" t="s">
        <v>781</v>
      </c>
      <c r="U43" s="18" t="s">
        <v>872</v>
      </c>
      <c r="V43" s="39" t="s">
        <v>873</v>
      </c>
      <c r="W43" s="114" t="s">
        <v>874</v>
      </c>
      <c r="X43" s="39" t="s">
        <v>875</v>
      </c>
      <c r="Y43" s="80">
        <v>45625</v>
      </c>
      <c r="Z43" s="18" t="s">
        <v>499</v>
      </c>
      <c r="AA43" s="20">
        <v>45434</v>
      </c>
      <c r="AB43" s="18" t="s">
        <v>533</v>
      </c>
      <c r="AC43" s="18" t="s">
        <v>570</v>
      </c>
      <c r="AD43" s="18" t="s">
        <v>76</v>
      </c>
      <c r="AE43" s="18" t="s">
        <v>27</v>
      </c>
      <c r="AF43" s="18" t="s">
        <v>53</v>
      </c>
      <c r="AG43" s="14" t="str">
        <f>VLOOKUP(AF43,Tabla3[[Estado Requerimiento]:[Macro estado]],2,FALSE)</f>
        <v>03. Culminado</v>
      </c>
      <c r="AH43" s="18"/>
      <c r="AI43" s="80">
        <v>45436</v>
      </c>
      <c r="AJ43" s="80"/>
      <c r="AK43" s="80">
        <v>45483</v>
      </c>
      <c r="AL43" s="80">
        <v>45782</v>
      </c>
      <c r="AM43" s="80">
        <v>45796</v>
      </c>
      <c r="AN43" s="80">
        <v>45798</v>
      </c>
      <c r="AO43" s="80">
        <v>45842</v>
      </c>
      <c r="AP43" s="81">
        <f t="shared" si="0"/>
        <v>45921.2</v>
      </c>
      <c r="AQ43" s="80">
        <v>45887</v>
      </c>
      <c r="AR43" s="80">
        <v>46034</v>
      </c>
      <c r="AS43" s="81">
        <f t="shared" si="1"/>
        <v>45928.2</v>
      </c>
      <c r="AT43" s="19" t="s">
        <v>876</v>
      </c>
      <c r="AU43" s="44" t="str">
        <f>VLOOKUP(Cartera1017[[#This Row],[Gerencia]],tbGerencia[#All],3,FALSE)</f>
        <v>Logística</v>
      </c>
      <c r="AV43" s="44" t="str">
        <f>IFERROR(VLOOKUP(Cartera1017[[#This Row],[Subgerencia]],Definiciones!$A$90:$B$144,2,FALSE),"")</f>
        <v>Compras</v>
      </c>
      <c r="AW43" s="44" t="str">
        <f>IF(OR(LEN(Cartera1017[[#This Row],[Fecha de Solicitud]])=0,(Cartera1017[[#This Row],[Fecha de Solicitud]])="No definido"),"No definido",IF(YEAR(Cartera1017[[#This Row],[Fecha de Solicitud]])&lt;2023," &lt;  2023",TEXT(Cartera1017[[#This Row],[Fecha de Solicitud]],"yyyy-mm")))</f>
        <v>2024-05</v>
      </c>
      <c r="AX43" s="44" t="str">
        <f>IF(Cartera1017[[#This Row],[Fecha de Priorización Comité]]="","No definido",TEXT(Cartera1017[[#This Row],[Fecha de Priorización Comité]],"yyyy-mm"))</f>
        <v>2024-05</v>
      </c>
      <c r="AY43" s="44" t="str">
        <f>IF(Cartera1017[[#This Row],[Fecha Fin- Desarrollo]]="","No definido",TEXT(Cartera1017[[#This Row],[Fecha Fin- Desarrollo]],"yyyy-mm"))</f>
        <v>2025-05</v>
      </c>
      <c r="AZ43" s="44" t="str">
        <f>IF(Cartera1017[[#This Row],[Fecha Fin- Producción]]="","No definido",TEXT(Cartera1017[[#This Row],[Fecha Fin- Producción]],"yyyy-mm"))</f>
        <v>2026-01</v>
      </c>
      <c r="BA43" s="44" t="str">
        <f>IF(Cartera1017[[#This Row],[Fecha Fin-Planificada]]="","No definido",TEXT(Cartera1017[[#This Row],[Fecha Fin-Planificada]],"yyyy-mm"))</f>
        <v>2025-09</v>
      </c>
      <c r="BB43" s="33" t="s">
        <v>572</v>
      </c>
      <c r="BC43" s="66">
        <v>45475</v>
      </c>
      <c r="BD43" s="66">
        <v>45796</v>
      </c>
      <c r="BE43" s="66">
        <v>45796</v>
      </c>
      <c r="BF43" s="386">
        <v>45434</v>
      </c>
      <c r="BG43" s="387" t="s">
        <v>504</v>
      </c>
      <c r="BH4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551</v>
      </c>
      <c r="BI43" s="90">
        <f>IF(ISNUMBER(Cartera1017[[#This Row],[Duracion en Dias]]),Cartera1017[[#This Row],[Duracion en Dias]]/30, "No Aplica")</f>
        <v>18.366666666666667</v>
      </c>
      <c r="BJ43" s="109" t="s">
        <v>877</v>
      </c>
      <c r="BK43" s="28" t="s">
        <v>506</v>
      </c>
      <c r="BL43" s="110" t="s">
        <v>536</v>
      </c>
      <c r="BM43" s="342">
        <v>46034.665173611109</v>
      </c>
      <c r="BN43" s="227" t="s">
        <v>786</v>
      </c>
      <c r="BO43" s="227" t="s">
        <v>878</v>
      </c>
      <c r="BP43" s="227"/>
      <c r="BQ4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3" s="14" t="str">
        <f>IFERROR(VLOOKUP(Cartera1017[[#This Row],[Aplicativo]],Tabla76[],2,FALSE),"Sin Aplicativo")</f>
        <v>Oracle</v>
      </c>
      <c r="BS43" s="14" t="str">
        <f>IFERROR(VLOOKUP(Cartera1017[[#This Row],[Aplicativo]],Tabla76[],3,FALSE),"Sin Aplicativo")</f>
        <v>Otros Requerimientos</v>
      </c>
      <c r="BT43" s="400">
        <v>45748</v>
      </c>
      <c r="BU43" s="272">
        <v>45748</v>
      </c>
      <c r="BV43" s="28" t="s">
        <v>879</v>
      </c>
      <c r="BW4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4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3" s="97" t="str">
        <f ca="1">IF(Cartera1017[[#This Row],[Fecha Fin2]]="","No definido",CONCATENATE(TEXT(Cartera1017[[#This Row],[Fecha Fin2]],"mmm")," ",YEAR(Cartera1017[[#This Row],[Fecha Fin2]])))</f>
        <v>Ene 2026</v>
      </c>
      <c r="BZ43" s="28">
        <v>2025</v>
      </c>
      <c r="CA43" s="48" t="str">
        <f>IF(Cartera1017[[#This Row],[Estado TI]] = "08. Producción Finalizada","Culminado",IF(Cartera1017[[#This Row],[Estado TI]]= "09. Descartado","Descartado","Activos"))</f>
        <v>Culminado</v>
      </c>
      <c r="CC4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43" s="54" t="str">
        <f>IF(
AND(
Cartera1017[[#This Row],[DEVOLVER 27]]="NO",
NOT(ISBLANK(Cartera1017[[#This Row],[ESTADO NO DEVUELTOS 27]]))
),
"PRE",
"POST"
)</f>
        <v>PRE</v>
      </c>
      <c r="CE43" s="54" t="s">
        <v>509</v>
      </c>
      <c r="CF43" s="28" t="s">
        <v>35</v>
      </c>
      <c r="CG4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4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3" s="406">
        <f>Cartera1017[[#This Row],[Porcentaje de Avance]]</f>
        <v>1</v>
      </c>
      <c r="CK43" s="388">
        <f ca="1">IF(
   OR(
     Cartera1017[[#This Row],[Estado TI]]="09. Descartado",
     Cartera1017[[#This Row],[Comienzo Desarrollo]]="",
     Cartera1017[[#This Row],[Fin Producción]]=""
   ),
   "",
   Cartera1017[[#This Row],[% PLANIFICADO]]-Cartera1017[[#This Row],[% COMPLETADO]]
)</f>
        <v>0</v>
      </c>
      <c r="CL43" s="388">
        <f ca="1">IF(
   OR(
     Cartera1017[[#This Row],[Estado TI]]="09. Descartado",
     Cartera1017[[#This Row],[Comienzo Desarrollo]]="",
     Cartera1017[[#This Row],[Fin Producción]]="",
     Cartera1017[[#This Row],[% PLANIFICADO]]=0
   ),
   "",
   MIN(Cartera1017[[#This Row],[% COMPLETADO]]/Cartera1017[[#This Row],[% PLANIFICADO]],1.2)
)</f>
        <v>1</v>
      </c>
      <c r="CM43" s="377">
        <v>45483</v>
      </c>
      <c r="CN43" s="377">
        <v>45483</v>
      </c>
      <c r="CO43" s="377">
        <v>45782</v>
      </c>
      <c r="CP43" s="377">
        <v>45798</v>
      </c>
      <c r="CQ43" s="377">
        <v>45842</v>
      </c>
      <c r="CR43" s="377">
        <v>45887</v>
      </c>
      <c r="CS43" s="377">
        <v>46034</v>
      </c>
      <c r="CT43" s="44">
        <f>IF(Cartera1017[[#This Row],[Fin Desarrollo]]="",25,IFERROR(NETWORKDAYS(Cartera1017[[#This Row],[Comienzo Desarrollo]],Cartera1017[[#This Row],[Fin Desarrollo]],FERIADOS[Fecha]),""))</f>
        <v>199</v>
      </c>
      <c r="CU4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43" s="44">
        <f>IF(OR(Cartera1017[[#This Row],[Comienzo Desarrollo]]="",Cartera1017[[#This Row],[Fin Desarrollo]]=""),200,IFERROR(Cartera1017[[#This Row],[DURACIÓN DESARROLLO DIAS]]*VLOOKUP(Cartera1017[[#This Row],[ID Mantenimiento]],MANT_HORAS[],2,FALSE),200))</f>
        <v>200</v>
      </c>
      <c r="CW43" s="110"/>
      <c r="CX43" s="110" t="str">
        <f>VLOOKUP(Cartera1017[[#This Row],[Estado TI]],Definiciones!$A$549:$B$559,2,FALSE)</f>
        <v>4. PRODUCCIÓN</v>
      </c>
      <c r="CY43" s="33">
        <f ca="1">1-Cartera1017[[#This Row],[Porcentaje avanzado desarrollo]]</f>
        <v>0</v>
      </c>
      <c r="CZ43" s="33">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199</v>
      </c>
      <c r="DA43" s="33">
        <f ca="1">MAX(0,Cartera1017[[#This Row],[DURACIÓN DESARROLLO DIAS]]-Cartera1017[[#This Row],[Dias avanzados]])</f>
        <v>0</v>
      </c>
      <c r="DB43" s="33">
        <f ca="1">Cartera1017[[#This Row],[Dias avanzados]]*IFERROR(VLOOKUP(Cartera1017[[#This Row],[ID Mantenimiento]],MANT_HORAS[],2,FALSE),8)</f>
        <v>1592</v>
      </c>
      <c r="DC43" s="33">
        <f ca="1">Cartera1017[[#This Row],[Dias faltantes]]*IFERROR(VLOOKUP(Cartera1017[[#This Row],[ID Mantenimiento]],MANT_HORAS[],2,FALSE),8)</f>
        <v>0</v>
      </c>
      <c r="DD43" s="33" t="str">
        <f>IF(Cartera1017[[#This Row],[Fin Producción]]=0,"Por definir",CONCATENATE(YEAR(Cartera1017[[#This Row],[Fin Producción]]),"-",ROUNDUP(MONTH(Cartera1017[[#This Row],[Fin Producción]]),0)))</f>
        <v>2026-1</v>
      </c>
      <c r="DE43" s="18" t="s">
        <v>510</v>
      </c>
      <c r="DH43" s="565"/>
    </row>
    <row r="44" spans="1:112" s="28" customFormat="1" ht="44.25" hidden="1" customHeight="1">
      <c r="A44" s="229" t="s">
        <v>880</v>
      </c>
      <c r="B44" s="18">
        <v>2289</v>
      </c>
      <c r="C44" s="18" t="s">
        <v>485</v>
      </c>
      <c r="D44" s="18" t="s">
        <v>881</v>
      </c>
      <c r="E44" s="18" t="s">
        <v>119</v>
      </c>
      <c r="F44" s="33" t="s">
        <v>120</v>
      </c>
      <c r="G44" s="19" t="s">
        <v>882</v>
      </c>
      <c r="H44" s="18" t="s">
        <v>40</v>
      </c>
      <c r="I44" s="18" t="s">
        <v>577</v>
      </c>
      <c r="J44" s="18" t="s">
        <v>578</v>
      </c>
      <c r="K44" s="20">
        <v>45432</v>
      </c>
      <c r="L44" s="43" t="s">
        <v>883</v>
      </c>
      <c r="M44" s="43" t="s">
        <v>579</v>
      </c>
      <c r="N44" s="43"/>
      <c r="O44" s="18" t="s">
        <v>494</v>
      </c>
      <c r="P44" s="18" t="s">
        <v>495</v>
      </c>
      <c r="Q44" s="18" t="s">
        <v>496</v>
      </c>
      <c r="R44" s="18" t="s">
        <v>497</v>
      </c>
      <c r="S44" s="18"/>
      <c r="T44" s="18" t="s">
        <v>821</v>
      </c>
      <c r="U44" s="18" t="s">
        <v>495</v>
      </c>
      <c r="V44" s="18" t="s">
        <v>495</v>
      </c>
      <c r="W44" s="18" t="s">
        <v>495</v>
      </c>
      <c r="X44" s="18" t="s">
        <v>495</v>
      </c>
      <c r="Y44" s="80" t="s">
        <v>495</v>
      </c>
      <c r="Z44" s="18" t="s">
        <v>499</v>
      </c>
      <c r="AA44" s="20">
        <v>45470</v>
      </c>
      <c r="AB44" s="18" t="s">
        <v>500</v>
      </c>
      <c r="AC44" s="18" t="s">
        <v>570</v>
      </c>
      <c r="AD44" s="18" t="s">
        <v>43</v>
      </c>
      <c r="AE44" s="419" t="s">
        <v>41</v>
      </c>
      <c r="AF44" s="18" t="s">
        <v>48</v>
      </c>
      <c r="AG44" s="14" t="str">
        <f>VLOOKUP(AF44,Tabla3[[Estado Requerimiento]:[Macro estado]],2,FALSE)</f>
        <v>02. En Proceso</v>
      </c>
      <c r="AH44" s="18"/>
      <c r="AI44" s="80">
        <v>45443</v>
      </c>
      <c r="AJ44" s="80">
        <v>45964</v>
      </c>
      <c r="AK44" s="80"/>
      <c r="AL44" s="80"/>
      <c r="AM44" s="80"/>
      <c r="AN44" s="80"/>
      <c r="AO44" s="80"/>
      <c r="AP44" s="81" t="str">
        <f t="shared" si="0"/>
        <v/>
      </c>
      <c r="AQ44" s="80"/>
      <c r="AR44" s="80"/>
      <c r="AS44" s="201" t="str">
        <f t="shared" si="1"/>
        <v/>
      </c>
      <c r="AT44" s="19" t="s">
        <v>884</v>
      </c>
      <c r="AU44" s="14" t="str">
        <f>VLOOKUP(Cartera1017[[#This Row],[Gerencia]],tbGerencia[#All],3,FALSE)</f>
        <v>Operac.</v>
      </c>
      <c r="AV44" s="14" t="str">
        <f>IFERROR(VLOOKUP(Cartera1017[[#This Row],[Subgerencia]],Definiciones!$A$90:$B$144,2,FALSE),"")</f>
        <v>CaptacionesPagaduría</v>
      </c>
      <c r="AW44" s="14" t="str">
        <f>IF(OR(LEN(Cartera1017[[#This Row],[Fecha de Solicitud]])=0,(Cartera1017[[#This Row],[Fecha de Solicitud]])="No definido"),"No definido",IF(YEAR(Cartera1017[[#This Row],[Fecha de Solicitud]])&lt;2023," &lt;  2023",TEXT(Cartera1017[[#This Row],[Fecha de Solicitud]],"yyyy-mm")))</f>
        <v>2024-05</v>
      </c>
      <c r="AX44" s="14" t="str">
        <f>IF(Cartera1017[[#This Row],[Fecha de Priorización Comité]]="","No definido",TEXT(Cartera1017[[#This Row],[Fecha de Priorización Comité]],"yyyy-mm"))</f>
        <v>2024-06</v>
      </c>
      <c r="AY44" s="14" t="str">
        <f>IF(Cartera1017[[#This Row],[Fecha Fin- Desarrollo]]="","No definido",TEXT(Cartera1017[[#This Row],[Fecha Fin- Desarrollo]],"yyyy-mm"))</f>
        <v>No definido</v>
      </c>
      <c r="AZ44" s="14" t="str">
        <f>IF(Cartera1017[[#This Row],[Fecha Fin- Producción]]="","No definido",TEXT(Cartera1017[[#This Row],[Fecha Fin- Producción]],"yyyy-mm"))</f>
        <v>No definido</v>
      </c>
      <c r="BA44" s="14" t="str">
        <f>IF(Cartera1017[[#This Row],[Fecha Fin-Planificada]]="","No definido",TEXT(Cartera1017[[#This Row],[Fecha Fin-Planificada]],"yyyy-mm"))</f>
        <v>No definido</v>
      </c>
      <c r="BB44" s="33" t="s">
        <v>772</v>
      </c>
      <c r="BC44" s="66">
        <v>45532</v>
      </c>
      <c r="BD44" s="66">
        <v>45869</v>
      </c>
      <c r="BE44" s="66"/>
      <c r="BF44" s="386">
        <v>45470</v>
      </c>
      <c r="BG44" s="404" t="s">
        <v>504</v>
      </c>
      <c r="BH44" s="4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44" s="148" t="str">
        <f>IF(ISNUMBER(Cartera1017[[#This Row],[Duracion en Dias]]),Cartera1017[[#This Row],[Duracion en Dias]]/30, "No Aplica")</f>
        <v>No Aplica</v>
      </c>
      <c r="BJ44" s="43" t="s">
        <v>885</v>
      </c>
      <c r="BK44" s="33" t="s">
        <v>506</v>
      </c>
      <c r="BL44" s="110" t="s">
        <v>581</v>
      </c>
      <c r="BM44" s="80">
        <v>46134.833090277774</v>
      </c>
      <c r="BN44" s="227"/>
      <c r="BO44" s="227"/>
      <c r="BP44" s="227"/>
      <c r="BQ4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44" s="14" t="str">
        <f>IFERROR(VLOOKUP(Cartera1017[[#This Row],[Aplicativo]],Tabla76[],2,FALSE),"Sin Aplicativo")</f>
        <v>Clientes (BDUC)</v>
      </c>
      <c r="BS44" s="14" t="str">
        <f>IFERROR(VLOOKUP(Cartera1017[[#This Row],[Aplicativo]],Tabla76[],3,FALSE),"Sin Aplicativo")</f>
        <v>Canales Presenciales</v>
      </c>
      <c r="BT44" s="405">
        <v>45778</v>
      </c>
      <c r="BU44" s="143">
        <v>45778</v>
      </c>
      <c r="BV44" s="33" t="s">
        <v>886</v>
      </c>
      <c r="BW44" s="63">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44" s="4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44" s="63" t="str">
        <f ca="1">IF(Cartera1017[[#This Row],[Fecha Fin2]]="","No definido",CONCATENATE(TEXT(Cartera1017[[#This Row],[Fecha Fin2]],"mmm")," ",YEAR(Cartera1017[[#This Row],[Fecha Fin2]])))</f>
        <v>May 2025</v>
      </c>
      <c r="BZ44" s="33">
        <v>2025</v>
      </c>
      <c r="CA44" s="49" t="str">
        <f>IF(Cartera1017[[#This Row],[Estado TI]] = "08. Producción Finalizada","Culminado",IF(Cartera1017[[#This Row],[Estado TI]]= "09. Descartado","Descartado","Activos"))</f>
        <v>Activos</v>
      </c>
      <c r="CB44" s="33"/>
      <c r="CC4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44" s="18" t="str">
        <f>IF(
AND(
Cartera1017[[#This Row],[DEVOLVER 27]]="NO",
NOT(ISBLANK(Cartera1017[[#This Row],[ESTADO NO DEVUELTOS 27]]))
),
"PRE",
"POST"
)</f>
        <v>PRE</v>
      </c>
      <c r="CE44" s="18" t="s">
        <v>509</v>
      </c>
      <c r="CF44" s="33" t="s">
        <v>48</v>
      </c>
      <c r="CG44" s="1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4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44" s="389">
        <v>0.45</v>
      </c>
      <c r="CJ44" s="406">
        <f>Cartera1017[[#This Row],[Porcentaje de Avance]]</f>
        <v>0.45</v>
      </c>
      <c r="CK44" s="406">
        <f>IF(
   OR(
     Cartera1017[[#This Row],[Estado TI]]="09. Descartado",
     Cartera1017[[#This Row],[Comienzo Desarrollo]]="",
     Cartera1017[[#This Row],[Fin Producción]]=""
   ),
   "",
   Cartera1017[[#This Row],[% PLANIFICADO]]-Cartera1017[[#This Row],[% COMPLETADO]]
)</f>
        <v>0</v>
      </c>
      <c r="CL44" s="406">
        <f>IF(
   OR(
     Cartera1017[[#This Row],[Estado TI]]="09. Descartado",
     Cartera1017[[#This Row],[Comienzo Desarrollo]]="",
     Cartera1017[[#This Row],[Fin Producción]]="",
     Cartera1017[[#This Row],[% PLANIFICADO]]=0
   ),
   "",
   MIN(Cartera1017[[#This Row],[% COMPLETADO]]/Cartera1017[[#This Row],[% PLANIFICADO]],1.2)
)</f>
        <v>1</v>
      </c>
      <c r="CM44" s="20">
        <v>45964</v>
      </c>
      <c r="CN44" s="20">
        <v>46083</v>
      </c>
      <c r="CO44" s="20">
        <v>46112</v>
      </c>
      <c r="CP44" s="20">
        <v>46161</v>
      </c>
      <c r="CQ44" s="20">
        <v>46192</v>
      </c>
      <c r="CR44" s="20">
        <v>46195</v>
      </c>
      <c r="CS44" s="20">
        <v>46199</v>
      </c>
      <c r="CT44" s="14">
        <f>IF(Cartera1017[[#This Row],[Fin Desarrollo]]="",25,IFERROR(NETWORKDAYS(Cartera1017[[#This Row],[Comienzo Desarrollo]],Cartera1017[[#This Row],[Fin Desarrollo]],FERIADOS[Fecha]),""))</f>
        <v>22</v>
      </c>
      <c r="CU44" s="1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44" s="14">
        <f>IF(OR(Cartera1017[[#This Row],[Comienzo Desarrollo]]="",Cartera1017[[#This Row],[Fin Desarrollo]]=""),200,IFERROR(Cartera1017[[#This Row],[DURACIÓN DESARROLLO DIAS]]*VLOOKUP(Cartera1017[[#This Row],[ID Mantenimiento]],MANT_HORAS[],2,FALSE),200))</f>
        <v>25.142857142857142</v>
      </c>
      <c r="CW44" s="108"/>
      <c r="CX44" s="110" t="str">
        <f>VLOOKUP(Cartera1017[[#This Row],[Estado TI]],Definiciones!$A$549:$B$559,2,FALSE)</f>
        <v>1. DESARROLLO</v>
      </c>
      <c r="CY44" s="28">
        <f ca="1">1-Cartera1017[[#This Row],[Porcentaje avanzado desarrollo]]</f>
        <v>0</v>
      </c>
      <c r="CZ4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v>
      </c>
      <c r="DA44" s="28">
        <f ca="1">MAX(0,Cartera1017[[#This Row],[DURACIÓN DESARROLLO DIAS]]-Cartera1017[[#This Row],[Dias avanzados]])</f>
        <v>0</v>
      </c>
      <c r="DB44" s="28">
        <f ca="1">Cartera1017[[#This Row],[Dias avanzados]]*IFERROR(VLOOKUP(Cartera1017[[#This Row],[ID Mantenimiento]],MANT_HORAS[],2,FALSE),8)</f>
        <v>25.142857142857142</v>
      </c>
      <c r="DC44" s="28">
        <f ca="1">Cartera1017[[#This Row],[Dias faltantes]]*IFERROR(VLOOKUP(Cartera1017[[#This Row],[ID Mantenimiento]],MANT_HORAS[],2,FALSE),8)</f>
        <v>0</v>
      </c>
      <c r="DD44" s="28" t="str">
        <f>IF(Cartera1017[[#This Row],[Fin Producción]]=0,"Por definir",CONCATENATE(YEAR(Cartera1017[[#This Row],[Fin Producción]]),"-",ROUNDUP(MONTH(Cartera1017[[#This Row],[Fin Producción]]),0)))</f>
        <v>2026-6</v>
      </c>
      <c r="DE44" s="18" t="s">
        <v>510</v>
      </c>
      <c r="DH44" s="565"/>
    </row>
    <row r="45" spans="1:112" s="28" customFormat="1" ht="44.25" hidden="1" customHeight="1">
      <c r="A45" s="229" t="s">
        <v>887</v>
      </c>
      <c r="B45" s="18">
        <v>2290</v>
      </c>
      <c r="C45" s="18" t="s">
        <v>485</v>
      </c>
      <c r="D45" s="18" t="s">
        <v>888</v>
      </c>
      <c r="E45" s="18" t="s">
        <v>121</v>
      </c>
      <c r="F45" s="33" t="s">
        <v>122</v>
      </c>
      <c r="G45" s="19" t="s">
        <v>122</v>
      </c>
      <c r="H45" s="18" t="s">
        <v>40</v>
      </c>
      <c r="I45" s="263" t="s">
        <v>577</v>
      </c>
      <c r="J45" s="18" t="s">
        <v>578</v>
      </c>
      <c r="K45" s="20">
        <v>45434</v>
      </c>
      <c r="L45" s="43" t="s">
        <v>889</v>
      </c>
      <c r="M45" s="43" t="s">
        <v>890</v>
      </c>
      <c r="N45" s="43" t="s">
        <v>891</v>
      </c>
      <c r="O45" s="18" t="s">
        <v>494</v>
      </c>
      <c r="P45" s="18" t="s">
        <v>549</v>
      </c>
      <c r="Q45" s="18" t="s">
        <v>496</v>
      </c>
      <c r="R45" s="18" t="s">
        <v>780</v>
      </c>
      <c r="S45" s="18" t="s">
        <v>780</v>
      </c>
      <c r="T45" s="18" t="s">
        <v>892</v>
      </c>
      <c r="U45" s="18" t="s">
        <v>893</v>
      </c>
      <c r="V45" s="18" t="s">
        <v>894</v>
      </c>
      <c r="W45" s="18" t="s">
        <v>895</v>
      </c>
      <c r="X45" s="18" t="s">
        <v>896</v>
      </c>
      <c r="Y45" s="80">
        <v>45450</v>
      </c>
      <c r="Z45" s="18" t="s">
        <v>499</v>
      </c>
      <c r="AA45" s="266">
        <v>45470</v>
      </c>
      <c r="AB45" s="18" t="s">
        <v>500</v>
      </c>
      <c r="AC45" s="18" t="s">
        <v>501</v>
      </c>
      <c r="AD45" s="18" t="s">
        <v>123</v>
      </c>
      <c r="AE45" s="18" t="s">
        <v>41</v>
      </c>
      <c r="AF45" s="18" t="s">
        <v>53</v>
      </c>
      <c r="AG45" s="14" t="str">
        <f>VLOOKUP(AF45,Tabla3[[Estado Requerimiento]:[Macro estado]],2,FALSE)</f>
        <v>03. Culminado</v>
      </c>
      <c r="AH45" s="18"/>
      <c r="AI45" s="80">
        <v>45453</v>
      </c>
      <c r="AJ45" s="80"/>
      <c r="AK45" s="80">
        <v>45468</v>
      </c>
      <c r="AL45" s="80">
        <v>45708</v>
      </c>
      <c r="AM45" s="80">
        <v>45617</v>
      </c>
      <c r="AN45" s="80">
        <v>45714</v>
      </c>
      <c r="AO45" s="80">
        <v>45763</v>
      </c>
      <c r="AP45" s="81">
        <f t="shared" si="0"/>
        <v>45676.6</v>
      </c>
      <c r="AQ45" s="80">
        <v>46050</v>
      </c>
      <c r="AR45" s="80">
        <v>46100</v>
      </c>
      <c r="AS45" s="81">
        <f t="shared" si="1"/>
        <v>45683.6</v>
      </c>
      <c r="AT45" s="19" t="s">
        <v>897</v>
      </c>
      <c r="AU45" s="14" t="str">
        <f>VLOOKUP(Cartera1017[[#This Row],[Gerencia]],tbGerencia[#All],3,FALSE)</f>
        <v>Operac.</v>
      </c>
      <c r="AV45" s="14" t="str">
        <f>IFERROR(VLOOKUP(Cartera1017[[#This Row],[Subgerencia]],Definiciones!$A$90:$B$144,2,FALSE),"")</f>
        <v>CaptacionesPagaduría</v>
      </c>
      <c r="AW45" s="14" t="str">
        <f>IF(OR(LEN(Cartera1017[[#This Row],[Fecha de Solicitud]])=0,(Cartera1017[[#This Row],[Fecha de Solicitud]])="No definido"),"No definido",IF(YEAR(Cartera1017[[#This Row],[Fecha de Solicitud]])&lt;2023," &lt;  2023",TEXT(Cartera1017[[#This Row],[Fecha de Solicitud]],"yyyy-mm")))</f>
        <v>2024-05</v>
      </c>
      <c r="AX45" s="14" t="str">
        <f>IF(Cartera1017[[#This Row],[Fecha de Priorización Comité]]="","No definido",TEXT(Cartera1017[[#This Row],[Fecha de Priorización Comité]],"yyyy-mm"))</f>
        <v>2024-06</v>
      </c>
      <c r="AY45" s="14" t="str">
        <f>IF(Cartera1017[[#This Row],[Fecha Fin- Desarrollo]]="","No definido",TEXT(Cartera1017[[#This Row],[Fecha Fin- Desarrollo]],"yyyy-mm"))</f>
        <v>2025-02</v>
      </c>
      <c r="AZ45" s="14" t="str">
        <f>IF(Cartera1017[[#This Row],[Fecha Fin- Producción]]="","No definido",TEXT(Cartera1017[[#This Row],[Fecha Fin- Producción]],"yyyy-mm"))</f>
        <v>2026-03</v>
      </c>
      <c r="BA45" s="14" t="str">
        <f>IF(Cartera1017[[#This Row],[Fecha Fin-Planificada]]="","No definido",TEXT(Cartera1017[[#This Row],[Fecha Fin-Planificada]],"yyyy-mm"))</f>
        <v>2025-01</v>
      </c>
      <c r="BB45" s="33" t="s">
        <v>581</v>
      </c>
      <c r="BC45" s="66">
        <v>45554</v>
      </c>
      <c r="BD45" s="66">
        <v>45617</v>
      </c>
      <c r="BE45" s="66"/>
      <c r="BF45" s="386">
        <v>45470</v>
      </c>
      <c r="BG45" s="404" t="s">
        <v>504</v>
      </c>
      <c r="BH45" s="4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632</v>
      </c>
      <c r="BI45" s="148">
        <f>IF(ISNUMBER(Cartera1017[[#This Row],[Duracion en Dias]]),Cartera1017[[#This Row],[Duracion en Dias]]/30, "No Aplica")</f>
        <v>21.066666666666666</v>
      </c>
      <c r="BJ45" s="43" t="s">
        <v>898</v>
      </c>
      <c r="BK45" s="33" t="s">
        <v>506</v>
      </c>
      <c r="BL45" s="110" t="s">
        <v>536</v>
      </c>
      <c r="BM45" s="80">
        <v>46100.652384259258</v>
      </c>
      <c r="BN45" s="227" t="s">
        <v>786</v>
      </c>
      <c r="BO45" s="227" t="s">
        <v>899</v>
      </c>
      <c r="BP45" s="227"/>
      <c r="BQ4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5" s="14" t="str">
        <f>IFERROR(VLOOKUP(Cartera1017[[#This Row],[Aplicativo]],Tabla76[],2,FALSE),"Sin Aplicativo")</f>
        <v>BackOffice</v>
      </c>
      <c r="BS45" s="14" t="str">
        <f>IFERROR(VLOOKUP(Cartera1017[[#This Row],[Aplicativo]],Tabla76[],3,FALSE),"Sin Aplicativo")</f>
        <v>Otros Requerimientos</v>
      </c>
      <c r="BT45" s="405">
        <v>45717</v>
      </c>
      <c r="BU45" s="143">
        <v>45717</v>
      </c>
      <c r="BV45" s="33" t="s">
        <v>900</v>
      </c>
      <c r="BW45" s="63">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46100</v>
      </c>
      <c r="BX45" s="4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5" s="63" t="str">
        <f ca="1">IF(Cartera1017[[#This Row],[Fecha Fin2]]="","No definido",CONCATENATE(TEXT(Cartera1017[[#This Row],[Fecha Fin2]],"mmm")," ",YEAR(Cartera1017[[#This Row],[Fecha Fin2]])))</f>
        <v>Mar 2026</v>
      </c>
      <c r="BZ45" s="33"/>
      <c r="CA45" s="49" t="str">
        <f>IF(Cartera1017[[#This Row],[Estado TI]] = "08. Producción Finalizada","Culminado",IF(Cartera1017[[#This Row],[Estado TI]]= "09. Descartado","Descartado","Activos"))</f>
        <v>Culminado</v>
      </c>
      <c r="CB45" s="33"/>
      <c r="CC4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45" s="18" t="str">
        <f>IF(
AND(
Cartera1017[[#This Row],[DEVOLVER 27]]="NO",
NOT(ISBLANK(Cartera1017[[#This Row],[ESTADO NO DEVUELTOS 27]]))
),
"PRE",
"POST"
)</f>
        <v>PRE</v>
      </c>
      <c r="CE45" s="18" t="s">
        <v>509</v>
      </c>
      <c r="CF45" s="33" t="s">
        <v>42</v>
      </c>
      <c r="CG45" s="1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4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5" s="406">
        <f>Cartera1017[[#This Row],[Porcentaje de Avance]]</f>
        <v>1</v>
      </c>
      <c r="CK45" s="406">
        <f ca="1">IF(
   OR(
     Cartera1017[[#This Row],[Estado TI]]="09. Descartado",
     Cartera1017[[#This Row],[Comienzo Desarrollo]]="",
     Cartera1017[[#This Row],[Fin Producción]]=""
   ),
   "",
   Cartera1017[[#This Row],[% PLANIFICADO]]-Cartera1017[[#This Row],[% COMPLETADO]]
)</f>
        <v>0</v>
      </c>
      <c r="CL45" s="406">
        <f ca="1">IF(
   OR(
     Cartera1017[[#This Row],[Estado TI]]="09. Descartado",
     Cartera1017[[#This Row],[Comienzo Desarrollo]]="",
     Cartera1017[[#This Row],[Fin Producción]]="",
     Cartera1017[[#This Row],[% PLANIFICADO]]=0
   ),
   "",
   MIN(Cartera1017[[#This Row],[% COMPLETADO]]/Cartera1017[[#This Row],[% PLANIFICADO]],1.2)
)</f>
        <v>1</v>
      </c>
      <c r="CM45" s="20">
        <v>45468</v>
      </c>
      <c r="CN45" s="20">
        <v>45468</v>
      </c>
      <c r="CO45" s="20">
        <v>45708</v>
      </c>
      <c r="CP45" s="20">
        <v>45714</v>
      </c>
      <c r="CQ45" s="20">
        <v>45763</v>
      </c>
      <c r="CR45" s="20">
        <v>46050</v>
      </c>
      <c r="CS45" s="377">
        <v>46108</v>
      </c>
      <c r="CT45" s="14">
        <f>IF(Cartera1017[[#This Row],[Fin Desarrollo]]="",25,IFERROR(NETWORKDAYS(Cartera1017[[#This Row],[Comienzo Desarrollo]],Cartera1017[[#This Row],[Fin Desarrollo]],FERIADOS[Fecha]),""))</f>
        <v>159</v>
      </c>
      <c r="CU45" s="1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45" s="14">
        <f>IF(OR(Cartera1017[[#This Row],[Comienzo Desarrollo]]="",Cartera1017[[#This Row],[Fin Desarrollo]]=""),200,IFERROR(Cartera1017[[#This Row],[DURACIÓN DESARROLLO DIAS]]*VLOOKUP(Cartera1017[[#This Row],[ID Mantenimiento]],MANT_HORAS[],2,FALSE),200))</f>
        <v>200</v>
      </c>
      <c r="CW45" s="108"/>
      <c r="CX45" s="110" t="str">
        <f>VLOOKUP(Cartera1017[[#This Row],[Estado TI]],Definiciones!$A$549:$B$559,2,FALSE)</f>
        <v>4. PRODUCCIÓN</v>
      </c>
      <c r="CY45" s="28">
        <f ca="1">1-Cartera1017[[#This Row],[Porcentaje avanzado desarrollo]]</f>
        <v>0</v>
      </c>
      <c r="CZ4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159</v>
      </c>
      <c r="DA45" s="28">
        <f ca="1">MAX(0,Cartera1017[[#This Row],[DURACIÓN DESARROLLO DIAS]]-Cartera1017[[#This Row],[Dias avanzados]])</f>
        <v>0</v>
      </c>
      <c r="DB45" s="28">
        <f ca="1">Cartera1017[[#This Row],[Dias avanzados]]*IFERROR(VLOOKUP(Cartera1017[[#This Row],[ID Mantenimiento]],MANT_HORAS[],2,FALSE),8)</f>
        <v>1272</v>
      </c>
      <c r="DC45" s="28">
        <f ca="1">Cartera1017[[#This Row],[Dias faltantes]]*IFERROR(VLOOKUP(Cartera1017[[#This Row],[ID Mantenimiento]],MANT_HORAS[],2,FALSE),8)</f>
        <v>0</v>
      </c>
      <c r="DD45" s="28" t="str">
        <f>IF(Cartera1017[[#This Row],[Fin Producción]]=0,"Por definir",CONCATENATE(YEAR(Cartera1017[[#This Row],[Fin Producción]]),"-",ROUNDUP(MONTH(Cartera1017[[#This Row],[Fin Producción]]),0)))</f>
        <v>2026-3</v>
      </c>
      <c r="DE45" s="18" t="s">
        <v>510</v>
      </c>
      <c r="DH45" s="565"/>
    </row>
    <row r="46" spans="1:112" ht="44.25" hidden="1" customHeight="1">
      <c r="A46" s="229" t="s">
        <v>901</v>
      </c>
      <c r="B46" s="18">
        <v>2282</v>
      </c>
      <c r="C46" s="18" t="s">
        <v>485</v>
      </c>
      <c r="D46" s="18" t="s">
        <v>902</v>
      </c>
      <c r="E46" s="18" t="s">
        <v>124</v>
      </c>
      <c r="F46" s="33" t="s">
        <v>125</v>
      </c>
      <c r="G46" s="19" t="s">
        <v>903</v>
      </c>
      <c r="H46" s="18" t="s">
        <v>40</v>
      </c>
      <c r="I46" s="18" t="s">
        <v>490</v>
      </c>
      <c r="J46" s="18" t="s">
        <v>491</v>
      </c>
      <c r="K46" s="20">
        <v>45421</v>
      </c>
      <c r="L46" s="43" t="s">
        <v>904</v>
      </c>
      <c r="M46" s="43" t="s">
        <v>905</v>
      </c>
      <c r="N46" s="43"/>
      <c r="O46" s="18" t="s">
        <v>494</v>
      </c>
      <c r="P46" s="18" t="s">
        <v>495</v>
      </c>
      <c r="Q46" s="18" t="s">
        <v>496</v>
      </c>
      <c r="R46" s="18" t="s">
        <v>497</v>
      </c>
      <c r="S46" s="18"/>
      <c r="T46" s="18" t="s">
        <v>498</v>
      </c>
      <c r="U46" s="18" t="s">
        <v>495</v>
      </c>
      <c r="V46" s="18" t="s">
        <v>495</v>
      </c>
      <c r="W46" s="18" t="s">
        <v>495</v>
      </c>
      <c r="X46" s="18" t="s">
        <v>495</v>
      </c>
      <c r="Y46" s="80" t="s">
        <v>495</v>
      </c>
      <c r="Z46" s="18" t="s">
        <v>499</v>
      </c>
      <c r="AA46" s="20">
        <v>45470</v>
      </c>
      <c r="AB46" s="18" t="s">
        <v>500</v>
      </c>
      <c r="AC46" s="18" t="s">
        <v>501</v>
      </c>
      <c r="AD46" s="18" t="s">
        <v>126</v>
      </c>
      <c r="AE46" s="18" t="s">
        <v>41</v>
      </c>
      <c r="AF46" s="18" t="s">
        <v>48</v>
      </c>
      <c r="AG46" s="14" t="str">
        <f>VLOOKUP(AF46,Tabla3[[Estado Requerimiento]:[Macro estado]],2,FALSE)</f>
        <v>02. En Proceso</v>
      </c>
      <c r="AH46" s="18"/>
      <c r="AI46" s="80">
        <v>45484</v>
      </c>
      <c r="AJ46" s="80">
        <v>45964</v>
      </c>
      <c r="AK46" s="80">
        <v>45484</v>
      </c>
      <c r="AL46" s="80"/>
      <c r="AM46" s="80">
        <v>46022</v>
      </c>
      <c r="AN46" s="80"/>
      <c r="AO46" s="80"/>
      <c r="AP46" s="81">
        <f t="shared" si="0"/>
        <v>46237.2</v>
      </c>
      <c r="AQ46" s="80"/>
      <c r="AR46" s="80"/>
      <c r="AS46" s="81">
        <f t="shared" si="1"/>
        <v>46244.2</v>
      </c>
      <c r="AT46" s="19" t="s">
        <v>906</v>
      </c>
      <c r="AU46" s="44" t="str">
        <f>VLOOKUP(Cartera1017[[#This Row],[Gerencia]],tbGerencia[#All],3,FALSE)</f>
        <v>Operac.</v>
      </c>
      <c r="AV46" s="44" t="str">
        <f>IFERROR(VLOOKUP(Cartera1017[[#This Row],[Subgerencia]],Definiciones!$A$90:$B$144,2,FALSE),"")</f>
        <v>BancariosRecaudación</v>
      </c>
      <c r="AW46" s="44" t="str">
        <f>IF(OR(LEN(Cartera1017[[#This Row],[Fecha de Solicitud]])=0,(Cartera1017[[#This Row],[Fecha de Solicitud]])="No definido"),"No definido",IF(YEAR(Cartera1017[[#This Row],[Fecha de Solicitud]])&lt;2023," &lt;  2023",TEXT(Cartera1017[[#This Row],[Fecha de Solicitud]],"yyyy-mm")))</f>
        <v>2024-05</v>
      </c>
      <c r="AX46" s="44" t="str">
        <f>IF(Cartera1017[[#This Row],[Fecha de Priorización Comité]]="","No definido",TEXT(Cartera1017[[#This Row],[Fecha de Priorización Comité]],"yyyy-mm"))</f>
        <v>2024-06</v>
      </c>
      <c r="AY46" s="44" t="str">
        <f>IF(Cartera1017[[#This Row],[Fecha Fin- Desarrollo]]="","No definido",TEXT(Cartera1017[[#This Row],[Fecha Fin- Desarrollo]],"yyyy-mm"))</f>
        <v>No definido</v>
      </c>
      <c r="AZ46" s="44" t="str">
        <f>IF(Cartera1017[[#This Row],[Fecha Fin- Producción]]="","No definido",TEXT(Cartera1017[[#This Row],[Fecha Fin- Producción]],"yyyy-mm"))</f>
        <v>No definido</v>
      </c>
      <c r="BA46" s="44" t="str">
        <f>IF(Cartera1017[[#This Row],[Fecha Fin-Planificada]]="","No definido",TEXT(Cartera1017[[#This Row],[Fecha Fin-Planificada]],"yyyy-mm"))</f>
        <v>2026-08</v>
      </c>
      <c r="BB46" s="33"/>
      <c r="BC46" s="66"/>
      <c r="BD46" s="66"/>
      <c r="BE46" s="66"/>
      <c r="BF46" s="386">
        <v>45470</v>
      </c>
      <c r="BG46" s="387" t="s">
        <v>504</v>
      </c>
      <c r="BH4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6" s="90" t="str">
        <f>IF(ISNUMBER(Cartera1017[[#This Row],[Duracion en Dias]]),Cartera1017[[#This Row],[Duracion en Dias]]/30, "No Aplica")</f>
        <v>No Aplica</v>
      </c>
      <c r="BJ46" s="109" t="s">
        <v>907</v>
      </c>
      <c r="BK46" s="28" t="s">
        <v>613</v>
      </c>
      <c r="BL46" s="110" t="s">
        <v>592</v>
      </c>
      <c r="BM46" s="342">
        <v>46085.467800925922</v>
      </c>
      <c r="BN46" s="227"/>
      <c r="BO46" s="227"/>
      <c r="BP46" s="227"/>
      <c r="BQ4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2026-Q3</v>
      </c>
      <c r="BR46" s="14" t="str">
        <f>IFERROR(VLOOKUP(Cartera1017[[#This Row],[Aplicativo]],Tabla76[],2,FALSE),"Sin Aplicativo")</f>
        <v>BackOffice</v>
      </c>
      <c r="BS46" s="14" t="str">
        <f>IFERROR(VLOOKUP(Cartera1017[[#This Row],[Aplicativo]],Tabla76[],3,FALSE),"Sin Aplicativo")</f>
        <v>Otros Requerimientos</v>
      </c>
      <c r="BT46" s="400">
        <v>45748</v>
      </c>
      <c r="BU46" s="143">
        <v>45748</v>
      </c>
      <c r="BV46" s="33" t="s">
        <v>508</v>
      </c>
      <c r="BW4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46244.2</v>
      </c>
      <c r="BX4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2026-3</v>
      </c>
      <c r="BY46" s="97" t="str">
        <f ca="1">IF(Cartera1017[[#This Row],[Fecha Fin2]]="","No definido",CONCATENATE(TEXT(Cartera1017[[#This Row],[Fecha Fin2]],"mmm")," ",YEAR(Cartera1017[[#This Row],[Fecha Fin2]])))</f>
        <v>Ago 2026</v>
      </c>
      <c r="BZ46" s="28">
        <v>2025</v>
      </c>
      <c r="CA46" s="48" t="str">
        <f>IF(Cartera1017[[#This Row],[Estado TI]] = "08. Producción Finalizada","Culminado",IF(Cartera1017[[#This Row],[Estado TI]]= "09. Descartado","Descartado","Activos"))</f>
        <v>Activos</v>
      </c>
      <c r="CB46" s="28"/>
      <c r="CC46" s="406">
        <v>0.4</v>
      </c>
      <c r="CD46" s="54" t="str">
        <f>IF(
AND(
Cartera1017[[#This Row],[DEVOLVER 27]]="NO",
NOT(ISBLANK(Cartera1017[[#This Row],[ESTADO NO DEVUELTOS 27]]))
),
"PRE",
"POST"
)</f>
        <v>PRE</v>
      </c>
      <c r="CE46" s="54" t="s">
        <v>509</v>
      </c>
      <c r="CF46" s="28" t="s">
        <v>48</v>
      </c>
      <c r="CG4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4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4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0.44374999999999998</v>
      </c>
      <c r="CJ46" s="406">
        <v>0.4</v>
      </c>
      <c r="CK46" s="388">
        <f ca="1">IF(
   OR(
     Cartera1017[[#This Row],[Estado TI]]="09. Descartado",
     Cartera1017[[#This Row],[Comienzo Desarrollo]]="",
     Cartera1017[[#This Row],[Fin Producción]]=""
   ),
   "",
   Cartera1017[[#This Row],[% PLANIFICADO]]-Cartera1017[[#This Row],[% COMPLETADO]]
)</f>
        <v>4.3749999999999956E-2</v>
      </c>
      <c r="CL46" s="388">
        <f ca="1">IF(
   OR(
     Cartera1017[[#This Row],[Estado TI]]="09. Descartado",
     Cartera1017[[#This Row],[Comienzo Desarrollo]]="",
     Cartera1017[[#This Row],[Fin Producción]]="",
     Cartera1017[[#This Row],[% PLANIFICADO]]=0
   ),
   "",
   MIN(Cartera1017[[#This Row],[% COMPLETADO]]/Cartera1017[[#This Row],[% PLANIFICADO]],1.2)
)</f>
        <v>0.90140845070422548</v>
      </c>
      <c r="CM46" s="377">
        <v>45964</v>
      </c>
      <c r="CN46" s="377">
        <v>46063</v>
      </c>
      <c r="CO46" s="377">
        <v>46251</v>
      </c>
      <c r="CP46" s="377">
        <v>46252</v>
      </c>
      <c r="CQ46" s="20">
        <v>46283</v>
      </c>
      <c r="CR46" s="20">
        <v>46286</v>
      </c>
      <c r="CS46" s="20">
        <v>46290</v>
      </c>
      <c r="CT46" s="44">
        <f>IF(Cartera1017[[#This Row],[Fin Desarrollo]]="",25,IFERROR(NETWORKDAYS(Cartera1017[[#This Row],[Comienzo Desarrollo]],Cartera1017[[#This Row],[Fin Desarrollo]],FERIADOS[Fecha]),""))</f>
        <v>131</v>
      </c>
      <c r="CU4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0.52592592592592591</v>
      </c>
      <c r="CV46" s="44">
        <f>IF(OR(Cartera1017[[#This Row],[Comienzo Desarrollo]]="",Cartera1017[[#This Row],[Fin Desarrollo]]=""),200,IFERROR(Cartera1017[[#This Row],[DURACIÓN DESARROLLO DIAS]]*VLOOKUP(Cartera1017[[#This Row],[ID Mantenimiento]],MANT_HORAS[],2,FALSE),200))</f>
        <v>524</v>
      </c>
      <c r="CW46" s="110"/>
      <c r="CX46" s="110" t="str">
        <f>VLOOKUP(Cartera1017[[#This Row],[Estado TI]],Definiciones!$A$549:$B$559,2,FALSE)</f>
        <v>1. DESARROLLO</v>
      </c>
      <c r="CY46" s="28">
        <f ca="1">1-Cartera1017[[#This Row],[Porcentaje avanzado desarrollo]]</f>
        <v>0.47407407407407409</v>
      </c>
      <c r="CZ4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70</v>
      </c>
      <c r="DA46" s="28">
        <f ca="1">MAX(0,Cartera1017[[#This Row],[DURACIÓN DESARROLLO DIAS]]-Cartera1017[[#This Row],[Dias avanzados]])</f>
        <v>61</v>
      </c>
      <c r="DB46" s="28">
        <f ca="1">Cartera1017[[#This Row],[Dias avanzados]]*IFERROR(VLOOKUP(Cartera1017[[#This Row],[ID Mantenimiento]],MANT_HORAS[],2,FALSE),8)</f>
        <v>280</v>
      </c>
      <c r="DC46" s="28">
        <f ca="1">Cartera1017[[#This Row],[Dias faltantes]]*IFERROR(VLOOKUP(Cartera1017[[#This Row],[ID Mantenimiento]],MANT_HORAS[],2,FALSE),8)</f>
        <v>244</v>
      </c>
      <c r="DD46" s="28" t="str">
        <f>IF(Cartera1017[[#This Row],[Fin Producción]]=0,"Por definir",CONCATENATE(YEAR(Cartera1017[[#This Row],[Fin Producción]]),"-",ROUNDUP(MONTH(Cartera1017[[#This Row],[Fin Producción]]),0)))</f>
        <v>2026-9</v>
      </c>
      <c r="DE46" s="18" t="s">
        <v>510</v>
      </c>
      <c r="DF46" s="28"/>
      <c r="DG46" s="28"/>
      <c r="DH46" s="565"/>
    </row>
    <row r="47" spans="1:112" ht="44.25" hidden="1" customHeight="1">
      <c r="A47" s="229" t="s">
        <v>908</v>
      </c>
      <c r="B47" s="39">
        <v>2323</v>
      </c>
      <c r="C47" s="18" t="s">
        <v>485</v>
      </c>
      <c r="D47" s="39" t="s">
        <v>909</v>
      </c>
      <c r="E47" s="39" t="s">
        <v>910</v>
      </c>
      <c r="F47" s="60" t="s">
        <v>911</v>
      </c>
      <c r="G47" s="35"/>
      <c r="H47" s="39" t="s">
        <v>33</v>
      </c>
      <c r="I47" s="39" t="s">
        <v>727</v>
      </c>
      <c r="J47" s="39" t="s">
        <v>912</v>
      </c>
      <c r="K47" s="113">
        <v>45481</v>
      </c>
      <c r="L47" s="114" t="s">
        <v>913</v>
      </c>
      <c r="M47" s="114" t="s">
        <v>914</v>
      </c>
      <c r="N47" s="114" t="s">
        <v>598</v>
      </c>
      <c r="O47" s="39" t="s">
        <v>530</v>
      </c>
      <c r="P47" s="39" t="s">
        <v>495</v>
      </c>
      <c r="Q47" s="39" t="s">
        <v>496</v>
      </c>
      <c r="R47" s="39" t="s">
        <v>599</v>
      </c>
      <c r="S47" s="18" t="s">
        <v>599</v>
      </c>
      <c r="T47" s="39" t="s">
        <v>600</v>
      </c>
      <c r="U47" s="39" t="s">
        <v>915</v>
      </c>
      <c r="V47" s="39"/>
      <c r="W47" s="39"/>
      <c r="X47" s="39"/>
      <c r="Y47" s="111"/>
      <c r="Z47" s="39" t="s">
        <v>602</v>
      </c>
      <c r="AA47" s="113"/>
      <c r="AB47" s="39" t="s">
        <v>500</v>
      </c>
      <c r="AC47" s="18" t="s">
        <v>570</v>
      </c>
      <c r="AD47" s="39" t="s">
        <v>133</v>
      </c>
      <c r="AE47" s="39" t="s">
        <v>47</v>
      </c>
      <c r="AF47" s="39" t="s">
        <v>53</v>
      </c>
      <c r="AG47" s="14" t="str">
        <f>VLOOKUP(AF47,Tabla3[[Estado Requerimiento]:[Macro estado]],2,FALSE)</f>
        <v>03. Culminado</v>
      </c>
      <c r="AH47" s="39"/>
      <c r="AI47" s="111">
        <v>45489</v>
      </c>
      <c r="AJ47" s="111"/>
      <c r="AK47" s="111">
        <v>45523</v>
      </c>
      <c r="AL47" s="111">
        <v>45854</v>
      </c>
      <c r="AM47" s="111">
        <v>45841</v>
      </c>
      <c r="AN47" s="111">
        <v>45861</v>
      </c>
      <c r="AO47" s="111">
        <v>45889</v>
      </c>
      <c r="AP47" s="81">
        <f t="shared" si="0"/>
        <v>45968.2</v>
      </c>
      <c r="AQ47" s="111">
        <v>46027</v>
      </c>
      <c r="AR47" s="111">
        <v>46034</v>
      </c>
      <c r="AS47" s="81">
        <f t="shared" si="1"/>
        <v>45975.199999999997</v>
      </c>
      <c r="AT47" s="35" t="s">
        <v>916</v>
      </c>
      <c r="AU47" s="44" t="str">
        <f>VLOOKUP(Cartera1017[[#This Row],[Gerencia]],tbGerencia[#All],3,FALSE)</f>
        <v>Productos</v>
      </c>
      <c r="AV47" s="44" t="str">
        <f>IFERROR(VLOOKUP(Cartera1017[[#This Row],[Subgerencia]],Definiciones!$A$90:$B$144,2,FALSE),"")</f>
        <v>BancaPersonal</v>
      </c>
      <c r="AW47" s="44" t="str">
        <f>IF(OR(LEN(Cartera1017[[#This Row],[Fecha de Solicitud]])=0,(Cartera1017[[#This Row],[Fecha de Solicitud]])="No definido"),"No definido",IF(YEAR(Cartera1017[[#This Row],[Fecha de Solicitud]])&lt;2023," &lt;  2023",TEXT(Cartera1017[[#This Row],[Fecha de Solicitud]],"yyyy-mm")))</f>
        <v>2024-07</v>
      </c>
      <c r="AX47" s="44" t="str">
        <f>IF(Cartera1017[[#This Row],[Fecha de Priorización Comité]]="","No definido",TEXT(Cartera1017[[#This Row],[Fecha de Priorización Comité]],"yyyy-mm"))</f>
        <v>No definido</v>
      </c>
      <c r="AY47" s="44" t="str">
        <f>IF(Cartera1017[[#This Row],[Fecha Fin- Desarrollo]]="","No definido",TEXT(Cartera1017[[#This Row],[Fecha Fin- Desarrollo]],"yyyy-mm"))</f>
        <v>2025-07</v>
      </c>
      <c r="AZ47" s="44" t="str">
        <f>IF(Cartera1017[[#This Row],[Fecha Fin- Producción]]="","No definido",TEXT(Cartera1017[[#This Row],[Fecha Fin- Producción]],"yyyy-mm"))</f>
        <v>2026-01</v>
      </c>
      <c r="BA47" s="44" t="str">
        <f>IF(Cartera1017[[#This Row],[Fecha Fin-Planificada]]="","No definido",TEXT(Cartera1017[[#This Row],[Fecha Fin-Planificada]],"yyyy-mm"))</f>
        <v>2025-11</v>
      </c>
      <c r="BB47" s="33" t="s">
        <v>604</v>
      </c>
      <c r="BC47" s="66">
        <v>45554</v>
      </c>
      <c r="BD47" s="66">
        <v>45841</v>
      </c>
      <c r="BE47" s="66">
        <v>45841</v>
      </c>
      <c r="BF47" s="386">
        <v>45489</v>
      </c>
      <c r="BG47" s="387" t="s">
        <v>519</v>
      </c>
      <c r="BH4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511</v>
      </c>
      <c r="BI47" s="90">
        <f>IF(ISNUMBER(Cartera1017[[#This Row],[Duracion en Dias]]),Cartera1017[[#This Row],[Duracion en Dias]]/30, "No Aplica")</f>
        <v>17.033333333333335</v>
      </c>
      <c r="BJ47" s="109" t="s">
        <v>917</v>
      </c>
      <c r="BK47" s="28" t="s">
        <v>506</v>
      </c>
      <c r="BL47" s="110" t="s">
        <v>536</v>
      </c>
      <c r="BM47" s="342">
        <v>46034.521307870367</v>
      </c>
      <c r="BN47" s="227"/>
      <c r="BO47" s="227"/>
      <c r="BP47" s="227"/>
      <c r="BQ4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7" s="14" t="str">
        <f>IFERROR(VLOOKUP(Cartera1017[[#This Row],[Aplicativo]],Tabla76[],2,FALSE),"Sin Aplicativo")</f>
        <v>Créditos Hipotecarios</v>
      </c>
      <c r="BS47" s="14" t="str">
        <f>IFERROR(VLOOKUP(Cartera1017[[#This Row],[Aplicativo]],Tabla76[],3,FALSE),"Sin Aplicativo")</f>
        <v>Productos</v>
      </c>
      <c r="BT47" s="400">
        <v>45717</v>
      </c>
      <c r="BU47" s="140">
        <v>45717</v>
      </c>
      <c r="BV47" s="33" t="s">
        <v>918</v>
      </c>
      <c r="BW47"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4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7" s="97" t="str">
        <f ca="1">IF(Cartera1017[[#This Row],[Fecha Fin2]]="","No definido",CONCATENATE(TEXT(Cartera1017[[#This Row],[Fecha Fin2]],"mmm")," ",YEAR(Cartera1017[[#This Row],[Fecha Fin2]])))</f>
        <v>Ene 2026</v>
      </c>
      <c r="BZ47" s="28">
        <v>2025</v>
      </c>
      <c r="CA47" s="48" t="str">
        <f>IF(Cartera1017[[#This Row],[Estado TI]] = "08. Producción Finalizada","Culminado",IF(Cartera1017[[#This Row],[Estado TI]]= "09. Descartado","Descartado","Activos"))</f>
        <v>Culminado</v>
      </c>
      <c r="CB47" s="28"/>
      <c r="CC4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47" s="54" t="str">
        <f>IF(
AND(
Cartera1017[[#This Row],[DEVOLVER 27]]="NO",
NOT(ISBLANK(Cartera1017[[#This Row],[ESTADO NO DEVUELTOS 27]]))
),
"PRE",
"POST"
)</f>
        <v>PRE</v>
      </c>
      <c r="CE47" s="54" t="s">
        <v>509</v>
      </c>
      <c r="CF47" s="28" t="s">
        <v>42</v>
      </c>
      <c r="CG4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4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7" s="406">
        <f>Cartera1017[[#This Row],[Porcentaje de Avance]]</f>
        <v>1</v>
      </c>
      <c r="CK47" s="388">
        <f ca="1">IF(
   OR(
     Cartera1017[[#This Row],[Estado TI]]="09. Descartado",
     Cartera1017[[#This Row],[Comienzo Desarrollo]]="",
     Cartera1017[[#This Row],[Fin Producción]]=""
   ),
   "",
   Cartera1017[[#This Row],[% PLANIFICADO]]-Cartera1017[[#This Row],[% COMPLETADO]]
)</f>
        <v>0</v>
      </c>
      <c r="CL47" s="388">
        <f ca="1">IF(
   OR(
     Cartera1017[[#This Row],[Estado TI]]="09. Descartado",
     Cartera1017[[#This Row],[Comienzo Desarrollo]]="",
     Cartera1017[[#This Row],[Fin Producción]]="",
     Cartera1017[[#This Row],[% PLANIFICADO]]=0
   ),
   "",
   MIN(Cartera1017[[#This Row],[% COMPLETADO]]/Cartera1017[[#This Row],[% PLANIFICADO]],1.2)
)</f>
        <v>1</v>
      </c>
      <c r="CM47" s="377">
        <v>45523</v>
      </c>
      <c r="CN47" s="377">
        <v>45523</v>
      </c>
      <c r="CO47" s="377">
        <v>45854</v>
      </c>
      <c r="CP47" s="377">
        <v>45861</v>
      </c>
      <c r="CQ47" s="377">
        <v>45889</v>
      </c>
      <c r="CR47" s="113">
        <v>46027</v>
      </c>
      <c r="CS47" s="377">
        <v>46037</v>
      </c>
      <c r="CT47" s="123">
        <f>IF(Cartera1017[[#This Row],[Fin Desarrollo]]="",25,IFERROR(NETWORKDAYS(Cartera1017[[#This Row],[Comienzo Desarrollo]],Cartera1017[[#This Row],[Fin Desarrollo]],FERIADOS[Fecha]),""))</f>
        <v>225</v>
      </c>
      <c r="CU4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47" s="44">
        <f>IF(OR(Cartera1017[[#This Row],[Comienzo Desarrollo]]="",Cartera1017[[#This Row],[Fin Desarrollo]]=""),200,IFERROR(Cartera1017[[#This Row],[DURACIÓN DESARROLLO DIAS]]*VLOOKUP(Cartera1017[[#This Row],[ID Mantenimiento]],MANT_HORAS[],2,FALSE),200))</f>
        <v>200</v>
      </c>
      <c r="CW47" s="110"/>
      <c r="CX47" s="110" t="str">
        <f>VLOOKUP(Cartera1017[[#This Row],[Estado TI]],Definiciones!$A$549:$B$559,2,FALSE)</f>
        <v>4. PRODUCCIÓN</v>
      </c>
      <c r="CY47" s="28">
        <f ca="1">1-Cartera1017[[#This Row],[Porcentaje avanzado desarrollo]]</f>
        <v>0</v>
      </c>
      <c r="CZ4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225</v>
      </c>
      <c r="DA47" s="28">
        <f ca="1">MAX(0,Cartera1017[[#This Row],[DURACIÓN DESARROLLO DIAS]]-Cartera1017[[#This Row],[Dias avanzados]])</f>
        <v>0</v>
      </c>
      <c r="DB47" s="28">
        <f ca="1">Cartera1017[[#This Row],[Dias avanzados]]*IFERROR(VLOOKUP(Cartera1017[[#This Row],[ID Mantenimiento]],MANT_HORAS[],2,FALSE),8)</f>
        <v>1800</v>
      </c>
      <c r="DC47" s="28">
        <f ca="1">Cartera1017[[#This Row],[Dias faltantes]]*IFERROR(VLOOKUP(Cartera1017[[#This Row],[ID Mantenimiento]],MANT_HORAS[],2,FALSE),8)</f>
        <v>0</v>
      </c>
      <c r="DD47" s="28" t="str">
        <f>IF(Cartera1017[[#This Row],[Fin Producción]]=0,"Por definir",CONCATENATE(YEAR(Cartera1017[[#This Row],[Fin Producción]]),"-",ROUNDUP(MONTH(Cartera1017[[#This Row],[Fin Producción]]),0)))</f>
        <v>2026-1</v>
      </c>
      <c r="DE47" s="18" t="s">
        <v>510</v>
      </c>
      <c r="DF47" s="28"/>
      <c r="DG47" s="28"/>
      <c r="DH47" s="565"/>
    </row>
    <row r="48" spans="1:112" ht="44.25" hidden="1" customHeight="1">
      <c r="A48" s="229" t="s">
        <v>919</v>
      </c>
      <c r="B48" s="39">
        <v>2333</v>
      </c>
      <c r="C48" s="18" t="s">
        <v>485</v>
      </c>
      <c r="D48" s="39" t="s">
        <v>920</v>
      </c>
      <c r="E48" s="39" t="s">
        <v>127</v>
      </c>
      <c r="F48" s="60" t="s">
        <v>128</v>
      </c>
      <c r="G48" s="35" t="s">
        <v>921</v>
      </c>
      <c r="H48" s="39" t="s">
        <v>40</v>
      </c>
      <c r="I48" s="39" t="s">
        <v>577</v>
      </c>
      <c r="J48" s="39" t="s">
        <v>922</v>
      </c>
      <c r="K48" s="113">
        <v>45478</v>
      </c>
      <c r="L48" s="114" t="s">
        <v>923</v>
      </c>
      <c r="M48" s="114" t="s">
        <v>890</v>
      </c>
      <c r="N48" s="114" t="s">
        <v>598</v>
      </c>
      <c r="O48" s="39" t="s">
        <v>530</v>
      </c>
      <c r="P48" s="39" t="s">
        <v>495</v>
      </c>
      <c r="Q48" s="39" t="s">
        <v>496</v>
      </c>
      <c r="R48" s="39" t="s">
        <v>599</v>
      </c>
      <c r="S48" s="18" t="s">
        <v>599</v>
      </c>
      <c r="T48" s="39" t="s">
        <v>600</v>
      </c>
      <c r="U48" s="39" t="s">
        <v>915</v>
      </c>
      <c r="V48" s="39"/>
      <c r="W48" s="39"/>
      <c r="X48" s="39"/>
      <c r="Y48" s="111"/>
      <c r="Z48" s="39" t="s">
        <v>602</v>
      </c>
      <c r="AA48" s="113" t="s">
        <v>496</v>
      </c>
      <c r="AB48" s="18" t="s">
        <v>500</v>
      </c>
      <c r="AC48" s="18" t="s">
        <v>570</v>
      </c>
      <c r="AD48" s="39" t="s">
        <v>123</v>
      </c>
      <c r="AE48" s="39" t="s">
        <v>47</v>
      </c>
      <c r="AF48" s="18" t="s">
        <v>53</v>
      </c>
      <c r="AG48" s="14" t="str">
        <f>VLOOKUP(AF48,Tabla3[[Estado Requerimiento]:[Macro estado]],2,FALSE)</f>
        <v>03. Culminado</v>
      </c>
      <c r="AH48" s="39"/>
      <c r="AI48" s="111">
        <v>45497</v>
      </c>
      <c r="AJ48" s="111"/>
      <c r="AK48" s="111">
        <v>45531</v>
      </c>
      <c r="AL48" s="111">
        <v>45825</v>
      </c>
      <c r="AM48" s="111">
        <v>45835</v>
      </c>
      <c r="AN48" s="111">
        <v>45882</v>
      </c>
      <c r="AO48" s="111">
        <v>45882</v>
      </c>
      <c r="AP48" s="81">
        <f t="shared" si="0"/>
        <v>45956.6</v>
      </c>
      <c r="AQ48" s="111">
        <v>46045</v>
      </c>
      <c r="AR48" s="111">
        <v>46050</v>
      </c>
      <c r="AS48" s="81">
        <f t="shared" si="1"/>
        <v>45963.6</v>
      </c>
      <c r="AT48" s="35" t="s">
        <v>924</v>
      </c>
      <c r="AU48" s="44" t="str">
        <f>VLOOKUP(Cartera1017[[#This Row],[Gerencia]],tbGerencia[#All],3,FALSE)</f>
        <v>Operac.</v>
      </c>
      <c r="AV48" s="44" t="str">
        <f>IFERROR(VLOOKUP(Cartera1017[[#This Row],[Subgerencia]],Definiciones!$A$90:$B$144,2,FALSE),"")</f>
        <v>CaptacionesPagaduría</v>
      </c>
      <c r="AW48" s="44" t="str">
        <f>IF(OR(LEN(Cartera1017[[#This Row],[Fecha de Solicitud]])=0,(Cartera1017[[#This Row],[Fecha de Solicitud]])="No definido"),"No definido",IF(YEAR(Cartera1017[[#This Row],[Fecha de Solicitud]])&lt;2023," &lt;  2023",TEXT(Cartera1017[[#This Row],[Fecha de Solicitud]],"yyyy-mm")))</f>
        <v>2024-07</v>
      </c>
      <c r="AX48" s="44" t="str">
        <f>IF(Cartera1017[[#This Row],[Fecha de Priorización Comité]]="","No definido",TEXT(Cartera1017[[#This Row],[Fecha de Priorización Comité]],"yyyy-mm"))</f>
        <v>No aplica</v>
      </c>
      <c r="AY48" s="44" t="str">
        <f>IF(Cartera1017[[#This Row],[Fecha Fin- Desarrollo]]="","No definido",TEXT(Cartera1017[[#This Row],[Fecha Fin- Desarrollo]],"yyyy-mm"))</f>
        <v>2025-06</v>
      </c>
      <c r="AZ48" s="44" t="str">
        <f>IF(Cartera1017[[#This Row],[Fecha Fin- Producción]]="","No definido",TEXT(Cartera1017[[#This Row],[Fecha Fin- Producción]],"yyyy-mm"))</f>
        <v>2026-01</v>
      </c>
      <c r="BA48" s="44" t="str">
        <f>IF(Cartera1017[[#This Row],[Fecha Fin-Planificada]]="","No definido",TEXT(Cartera1017[[#This Row],[Fecha Fin-Planificada]],"yyyy-mm"))</f>
        <v>2025-11</v>
      </c>
      <c r="BB48" s="33" t="s">
        <v>572</v>
      </c>
      <c r="BC48" s="66">
        <v>45553</v>
      </c>
      <c r="BD48" s="66">
        <v>45835</v>
      </c>
      <c r="BE48" s="66">
        <v>45835</v>
      </c>
      <c r="BF48" s="386">
        <v>45497</v>
      </c>
      <c r="BG48" s="387" t="s">
        <v>519</v>
      </c>
      <c r="BH4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519</v>
      </c>
      <c r="BI48" s="90">
        <f>IF(ISNUMBER(Cartera1017[[#This Row],[Duracion en Dias]]),Cartera1017[[#This Row],[Duracion en Dias]]/30, "No Aplica")</f>
        <v>17.3</v>
      </c>
      <c r="BJ48" s="109" t="s">
        <v>925</v>
      </c>
      <c r="BK48" s="28" t="s">
        <v>506</v>
      </c>
      <c r="BL48" s="110" t="s">
        <v>536</v>
      </c>
      <c r="BM48" s="342">
        <v>46050.364629629628</v>
      </c>
      <c r="BN48" s="227"/>
      <c r="BO48" s="227"/>
      <c r="BP48" s="227"/>
      <c r="BQ4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8" s="14" t="str">
        <f>IFERROR(VLOOKUP(Cartera1017[[#This Row],[Aplicativo]],Tabla76[],2,FALSE),"Sin Aplicativo")</f>
        <v>BackOffice</v>
      </c>
      <c r="BS48" s="14" t="str">
        <f>IFERROR(VLOOKUP(Cartera1017[[#This Row],[Aplicativo]],Tabla76[],3,FALSE),"Sin Aplicativo")</f>
        <v>Otros Requerimientos</v>
      </c>
      <c r="BT48" s="400" t="s">
        <v>521</v>
      </c>
      <c r="BU48" s="146"/>
      <c r="BV48" s="144" t="s">
        <v>926</v>
      </c>
      <c r="BW4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46050</v>
      </c>
      <c r="BX4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8" s="97" t="str">
        <f ca="1">IF(Cartera1017[[#This Row],[Fecha Fin2]]="","No definido",CONCATENATE(TEXT(Cartera1017[[#This Row],[Fecha Fin2]],"mmm")," ",YEAR(Cartera1017[[#This Row],[Fecha Fin2]])))</f>
        <v>Ene 2026</v>
      </c>
      <c r="BZ48" s="28" t="s">
        <v>815</v>
      </c>
      <c r="CA48" s="48" t="str">
        <f>IF(Cartera1017[[#This Row],[Estado TI]] = "08. Producción Finalizada","Culminado",IF(Cartera1017[[#This Row],[Estado TI]]= "09. Descartado","Descartado","Activos"))</f>
        <v>Culminado</v>
      </c>
      <c r="CB48" s="28"/>
      <c r="CC4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48" s="54" t="str">
        <f>IF(
AND(
Cartera1017[[#This Row],[DEVOLVER 27]]="NO",
NOT(ISBLANK(Cartera1017[[#This Row],[ESTADO NO DEVUELTOS 27]]))
),
"PRE",
"POST"
)</f>
        <v>PRE</v>
      </c>
      <c r="CE48" s="54" t="s">
        <v>509</v>
      </c>
      <c r="CF48" s="28" t="s">
        <v>42</v>
      </c>
      <c r="CG4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4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8" s="406">
        <f>Cartera1017[[#This Row],[Porcentaje de Avance]]</f>
        <v>1</v>
      </c>
      <c r="CK48" s="388">
        <f ca="1">IF(
   OR(
     Cartera1017[[#This Row],[Estado TI]]="09. Descartado",
     Cartera1017[[#This Row],[Comienzo Desarrollo]]="",
     Cartera1017[[#This Row],[Fin Producción]]=""
   ),
   "",
   Cartera1017[[#This Row],[% PLANIFICADO]]-Cartera1017[[#This Row],[% COMPLETADO]]
)</f>
        <v>0</v>
      </c>
      <c r="CL48" s="388">
        <f ca="1">IF(
   OR(
     Cartera1017[[#This Row],[Estado TI]]="09. Descartado",
     Cartera1017[[#This Row],[Comienzo Desarrollo]]="",
     Cartera1017[[#This Row],[Fin Producción]]="",
     Cartera1017[[#This Row],[% PLANIFICADO]]=0
   ),
   "",
   MIN(Cartera1017[[#This Row],[% COMPLETADO]]/Cartera1017[[#This Row],[% PLANIFICADO]],1.2)
)</f>
        <v>1</v>
      </c>
      <c r="CM48" s="377">
        <v>45531</v>
      </c>
      <c r="CN48" s="377">
        <v>45531</v>
      </c>
      <c r="CO48" s="377">
        <v>45825</v>
      </c>
      <c r="CP48" s="377">
        <v>45882</v>
      </c>
      <c r="CQ48" s="377">
        <v>45882</v>
      </c>
      <c r="CR48" s="377">
        <v>46045</v>
      </c>
      <c r="CS48" s="377">
        <v>46059</v>
      </c>
      <c r="CT48" s="44">
        <f>IF(Cartera1017[[#This Row],[Fin Desarrollo]]="",25,IFERROR(NETWORKDAYS(Cartera1017[[#This Row],[Comienzo Desarrollo]],Cartera1017[[#This Row],[Fin Desarrollo]],FERIADOS[Fecha]),""))</f>
        <v>198</v>
      </c>
      <c r="CU4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48" s="44">
        <f>IF(OR(Cartera1017[[#This Row],[Comienzo Desarrollo]]="",Cartera1017[[#This Row],[Fin Desarrollo]]=""),200,IFERROR(Cartera1017[[#This Row],[DURACIÓN DESARROLLO DIAS]]*VLOOKUP(Cartera1017[[#This Row],[ID Mantenimiento]],MANT_HORAS[],2,FALSE),200))</f>
        <v>200</v>
      </c>
      <c r="CW48" s="110"/>
      <c r="CX48" s="110" t="str">
        <f>VLOOKUP(Cartera1017[[#This Row],[Estado TI]],Definiciones!$A$549:$B$559,2,FALSE)</f>
        <v>4. PRODUCCIÓN</v>
      </c>
      <c r="CY48" s="28">
        <f ca="1">1-Cartera1017[[#This Row],[Porcentaje avanzado desarrollo]]</f>
        <v>0</v>
      </c>
      <c r="CZ4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198</v>
      </c>
      <c r="DA48" s="28">
        <f ca="1">MAX(0,Cartera1017[[#This Row],[DURACIÓN DESARROLLO DIAS]]-Cartera1017[[#This Row],[Dias avanzados]])</f>
        <v>0</v>
      </c>
      <c r="DB48" s="28">
        <f ca="1">Cartera1017[[#This Row],[Dias avanzados]]*IFERROR(VLOOKUP(Cartera1017[[#This Row],[ID Mantenimiento]],MANT_HORAS[],2,FALSE),8)</f>
        <v>1584</v>
      </c>
      <c r="DC48" s="28">
        <f ca="1">Cartera1017[[#This Row],[Dias faltantes]]*IFERROR(VLOOKUP(Cartera1017[[#This Row],[ID Mantenimiento]],MANT_HORAS[],2,FALSE),8)</f>
        <v>0</v>
      </c>
      <c r="DD48" s="28" t="str">
        <f>IF(Cartera1017[[#This Row],[Fin Producción]]=0,"Por definir",CONCATENATE(YEAR(Cartera1017[[#This Row],[Fin Producción]]),"-",ROUNDUP(MONTH(Cartera1017[[#This Row],[Fin Producción]]),0)))</f>
        <v>2026-2</v>
      </c>
      <c r="DE48" s="18" t="s">
        <v>510</v>
      </c>
      <c r="DF48" s="28"/>
      <c r="DG48" s="28"/>
      <c r="DH48" s="565"/>
    </row>
    <row r="49" spans="1:112" ht="44.25" hidden="1" customHeight="1">
      <c r="A49" s="229" t="s">
        <v>927</v>
      </c>
      <c r="B49" s="18">
        <v>2235</v>
      </c>
      <c r="C49" s="18" t="s">
        <v>485</v>
      </c>
      <c r="D49" s="18" t="s">
        <v>928</v>
      </c>
      <c r="E49" s="18" t="s">
        <v>129</v>
      </c>
      <c r="F49" s="33" t="s">
        <v>130</v>
      </c>
      <c r="G49" s="19" t="s">
        <v>929</v>
      </c>
      <c r="H49" s="18" t="s">
        <v>40</v>
      </c>
      <c r="I49" s="18" t="s">
        <v>490</v>
      </c>
      <c r="J49" s="18" t="s">
        <v>662</v>
      </c>
      <c r="K49" s="20">
        <v>45327</v>
      </c>
      <c r="L49" s="43" t="s">
        <v>930</v>
      </c>
      <c r="M49" s="50" t="s">
        <v>931</v>
      </c>
      <c r="N49" s="50"/>
      <c r="O49" s="18" t="s">
        <v>548</v>
      </c>
      <c r="P49" s="18" t="s">
        <v>495</v>
      </c>
      <c r="Q49" s="18" t="s">
        <v>496</v>
      </c>
      <c r="R49" s="18" t="s">
        <v>497</v>
      </c>
      <c r="S49" s="18"/>
      <c r="T49" s="18" t="s">
        <v>495</v>
      </c>
      <c r="U49" s="18" t="s">
        <v>495</v>
      </c>
      <c r="V49" s="18" t="s">
        <v>495</v>
      </c>
      <c r="W49" s="18" t="s">
        <v>495</v>
      </c>
      <c r="X49" s="18" t="s">
        <v>495</v>
      </c>
      <c r="Y49" s="80" t="s">
        <v>495</v>
      </c>
      <c r="Z49" s="18" t="s">
        <v>499</v>
      </c>
      <c r="AA49" s="20">
        <v>45533</v>
      </c>
      <c r="AB49" s="18" t="s">
        <v>500</v>
      </c>
      <c r="AC49" s="18" t="s">
        <v>501</v>
      </c>
      <c r="AD49" s="18" t="s">
        <v>79</v>
      </c>
      <c r="AE49" s="18" t="s">
        <v>41</v>
      </c>
      <c r="AF49" s="18" t="s">
        <v>42</v>
      </c>
      <c r="AG49" s="14" t="str">
        <f>VLOOKUP(AF49,Tabla3[[Estado Requerimiento]:[Macro estado]],2,FALSE)</f>
        <v>02. En Proceso</v>
      </c>
      <c r="AH49" s="18"/>
      <c r="AI49" s="80">
        <v>45537</v>
      </c>
      <c r="AJ49" s="80"/>
      <c r="AK49" s="80">
        <v>45565</v>
      </c>
      <c r="AL49" s="80">
        <v>45621</v>
      </c>
      <c r="AM49" s="80"/>
      <c r="AN49" s="80">
        <v>45644</v>
      </c>
      <c r="AO49" s="80">
        <v>45663</v>
      </c>
      <c r="AP49" s="81">
        <f t="shared" si="0"/>
        <v>45643.4</v>
      </c>
      <c r="AQ49" s="80"/>
      <c r="AR49" s="80"/>
      <c r="AS49" s="81">
        <f t="shared" si="1"/>
        <v>45650.400000000001</v>
      </c>
      <c r="AT49" s="19" t="s">
        <v>932</v>
      </c>
      <c r="AU49" s="44" t="str">
        <f>VLOOKUP(Cartera1017[[#This Row],[Gerencia]],tbGerencia[#All],3,FALSE)</f>
        <v>Operac.</v>
      </c>
      <c r="AV49" s="44" t="str">
        <f>IFERROR(VLOOKUP(Cartera1017[[#This Row],[Subgerencia]],Definiciones!$A$90:$B$144,2,FALSE),"")</f>
        <v>BancariosRecaudación</v>
      </c>
      <c r="AW49" s="44" t="str">
        <f>IF(OR(LEN(Cartera1017[[#This Row],[Fecha de Solicitud]])=0,(Cartera1017[[#This Row],[Fecha de Solicitud]])="No definido"),"No definido",IF(YEAR(Cartera1017[[#This Row],[Fecha de Solicitud]])&lt;2023," &lt;  2023",TEXT(Cartera1017[[#This Row],[Fecha de Solicitud]],"yyyy-mm")))</f>
        <v>2024-02</v>
      </c>
      <c r="AX49" s="44" t="str">
        <f>IF(Cartera1017[[#This Row],[Fecha de Priorización Comité]]="","No definido",TEXT(Cartera1017[[#This Row],[Fecha de Priorización Comité]],"yyyy-mm"))</f>
        <v>2024-08</v>
      </c>
      <c r="AY49" s="44" t="str">
        <f>IF(Cartera1017[[#This Row],[Fecha Fin- Desarrollo]]="","No definido",TEXT(Cartera1017[[#This Row],[Fecha Fin- Desarrollo]],"yyyy-mm"))</f>
        <v>2024-11</v>
      </c>
      <c r="AZ49" s="44" t="str">
        <f>IF(Cartera1017[[#This Row],[Fecha Fin- Producción]]="","No definido",TEXT(Cartera1017[[#This Row],[Fecha Fin- Producción]],"yyyy-mm"))</f>
        <v>No definido</v>
      </c>
      <c r="BA49" s="44" t="str">
        <f>IF(Cartera1017[[#This Row],[Fecha Fin-Planificada]]="","No definido",TEXT(Cartera1017[[#This Row],[Fecha Fin-Planificada]],"yyyy-mm"))</f>
        <v>2024-12</v>
      </c>
      <c r="BB49" s="33"/>
      <c r="BC49" s="66"/>
      <c r="BD49" s="66"/>
      <c r="BE49" s="66"/>
      <c r="BF49" s="386">
        <v>45533</v>
      </c>
      <c r="BG49" s="387" t="s">
        <v>519</v>
      </c>
      <c r="BH4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9" s="90" t="str">
        <f>IF(ISNUMBER(Cartera1017[[#This Row],[Duracion en Dias]]),Cartera1017[[#This Row],[Duracion en Dias]]/30, "No Aplica")</f>
        <v>No Aplica</v>
      </c>
      <c r="BJ49" s="109" t="s">
        <v>933</v>
      </c>
      <c r="BK49" s="28" t="s">
        <v>506</v>
      </c>
      <c r="BL49" s="110" t="s">
        <v>655</v>
      </c>
      <c r="BM49" s="342">
        <v>46030.747847222221</v>
      </c>
      <c r="BN49" s="227"/>
      <c r="BO49" s="227"/>
      <c r="BP49" s="227"/>
      <c r="BQ4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49" s="14" t="str">
        <f>IFERROR(VLOOKUP(Cartera1017[[#This Row],[Aplicativo]],Tabla76[],2,FALSE),"Sin Aplicativo")</f>
        <v>BackOffice</v>
      </c>
      <c r="BS49" s="14" t="str">
        <f>IFERROR(VLOOKUP(Cartera1017[[#This Row],[Aplicativo]],Tabla76[],3,FALSE),"Sin Aplicativo")</f>
        <v>Otros Requerimientos</v>
      </c>
      <c r="BT49" s="400">
        <v>45689</v>
      </c>
      <c r="BU49" s="140">
        <v>45689</v>
      </c>
      <c r="BV49" s="28"/>
      <c r="BW49"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45716</v>
      </c>
      <c r="BX4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49" s="97" t="str">
        <f ca="1">IF(Cartera1017[[#This Row],[Fecha Fin2]]="","No definido",CONCATENATE(TEXT(Cartera1017[[#This Row],[Fecha Fin2]],"mmm")," ",YEAR(Cartera1017[[#This Row],[Fecha Fin2]])))</f>
        <v>Feb 2025</v>
      </c>
      <c r="BZ49" s="28"/>
      <c r="CA49" s="48" t="str">
        <f>IF(Cartera1017[[#This Row],[Estado TI]] = "08. Producción Finalizada","Culminado",IF(Cartera1017[[#This Row],[Estado TI]]= "09. Descartado","Descartado","Activos"))</f>
        <v>Activos</v>
      </c>
      <c r="CB49" s="28"/>
      <c r="CC4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49" s="54" t="str">
        <f>IF(
AND(
Cartera1017[[#This Row],[DEVOLVER 27]]="NO",
NOT(ISBLANK(Cartera1017[[#This Row],[ESTADO NO DEVUELTOS 27]]))
),
"PRE",
"POST"
)</f>
        <v>PRE</v>
      </c>
      <c r="CE49" s="54" t="s">
        <v>509</v>
      </c>
      <c r="CF49" s="28" t="s">
        <v>42</v>
      </c>
      <c r="CG4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4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4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9" s="406">
        <f>Cartera1017[[#This Row],[Porcentaje de Avance]]</f>
        <v>0.85</v>
      </c>
      <c r="CK49" s="388">
        <f ca="1">IF(
   OR(
     Cartera1017[[#This Row],[Estado TI]]="09. Descartado",
     Cartera1017[[#This Row],[Comienzo Desarrollo]]="",
     Cartera1017[[#This Row],[Fin Producción]]=""
   ),
   "",
   Cartera1017[[#This Row],[% PLANIFICADO]]-Cartera1017[[#This Row],[% COMPLETADO]]
)</f>
        <v>0.15000000000000002</v>
      </c>
      <c r="CL49" s="388">
        <f ca="1">IF(
   OR(
     Cartera1017[[#This Row],[Estado TI]]="09. Descartado",
     Cartera1017[[#This Row],[Comienzo Desarrollo]]="",
     Cartera1017[[#This Row],[Fin Producción]]="",
     Cartera1017[[#This Row],[% PLANIFICADO]]=0
   ),
   "",
   MIN(Cartera1017[[#This Row],[% COMPLETADO]]/Cartera1017[[#This Row],[% PLANIFICADO]],1.2)
)</f>
        <v>0.85</v>
      </c>
      <c r="CM49" s="377">
        <v>45565</v>
      </c>
      <c r="CN49" s="377">
        <v>45565</v>
      </c>
      <c r="CO49" s="377">
        <v>45621</v>
      </c>
      <c r="CP49" s="377">
        <v>45644</v>
      </c>
      <c r="CQ49" s="377">
        <v>45663</v>
      </c>
      <c r="CR49" s="377">
        <v>46072</v>
      </c>
      <c r="CS49" s="377">
        <v>46108</v>
      </c>
      <c r="CT49" s="44">
        <f>IF(Cartera1017[[#This Row],[Fin Desarrollo]]="",25,IFERROR(NETWORKDAYS(Cartera1017[[#This Row],[Comienzo Desarrollo]],Cartera1017[[#This Row],[Fin Desarrollo]],FERIADOS[Fecha]),""))</f>
        <v>38</v>
      </c>
      <c r="CU4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49" s="44">
        <f>IF(OR(Cartera1017[[#This Row],[Comienzo Desarrollo]]="",Cartera1017[[#This Row],[Fin Desarrollo]]=""),200,IFERROR(Cartera1017[[#This Row],[DURACIÓN DESARROLLO DIAS]]*VLOOKUP(Cartera1017[[#This Row],[ID Mantenimiento]],MANT_HORAS[],2,FALSE),200))</f>
        <v>200</v>
      </c>
      <c r="CW49" s="110"/>
      <c r="CX49" s="110" t="str">
        <f>VLOOKUP(Cartera1017[[#This Row],[Estado TI]],Definiciones!$A$549:$B$559,2,FALSE)</f>
        <v>2. CALIDAD</v>
      </c>
      <c r="CY49" s="28">
        <f ca="1">1-Cartera1017[[#This Row],[Porcentaje avanzado desarrollo]]</f>
        <v>0</v>
      </c>
      <c r="CZ4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38</v>
      </c>
      <c r="DA49" s="28">
        <f ca="1">MAX(0,Cartera1017[[#This Row],[DURACIÓN DESARROLLO DIAS]]-Cartera1017[[#This Row],[Dias avanzados]])</f>
        <v>0</v>
      </c>
      <c r="DB49" s="28">
        <f ca="1">Cartera1017[[#This Row],[Dias avanzados]]*IFERROR(VLOOKUP(Cartera1017[[#This Row],[ID Mantenimiento]],MANT_HORAS[],2,FALSE),8)</f>
        <v>304</v>
      </c>
      <c r="DC49" s="28">
        <f ca="1">Cartera1017[[#This Row],[Dias faltantes]]*IFERROR(VLOOKUP(Cartera1017[[#This Row],[ID Mantenimiento]],MANT_HORAS[],2,FALSE),8)</f>
        <v>0</v>
      </c>
      <c r="DD49" s="28" t="str">
        <f>IF(Cartera1017[[#This Row],[Fin Producción]]=0,"Por definir",CONCATENATE(YEAR(Cartera1017[[#This Row],[Fin Producción]]),"-",ROUNDUP(MONTH(Cartera1017[[#This Row],[Fin Producción]]),0)))</f>
        <v>2026-3</v>
      </c>
      <c r="DE49" s="18" t="s">
        <v>510</v>
      </c>
      <c r="DF49" s="28" t="s">
        <v>934</v>
      </c>
      <c r="DG49" s="28" t="s">
        <v>659</v>
      </c>
      <c r="DH49" s="565"/>
    </row>
    <row r="50" spans="1:112" ht="44.25" hidden="1" customHeight="1">
      <c r="A50" s="229" t="s">
        <v>935</v>
      </c>
      <c r="B50" s="18">
        <v>2388</v>
      </c>
      <c r="C50" s="18" t="s">
        <v>485</v>
      </c>
      <c r="D50" s="18" t="s">
        <v>936</v>
      </c>
      <c r="E50" s="18" t="s">
        <v>134</v>
      </c>
      <c r="F50" s="33" t="s">
        <v>135</v>
      </c>
      <c r="G50" s="19" t="s">
        <v>937</v>
      </c>
      <c r="H50" s="18" t="s">
        <v>136</v>
      </c>
      <c r="I50" s="18" t="s">
        <v>938</v>
      </c>
      <c r="J50" s="18" t="s">
        <v>939</v>
      </c>
      <c r="K50" s="20">
        <v>45511</v>
      </c>
      <c r="L50" s="50" t="s">
        <v>940</v>
      </c>
      <c r="M50" s="50" t="s">
        <v>941</v>
      </c>
      <c r="N50" s="50"/>
      <c r="O50" s="18" t="s">
        <v>548</v>
      </c>
      <c r="P50" s="18" t="s">
        <v>912</v>
      </c>
      <c r="Q50" s="18" t="s">
        <v>942</v>
      </c>
      <c r="R50" s="18" t="s">
        <v>599</v>
      </c>
      <c r="S50" s="18" t="s">
        <v>599</v>
      </c>
      <c r="T50" s="18" t="s">
        <v>652</v>
      </c>
      <c r="U50" s="18" t="s">
        <v>943</v>
      </c>
      <c r="V50" s="18"/>
      <c r="W50" s="18"/>
      <c r="X50" s="18"/>
      <c r="Y50" s="80">
        <v>45292</v>
      </c>
      <c r="Z50" s="18" t="s">
        <v>499</v>
      </c>
      <c r="AA50" s="20">
        <v>45533</v>
      </c>
      <c r="AB50" s="18" t="s">
        <v>533</v>
      </c>
      <c r="AC50" s="263" t="s">
        <v>570</v>
      </c>
      <c r="AD50" s="18" t="s">
        <v>49</v>
      </c>
      <c r="AE50" s="18" t="s">
        <v>63</v>
      </c>
      <c r="AF50" s="18" t="s">
        <v>502</v>
      </c>
      <c r="AG50" s="14" t="str">
        <f>VLOOKUP(AF50,Tabla3[[Estado Requerimiento]:[Macro estado]],2,FALSE)</f>
        <v>05. Descartado</v>
      </c>
      <c r="AH50" s="18"/>
      <c r="AI50" s="80">
        <v>45517</v>
      </c>
      <c r="AJ50" s="80"/>
      <c r="AK50" s="80">
        <v>46078</v>
      </c>
      <c r="AL50" s="80"/>
      <c r="AM50" s="80">
        <v>45607</v>
      </c>
      <c r="AN50" s="80"/>
      <c r="AO50" s="80"/>
      <c r="AP50" s="81">
        <f t="shared" si="0"/>
        <v>45418.6</v>
      </c>
      <c r="AQ50" s="80">
        <v>46077</v>
      </c>
      <c r="AR50" s="80"/>
      <c r="AS50" s="81">
        <f t="shared" si="1"/>
        <v>45425.599999999999</v>
      </c>
      <c r="AT50" s="19" t="s">
        <v>944</v>
      </c>
      <c r="AU50" s="44" t="str">
        <f>VLOOKUP(Cartera1017[[#This Row],[Gerencia]],tbGerencia[#All],3,FALSE)</f>
        <v>GerenciaGral.</v>
      </c>
      <c r="AV50" s="44" t="str">
        <f>IFERROR(VLOOKUP(Cartera1017[[#This Row],[Subgerencia]],Definiciones!$A$90:$B$144,2,FALSE),"")</f>
        <v>ClienteReclamos</v>
      </c>
      <c r="AW50" s="44" t="str">
        <f>IF(OR(LEN(Cartera1017[[#This Row],[Fecha de Solicitud]])=0,(Cartera1017[[#This Row],[Fecha de Solicitud]])="No definido"),"No definido",IF(YEAR(Cartera1017[[#This Row],[Fecha de Solicitud]])&lt;2023," &lt;  2023",TEXT(Cartera1017[[#This Row],[Fecha de Solicitud]],"yyyy-mm")))</f>
        <v>2024-08</v>
      </c>
      <c r="AX50" s="44" t="str">
        <f>IF(Cartera1017[[#This Row],[Fecha de Priorización Comité]]="","No definido",TEXT(Cartera1017[[#This Row],[Fecha de Priorización Comité]],"yyyy-mm"))</f>
        <v>2024-08</v>
      </c>
      <c r="AY50" s="44" t="str">
        <f>IF(Cartera1017[[#This Row],[Fecha Fin- Desarrollo]]="","No definido",TEXT(Cartera1017[[#This Row],[Fecha Fin- Desarrollo]],"yyyy-mm"))</f>
        <v>No definido</v>
      </c>
      <c r="AZ50" s="44" t="str">
        <f>IF(Cartera1017[[#This Row],[Fecha Fin- Producción]]="","No definido",TEXT(Cartera1017[[#This Row],[Fecha Fin- Producción]],"yyyy-mm"))</f>
        <v>No definido</v>
      </c>
      <c r="BA50" s="44" t="str">
        <f>IF(Cartera1017[[#This Row],[Fecha Fin-Planificada]]="","No definido",TEXT(Cartera1017[[#This Row],[Fecha Fin-Planificada]],"yyyy-mm"))</f>
        <v>2024-05</v>
      </c>
      <c r="BB50" s="33" t="s">
        <v>572</v>
      </c>
      <c r="BC50" s="66">
        <v>45537</v>
      </c>
      <c r="BD50" s="66">
        <v>45607</v>
      </c>
      <c r="BE50" s="66">
        <v>45607</v>
      </c>
      <c r="BF50" s="386">
        <v>45533</v>
      </c>
      <c r="BG50" s="387" t="s">
        <v>519</v>
      </c>
      <c r="BH5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0" s="90" t="str">
        <f>IF(ISNUMBER(Cartera1017[[#This Row],[Duracion en Dias]]),Cartera1017[[#This Row],[Duracion en Dias]]/30, "No Aplica")</f>
        <v>No Aplica</v>
      </c>
      <c r="BJ50" s="188" t="s">
        <v>945</v>
      </c>
      <c r="BK50" s="28" t="s">
        <v>506</v>
      </c>
      <c r="BL50" s="110" t="s">
        <v>507</v>
      </c>
      <c r="BM50" s="342">
        <v>46078.778425925928</v>
      </c>
      <c r="BN50" s="227"/>
      <c r="BO50" s="227"/>
      <c r="BP50" s="227"/>
      <c r="BQ5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0" s="14" t="str">
        <f>IFERROR(VLOOKUP(Cartera1017[[#This Row],[Aplicativo]],Tabla76[],2,FALSE),"Sin Aplicativo")</f>
        <v>BackOffice</v>
      </c>
      <c r="BS50" s="14" t="str">
        <f>IFERROR(VLOOKUP(Cartera1017[[#This Row],[Aplicativo]],Tabla76[],3,FALSE),"Sin Aplicativo")</f>
        <v>Otros Requerimientos</v>
      </c>
      <c r="BT50" s="400">
        <v>45778</v>
      </c>
      <c r="BU50" s="140">
        <v>45778</v>
      </c>
      <c r="BV50" s="28" t="s">
        <v>946</v>
      </c>
      <c r="BW50"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5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0" s="97" t="str">
        <f ca="1">IF(Cartera1017[[#This Row],[Fecha Fin2]]="","No definido",CONCATENATE(TEXT(Cartera1017[[#This Row],[Fecha Fin2]],"mmm")," ",YEAR(Cartera1017[[#This Row],[Fecha Fin2]])))</f>
        <v>May 2025</v>
      </c>
      <c r="BZ50" s="28">
        <v>2025</v>
      </c>
      <c r="CA50" s="48" t="str">
        <f>IF(Cartera1017[[#This Row],[Estado TI]] = "08. Producción Finalizada","Culminado",IF(Cartera1017[[#This Row],[Estado TI]]= "09. Descartado","Descartado","Activos"))</f>
        <v>Descartado</v>
      </c>
      <c r="CB50" s="28"/>
      <c r="CC5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50" s="54" t="str">
        <f>IF(
AND(
Cartera1017[[#This Row],[DEVOLVER 27]]="NO",
NOT(ISBLANK(Cartera1017[[#This Row],[ESTADO NO DEVUELTOS 27]]))
),
"PRE",
"POST"
)</f>
        <v>POST</v>
      </c>
      <c r="CE50" s="54" t="s">
        <v>523</v>
      </c>
      <c r="CF50" s="28" t="s">
        <v>524</v>
      </c>
      <c r="CG5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50"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50" s="406">
        <f>Cartera1017[[#This Row],[Porcentaje de Avance]]</f>
        <v>-0.01</v>
      </c>
      <c r="CK50" s="388" t="str">
        <f>IF(
   OR(
     Cartera1017[[#This Row],[Estado TI]]="09. Descartado",
     Cartera1017[[#This Row],[Comienzo Desarrollo]]="",
     Cartera1017[[#This Row],[Fin Producción]]=""
   ),
   "",
   Cartera1017[[#This Row],[% PLANIFICADO]]-Cartera1017[[#This Row],[% COMPLETADO]]
)</f>
        <v/>
      </c>
      <c r="CL50" s="388" t="str">
        <f ca="1">IF(
   OR(
     Cartera1017[[#This Row],[Estado TI]]="09. Descartado",
     Cartera1017[[#This Row],[Comienzo Desarrollo]]="",
     Cartera1017[[#This Row],[Fin Producción]]="",
     Cartera1017[[#This Row],[% PLANIFICADO]]=0
   ),
   "",
   MIN(Cartera1017[[#This Row],[% COMPLETADO]]/Cartera1017[[#This Row],[% PLANIFICADO]],1.2)
)</f>
        <v/>
      </c>
      <c r="CM50" s="377"/>
      <c r="CN50" s="377"/>
      <c r="CO50" s="377"/>
      <c r="CP50" s="377"/>
      <c r="CQ50" s="377"/>
      <c r="CR50" s="377"/>
      <c r="CS50" s="377"/>
      <c r="CT50" s="44">
        <f>IF(Cartera1017[[#This Row],[Fin Desarrollo]]="",25,IFERROR(NETWORKDAYS(Cartera1017[[#This Row],[Comienzo Desarrollo]],Cartera1017[[#This Row],[Fin Desarrollo]],FERIADOS[Fecha]),""))</f>
        <v>25</v>
      </c>
      <c r="CU5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50" s="44">
        <f>IF(OR(Cartera1017[[#This Row],[Comienzo Desarrollo]]="",Cartera1017[[#This Row],[Fin Desarrollo]]=""),200,IFERROR(Cartera1017[[#This Row],[DURACIÓN DESARROLLO DIAS]]*VLOOKUP(Cartera1017[[#This Row],[ID Mantenimiento]],MANT_HORAS[],2,FALSE),200))</f>
        <v>200</v>
      </c>
      <c r="CW50" s="110"/>
      <c r="CX50" s="110" t="str">
        <f>VLOOKUP(Cartera1017[[#This Row],[Estado TI]],Definiciones!$A$549:$B$559,2,FALSE)</f>
        <v>5. DESCARTADO</v>
      </c>
      <c r="CY50" s="28">
        <f ca="1">1-Cartera1017[[#This Row],[Porcentaje avanzado desarrollo]]</f>
        <v>0.9</v>
      </c>
      <c r="CZ5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50" s="28">
        <f ca="1">MAX(0,Cartera1017[[#This Row],[DURACIÓN DESARROLLO DIAS]]-Cartera1017[[#This Row],[Dias avanzados]])</f>
        <v>24</v>
      </c>
      <c r="DB50" s="28">
        <f ca="1">Cartera1017[[#This Row],[Dias avanzados]]*IFERROR(VLOOKUP(Cartera1017[[#This Row],[ID Mantenimiento]],MANT_HORAS[],2,FALSE),8)</f>
        <v>8</v>
      </c>
      <c r="DC50" s="28">
        <f ca="1">Cartera1017[[#This Row],[Dias faltantes]]*IFERROR(VLOOKUP(Cartera1017[[#This Row],[ID Mantenimiento]],MANT_HORAS[],2,FALSE),8)</f>
        <v>192</v>
      </c>
      <c r="DD50" s="28" t="str">
        <f>IF(Cartera1017[[#This Row],[Fin Producción]]=0,"Por definir",CONCATENATE(YEAR(Cartera1017[[#This Row],[Fin Producción]]),"-",ROUNDUP(MONTH(Cartera1017[[#This Row],[Fin Producción]]),0)))</f>
        <v>Por definir</v>
      </c>
      <c r="DE50" s="18" t="s">
        <v>510</v>
      </c>
      <c r="DF50" s="28"/>
      <c r="DG50" s="28"/>
      <c r="DH50" s="565"/>
    </row>
    <row r="51" spans="1:112" ht="44.25" hidden="1" customHeight="1">
      <c r="A51" s="229" t="s">
        <v>947</v>
      </c>
      <c r="B51" s="18">
        <v>2391</v>
      </c>
      <c r="C51" s="18" t="s">
        <v>485</v>
      </c>
      <c r="D51" s="18" t="s">
        <v>948</v>
      </c>
      <c r="E51" s="18" t="s">
        <v>137</v>
      </c>
      <c r="F51" s="33" t="s">
        <v>138</v>
      </c>
      <c r="G51" s="19" t="s">
        <v>949</v>
      </c>
      <c r="H51" s="18" t="s">
        <v>40</v>
      </c>
      <c r="I51" s="18" t="s">
        <v>490</v>
      </c>
      <c r="J51" s="18" t="s">
        <v>662</v>
      </c>
      <c r="K51" s="20">
        <v>45474</v>
      </c>
      <c r="L51" s="50" t="s">
        <v>950</v>
      </c>
      <c r="M51" s="50" t="s">
        <v>820</v>
      </c>
      <c r="N51" s="50"/>
      <c r="O51" s="18" t="s">
        <v>548</v>
      </c>
      <c r="P51" s="18" t="s">
        <v>495</v>
      </c>
      <c r="Q51" s="18" t="s">
        <v>951</v>
      </c>
      <c r="R51" s="18" t="s">
        <v>497</v>
      </c>
      <c r="S51" s="18"/>
      <c r="T51" s="18" t="s">
        <v>495</v>
      </c>
      <c r="U51" s="18" t="s">
        <v>495</v>
      </c>
      <c r="V51" s="18" t="s">
        <v>495</v>
      </c>
      <c r="W51" s="18" t="s">
        <v>495</v>
      </c>
      <c r="X51" s="18" t="s">
        <v>495</v>
      </c>
      <c r="Y51" s="80" t="s">
        <v>495</v>
      </c>
      <c r="Z51" s="18" t="s">
        <v>499</v>
      </c>
      <c r="AA51" s="20">
        <v>45533</v>
      </c>
      <c r="AB51" s="18" t="s">
        <v>500</v>
      </c>
      <c r="AC51" s="18" t="s">
        <v>558</v>
      </c>
      <c r="AD51" s="18" t="s">
        <v>139</v>
      </c>
      <c r="AE51" s="18" t="s">
        <v>41</v>
      </c>
      <c r="AF51" s="18" t="s">
        <v>48</v>
      </c>
      <c r="AG51" s="14" t="str">
        <f>VLOOKUP(AF51,Tabla3[[Estado Requerimiento]:[Macro estado]],2,FALSE)</f>
        <v>02. En Proceso</v>
      </c>
      <c r="AH51" s="18"/>
      <c r="AI51" s="80">
        <v>45532</v>
      </c>
      <c r="AJ51" s="80"/>
      <c r="AK51" s="80"/>
      <c r="AL51" s="80"/>
      <c r="AM51" s="80"/>
      <c r="AN51" s="80"/>
      <c r="AO51" s="80"/>
      <c r="AP51" s="81" t="str">
        <f t="shared" si="0"/>
        <v/>
      </c>
      <c r="AQ51" s="80"/>
      <c r="AR51" s="80"/>
      <c r="AS51" s="81" t="str">
        <f t="shared" si="1"/>
        <v/>
      </c>
      <c r="AT51" s="19" t="s">
        <v>952</v>
      </c>
      <c r="AU51" s="44" t="str">
        <f>VLOOKUP(Cartera1017[[#This Row],[Gerencia]],tbGerencia[#All],3,FALSE)</f>
        <v>Operac.</v>
      </c>
      <c r="AV51" s="44" t="str">
        <f>IFERROR(VLOOKUP(Cartera1017[[#This Row],[Subgerencia]],Definiciones!$A$90:$B$144,2,FALSE),"")</f>
        <v>BancariosRecaudación</v>
      </c>
      <c r="AW51" s="44" t="str">
        <f>IF(OR(LEN(Cartera1017[[#This Row],[Fecha de Solicitud]])=0,(Cartera1017[[#This Row],[Fecha de Solicitud]])="No definido"),"No definido",IF(YEAR(Cartera1017[[#This Row],[Fecha de Solicitud]])&lt;2023," &lt;  2023",TEXT(Cartera1017[[#This Row],[Fecha de Solicitud]],"yyyy-mm")))</f>
        <v>2024-07</v>
      </c>
      <c r="AX51" s="44" t="str">
        <f>IF(Cartera1017[[#This Row],[Fecha de Priorización Comité]]="","No definido",TEXT(Cartera1017[[#This Row],[Fecha de Priorización Comité]],"yyyy-mm"))</f>
        <v>2024-08</v>
      </c>
      <c r="AY51" s="44" t="str">
        <f>IF(Cartera1017[[#This Row],[Fecha Fin- Desarrollo]]="","No definido",TEXT(Cartera1017[[#This Row],[Fecha Fin- Desarrollo]],"yyyy-mm"))</f>
        <v>No definido</v>
      </c>
      <c r="AZ51" s="44" t="str">
        <f>IF(Cartera1017[[#This Row],[Fecha Fin- Producción]]="","No definido",TEXT(Cartera1017[[#This Row],[Fecha Fin- Producción]],"yyyy-mm"))</f>
        <v>No definido</v>
      </c>
      <c r="BA51" s="44" t="str">
        <f>IF(Cartera1017[[#This Row],[Fecha Fin-Planificada]]="","No definido",TEXT(Cartera1017[[#This Row],[Fecha Fin-Planificada]],"yyyy-mm"))</f>
        <v>No definido</v>
      </c>
      <c r="BB51" s="33"/>
      <c r="BC51" s="66"/>
      <c r="BD51" s="66"/>
      <c r="BE51" s="66"/>
      <c r="BF51" s="386">
        <v>45533</v>
      </c>
      <c r="BG51" s="387" t="s">
        <v>519</v>
      </c>
      <c r="BH5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51" s="90" t="str">
        <f>IF(ISNUMBER(Cartera1017[[#This Row],[Duracion en Dias]]),Cartera1017[[#This Row],[Duracion en Dias]]/30, "No Aplica")</f>
        <v>No Aplica</v>
      </c>
      <c r="BJ51" s="109" t="s">
        <v>953</v>
      </c>
      <c r="BK51" s="28" t="s">
        <v>506</v>
      </c>
      <c r="BL51" s="110" t="s">
        <v>581</v>
      </c>
      <c r="BM51" s="342">
        <v>46150.343472222223</v>
      </c>
      <c r="BN51" s="227"/>
      <c r="BO51" s="227"/>
      <c r="BP51" s="227"/>
      <c r="BQ5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51" s="14" t="str">
        <f>IFERROR(VLOOKUP(Cartera1017[[#This Row],[Aplicativo]],Tabla76[],2,FALSE),"Sin Aplicativo")</f>
        <v>BackOffice</v>
      </c>
      <c r="BS51" s="14" t="str">
        <f>IFERROR(VLOOKUP(Cartera1017[[#This Row],[Aplicativo]],Tabla76[],3,FALSE),"Sin Aplicativo")</f>
        <v>Otros Requerimientos</v>
      </c>
      <c r="BT51" s="400">
        <v>45717</v>
      </c>
      <c r="BU51" s="140">
        <v>45717</v>
      </c>
      <c r="BV51" s="33" t="s">
        <v>954</v>
      </c>
      <c r="BW5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45747</v>
      </c>
      <c r="BX5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1" s="97" t="str">
        <f ca="1">IF(Cartera1017[[#This Row],[Fecha Fin2]]="","No definido",CONCATENATE(TEXT(Cartera1017[[#This Row],[Fecha Fin2]],"mmm")," ",YEAR(Cartera1017[[#This Row],[Fecha Fin2]])))</f>
        <v>Mar 2025</v>
      </c>
      <c r="BZ51" s="28"/>
      <c r="CA51" s="48" t="str">
        <f>IF(Cartera1017[[#This Row],[Estado TI]] = "08. Producción Finalizada","Culminado",IF(Cartera1017[[#This Row],[Estado TI]]= "09. Descartado","Descartado","Activos"))</f>
        <v>Activos</v>
      </c>
      <c r="CB51" s="28"/>
      <c r="CC5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51" s="54" t="str">
        <f>IF(
AND(
Cartera1017[[#This Row],[DEVOLVER 27]]="NO",
NOT(ISBLANK(Cartera1017[[#This Row],[ESTADO NO DEVUELTOS 27]]))
),
"PRE",
"POST"
)</f>
        <v>PRE</v>
      </c>
      <c r="CE51" s="54" t="s">
        <v>509</v>
      </c>
      <c r="CF51" s="28" t="s">
        <v>42</v>
      </c>
      <c r="CG5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5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5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51" s="406">
        <f>Cartera1017[[#This Row],[Porcentaje de Avance]]</f>
        <v>0.45</v>
      </c>
      <c r="CK51" s="388">
        <f ca="1">IF(
   OR(
     Cartera1017[[#This Row],[Estado TI]]="09. Descartado",
     Cartera1017[[#This Row],[Comienzo Desarrollo]]="",
     Cartera1017[[#This Row],[Fin Producción]]=""
   ),
   "",
   Cartera1017[[#This Row],[% PLANIFICADO]]-Cartera1017[[#This Row],[% COMPLETADO]]
)</f>
        <v>0.55000000000000004</v>
      </c>
      <c r="CL51" s="388">
        <f ca="1">IF(
   OR(
     Cartera1017[[#This Row],[Estado TI]]="09. Descartado",
     Cartera1017[[#This Row],[Comienzo Desarrollo]]="",
     Cartera1017[[#This Row],[Fin Producción]]="",
     Cartera1017[[#This Row],[% PLANIFICADO]]=0
   ),
   "",
   MIN(Cartera1017[[#This Row],[% COMPLETADO]]/Cartera1017[[#This Row],[% PLANIFICADO]],1.2)
)</f>
        <v>0.45</v>
      </c>
      <c r="CM51" s="377">
        <v>45533</v>
      </c>
      <c r="CN51" s="377">
        <v>45533</v>
      </c>
      <c r="CO51" s="377">
        <v>45719</v>
      </c>
      <c r="CP51" s="377">
        <v>45722</v>
      </c>
      <c r="CQ51" s="377">
        <v>45734</v>
      </c>
      <c r="CR51" s="377">
        <v>46072</v>
      </c>
      <c r="CS51" s="377">
        <v>46108</v>
      </c>
      <c r="CT51" s="44">
        <f>IF(Cartera1017[[#This Row],[Fin Desarrollo]]="",25,IFERROR(NETWORKDAYS(Cartera1017[[#This Row],[Comienzo Desarrollo]],Cartera1017[[#This Row],[Fin Desarrollo]],FERIADOS[Fecha]),""))</f>
        <v>121</v>
      </c>
      <c r="CU5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51" s="44">
        <f>IF(OR(Cartera1017[[#This Row],[Comienzo Desarrollo]]="",Cartera1017[[#This Row],[Fin Desarrollo]]=""),200,IFERROR(Cartera1017[[#This Row],[DURACIÓN DESARROLLO DIAS]]*VLOOKUP(Cartera1017[[#This Row],[ID Mantenimiento]],MANT_HORAS[],2,FALSE),200))</f>
        <v>242</v>
      </c>
      <c r="CW51" s="110"/>
      <c r="CX51" s="110" t="str">
        <f>VLOOKUP(Cartera1017[[#This Row],[Estado TI]],Definiciones!$A$549:$B$559,2,FALSE)</f>
        <v>1. DESARROLLO</v>
      </c>
      <c r="CY51" s="28">
        <f ca="1">1-Cartera1017[[#This Row],[Porcentaje avanzado desarrollo]]</f>
        <v>0</v>
      </c>
      <c r="CZ5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121</v>
      </c>
      <c r="DA51" s="28">
        <f ca="1">MAX(0,Cartera1017[[#This Row],[DURACIÓN DESARROLLO DIAS]]-Cartera1017[[#This Row],[Dias avanzados]])</f>
        <v>0</v>
      </c>
      <c r="DB51" s="28">
        <f ca="1">Cartera1017[[#This Row],[Dias avanzados]]*IFERROR(VLOOKUP(Cartera1017[[#This Row],[ID Mantenimiento]],MANT_HORAS[],2,FALSE),8)</f>
        <v>242</v>
      </c>
      <c r="DC51" s="28">
        <f ca="1">Cartera1017[[#This Row],[Dias faltantes]]*IFERROR(VLOOKUP(Cartera1017[[#This Row],[ID Mantenimiento]],MANT_HORAS[],2,FALSE),8)</f>
        <v>0</v>
      </c>
      <c r="DD51" s="28" t="str">
        <f>IF(Cartera1017[[#This Row],[Fin Producción]]=0,"Por definir",CONCATENATE(YEAR(Cartera1017[[#This Row],[Fin Producción]]),"-",ROUNDUP(MONTH(Cartera1017[[#This Row],[Fin Producción]]),0)))</f>
        <v>2026-3</v>
      </c>
      <c r="DE51" s="18" t="s">
        <v>510</v>
      </c>
      <c r="DF51" s="28" t="s">
        <v>955</v>
      </c>
      <c r="DG51" s="28" t="s">
        <v>956</v>
      </c>
      <c r="DH51" s="565"/>
    </row>
    <row r="52" spans="1:112" ht="44.25" hidden="1" customHeight="1">
      <c r="A52" s="229" t="s">
        <v>957</v>
      </c>
      <c r="B52" s="18">
        <v>2402</v>
      </c>
      <c r="C52" s="18" t="s">
        <v>485</v>
      </c>
      <c r="D52" s="344" t="s">
        <v>958</v>
      </c>
      <c r="E52" s="18" t="s">
        <v>140</v>
      </c>
      <c r="F52" s="33" t="s">
        <v>141</v>
      </c>
      <c r="G52" s="226"/>
      <c r="H52" s="344" t="s">
        <v>26</v>
      </c>
      <c r="I52" s="18" t="s">
        <v>539</v>
      </c>
      <c r="J52" s="18" t="s">
        <v>540</v>
      </c>
      <c r="K52" s="346">
        <v>45533</v>
      </c>
      <c r="L52" s="50" t="s">
        <v>959</v>
      </c>
      <c r="M52" s="50" t="s">
        <v>556</v>
      </c>
      <c r="N52" s="114" t="s">
        <v>598</v>
      </c>
      <c r="O52" s="344" t="s">
        <v>530</v>
      </c>
      <c r="P52" s="344" t="s">
        <v>495</v>
      </c>
      <c r="Q52" s="344" t="s">
        <v>496</v>
      </c>
      <c r="R52" s="344" t="s">
        <v>599</v>
      </c>
      <c r="S52" s="18" t="s">
        <v>599</v>
      </c>
      <c r="T52" s="18" t="s">
        <v>600</v>
      </c>
      <c r="U52" s="18" t="s">
        <v>960</v>
      </c>
      <c r="V52" s="18"/>
      <c r="W52" s="18"/>
      <c r="X52" s="18"/>
      <c r="Y52" s="80">
        <v>45565</v>
      </c>
      <c r="Z52" s="18" t="s">
        <v>499</v>
      </c>
      <c r="AA52" s="20"/>
      <c r="AB52" s="18" t="s">
        <v>500</v>
      </c>
      <c r="AC52" s="18" t="s">
        <v>570</v>
      </c>
      <c r="AD52" s="18" t="s">
        <v>30</v>
      </c>
      <c r="AE52" s="39" t="s">
        <v>47</v>
      </c>
      <c r="AF52" s="18" t="s">
        <v>42</v>
      </c>
      <c r="AG52" s="14" t="str">
        <f>VLOOKUP(AF52,Tabla3[[Estado Requerimiento]:[Macro estado]],2,FALSE)</f>
        <v>02. En Proceso</v>
      </c>
      <c r="AH52" s="18"/>
      <c r="AI52" s="80">
        <v>45540</v>
      </c>
      <c r="AJ52" s="80"/>
      <c r="AK52" s="80">
        <v>45540</v>
      </c>
      <c r="AL52" s="80">
        <v>45876</v>
      </c>
      <c r="AM52" s="80">
        <v>45799</v>
      </c>
      <c r="AN52" s="80">
        <v>45877</v>
      </c>
      <c r="AO52" s="80">
        <v>45883</v>
      </c>
      <c r="AP52" s="81">
        <f t="shared" si="0"/>
        <v>45902.6</v>
      </c>
      <c r="AQ52" s="80"/>
      <c r="AR52" s="80"/>
      <c r="AS52" s="81">
        <f t="shared" si="1"/>
        <v>45909.599999999999</v>
      </c>
      <c r="AT52" s="19" t="s">
        <v>961</v>
      </c>
      <c r="AU52" s="44" t="str">
        <f>VLOOKUP(Cartera1017[[#This Row],[Gerencia]],tbGerencia[#All],3,FALSE)</f>
        <v>B.Digital</v>
      </c>
      <c r="AV52" s="44" t="str">
        <f>IFERROR(VLOOKUP(Cartera1017[[#This Row],[Subgerencia]],Definiciones!$A$90:$B$144,2,FALSE),"")</f>
        <v>CanalesAlternos</v>
      </c>
      <c r="AW52" s="44" t="str">
        <f>IF(OR(LEN(Cartera1017[[#This Row],[Fecha de Solicitud]])=0,(Cartera1017[[#This Row],[Fecha de Solicitud]])="No definido"),"No definido",IF(YEAR(Cartera1017[[#This Row],[Fecha de Solicitud]])&lt;2023," &lt;  2023",TEXT(Cartera1017[[#This Row],[Fecha de Solicitud]],"yyyy-mm")))</f>
        <v>2024-08</v>
      </c>
      <c r="AX52" s="44" t="str">
        <f>IF(Cartera1017[[#This Row],[Fecha de Priorización Comité]]="","No definido",TEXT(Cartera1017[[#This Row],[Fecha de Priorización Comité]],"yyyy-mm"))</f>
        <v>No definido</v>
      </c>
      <c r="AY52" s="44" t="str">
        <f>IF(Cartera1017[[#This Row],[Fecha Fin- Desarrollo]]="","No definido",TEXT(Cartera1017[[#This Row],[Fecha Fin- Desarrollo]],"yyyy-mm"))</f>
        <v>2025-08</v>
      </c>
      <c r="AZ52" s="44" t="str">
        <f>IF(Cartera1017[[#This Row],[Fecha Fin- Producción]]="","No definido",TEXT(Cartera1017[[#This Row],[Fecha Fin- Producción]],"yyyy-mm"))</f>
        <v>No definido</v>
      </c>
      <c r="BA52" s="44" t="str">
        <f>IF(Cartera1017[[#This Row],[Fecha Fin-Planificada]]="","No definido",TEXT(Cartera1017[[#This Row],[Fecha Fin-Planificada]],"yyyy-mm"))</f>
        <v>2025-09</v>
      </c>
      <c r="BB52" s="33" t="s">
        <v>604</v>
      </c>
      <c r="BC52" s="66">
        <v>45642</v>
      </c>
      <c r="BD52" s="66">
        <v>45799</v>
      </c>
      <c r="BE52" s="66">
        <v>45799</v>
      </c>
      <c r="BF52" s="386">
        <v>45540</v>
      </c>
      <c r="BG52" s="387" t="s">
        <v>519</v>
      </c>
      <c r="BH5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2" s="90" t="str">
        <f>IF(ISNUMBER(Cartera1017[[#This Row],[Duracion en Dias]]),Cartera1017[[#This Row],[Duracion en Dias]]/30, "No Aplica")</f>
        <v>No Aplica</v>
      </c>
      <c r="BJ52" s="188" t="s">
        <v>962</v>
      </c>
      <c r="BK52" s="28" t="s">
        <v>506</v>
      </c>
      <c r="BL52" s="110" t="s">
        <v>655</v>
      </c>
      <c r="BM52" s="342">
        <v>45992.657638888886</v>
      </c>
      <c r="BN52" s="227"/>
      <c r="BO52" s="227"/>
      <c r="BP52" s="227"/>
      <c r="BQ5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2" s="14" t="str">
        <f>IFERROR(VLOOKUP(Cartera1017[[#This Row],[Aplicativo]],Tabla76[],2,FALSE),"Sin Aplicativo")</f>
        <v>ATM-Agentes-VISA</v>
      </c>
      <c r="BS52" s="14" t="str">
        <f>IFERROR(VLOOKUP(Cartera1017[[#This Row],[Aplicativo]],Tabla76[],3,FALSE),"Sin Aplicativo")</f>
        <v>Canales Presenciales</v>
      </c>
      <c r="BT52" s="400">
        <v>45778</v>
      </c>
      <c r="BU52" s="140">
        <v>45778</v>
      </c>
      <c r="BV52" s="33" t="s">
        <v>963</v>
      </c>
      <c r="BW5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5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2" s="97" t="str">
        <f ca="1">IF(Cartera1017[[#This Row],[Fecha Fin2]]="","No definido",CONCATENATE(TEXT(Cartera1017[[#This Row],[Fecha Fin2]],"mmm")," ",YEAR(Cartera1017[[#This Row],[Fecha Fin2]])))</f>
        <v>May 2025</v>
      </c>
      <c r="BZ52" s="28">
        <v>2025</v>
      </c>
      <c r="CA52" s="48" t="str">
        <f>IF(Cartera1017[[#This Row],[Estado TI]] = "08. Producción Finalizada","Culminado",IF(Cartera1017[[#This Row],[Estado TI]]= "09. Descartado","Descartado","Activos"))</f>
        <v>Activos</v>
      </c>
      <c r="CB52" s="164" t="s">
        <v>650</v>
      </c>
      <c r="CC5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52" s="54" t="str">
        <f>IF(
AND(
Cartera1017[[#This Row],[DEVOLVER 27]]="NO",
NOT(ISBLANK(Cartera1017[[#This Row],[ESTADO NO DEVUELTOS 27]]))
),
"PRE",
"POST"
)</f>
        <v>PRE</v>
      </c>
      <c r="CE52" s="54" t="s">
        <v>509</v>
      </c>
      <c r="CF52" s="28" t="s">
        <v>42</v>
      </c>
      <c r="CG5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5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5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52" s="406">
        <f>Cartera1017[[#This Row],[Porcentaje de Avance]]</f>
        <v>0.85</v>
      </c>
      <c r="CK52" s="388">
        <f ca="1">IF(
   OR(
     Cartera1017[[#This Row],[Estado TI]]="09. Descartado",
     Cartera1017[[#This Row],[Comienzo Desarrollo]]="",
     Cartera1017[[#This Row],[Fin Producción]]=""
   ),
   "",
   Cartera1017[[#This Row],[% PLANIFICADO]]-Cartera1017[[#This Row],[% COMPLETADO]]
)</f>
        <v>0.15000000000000002</v>
      </c>
      <c r="CL52" s="388">
        <f ca="1">IF(
   OR(
     Cartera1017[[#This Row],[Estado TI]]="09. Descartado",
     Cartera1017[[#This Row],[Comienzo Desarrollo]]="",
     Cartera1017[[#This Row],[Fin Producción]]="",
     Cartera1017[[#This Row],[% PLANIFICADO]]=0
   ),
   "",
   MIN(Cartera1017[[#This Row],[% COMPLETADO]]/Cartera1017[[#This Row],[% PLANIFICADO]],1.2)
)</f>
        <v>0.85</v>
      </c>
      <c r="CM52" s="377">
        <v>45540</v>
      </c>
      <c r="CN52" s="377">
        <v>45540</v>
      </c>
      <c r="CO52" s="377">
        <v>45876</v>
      </c>
      <c r="CP52" s="377">
        <v>45877</v>
      </c>
      <c r="CQ52" s="377">
        <v>45883</v>
      </c>
      <c r="CR52" s="377">
        <v>46072</v>
      </c>
      <c r="CS52" s="377">
        <v>46142</v>
      </c>
      <c r="CT52" s="44">
        <f>IF(Cartera1017[[#This Row],[Fin Desarrollo]]="",25,IFERROR(NETWORKDAYS(Cartera1017[[#This Row],[Comienzo Desarrollo]],Cartera1017[[#This Row],[Fin Desarrollo]],FERIADOS[Fecha]),""))</f>
        <v>227</v>
      </c>
      <c r="CU5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52" s="44">
        <f>IF(OR(Cartera1017[[#This Row],[Comienzo Desarrollo]]="",Cartera1017[[#This Row],[Fin Desarrollo]]=""),200,IFERROR(Cartera1017[[#This Row],[DURACIÓN DESARROLLO DIAS]]*VLOOKUP(Cartera1017[[#This Row],[ID Mantenimiento]],MANT_HORAS[],2,FALSE),200))</f>
        <v>200</v>
      </c>
      <c r="CW52" s="110"/>
      <c r="CX52" s="110" t="str">
        <f>VLOOKUP(Cartera1017[[#This Row],[Estado TI]],Definiciones!$A$549:$B$559,2,FALSE)</f>
        <v>2. CALIDAD</v>
      </c>
      <c r="CY52" s="28">
        <f ca="1">1-Cartera1017[[#This Row],[Porcentaje avanzado desarrollo]]</f>
        <v>0</v>
      </c>
      <c r="CZ5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227</v>
      </c>
      <c r="DA52" s="28">
        <f ca="1">MAX(0,Cartera1017[[#This Row],[DURACIÓN DESARROLLO DIAS]]-Cartera1017[[#This Row],[Dias avanzados]])</f>
        <v>0</v>
      </c>
      <c r="DB52" s="28">
        <f ca="1">Cartera1017[[#This Row],[Dias avanzados]]*IFERROR(VLOOKUP(Cartera1017[[#This Row],[ID Mantenimiento]],MANT_HORAS[],2,FALSE),8)</f>
        <v>1816</v>
      </c>
      <c r="DC52" s="28">
        <f ca="1">Cartera1017[[#This Row],[Dias faltantes]]*IFERROR(VLOOKUP(Cartera1017[[#This Row],[ID Mantenimiento]],MANT_HORAS[],2,FALSE),8)</f>
        <v>0</v>
      </c>
      <c r="DD52" s="28" t="str">
        <f>IF(Cartera1017[[#This Row],[Fin Producción]]=0,"Por definir",CONCATENATE(YEAR(Cartera1017[[#This Row],[Fin Producción]]),"-",ROUNDUP(MONTH(Cartera1017[[#This Row],[Fin Producción]]),0)))</f>
        <v>2026-4</v>
      </c>
      <c r="DE52" s="18" t="s">
        <v>510</v>
      </c>
      <c r="DF52" s="28" t="s">
        <v>775</v>
      </c>
      <c r="DG52" s="28" t="s">
        <v>659</v>
      </c>
      <c r="DH52" s="565"/>
    </row>
    <row r="53" spans="1:112" ht="44.25" hidden="1" customHeight="1">
      <c r="A53" s="229" t="s">
        <v>964</v>
      </c>
      <c r="B53" s="18">
        <v>2404</v>
      </c>
      <c r="C53" s="18" t="s">
        <v>485</v>
      </c>
      <c r="D53" s="18" t="s">
        <v>965</v>
      </c>
      <c r="E53" s="18" t="s">
        <v>966</v>
      </c>
      <c r="F53" s="33" t="s">
        <v>967</v>
      </c>
      <c r="G53" s="19"/>
      <c r="H53" s="18" t="s">
        <v>26</v>
      </c>
      <c r="I53" s="18" t="s">
        <v>539</v>
      </c>
      <c r="J53" s="18" t="s">
        <v>540</v>
      </c>
      <c r="K53" s="20">
        <v>45533</v>
      </c>
      <c r="L53" s="50" t="s">
        <v>959</v>
      </c>
      <c r="M53" s="50" t="s">
        <v>968</v>
      </c>
      <c r="N53" s="114" t="s">
        <v>598</v>
      </c>
      <c r="O53" s="18" t="s">
        <v>530</v>
      </c>
      <c r="P53" s="18" t="s">
        <v>495</v>
      </c>
      <c r="Q53" s="18" t="s">
        <v>496</v>
      </c>
      <c r="R53" s="18" t="s">
        <v>599</v>
      </c>
      <c r="S53" s="18" t="s">
        <v>599</v>
      </c>
      <c r="T53" s="18" t="s">
        <v>600</v>
      </c>
      <c r="U53" s="18" t="s">
        <v>960</v>
      </c>
      <c r="V53" s="18"/>
      <c r="W53" s="18"/>
      <c r="X53" s="18"/>
      <c r="Y53" s="80">
        <v>45565</v>
      </c>
      <c r="Z53" s="18" t="s">
        <v>499</v>
      </c>
      <c r="AA53" s="20"/>
      <c r="AB53" s="18" t="s">
        <v>500</v>
      </c>
      <c r="AC53" s="18" t="s">
        <v>570</v>
      </c>
      <c r="AD53" s="18" t="s">
        <v>162</v>
      </c>
      <c r="AE53" s="39" t="s">
        <v>47</v>
      </c>
      <c r="AF53" s="18" t="s">
        <v>53</v>
      </c>
      <c r="AG53" s="14" t="str">
        <f>VLOOKUP(AF53,Tabla3[[Estado Requerimiento]:[Macro estado]],2,FALSE)</f>
        <v>03. Culminado</v>
      </c>
      <c r="AH53" s="18"/>
      <c r="AI53" s="80">
        <v>45540</v>
      </c>
      <c r="AJ53" s="80"/>
      <c r="AK53" s="80">
        <v>46003</v>
      </c>
      <c r="AL53" s="80">
        <v>46007</v>
      </c>
      <c r="AM53" s="80">
        <v>45863</v>
      </c>
      <c r="AN53" s="80">
        <v>46007</v>
      </c>
      <c r="AO53" s="80">
        <v>46008</v>
      </c>
      <c r="AP53" s="81">
        <f t="shared" si="0"/>
        <v>45807</v>
      </c>
      <c r="AQ53" s="80">
        <v>46043</v>
      </c>
      <c r="AR53" s="80">
        <v>46043</v>
      </c>
      <c r="AS53" s="81">
        <f t="shared" si="1"/>
        <v>45814</v>
      </c>
      <c r="AT53" s="19" t="s">
        <v>969</v>
      </c>
      <c r="AU53" s="44" t="str">
        <f>VLOOKUP(Cartera1017[[#This Row],[Gerencia]],tbGerencia[#All],3,FALSE)</f>
        <v>B.Digital</v>
      </c>
      <c r="AV53" s="44" t="str">
        <f>IFERROR(VLOOKUP(Cartera1017[[#This Row],[Subgerencia]],Definiciones!$A$90:$B$144,2,FALSE),"")</f>
        <v>CanalesAlternos</v>
      </c>
      <c r="AW53" s="44" t="str">
        <f>IF(OR(LEN(Cartera1017[[#This Row],[Fecha de Solicitud]])=0,(Cartera1017[[#This Row],[Fecha de Solicitud]])="No definido"),"No definido",IF(YEAR(Cartera1017[[#This Row],[Fecha de Solicitud]])&lt;2023," &lt;  2023",TEXT(Cartera1017[[#This Row],[Fecha de Solicitud]],"yyyy-mm")))</f>
        <v>2024-08</v>
      </c>
      <c r="AX53" s="44" t="str">
        <f>IF(Cartera1017[[#This Row],[Fecha de Priorización Comité]]="","No definido",TEXT(Cartera1017[[#This Row],[Fecha de Priorización Comité]],"yyyy-mm"))</f>
        <v>No definido</v>
      </c>
      <c r="AY53" s="44" t="str">
        <f>IF(Cartera1017[[#This Row],[Fecha Fin- Desarrollo]]="","No definido",TEXT(Cartera1017[[#This Row],[Fecha Fin- Desarrollo]],"yyyy-mm"))</f>
        <v>2025-12</v>
      </c>
      <c r="AZ53" s="44" t="str">
        <f>IF(Cartera1017[[#This Row],[Fecha Fin- Producción]]="","No definido",TEXT(Cartera1017[[#This Row],[Fecha Fin- Producción]],"yyyy-mm"))</f>
        <v>2026-01</v>
      </c>
      <c r="BA53" s="44" t="str">
        <f>IF(Cartera1017[[#This Row],[Fecha Fin-Planificada]]="","No definido",TEXT(Cartera1017[[#This Row],[Fecha Fin-Planificada]],"yyyy-mm"))</f>
        <v>2025-06</v>
      </c>
      <c r="BB53" s="33" t="s">
        <v>572</v>
      </c>
      <c r="BC53" s="66">
        <v>45593</v>
      </c>
      <c r="BD53" s="66">
        <v>45863</v>
      </c>
      <c r="BE53" s="66">
        <v>45863</v>
      </c>
      <c r="BF53" s="386">
        <v>45540</v>
      </c>
      <c r="BG53" s="387" t="s">
        <v>519</v>
      </c>
      <c r="BH5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40</v>
      </c>
      <c r="BI53" s="90">
        <f>IF(ISNUMBER(Cartera1017[[#This Row],[Duracion en Dias]]),Cartera1017[[#This Row],[Duracion en Dias]]/30, "No Aplica")</f>
        <v>1.3333333333333333</v>
      </c>
      <c r="BJ53" s="109" t="s">
        <v>970</v>
      </c>
      <c r="BK53" s="28" t="s">
        <v>506</v>
      </c>
      <c r="BL53" s="110" t="s">
        <v>536</v>
      </c>
      <c r="BM53" s="342">
        <v>46043.485914351855</v>
      </c>
      <c r="BN53" s="227"/>
      <c r="BO53" s="227"/>
      <c r="BP53" s="227"/>
      <c r="BQ5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53" s="14" t="str">
        <f>IFERROR(VLOOKUP(Cartera1017[[#This Row],[Aplicativo]],Tabla76[],2,FALSE),"Sin Aplicativo")</f>
        <v>ATM-Agentes-VISA</v>
      </c>
      <c r="BS53" s="14" t="str">
        <f>IFERROR(VLOOKUP(Cartera1017[[#This Row],[Aplicativo]],Tabla76[],3,FALSE),"Sin Aplicativo")</f>
        <v>Canales Presenciales</v>
      </c>
      <c r="BT53" s="400">
        <v>45748</v>
      </c>
      <c r="BU53" s="140">
        <v>45748</v>
      </c>
      <c r="BV53" s="28" t="s">
        <v>971</v>
      </c>
      <c r="BW5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5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53" s="97" t="str">
        <f ca="1">IF(Cartera1017[[#This Row],[Fecha Fin2]]="","No definido",CONCATENATE(TEXT(Cartera1017[[#This Row],[Fecha Fin2]],"mmm")," ",YEAR(Cartera1017[[#This Row],[Fecha Fin2]])))</f>
        <v>Ene 2026</v>
      </c>
      <c r="BZ53" s="28">
        <v>2025</v>
      </c>
      <c r="CA53" s="48" t="str">
        <f>IF(Cartera1017[[#This Row],[Estado TI]] = "08. Producción Finalizada","Culminado",IF(Cartera1017[[#This Row],[Estado TI]]= "09. Descartado","Descartado","Activos"))</f>
        <v>Culminado</v>
      </c>
      <c r="CB53" s="28"/>
      <c r="CC5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53" s="54" t="str">
        <f>IF(
AND(
Cartera1017[[#This Row],[DEVOLVER 27]]="NO",
NOT(ISBLANK(Cartera1017[[#This Row],[ESTADO NO DEVUELTOS 27]]))
),
"PRE",
"POST"
)</f>
        <v>PRE</v>
      </c>
      <c r="CE53" s="54" t="s">
        <v>509</v>
      </c>
      <c r="CF53" s="104" t="s">
        <v>87</v>
      </c>
      <c r="CG53"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5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53" s="406">
        <f>Cartera1017[[#This Row],[Porcentaje de Avance]]</f>
        <v>1</v>
      </c>
      <c r="CK53" s="418">
        <f ca="1">IF(
   OR(
     Cartera1017[[#This Row],[Estado TI]]="09. Descartado",
     Cartera1017[[#This Row],[Comienzo Desarrollo]]="",
     Cartera1017[[#This Row],[Fin Producción]]=""
   ),
   "",
   Cartera1017[[#This Row],[% PLANIFICADO]]-Cartera1017[[#This Row],[% COMPLETADO]]
)</f>
        <v>0</v>
      </c>
      <c r="CL53" s="418">
        <f ca="1">IF(
   OR(
     Cartera1017[[#This Row],[Estado TI]]="09. Descartado",
     Cartera1017[[#This Row],[Comienzo Desarrollo]]="",
     Cartera1017[[#This Row],[Fin Producción]]="",
     Cartera1017[[#This Row],[% PLANIFICADO]]=0
   ),
   "",
   MIN(Cartera1017[[#This Row],[% COMPLETADO]]/Cartera1017[[#This Row],[% PLANIFICADO]],1.2)
)</f>
        <v>1</v>
      </c>
      <c r="CM53" s="423">
        <v>46003</v>
      </c>
      <c r="CN53" s="377">
        <v>46003</v>
      </c>
      <c r="CO53" s="377">
        <v>46007</v>
      </c>
      <c r="CP53" s="377">
        <v>46007</v>
      </c>
      <c r="CQ53" s="377">
        <v>46008</v>
      </c>
      <c r="CR53" s="377">
        <v>46043</v>
      </c>
      <c r="CS53" s="377">
        <v>46045</v>
      </c>
      <c r="CT53" s="44">
        <f>IF(Cartera1017[[#This Row],[Fin Desarrollo]]="",25,IFERROR(NETWORKDAYS(Cartera1017[[#This Row],[Comienzo Desarrollo]],Cartera1017[[#This Row],[Fin Desarrollo]],FERIADOS[Fecha]),""))</f>
        <v>3</v>
      </c>
      <c r="CU5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53" s="44">
        <f>IF(OR(Cartera1017[[#This Row],[Comienzo Desarrollo]]="",Cartera1017[[#This Row],[Fin Desarrollo]]=""),200,IFERROR(Cartera1017[[#This Row],[DURACIÓN DESARROLLO DIAS]]*VLOOKUP(Cartera1017[[#This Row],[ID Mantenimiento]],MANT_HORAS[],2,FALSE),200))</f>
        <v>200</v>
      </c>
      <c r="CW53" s="110" t="s">
        <v>544</v>
      </c>
      <c r="CX53" s="110" t="str">
        <f>VLOOKUP(Cartera1017[[#This Row],[Estado TI]],Definiciones!$A$549:$B$559,2,FALSE)</f>
        <v>4. PRODUCCIÓN</v>
      </c>
      <c r="CY53" s="28">
        <f ca="1">1-Cartera1017[[#This Row],[Porcentaje avanzado desarrollo]]</f>
        <v>0</v>
      </c>
      <c r="CZ5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v>
      </c>
      <c r="DA53" s="28">
        <f ca="1">MAX(0,Cartera1017[[#This Row],[DURACIÓN DESARROLLO DIAS]]-Cartera1017[[#This Row],[Dias avanzados]])</f>
        <v>0</v>
      </c>
      <c r="DB53" s="28">
        <f ca="1">Cartera1017[[#This Row],[Dias avanzados]]*IFERROR(VLOOKUP(Cartera1017[[#This Row],[ID Mantenimiento]],MANT_HORAS[],2,FALSE),8)</f>
        <v>24</v>
      </c>
      <c r="DC53" s="28">
        <f ca="1">Cartera1017[[#This Row],[Dias faltantes]]*IFERROR(VLOOKUP(Cartera1017[[#This Row],[ID Mantenimiento]],MANT_HORAS[],2,FALSE),8)</f>
        <v>0</v>
      </c>
      <c r="DD53" s="28" t="str">
        <f>IF(Cartera1017[[#This Row],[Fin Producción]]=0,"Por definir",CONCATENATE(YEAR(Cartera1017[[#This Row],[Fin Producción]]),"-",ROUNDUP(MONTH(Cartera1017[[#This Row],[Fin Producción]]),0)))</f>
        <v>2026-1</v>
      </c>
      <c r="DE53" s="18" t="s">
        <v>510</v>
      </c>
      <c r="DF53" s="28"/>
      <c r="DG53" s="28"/>
      <c r="DH53" s="565"/>
    </row>
    <row r="54" spans="1:112" ht="44.25" hidden="1" customHeight="1">
      <c r="A54" s="229" t="s">
        <v>972</v>
      </c>
      <c r="B54" s="18">
        <v>2416</v>
      </c>
      <c r="C54" s="18" t="s">
        <v>485</v>
      </c>
      <c r="D54" s="18" t="s">
        <v>973</v>
      </c>
      <c r="E54" s="18" t="s">
        <v>142</v>
      </c>
      <c r="F54" s="60" t="s">
        <v>143</v>
      </c>
      <c r="G54" s="19"/>
      <c r="H54" s="227" t="s">
        <v>52</v>
      </c>
      <c r="I54" s="18" t="s">
        <v>596</v>
      </c>
      <c r="J54" s="18"/>
      <c r="K54" s="420">
        <v>45546</v>
      </c>
      <c r="L54" s="227" t="s">
        <v>974</v>
      </c>
      <c r="M54" s="50" t="s">
        <v>975</v>
      </c>
      <c r="N54" s="114" t="s">
        <v>598</v>
      </c>
      <c r="O54" s="227" t="s">
        <v>530</v>
      </c>
      <c r="P54" s="227" t="s">
        <v>495</v>
      </c>
      <c r="Q54" s="227" t="s">
        <v>496</v>
      </c>
      <c r="R54" s="421" t="s">
        <v>599</v>
      </c>
      <c r="S54" s="18" t="s">
        <v>599</v>
      </c>
      <c r="T54" s="18" t="s">
        <v>600</v>
      </c>
      <c r="U54" s="18" t="s">
        <v>915</v>
      </c>
      <c r="V54" s="18"/>
      <c r="W54" s="18"/>
      <c r="X54" s="18"/>
      <c r="Y54" s="80">
        <v>45657</v>
      </c>
      <c r="Z54" s="18" t="s">
        <v>602</v>
      </c>
      <c r="AA54" s="20"/>
      <c r="AB54" s="18" t="s">
        <v>500</v>
      </c>
      <c r="AC54" s="18" t="s">
        <v>501</v>
      </c>
      <c r="AD54" s="397" t="s">
        <v>126</v>
      </c>
      <c r="AE54" s="39" t="s">
        <v>47</v>
      </c>
      <c r="AF54" s="39" t="s">
        <v>28</v>
      </c>
      <c r="AG54" s="398" t="str">
        <f>VLOOKUP(AF54,Tabla3[[Estado Requerimiento]:[Macro estado]],2,FALSE)</f>
        <v>04. Paralizado</v>
      </c>
      <c r="AH54" s="18" t="s">
        <v>659</v>
      </c>
      <c r="AI54" s="80">
        <v>45553</v>
      </c>
      <c r="AJ54" s="80"/>
      <c r="AK54" s="80">
        <v>46091</v>
      </c>
      <c r="AL54" s="80">
        <v>46079</v>
      </c>
      <c r="AM54" s="80">
        <v>45842</v>
      </c>
      <c r="AN54" s="80">
        <v>46084</v>
      </c>
      <c r="AO54" s="80"/>
      <c r="AP54" s="81">
        <f t="shared" si="0"/>
        <v>45742.400000000001</v>
      </c>
      <c r="AQ54" s="80"/>
      <c r="AR54" s="80"/>
      <c r="AS54" s="81">
        <f t="shared" si="1"/>
        <v>45749.4</v>
      </c>
      <c r="AT54" s="126" t="s">
        <v>976</v>
      </c>
      <c r="AU54" s="14" t="str">
        <f>VLOOKUP(Cartera1017[[#This Row],[Gerencia]],tbGerencia[#All],3,FALSE)</f>
        <v>Finanzas</v>
      </c>
      <c r="AV54" s="14" t="str">
        <f>IFERROR(VLOOKUP(Cartera1017[[#This Row],[Subgerencia]],Definiciones!$A$90:$B$144,2,FALSE),"")</f>
        <v>Contabilidad</v>
      </c>
      <c r="AW54" s="14" t="str">
        <f>IF(OR(LEN(Cartera1017[[#This Row],[Fecha de Solicitud]])=0,(Cartera1017[[#This Row],[Fecha de Solicitud]])="No definido"),"No definido",IF(YEAR(Cartera1017[[#This Row],[Fecha de Solicitud]])&lt;2023," &lt;  2023",TEXT(Cartera1017[[#This Row],[Fecha de Solicitud]],"yyyy-mm")))</f>
        <v>2024-09</v>
      </c>
      <c r="AX54" s="14" t="str">
        <f>IF(Cartera1017[[#This Row],[Fecha de Priorización Comité]]="","No definido",TEXT(Cartera1017[[#This Row],[Fecha de Priorización Comité]],"yyyy-mm"))</f>
        <v>No definido</v>
      </c>
      <c r="AY54" s="14" t="str">
        <f>IF(Cartera1017[[#This Row],[Fecha Fin- Desarrollo]]="","No definido",TEXT(Cartera1017[[#This Row],[Fecha Fin- Desarrollo]],"yyyy-mm"))</f>
        <v>2026-02</v>
      </c>
      <c r="AZ54" s="14" t="str">
        <f>IF(Cartera1017[[#This Row],[Fecha Fin- Producción]]="","No definido",TEXT(Cartera1017[[#This Row],[Fecha Fin- Producción]],"yyyy-mm"))</f>
        <v>No definido</v>
      </c>
      <c r="BA54" s="14" t="str">
        <f>IF(Cartera1017[[#This Row],[Fecha Fin-Planificada]]="","No definido",TEXT(Cartera1017[[#This Row],[Fecha Fin-Planificada]],"yyyy-mm"))</f>
        <v>2025-04</v>
      </c>
      <c r="BB54" s="33" t="s">
        <v>581</v>
      </c>
      <c r="BC54" s="66">
        <v>45610</v>
      </c>
      <c r="BD54" s="66">
        <v>45842</v>
      </c>
      <c r="BE54" s="66"/>
      <c r="BF54" s="386">
        <v>45553</v>
      </c>
      <c r="BG54" s="387" t="s">
        <v>519</v>
      </c>
      <c r="BH54" s="4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4" s="148" t="str">
        <f>IF(ISNUMBER(Cartera1017[[#This Row],[Duracion en Dias]]),Cartera1017[[#This Row],[Duracion en Dias]]/30, "No Aplica")</f>
        <v>No Aplica</v>
      </c>
      <c r="BJ54" s="18" t="s">
        <v>977</v>
      </c>
      <c r="BK54" s="33" t="s">
        <v>506</v>
      </c>
      <c r="BL54" s="110" t="s">
        <v>562</v>
      </c>
      <c r="BM54" s="80">
        <v>46091.54965277778</v>
      </c>
      <c r="BN54" s="227"/>
      <c r="BO54" s="227"/>
      <c r="BP54" s="227"/>
      <c r="BQ5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4" s="14" t="str">
        <f>IFERROR(VLOOKUP(Cartera1017[[#This Row],[Aplicativo]],Tabla76[],2,FALSE),"Sin Aplicativo")</f>
        <v>BackOffice</v>
      </c>
      <c r="BS54" s="14" t="str">
        <f>IFERROR(VLOOKUP(Cartera1017[[#This Row],[Aplicativo]],Tabla76[],3,FALSE),"Sin Aplicativo")</f>
        <v>Otros Requerimientos</v>
      </c>
      <c r="BT54" s="405">
        <v>45748</v>
      </c>
      <c r="BU54" s="140">
        <v>45748</v>
      </c>
      <c r="BV54" s="28" t="s">
        <v>971</v>
      </c>
      <c r="BW54" s="63">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45777</v>
      </c>
      <c r="BX54" s="4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4" s="63" t="str">
        <f ca="1">IF(Cartera1017[[#This Row],[Fecha Fin2]]="","No definido",CONCATENATE(TEXT(Cartera1017[[#This Row],[Fecha Fin2]],"mmm")," ",YEAR(Cartera1017[[#This Row],[Fecha Fin2]])))</f>
        <v>Abr 2025</v>
      </c>
      <c r="BZ54" s="33">
        <v>2025</v>
      </c>
      <c r="CA54" s="49" t="str">
        <f>IF(Cartera1017[[#This Row],[Estado TI]] = "08. Producción Finalizada","Culminado",IF(Cartera1017[[#This Row],[Estado TI]]= "09. Descartado","Descartado","Activos"))</f>
        <v>Activos</v>
      </c>
      <c r="CB54" s="33"/>
      <c r="CC5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54" s="18" t="str">
        <f>IF(
AND(
Cartera1017[[#This Row],[DEVOLVER 27]]="NO",
NOT(ISBLANK(Cartera1017[[#This Row],[ESTADO NO DEVUELTOS 27]]))
),
"PRE",
"POST"
)</f>
        <v>PRE</v>
      </c>
      <c r="CE54" s="18" t="s">
        <v>509</v>
      </c>
      <c r="CF54" s="33" t="s">
        <v>48</v>
      </c>
      <c r="CG54" s="1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5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0.6705882352941176</v>
      </c>
      <c r="CJ54" s="406">
        <f>Cartera1017[[#This Row],[Porcentaje de Avance]]</f>
        <v>0.12</v>
      </c>
      <c r="CK54" s="406">
        <f ca="1">IF(
   OR(
     Cartera1017[[#This Row],[Estado TI]]="09. Descartado",
     Cartera1017[[#This Row],[Comienzo Desarrollo]]="",
     Cartera1017[[#This Row],[Fin Producción]]=""
   ),
   "",
   Cartera1017[[#This Row],[% PLANIFICADO]]-Cartera1017[[#This Row],[% COMPLETADO]]
)</f>
        <v>0.5505882352941176</v>
      </c>
      <c r="CL54" s="406">
        <f ca="1">IF(
   OR(
     Cartera1017[[#This Row],[Estado TI]]="09. Descartado",
     Cartera1017[[#This Row],[Comienzo Desarrollo]]="",
     Cartera1017[[#This Row],[Fin Producción]]="",
     Cartera1017[[#This Row],[% PLANIFICADO]]=0
   ),
   "",
   MIN(Cartera1017[[#This Row],[% COMPLETADO]]/Cartera1017[[#This Row],[% PLANIFICADO]],1.2)
)</f>
        <v>0.17894736842105263</v>
      </c>
      <c r="CM54" s="20">
        <v>46038</v>
      </c>
      <c r="CN54" s="20">
        <v>46083</v>
      </c>
      <c r="CO54" s="20">
        <v>46112</v>
      </c>
      <c r="CP54" s="20">
        <v>46112</v>
      </c>
      <c r="CQ54" s="20">
        <v>46185</v>
      </c>
      <c r="CR54" s="20">
        <v>46185</v>
      </c>
      <c r="CS54" s="20">
        <v>46203</v>
      </c>
      <c r="CT54" s="14">
        <f>IF(Cartera1017[[#This Row],[Fin Desarrollo]]="",25,IFERROR(NETWORKDAYS(Cartera1017[[#This Row],[Comienzo Desarrollo]],Cartera1017[[#This Row],[Fin Desarrollo]],FERIADOS[Fecha]),""))</f>
        <v>22</v>
      </c>
      <c r="CU54" s="1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54" s="14">
        <f>IF(OR(Cartera1017[[#This Row],[Comienzo Desarrollo]]="",Cartera1017[[#This Row],[Fin Desarrollo]]=""),200,IFERROR(Cartera1017[[#This Row],[DURACIÓN DESARROLLO DIAS]]*VLOOKUP(Cartera1017[[#This Row],[ID Mantenimiento]],MANT_HORAS[],2,FALSE),200))</f>
        <v>200</v>
      </c>
      <c r="CW54" s="108"/>
      <c r="CX54" s="110" t="str">
        <f>VLOOKUP(Cartera1017[[#This Row],[Estado TI]],Definiciones!$A$549:$B$559,2,FALSE)</f>
        <v>6. PARALIZADO</v>
      </c>
      <c r="CY54" s="28">
        <f ca="1">1-Cartera1017[[#This Row],[Porcentaje avanzado desarrollo]]</f>
        <v>0</v>
      </c>
      <c r="CZ5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v>
      </c>
      <c r="DA54" s="28">
        <f ca="1">MAX(0,Cartera1017[[#This Row],[DURACIÓN DESARROLLO DIAS]]-Cartera1017[[#This Row],[Dias avanzados]])</f>
        <v>0</v>
      </c>
      <c r="DB54" s="28">
        <f ca="1">Cartera1017[[#This Row],[Dias avanzados]]*IFERROR(VLOOKUP(Cartera1017[[#This Row],[ID Mantenimiento]],MANT_HORAS[],2,FALSE),8)</f>
        <v>176</v>
      </c>
      <c r="DC54" s="28">
        <f ca="1">Cartera1017[[#This Row],[Dias faltantes]]*IFERROR(VLOOKUP(Cartera1017[[#This Row],[ID Mantenimiento]],MANT_HORAS[],2,FALSE),8)</f>
        <v>0</v>
      </c>
      <c r="DD54" s="28" t="str">
        <f>IF(Cartera1017[[#This Row],[Fin Producción]]=0,"Por definir",CONCATENATE(YEAR(Cartera1017[[#This Row],[Fin Producción]]),"-",ROUNDUP(MONTH(Cartera1017[[#This Row],[Fin Producción]]),0)))</f>
        <v>2026-6</v>
      </c>
      <c r="DE54" s="18" t="s">
        <v>510</v>
      </c>
      <c r="DF54" s="28"/>
      <c r="DG54" s="28"/>
      <c r="DH54" s="565"/>
    </row>
    <row r="55" spans="1:112" ht="44.25" hidden="1" customHeight="1">
      <c r="A55" s="229" t="s">
        <v>978</v>
      </c>
      <c r="B55" s="18">
        <v>2417</v>
      </c>
      <c r="C55" s="18" t="s">
        <v>485</v>
      </c>
      <c r="D55" s="422" t="s">
        <v>979</v>
      </c>
      <c r="E55" s="18" t="s">
        <v>980</v>
      </c>
      <c r="F55" s="225" t="s">
        <v>981</v>
      </c>
      <c r="G55" s="19"/>
      <c r="H55" s="227" t="s">
        <v>26</v>
      </c>
      <c r="I55" s="18" t="s">
        <v>539</v>
      </c>
      <c r="J55" s="227" t="s">
        <v>554</v>
      </c>
      <c r="K55" s="422">
        <v>45550</v>
      </c>
      <c r="L55" s="227" t="s">
        <v>982</v>
      </c>
      <c r="M55" s="50" t="s">
        <v>556</v>
      </c>
      <c r="N55" s="114" t="s">
        <v>598</v>
      </c>
      <c r="O55" s="227" t="s">
        <v>530</v>
      </c>
      <c r="P55" s="227" t="s">
        <v>495</v>
      </c>
      <c r="Q55" s="227" t="s">
        <v>496</v>
      </c>
      <c r="R55" s="421" t="s">
        <v>599</v>
      </c>
      <c r="S55" s="421" t="s">
        <v>599</v>
      </c>
      <c r="T55" s="18" t="s">
        <v>600</v>
      </c>
      <c r="U55" s="18" t="s">
        <v>915</v>
      </c>
      <c r="V55" s="18"/>
      <c r="W55" s="18"/>
      <c r="X55" s="18"/>
      <c r="Y55" s="80">
        <v>45657</v>
      </c>
      <c r="Z55" s="18" t="s">
        <v>602</v>
      </c>
      <c r="AA55" s="20"/>
      <c r="AB55" s="263" t="s">
        <v>500</v>
      </c>
      <c r="AC55" s="18" t="s">
        <v>570</v>
      </c>
      <c r="AD55" s="18" t="s">
        <v>30</v>
      </c>
      <c r="AE55" s="39" t="s">
        <v>47</v>
      </c>
      <c r="AF55" s="18" t="s">
        <v>53</v>
      </c>
      <c r="AG55" s="14" t="str">
        <f>VLOOKUP(AF55,Tabla3[[Estado Requerimiento]:[Macro estado]],2,FALSE)</f>
        <v>03. Culminado</v>
      </c>
      <c r="AH55" s="18"/>
      <c r="AI55" s="80">
        <v>45553</v>
      </c>
      <c r="AJ55" s="80"/>
      <c r="AK55" s="80">
        <v>45568</v>
      </c>
      <c r="AL55" s="80">
        <v>45876</v>
      </c>
      <c r="AM55" s="80">
        <v>45800</v>
      </c>
      <c r="AN55" s="80">
        <v>45877</v>
      </c>
      <c r="AO55" s="80">
        <v>45889</v>
      </c>
      <c r="AP55" s="81">
        <f t="shared" si="0"/>
        <v>45892.800000000003</v>
      </c>
      <c r="AQ55" s="80">
        <v>46031</v>
      </c>
      <c r="AR55" s="80">
        <v>46035</v>
      </c>
      <c r="AS55" s="81">
        <f t="shared" si="1"/>
        <v>45899.8</v>
      </c>
      <c r="AT55" s="126" t="s">
        <v>983</v>
      </c>
      <c r="AU55" s="44" t="str">
        <f>VLOOKUP(Cartera1017[[#This Row],[Gerencia]],tbGerencia[#All],3,FALSE)</f>
        <v>B.Digital</v>
      </c>
      <c r="AV55" s="44" t="str">
        <f>IFERROR(VLOOKUP(Cartera1017[[#This Row],[Subgerencia]],Definiciones!$A$90:$B$144,2,FALSE),"")</f>
        <v>CanalesAlternos</v>
      </c>
      <c r="AW55" s="44" t="str">
        <f>IF(OR(LEN(Cartera1017[[#This Row],[Fecha de Solicitud]])=0,(Cartera1017[[#This Row],[Fecha de Solicitud]])="No definido"),"No definido",IF(YEAR(Cartera1017[[#This Row],[Fecha de Solicitud]])&lt;2023," &lt;  2023",TEXT(Cartera1017[[#This Row],[Fecha de Solicitud]],"yyyy-mm")))</f>
        <v>2024-09</v>
      </c>
      <c r="AX55" s="44" t="str">
        <f>IF(Cartera1017[[#This Row],[Fecha de Priorización Comité]]="","No definido",TEXT(Cartera1017[[#This Row],[Fecha de Priorización Comité]],"yyyy-mm"))</f>
        <v>No definido</v>
      </c>
      <c r="AY55" s="44" t="str">
        <f>IF(Cartera1017[[#This Row],[Fecha Fin- Desarrollo]]="","No definido",TEXT(Cartera1017[[#This Row],[Fecha Fin- Desarrollo]],"yyyy-mm"))</f>
        <v>2025-08</v>
      </c>
      <c r="AZ55" s="44" t="str">
        <f>IF(Cartera1017[[#This Row],[Fecha Fin- Producción]]="","No definido",TEXT(Cartera1017[[#This Row],[Fecha Fin- Producción]],"yyyy-mm"))</f>
        <v>2026-01</v>
      </c>
      <c r="BA55" s="44" t="str">
        <f>IF(Cartera1017[[#This Row],[Fecha Fin-Planificada]]="","No definido",TEXT(Cartera1017[[#This Row],[Fecha Fin-Planificada]],"yyyy-mm"))</f>
        <v>2025-08</v>
      </c>
      <c r="BB55" s="33" t="s">
        <v>604</v>
      </c>
      <c r="BC55" s="66">
        <v>45642</v>
      </c>
      <c r="BD55" s="66">
        <v>45800</v>
      </c>
      <c r="BE55" s="66">
        <v>45800</v>
      </c>
      <c r="BF55" s="412">
        <v>45553</v>
      </c>
      <c r="BG55" s="387" t="s">
        <v>519</v>
      </c>
      <c r="BH5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467</v>
      </c>
      <c r="BI55" s="90">
        <f>IF(ISNUMBER(Cartera1017[[#This Row],[Duracion en Dias]]),Cartera1017[[#This Row],[Duracion en Dias]]/30, "No Aplica")</f>
        <v>15.566666666666666</v>
      </c>
      <c r="BJ55" s="18" t="s">
        <v>984</v>
      </c>
      <c r="BK55" s="28" t="s">
        <v>506</v>
      </c>
      <c r="BL55" s="110" t="s">
        <v>536</v>
      </c>
      <c r="BM55" s="342">
        <v>46122.404270833336</v>
      </c>
      <c r="BN55" s="227"/>
      <c r="BO55" s="227"/>
      <c r="BP55" s="227"/>
      <c r="BQ5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55" s="14" t="str">
        <f>IFERROR(VLOOKUP(Cartera1017[[#This Row],[Aplicativo]],Tabla76[],2,FALSE),"Sin Aplicativo")</f>
        <v>ATM-Agentes-VISA</v>
      </c>
      <c r="BS55" s="14" t="str">
        <f>IFERROR(VLOOKUP(Cartera1017[[#This Row],[Aplicativo]],Tabla76[],3,FALSE),"Sin Aplicativo")</f>
        <v>Canales Presenciales</v>
      </c>
      <c r="BT55" s="162">
        <v>45778</v>
      </c>
      <c r="BU55" s="162">
        <v>45778</v>
      </c>
      <c r="BV55" s="28" t="s">
        <v>971</v>
      </c>
      <c r="BW55"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5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55" s="97" t="str">
        <f ca="1">IF(Cartera1017[[#This Row],[Fecha Fin2]]="","No definido",CONCATENATE(TEXT(Cartera1017[[#This Row],[Fecha Fin2]],"mmm")," ",YEAR(Cartera1017[[#This Row],[Fecha Fin2]])))</f>
        <v>Ene 2026</v>
      </c>
      <c r="BZ55" s="28">
        <v>2025</v>
      </c>
      <c r="CA55" s="48" t="str">
        <f>IF(Cartera1017[[#This Row],[Estado TI]] = "08. Producción Finalizada","Culminado",IF(Cartera1017[[#This Row],[Estado TI]]= "09. Descartado","Descartado","Activos"))</f>
        <v>Culminado</v>
      </c>
      <c r="CB55" s="28" t="s">
        <v>645</v>
      </c>
      <c r="CC5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55" s="54" t="str">
        <f>IF(
AND(
Cartera1017[[#This Row],[DEVOLVER 27]]="NO",
NOT(ISBLANK(Cartera1017[[#This Row],[ESTADO NO DEVUELTOS 27]]))
),
"PRE",
"POST"
)</f>
        <v>PRE</v>
      </c>
      <c r="CE55" s="54" t="s">
        <v>509</v>
      </c>
      <c r="CF55" s="28" t="s">
        <v>42</v>
      </c>
      <c r="CG5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5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55" s="406">
        <f>Cartera1017[[#This Row],[Porcentaje de Avance]]</f>
        <v>1</v>
      </c>
      <c r="CK55" s="388">
        <f ca="1">IF(
   OR(
     Cartera1017[[#This Row],[Estado TI]]="09. Descartado",
     Cartera1017[[#This Row],[Comienzo Desarrollo]]="",
     Cartera1017[[#This Row],[Fin Producción]]=""
   ),
   "",
   Cartera1017[[#This Row],[% PLANIFICADO]]-Cartera1017[[#This Row],[% COMPLETADO]]
)</f>
        <v>0</v>
      </c>
      <c r="CL55" s="388">
        <f ca="1">IF(
   OR(
     Cartera1017[[#This Row],[Estado TI]]="09. Descartado",
     Cartera1017[[#This Row],[Comienzo Desarrollo]]="",
     Cartera1017[[#This Row],[Fin Producción]]="",
     Cartera1017[[#This Row],[% PLANIFICADO]]=0
   ),
   "",
   MIN(Cartera1017[[#This Row],[% COMPLETADO]]/Cartera1017[[#This Row],[% PLANIFICADO]],1.2)
)</f>
        <v>1</v>
      </c>
      <c r="CM55" s="377">
        <v>45568</v>
      </c>
      <c r="CN55" s="377">
        <v>45568</v>
      </c>
      <c r="CO55" s="377">
        <v>45876</v>
      </c>
      <c r="CP55" s="377">
        <v>45877</v>
      </c>
      <c r="CQ55" s="377">
        <v>45889</v>
      </c>
      <c r="CR55" s="377">
        <v>46031</v>
      </c>
      <c r="CS55" s="377">
        <v>46035</v>
      </c>
      <c r="CT55" s="44">
        <f>IF(Cartera1017[[#This Row],[Fin Desarrollo]]="",25,IFERROR(NETWORKDAYS(Cartera1017[[#This Row],[Comienzo Desarrollo]],Cartera1017[[#This Row],[Fin Desarrollo]],FERIADOS[Fecha]),""))</f>
        <v>207</v>
      </c>
      <c r="CU5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55" s="44">
        <f>IF(OR(Cartera1017[[#This Row],[Comienzo Desarrollo]]="",Cartera1017[[#This Row],[Fin Desarrollo]]=""),200,IFERROR(Cartera1017[[#This Row],[DURACIÓN DESARROLLO DIAS]]*VLOOKUP(Cartera1017[[#This Row],[ID Mantenimiento]],MANT_HORAS[],2,FALSE),200))</f>
        <v>200</v>
      </c>
      <c r="CW55" s="110"/>
      <c r="CX55" s="110" t="str">
        <f>VLOOKUP(Cartera1017[[#This Row],[Estado TI]],Definiciones!$A$549:$B$559,2,FALSE)</f>
        <v>4. PRODUCCIÓN</v>
      </c>
      <c r="CY55" s="28">
        <f ca="1">1-Cartera1017[[#This Row],[Porcentaje avanzado desarrollo]]</f>
        <v>0</v>
      </c>
      <c r="CZ5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207</v>
      </c>
      <c r="DA55" s="28">
        <f ca="1">MAX(0,Cartera1017[[#This Row],[DURACIÓN DESARROLLO DIAS]]-Cartera1017[[#This Row],[Dias avanzados]])</f>
        <v>0</v>
      </c>
      <c r="DB55" s="28">
        <f ca="1">Cartera1017[[#This Row],[Dias avanzados]]*IFERROR(VLOOKUP(Cartera1017[[#This Row],[ID Mantenimiento]],MANT_HORAS[],2,FALSE),8)</f>
        <v>1656</v>
      </c>
      <c r="DC55" s="28">
        <f ca="1">Cartera1017[[#This Row],[Dias faltantes]]*IFERROR(VLOOKUP(Cartera1017[[#This Row],[ID Mantenimiento]],MANT_HORAS[],2,FALSE),8)</f>
        <v>0</v>
      </c>
      <c r="DD55" s="28" t="str">
        <f>IF(Cartera1017[[#This Row],[Fin Producción]]=0,"Por definir",CONCATENATE(YEAR(Cartera1017[[#This Row],[Fin Producción]]),"-",ROUNDUP(MONTH(Cartera1017[[#This Row],[Fin Producción]]),0)))</f>
        <v>2026-1</v>
      </c>
      <c r="DE55" s="18" t="s">
        <v>510</v>
      </c>
      <c r="DF55" s="28"/>
      <c r="DG55" s="28"/>
      <c r="DH55" s="565"/>
    </row>
    <row r="56" spans="1:112" ht="44.25" hidden="1" customHeight="1">
      <c r="A56" s="229" t="s">
        <v>985</v>
      </c>
      <c r="B56" s="18">
        <v>2461</v>
      </c>
      <c r="C56" s="18" t="s">
        <v>485</v>
      </c>
      <c r="D56" s="18" t="s">
        <v>986</v>
      </c>
      <c r="E56" s="18" t="s">
        <v>987</v>
      </c>
      <c r="F56" s="225" t="s">
        <v>988</v>
      </c>
      <c r="G56" s="19"/>
      <c r="H56" s="227" t="s">
        <v>40</v>
      </c>
      <c r="I56" s="18" t="s">
        <v>490</v>
      </c>
      <c r="J56" s="18" t="s">
        <v>662</v>
      </c>
      <c r="K56" s="422">
        <v>45568</v>
      </c>
      <c r="L56" s="227" t="s">
        <v>989</v>
      </c>
      <c r="M56" s="50" t="s">
        <v>990</v>
      </c>
      <c r="N56" s="50"/>
      <c r="O56" s="227" t="s">
        <v>548</v>
      </c>
      <c r="P56" s="227" t="s">
        <v>495</v>
      </c>
      <c r="Q56" s="227" t="s">
        <v>496</v>
      </c>
      <c r="R56" s="421" t="s">
        <v>497</v>
      </c>
      <c r="S56" s="18"/>
      <c r="T56" s="18" t="s">
        <v>495</v>
      </c>
      <c r="U56" s="18" t="s">
        <v>495</v>
      </c>
      <c r="V56" s="18" t="s">
        <v>495</v>
      </c>
      <c r="W56" s="18" t="s">
        <v>495</v>
      </c>
      <c r="X56" s="18" t="s">
        <v>495</v>
      </c>
      <c r="Y56" s="80" t="s">
        <v>495</v>
      </c>
      <c r="Z56" s="18" t="s">
        <v>499</v>
      </c>
      <c r="AA56" s="20">
        <v>45574</v>
      </c>
      <c r="AB56" s="18" t="s">
        <v>500</v>
      </c>
      <c r="AC56" s="18" t="s">
        <v>558</v>
      </c>
      <c r="AD56" s="18" t="s">
        <v>139</v>
      </c>
      <c r="AE56" s="18" t="s">
        <v>41</v>
      </c>
      <c r="AF56" s="18" t="s">
        <v>502</v>
      </c>
      <c r="AG56" s="14" t="str">
        <f>VLOOKUP(AF56,Tabla3[[Estado Requerimiento]:[Macro estado]],2,FALSE)</f>
        <v>05. Descartado</v>
      </c>
      <c r="AH56" s="18"/>
      <c r="AI56" s="80">
        <v>45574</v>
      </c>
      <c r="AJ56" s="80"/>
      <c r="AK56" s="80">
        <v>46031</v>
      </c>
      <c r="AL56" s="80">
        <v>46031</v>
      </c>
      <c r="AM56" s="80"/>
      <c r="AN56" s="80"/>
      <c r="AO56" s="80"/>
      <c r="AP56" s="81">
        <f t="shared" si="0"/>
        <v>46031</v>
      </c>
      <c r="AQ56" s="80"/>
      <c r="AR56" s="80"/>
      <c r="AS56" s="81">
        <f t="shared" si="1"/>
        <v>46038</v>
      </c>
      <c r="AT56" s="126" t="s">
        <v>991</v>
      </c>
      <c r="AU56" s="44" t="str">
        <f>VLOOKUP(Cartera1017[[#This Row],[Gerencia]],tbGerencia[#All],3,FALSE)</f>
        <v>Operac.</v>
      </c>
      <c r="AV56" s="44" t="str">
        <f>IFERROR(VLOOKUP(Cartera1017[[#This Row],[Subgerencia]],Definiciones!$A$90:$B$144,2,FALSE),"")</f>
        <v>BancariosRecaudación</v>
      </c>
      <c r="AW56" s="44" t="str">
        <f>IF(OR(LEN(Cartera1017[[#This Row],[Fecha de Solicitud]])=0,(Cartera1017[[#This Row],[Fecha de Solicitud]])="No definido"),"No definido",IF(YEAR(Cartera1017[[#This Row],[Fecha de Solicitud]])&lt;2023," &lt;  2023",TEXT(Cartera1017[[#This Row],[Fecha de Solicitud]],"yyyy-mm")))</f>
        <v>2024-10</v>
      </c>
      <c r="AX56" s="44" t="str">
        <f>IF(Cartera1017[[#This Row],[Fecha de Priorización Comité]]="","No definido",TEXT(Cartera1017[[#This Row],[Fecha de Priorización Comité]],"yyyy-mm"))</f>
        <v>2024-10</v>
      </c>
      <c r="AY56" s="44" t="str">
        <f>IF(Cartera1017[[#This Row],[Fecha Fin- Desarrollo]]="","No definido",TEXT(Cartera1017[[#This Row],[Fecha Fin- Desarrollo]],"yyyy-mm"))</f>
        <v>2026-01</v>
      </c>
      <c r="AZ56" s="44" t="str">
        <f>IF(Cartera1017[[#This Row],[Fecha Fin- Producción]]="","No definido",TEXT(Cartera1017[[#This Row],[Fecha Fin- Producción]],"yyyy-mm"))</f>
        <v>No definido</v>
      </c>
      <c r="BA56" s="44" t="str">
        <f>IF(Cartera1017[[#This Row],[Fecha Fin-Planificada]]="","No definido",TEXT(Cartera1017[[#This Row],[Fecha Fin-Planificada]],"yyyy-mm"))</f>
        <v>2026-01</v>
      </c>
      <c r="BB56" s="33"/>
      <c r="BC56" s="66"/>
      <c r="BD56" s="66"/>
      <c r="BE56" s="66"/>
      <c r="BF56" s="412">
        <v>45574</v>
      </c>
      <c r="BG56" s="387" t="s">
        <v>992</v>
      </c>
      <c r="BH5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6" s="90" t="str">
        <f>IF(ISNUMBER(Cartera1017[[#This Row],[Duracion en Dias]]),Cartera1017[[#This Row],[Duracion en Dias]]/30, "No Aplica")</f>
        <v>No Aplica</v>
      </c>
      <c r="BJ56" s="18" t="s">
        <v>993</v>
      </c>
      <c r="BK56" s="28" t="s">
        <v>506</v>
      </c>
      <c r="BL56" s="110" t="s">
        <v>507</v>
      </c>
      <c r="BM56" s="342">
        <v>46031.506030092591</v>
      </c>
      <c r="BN56" s="227"/>
      <c r="BO56" s="227"/>
      <c r="BP56" s="227"/>
      <c r="BQ5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6" s="14" t="str">
        <f>IFERROR(VLOOKUP(Cartera1017[[#This Row],[Aplicativo]],Tabla76[],2,FALSE),"Sin Aplicativo")</f>
        <v>BackOffice</v>
      </c>
      <c r="BS56" s="14" t="str">
        <f>IFERROR(VLOOKUP(Cartera1017[[#This Row],[Aplicativo]],Tabla76[],3,FALSE),"Sin Aplicativo")</f>
        <v>Otros Requerimientos</v>
      </c>
      <c r="BT56" s="400">
        <v>45689</v>
      </c>
      <c r="BU56" s="140">
        <v>45717</v>
      </c>
      <c r="BV56" s="124" t="s">
        <v>954</v>
      </c>
      <c r="BW5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45747</v>
      </c>
      <c r="BX5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6" s="97" t="str">
        <f ca="1">IF(Cartera1017[[#This Row],[Fecha Fin2]]="","No definido",CONCATENATE(TEXT(Cartera1017[[#This Row],[Fecha Fin2]],"mmm")," ",YEAR(Cartera1017[[#This Row],[Fecha Fin2]])))</f>
        <v>Mar 2025</v>
      </c>
      <c r="BZ56" s="28">
        <v>2025</v>
      </c>
      <c r="CA56" s="48" t="str">
        <f>IF(Cartera1017[[#This Row],[Estado TI]] = "08. Producción Finalizada","Culminado",IF(Cartera1017[[#This Row],[Estado TI]]= "09. Descartado","Descartado","Activos"))</f>
        <v>Descartado</v>
      </c>
      <c r="CB56" s="28"/>
      <c r="CC5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56" s="54" t="str">
        <f>IF(
AND(
Cartera1017[[#This Row],[DEVOLVER 27]]="NO",
NOT(ISBLANK(Cartera1017[[#This Row],[ESTADO NO DEVUELTOS 27]]))
),
"PRE",
"POST"
)</f>
        <v>POST</v>
      </c>
      <c r="CE56" s="54" t="s">
        <v>523</v>
      </c>
      <c r="CF56" s="28" t="s">
        <v>524</v>
      </c>
      <c r="CG5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56"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56" s="406">
        <f>Cartera1017[[#This Row],[Porcentaje de Avance]]</f>
        <v>-0.01</v>
      </c>
      <c r="CK56" s="388" t="str">
        <f>IF(
   OR(
     Cartera1017[[#This Row],[Estado TI]]="09. Descartado",
     Cartera1017[[#This Row],[Comienzo Desarrollo]]="",
     Cartera1017[[#This Row],[Fin Producción]]=""
   ),
   "",
   Cartera1017[[#This Row],[% PLANIFICADO]]-Cartera1017[[#This Row],[% COMPLETADO]]
)</f>
        <v/>
      </c>
      <c r="CL56" s="388" t="str">
        <f ca="1">IF(
   OR(
     Cartera1017[[#This Row],[Estado TI]]="09. Descartado",
     Cartera1017[[#This Row],[Comienzo Desarrollo]]="",
     Cartera1017[[#This Row],[Fin Producción]]="",
     Cartera1017[[#This Row],[% PLANIFICADO]]=0
   ),
   "",
   MIN(Cartera1017[[#This Row],[% COMPLETADO]]/Cartera1017[[#This Row],[% PLANIFICADO]],1.2)
)</f>
        <v/>
      </c>
      <c r="CM56" s="377"/>
      <c r="CN56" s="377"/>
      <c r="CO56" s="377"/>
      <c r="CP56" s="377"/>
      <c r="CQ56" s="377"/>
      <c r="CR56" s="377"/>
      <c r="CS56" s="377"/>
      <c r="CT56" s="44">
        <f>IF(Cartera1017[[#This Row],[Fin Desarrollo]]="",25,IFERROR(NETWORKDAYS(Cartera1017[[#This Row],[Comienzo Desarrollo]],Cartera1017[[#This Row],[Fin Desarrollo]],FERIADOS[Fecha]),""))</f>
        <v>25</v>
      </c>
      <c r="CU5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56" s="44">
        <f>IF(OR(Cartera1017[[#This Row],[Comienzo Desarrollo]]="",Cartera1017[[#This Row],[Fin Desarrollo]]=""),200,IFERROR(Cartera1017[[#This Row],[DURACIÓN DESARROLLO DIAS]]*VLOOKUP(Cartera1017[[#This Row],[ID Mantenimiento]],MANT_HORAS[],2,FALSE),200))</f>
        <v>200</v>
      </c>
      <c r="CW56" s="110"/>
      <c r="CX56" s="110" t="str">
        <f>VLOOKUP(Cartera1017[[#This Row],[Estado TI]],Definiciones!$A$549:$B$559,2,FALSE)</f>
        <v>5. DESCARTADO</v>
      </c>
      <c r="CY56" s="28">
        <f ca="1">1-Cartera1017[[#This Row],[Porcentaje avanzado desarrollo]]</f>
        <v>0.9</v>
      </c>
      <c r="CZ5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56" s="28">
        <f ca="1">MAX(0,Cartera1017[[#This Row],[DURACIÓN DESARROLLO DIAS]]-Cartera1017[[#This Row],[Dias avanzados]])</f>
        <v>24</v>
      </c>
      <c r="DB56" s="28">
        <f ca="1">Cartera1017[[#This Row],[Dias avanzados]]*IFERROR(VLOOKUP(Cartera1017[[#This Row],[ID Mantenimiento]],MANT_HORAS[],2,FALSE),8)</f>
        <v>8</v>
      </c>
      <c r="DC56" s="28">
        <f ca="1">Cartera1017[[#This Row],[Dias faltantes]]*IFERROR(VLOOKUP(Cartera1017[[#This Row],[ID Mantenimiento]],MANT_HORAS[],2,FALSE),8)</f>
        <v>192</v>
      </c>
      <c r="DD56" s="28" t="str">
        <f>IF(Cartera1017[[#This Row],[Fin Producción]]=0,"Por definir",CONCATENATE(YEAR(Cartera1017[[#This Row],[Fin Producción]]),"-",ROUNDUP(MONTH(Cartera1017[[#This Row],[Fin Producción]]),0)))</f>
        <v>Por definir</v>
      </c>
      <c r="DE56" s="18" t="s">
        <v>510</v>
      </c>
      <c r="DF56" s="28"/>
      <c r="DG56" s="28"/>
      <c r="DH56" s="565"/>
    </row>
    <row r="57" spans="1:112" ht="44.25" hidden="1" customHeight="1">
      <c r="A57" s="229" t="s">
        <v>994</v>
      </c>
      <c r="B57" s="18">
        <v>2478</v>
      </c>
      <c r="C57" s="18" t="s">
        <v>485</v>
      </c>
      <c r="D57" s="18" t="s">
        <v>995</v>
      </c>
      <c r="E57" s="522" t="s">
        <v>144</v>
      </c>
      <c r="F57" s="33" t="s">
        <v>145</v>
      </c>
      <c r="G57" s="19"/>
      <c r="H57" s="18" t="s">
        <v>40</v>
      </c>
      <c r="I57" s="18" t="s">
        <v>794</v>
      </c>
      <c r="J57" s="18" t="s">
        <v>795</v>
      </c>
      <c r="K57" s="20">
        <v>45596</v>
      </c>
      <c r="L57" s="50" t="s">
        <v>528</v>
      </c>
      <c r="M57" s="50" t="s">
        <v>870</v>
      </c>
      <c r="N57" s="114" t="s">
        <v>598</v>
      </c>
      <c r="O57" s="18" t="s">
        <v>530</v>
      </c>
      <c r="P57" s="18" t="s">
        <v>495</v>
      </c>
      <c r="Q57" s="18" t="s">
        <v>496</v>
      </c>
      <c r="R57" s="18" t="s">
        <v>497</v>
      </c>
      <c r="S57" s="18"/>
      <c r="T57" s="18" t="s">
        <v>495</v>
      </c>
      <c r="U57" s="18" t="s">
        <v>495</v>
      </c>
      <c r="V57" s="18" t="s">
        <v>495</v>
      </c>
      <c r="W57" s="18" t="s">
        <v>495</v>
      </c>
      <c r="X57" s="18" t="s">
        <v>495</v>
      </c>
      <c r="Y57" s="80" t="s">
        <v>495</v>
      </c>
      <c r="Z57" s="18" t="s">
        <v>532</v>
      </c>
      <c r="AA57" s="20">
        <v>45596</v>
      </c>
      <c r="AB57" s="18" t="s">
        <v>533</v>
      </c>
      <c r="AC57" s="18"/>
      <c r="AD57" s="18" t="s">
        <v>76</v>
      </c>
      <c r="AE57" s="18" t="s">
        <v>47</v>
      </c>
      <c r="AF57" s="517" t="s">
        <v>42</v>
      </c>
      <c r="AG57" s="14" t="str">
        <f>VLOOKUP(AF57,Tabla3[[Estado Requerimiento]:[Macro estado]],2,FALSE)</f>
        <v>02. En Proceso</v>
      </c>
      <c r="AH57" s="18"/>
      <c r="AI57" s="80">
        <v>45618</v>
      </c>
      <c r="AJ57" s="80"/>
      <c r="AK57" s="80">
        <v>45796</v>
      </c>
      <c r="AL57" s="80">
        <v>45796</v>
      </c>
      <c r="AM57" s="80">
        <v>45648</v>
      </c>
      <c r="AN57" s="80">
        <v>45803</v>
      </c>
      <c r="AO57" s="80">
        <v>45817</v>
      </c>
      <c r="AP57" s="81">
        <f t="shared" si="0"/>
        <v>45588.800000000003</v>
      </c>
      <c r="AQ57" s="80"/>
      <c r="AR57" s="80"/>
      <c r="AS57" s="81">
        <f t="shared" si="1"/>
        <v>45595.8</v>
      </c>
      <c r="AT57" s="19" t="s">
        <v>996</v>
      </c>
      <c r="AU57" s="44" t="str">
        <f>VLOOKUP(Cartera1017[[#This Row],[Gerencia]],tbGerencia[#All],3,FALSE)</f>
        <v>Operac.</v>
      </c>
      <c r="AV57" s="44" t="str">
        <f>IFERROR(VLOOKUP(Cartera1017[[#This Row],[Subgerencia]],Definiciones!$A$90:$B$144,2,FALSE),"")</f>
        <v>Internacional</v>
      </c>
      <c r="AW57" s="44" t="str">
        <f>IF(OR(LEN(Cartera1017[[#This Row],[Fecha de Solicitud]])=0,(Cartera1017[[#This Row],[Fecha de Solicitud]])="No definido"),"No definido",IF(YEAR(Cartera1017[[#This Row],[Fecha de Solicitud]])&lt;2023," &lt;  2023",TEXT(Cartera1017[[#This Row],[Fecha de Solicitud]],"yyyy-mm")))</f>
        <v>2024-10</v>
      </c>
      <c r="AX57" s="44" t="str">
        <f>IF(Cartera1017[[#This Row],[Fecha de Priorización Comité]]="","No definido",TEXT(Cartera1017[[#This Row],[Fecha de Priorización Comité]],"yyyy-mm"))</f>
        <v>2024-10</v>
      </c>
      <c r="AY57" s="44" t="str">
        <f>IF(Cartera1017[[#This Row],[Fecha Fin- Desarrollo]]="","No definido",TEXT(Cartera1017[[#This Row],[Fecha Fin- Desarrollo]],"yyyy-mm"))</f>
        <v>2025-05</v>
      </c>
      <c r="AZ57" s="44" t="str">
        <f>IF(Cartera1017[[#This Row],[Fecha Fin- Producción]]="","No definido",TEXT(Cartera1017[[#This Row],[Fecha Fin- Producción]],"yyyy-mm"))</f>
        <v>No definido</v>
      </c>
      <c r="BA57" s="44" t="str">
        <f>IF(Cartera1017[[#This Row],[Fecha Fin-Planificada]]="","No definido",TEXT(Cartera1017[[#This Row],[Fecha Fin-Planificada]],"yyyy-mm"))</f>
        <v>2024-10</v>
      </c>
      <c r="BB57" s="33"/>
      <c r="BC57" s="66"/>
      <c r="BD57" s="66"/>
      <c r="BE57" s="66"/>
      <c r="BF57" s="127"/>
      <c r="BG57" s="61" t="s">
        <v>992</v>
      </c>
      <c r="BH5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7" s="90" t="str">
        <f>IF(ISNUMBER(Cartera1017[[#This Row],[Duracion en Dias]]),Cartera1017[[#This Row],[Duracion en Dias]]/30, "No Aplica")</f>
        <v>No Aplica</v>
      </c>
      <c r="BJ57" s="109"/>
      <c r="BK57" s="28" t="s">
        <v>506</v>
      </c>
      <c r="BL57" s="520" t="s">
        <v>655</v>
      </c>
      <c r="BM57" s="521">
        <v>45905.727627314816</v>
      </c>
      <c r="BN57" s="227"/>
      <c r="BO57" s="227"/>
      <c r="BP57" s="227"/>
      <c r="BQ5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7" s="14" t="str">
        <f>IFERROR(VLOOKUP(Cartera1017[[#This Row],[Aplicativo]],Tabla76[],2,FALSE),"Sin Aplicativo")</f>
        <v>Oracle</v>
      </c>
      <c r="BS57" s="14" t="str">
        <f>IFERROR(VLOOKUP(Cartera1017[[#This Row],[Aplicativo]],Tabla76[],3,FALSE),"Sin Aplicativo")</f>
        <v>Otros Requerimientos</v>
      </c>
      <c r="BT57" s="400" t="s">
        <v>521</v>
      </c>
      <c r="BU57" s="28"/>
      <c r="BV57" s="33" t="s">
        <v>997</v>
      </c>
      <c r="BW57"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5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57" s="97" t="str">
        <f ca="1">IF(Cartera1017[[#This Row],[Fecha Fin2]]="","No definido",CONCATENATE(TEXT(Cartera1017[[#This Row],[Fecha Fin2]],"mmm")," ",YEAR(Cartera1017[[#This Row],[Fecha Fin2]])))</f>
        <v>No definido</v>
      </c>
      <c r="BZ57" s="28">
        <v>2025</v>
      </c>
      <c r="CA57" s="48" t="str">
        <f>IF(Cartera1017[[#This Row],[Estado TI]] = "08. Producción Finalizada","Culminado",IF(Cartera1017[[#This Row],[Estado TI]]= "09. Descartado","Descartado","Activos"))</f>
        <v>Activos</v>
      </c>
      <c r="CB57" s="28"/>
      <c r="CC5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57" s="54" t="str">
        <f>IF(
AND(
Cartera1017[[#This Row],[DEVOLVER 27]]="NO",
NOT(ISBLANK(Cartera1017[[#This Row],[ESTADO NO DEVUELTOS 27]]))
),
"PRE",
"POST"
)</f>
        <v>PRE</v>
      </c>
      <c r="CE57" s="54" t="s">
        <v>509</v>
      </c>
      <c r="CF57" s="28" t="s">
        <v>48</v>
      </c>
      <c r="CG5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5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RIESGO 🟡</v>
      </c>
      <c r="CI5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0.96946564885496178</v>
      </c>
      <c r="CJ57" s="406">
        <f>Cartera1017[[#This Row],[Porcentaje de Avance]]</f>
        <v>0.85</v>
      </c>
      <c r="CK57" s="388">
        <f ca="1">IF(
   OR(
     Cartera1017[[#This Row],[Estado TI]]="09. Descartado",
     Cartera1017[[#This Row],[Comienzo Desarrollo]]="",
     Cartera1017[[#This Row],[Fin Producción]]=""
   ),
   "",
   Cartera1017[[#This Row],[% PLANIFICADO]]-Cartera1017[[#This Row],[% COMPLETADO]]
)</f>
        <v>0.1194656488549618</v>
      </c>
      <c r="CL57" s="388">
        <f ca="1">IF(
   OR(
     Cartera1017[[#This Row],[Estado TI]]="09. Descartado",
     Cartera1017[[#This Row],[Comienzo Desarrollo]]="",
     Cartera1017[[#This Row],[Fin Producción]]="",
     Cartera1017[[#This Row],[% PLANIFICADO]]=0
   ),
   "",
   MIN(Cartera1017[[#This Row],[% COMPLETADO]]/Cartera1017[[#This Row],[% PLANIFICADO]],1.2)
)</f>
        <v>0.87677165354330711</v>
      </c>
      <c r="CM57" s="377">
        <v>45796</v>
      </c>
      <c r="CN57" s="377">
        <v>45796</v>
      </c>
      <c r="CO57" s="377">
        <v>45796</v>
      </c>
      <c r="CP57" s="377">
        <v>45803</v>
      </c>
      <c r="CQ57" s="377">
        <v>45817</v>
      </c>
      <c r="CR57" s="377">
        <v>46072</v>
      </c>
      <c r="CS57" s="377">
        <v>46174</v>
      </c>
      <c r="CT57" s="44">
        <f>IF(Cartera1017[[#This Row],[Fin Desarrollo]]="",25,IFERROR(NETWORKDAYS(Cartera1017[[#This Row],[Comienzo Desarrollo]],Cartera1017[[#This Row],[Fin Desarrollo]],FERIADOS[Fecha]),""))</f>
        <v>1</v>
      </c>
      <c r="CU5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57" s="44">
        <f>IF(OR(Cartera1017[[#This Row],[Comienzo Desarrollo]]="",Cartera1017[[#This Row],[Fin Desarrollo]]=""),200,IFERROR(Cartera1017[[#This Row],[DURACIÓN DESARROLLO DIAS]]*VLOOKUP(Cartera1017[[#This Row],[ID Mantenimiento]],MANT_HORAS[],2,FALSE),200))</f>
        <v>200</v>
      </c>
      <c r="CW57" s="110"/>
      <c r="CX57" s="110" t="str">
        <f>VLOOKUP(Cartera1017[[#This Row],[Estado TI]],Definiciones!$A$549:$B$559,2,FALSE)</f>
        <v>2. CALIDAD</v>
      </c>
      <c r="CY57" s="28">
        <f ca="1">1-Cartera1017[[#This Row],[Porcentaje avanzado desarrollo]]</f>
        <v>0</v>
      </c>
      <c r="CZ5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57" s="28">
        <f ca="1">MAX(0,Cartera1017[[#This Row],[DURACIÓN DESARROLLO DIAS]]-Cartera1017[[#This Row],[Dias avanzados]])</f>
        <v>0</v>
      </c>
      <c r="DB57" s="28">
        <f ca="1">Cartera1017[[#This Row],[Dias avanzados]]*IFERROR(VLOOKUP(Cartera1017[[#This Row],[ID Mantenimiento]],MANT_HORAS[],2,FALSE),8)</f>
        <v>8</v>
      </c>
      <c r="DC57" s="28">
        <f ca="1">Cartera1017[[#This Row],[Dias faltantes]]*IFERROR(VLOOKUP(Cartera1017[[#This Row],[ID Mantenimiento]],MANT_HORAS[],2,FALSE),8)</f>
        <v>0</v>
      </c>
      <c r="DD57" s="28" t="str">
        <f>IF(Cartera1017[[#This Row],[Fin Producción]]=0,"Por definir",CONCATENATE(YEAR(Cartera1017[[#This Row],[Fin Producción]]),"-",ROUNDUP(MONTH(Cartera1017[[#This Row],[Fin Producción]]),0)))</f>
        <v>2026-6</v>
      </c>
      <c r="DE57" s="18" t="s">
        <v>510</v>
      </c>
      <c r="DF57" s="28" t="s">
        <v>998</v>
      </c>
      <c r="DG57" s="28" t="s">
        <v>585</v>
      </c>
      <c r="DH57" s="565"/>
    </row>
    <row r="58" spans="1:112" ht="44.25" hidden="1" customHeight="1">
      <c r="A58" s="229" t="s">
        <v>999</v>
      </c>
      <c r="B58" s="18">
        <v>2412</v>
      </c>
      <c r="C58" s="18" t="s">
        <v>485</v>
      </c>
      <c r="D58" s="18" t="s">
        <v>1000</v>
      </c>
      <c r="E58" s="18" t="s">
        <v>146</v>
      </c>
      <c r="F58" s="33" t="s">
        <v>147</v>
      </c>
      <c r="G58" s="19" t="s">
        <v>1001</v>
      </c>
      <c r="H58" s="18" t="s">
        <v>46</v>
      </c>
      <c r="I58" s="18" t="s">
        <v>1002</v>
      </c>
      <c r="J58" s="18" t="s">
        <v>1002</v>
      </c>
      <c r="K58" s="20">
        <v>45544</v>
      </c>
      <c r="L58" s="50" t="s">
        <v>1003</v>
      </c>
      <c r="M58" s="50" t="s">
        <v>579</v>
      </c>
      <c r="N58" s="43" t="s">
        <v>1004</v>
      </c>
      <c r="O58" s="18" t="s">
        <v>548</v>
      </c>
      <c r="P58" s="18" t="s">
        <v>549</v>
      </c>
      <c r="Q58" s="18" t="s">
        <v>496</v>
      </c>
      <c r="R58" s="18" t="s">
        <v>780</v>
      </c>
      <c r="S58" s="18" t="s">
        <v>780</v>
      </c>
      <c r="T58" s="39" t="s">
        <v>652</v>
      </c>
      <c r="U58" s="18" t="s">
        <v>1005</v>
      </c>
      <c r="V58" s="39" t="s">
        <v>686</v>
      </c>
      <c r="W58" s="39" t="s">
        <v>1006</v>
      </c>
      <c r="X58" s="39" t="s">
        <v>1007</v>
      </c>
      <c r="Y58" s="111" t="s">
        <v>1008</v>
      </c>
      <c r="Z58" s="18" t="s">
        <v>499</v>
      </c>
      <c r="AA58" s="20">
        <v>45602</v>
      </c>
      <c r="AB58" s="18" t="s">
        <v>500</v>
      </c>
      <c r="AC58" s="18" t="s">
        <v>570</v>
      </c>
      <c r="AD58" s="18" t="s">
        <v>43</v>
      </c>
      <c r="AE58" s="18" t="s">
        <v>47</v>
      </c>
      <c r="AF58" s="18" t="s">
        <v>42</v>
      </c>
      <c r="AG58" s="14" t="str">
        <f>VLOOKUP(AF58,Tabla3[[Estado Requerimiento]:[Macro estado]],2,FALSE)</f>
        <v>02. En Proceso</v>
      </c>
      <c r="AH58" s="18" t="s">
        <v>659</v>
      </c>
      <c r="AI58" s="80">
        <v>45602</v>
      </c>
      <c r="AJ58" s="80"/>
      <c r="AK58" s="80">
        <v>46079</v>
      </c>
      <c r="AL58" s="80">
        <v>46083</v>
      </c>
      <c r="AM58" s="120">
        <v>45944</v>
      </c>
      <c r="AN58" s="80">
        <v>46085</v>
      </c>
      <c r="AO58" s="80">
        <v>46120</v>
      </c>
      <c r="AP58" s="182">
        <f t="shared" si="0"/>
        <v>45890</v>
      </c>
      <c r="AQ58" s="80"/>
      <c r="AR58" s="80"/>
      <c r="AS58" s="182">
        <f t="shared" si="1"/>
        <v>45897</v>
      </c>
      <c r="AT58" s="19" t="s">
        <v>1009</v>
      </c>
      <c r="AU58" s="44" t="str">
        <f>VLOOKUP(Cartera1017[[#This Row],[Gerencia]],tbGerencia[#All],3,FALSE)</f>
        <v>PLAFT</v>
      </c>
      <c r="AV58" s="44" t="str">
        <f>IFERROR(VLOOKUP(Cartera1017[[#This Row],[Subgerencia]],Definiciones!$A$90:$B$144,2,FALSE),"")</f>
        <v>Prevención</v>
      </c>
      <c r="AW58" s="44" t="str">
        <f>IF(OR(LEN(Cartera1017[[#This Row],[Fecha de Solicitud]])=0,(Cartera1017[[#This Row],[Fecha de Solicitud]])="No definido"),"No definido",IF(YEAR(Cartera1017[[#This Row],[Fecha de Solicitud]])&lt;2023," &lt;  2023",TEXT(Cartera1017[[#This Row],[Fecha de Solicitud]],"yyyy-mm")))</f>
        <v>2024-09</v>
      </c>
      <c r="AX58" s="44" t="str">
        <f>IF(Cartera1017[[#This Row],[Fecha de Priorización Comité]]="","No definido",TEXT(Cartera1017[[#This Row],[Fecha de Priorización Comité]],"yyyy-mm"))</f>
        <v>2024-11</v>
      </c>
      <c r="AY58" s="44" t="str">
        <f>IF(Cartera1017[[#This Row],[Fecha Fin- Desarrollo]]="","No definido",TEXT(Cartera1017[[#This Row],[Fecha Fin- Desarrollo]],"yyyy-mm"))</f>
        <v>2026-03</v>
      </c>
      <c r="AZ58" s="44" t="str">
        <f>IF(Cartera1017[[#This Row],[Fecha Fin- Producción]]="","No definido",TEXT(Cartera1017[[#This Row],[Fecha Fin- Producción]],"yyyy-mm"))</f>
        <v>No definido</v>
      </c>
      <c r="BA58" s="44" t="str">
        <f>IF(Cartera1017[[#This Row],[Fecha Fin-Planificada]]="","No definido",TEXT(Cartera1017[[#This Row],[Fecha Fin-Planificada]],"yyyy-mm"))</f>
        <v>2025-08</v>
      </c>
      <c r="BB58" s="33" t="s">
        <v>581</v>
      </c>
      <c r="BC58" s="66">
        <v>45754</v>
      </c>
      <c r="BD58" s="66">
        <v>45944</v>
      </c>
      <c r="BE58" s="66"/>
      <c r="BF58" s="127"/>
      <c r="BG58" s="61" t="s">
        <v>992</v>
      </c>
      <c r="BH5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8" s="90" t="str">
        <f>IF(ISNUMBER(Cartera1017[[#This Row],[Duracion en Dias]]),Cartera1017[[#This Row],[Duracion en Dias]]/30, "No Aplica")</f>
        <v>No Aplica</v>
      </c>
      <c r="BJ58" s="18" t="s">
        <v>1010</v>
      </c>
      <c r="BK58" s="28" t="s">
        <v>506</v>
      </c>
      <c r="BL58" s="110" t="s">
        <v>655</v>
      </c>
      <c r="BM58" s="342">
        <v>46160.780671296299</v>
      </c>
      <c r="BN58" s="227" t="s">
        <v>1011</v>
      </c>
      <c r="BO58" s="227" t="s">
        <v>1012</v>
      </c>
      <c r="BP58" s="227"/>
      <c r="BQ5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8" s="14" t="str">
        <f>IFERROR(VLOOKUP(Cartera1017[[#This Row],[Aplicativo]],Tabla76[],2,FALSE),"Sin Aplicativo")</f>
        <v>Clientes (BDUC)</v>
      </c>
      <c r="BS58" s="14" t="str">
        <f>IFERROR(VLOOKUP(Cartera1017[[#This Row],[Aplicativo]],Tabla76[],3,FALSE),"Sin Aplicativo")</f>
        <v>Canales Presenciales</v>
      </c>
      <c r="BT58" s="400">
        <v>45870</v>
      </c>
      <c r="BU58" s="140">
        <v>45870</v>
      </c>
      <c r="BV58" s="33" t="s">
        <v>1013</v>
      </c>
      <c r="BW5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5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8" s="97" t="str">
        <f ca="1">IF(Cartera1017[[#This Row],[Fecha Fin2]]="","No definido",CONCATENATE(TEXT(Cartera1017[[#This Row],[Fecha Fin2]],"mmm")," ",YEAR(Cartera1017[[#This Row],[Fecha Fin2]])))</f>
        <v>Ago 2025</v>
      </c>
      <c r="BZ58" s="28">
        <v>2025</v>
      </c>
      <c r="CA58" s="48" t="str">
        <f>IF(Cartera1017[[#This Row],[Estado TI]] = "08. Producción Finalizada","Culminado",IF(Cartera1017[[#This Row],[Estado TI]]= "09. Descartado","Descartado","Activos"))</f>
        <v>Activos</v>
      </c>
      <c r="CB58" s="28"/>
      <c r="CC58" s="406">
        <v>0.99</v>
      </c>
      <c r="CD58" s="54" t="str">
        <f>IF(
AND(
Cartera1017[[#This Row],[DEVOLVER 27]]="NO",
NOT(ISBLANK(Cartera1017[[#This Row],[ESTADO NO DEVUELTOS 27]]))
),
"PRE",
"POST"
)</f>
        <v>PRE</v>
      </c>
      <c r="CE58" s="54" t="s">
        <v>509</v>
      </c>
      <c r="CF58" s="28" t="s">
        <v>48</v>
      </c>
      <c r="CG5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5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58" s="389">
        <v>0.99</v>
      </c>
      <c r="CJ58" s="406">
        <v>0.99</v>
      </c>
      <c r="CK58" s="388">
        <f>IF(
   OR(
     Cartera1017[[#This Row],[Estado TI]]="09. Descartado",
     Cartera1017[[#This Row],[Comienzo Desarrollo]]="",
     Cartera1017[[#This Row],[Fin Producción]]=""
   ),
   "",
   Cartera1017[[#This Row],[% PLANIFICADO]]-Cartera1017[[#This Row],[% COMPLETADO]]
)</f>
        <v>0</v>
      </c>
      <c r="CL58" s="388">
        <f>IF(
   OR(
     Cartera1017[[#This Row],[Estado TI]]="09. Descartado",
     Cartera1017[[#This Row],[Comienzo Desarrollo]]="",
     Cartera1017[[#This Row],[Fin Producción]]="",
     Cartera1017[[#This Row],[% PLANIFICADO]]=0
   ),
   "",
   MIN(Cartera1017[[#This Row],[% COMPLETADO]]/Cartera1017[[#This Row],[% PLANIFICADO]],1.2)
)</f>
        <v>1</v>
      </c>
      <c r="CM58" s="377">
        <v>45964</v>
      </c>
      <c r="CN58" s="377">
        <v>45964</v>
      </c>
      <c r="CO58" s="20">
        <v>46112</v>
      </c>
      <c r="CP58" s="20">
        <v>46113</v>
      </c>
      <c r="CQ58" s="20">
        <v>46142</v>
      </c>
      <c r="CR58" s="20">
        <v>46157</v>
      </c>
      <c r="CS58" s="20">
        <v>46160</v>
      </c>
      <c r="CT58" s="44">
        <f>IF(Cartera1017[[#This Row],[Fin Desarrollo]]="",25,IFERROR(NETWORKDAYS(Cartera1017[[#This Row],[Comienzo Desarrollo]],Cartera1017[[#This Row],[Fin Desarrollo]],FERIADOS[Fecha]),""))</f>
        <v>102</v>
      </c>
      <c r="CU5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58" s="44">
        <f>IF(OR(Cartera1017[[#This Row],[Comienzo Desarrollo]]="",Cartera1017[[#This Row],[Fin Desarrollo]]=""),200,IFERROR(Cartera1017[[#This Row],[DURACIÓN DESARROLLO DIAS]]*VLOOKUP(Cartera1017[[#This Row],[ID Mantenimiento]],MANT_HORAS[],2,FALSE),200))</f>
        <v>200</v>
      </c>
      <c r="CW58" s="110"/>
      <c r="CX58" s="110" t="str">
        <f>VLOOKUP(Cartera1017[[#This Row],[Estado TI]],Definiciones!$A$549:$B$559,2,FALSE)</f>
        <v>2. CALIDAD</v>
      </c>
      <c r="CY58" s="28">
        <f ca="1">1-Cartera1017[[#This Row],[Porcentaje avanzado desarrollo]]</f>
        <v>0</v>
      </c>
      <c r="CZ5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102</v>
      </c>
      <c r="DA58" s="28">
        <f ca="1">MAX(0,Cartera1017[[#This Row],[DURACIÓN DESARROLLO DIAS]]-Cartera1017[[#This Row],[Dias avanzados]])</f>
        <v>0</v>
      </c>
      <c r="DB58" s="28">
        <f ca="1">Cartera1017[[#This Row],[Dias avanzados]]*IFERROR(VLOOKUP(Cartera1017[[#This Row],[ID Mantenimiento]],MANT_HORAS[],2,FALSE),8)</f>
        <v>816</v>
      </c>
      <c r="DC58" s="28">
        <f ca="1">Cartera1017[[#This Row],[Dias faltantes]]*IFERROR(VLOOKUP(Cartera1017[[#This Row],[ID Mantenimiento]],MANT_HORAS[],2,FALSE),8)</f>
        <v>0</v>
      </c>
      <c r="DD58" s="28" t="str">
        <f>IF(Cartera1017[[#This Row],[Fin Producción]]=0,"Por definir",CONCATENATE(YEAR(Cartera1017[[#This Row],[Fin Producción]]),"-",ROUNDUP(MONTH(Cartera1017[[#This Row],[Fin Producción]]),0)))</f>
        <v>2026-5</v>
      </c>
      <c r="DE58" s="18" t="s">
        <v>510</v>
      </c>
      <c r="DF58" s="28"/>
      <c r="DG58" s="28" t="s">
        <v>622</v>
      </c>
      <c r="DH58" s="565"/>
    </row>
    <row r="59" spans="1:112" ht="44.25" hidden="1" customHeight="1">
      <c r="A59" s="229" t="s">
        <v>1014</v>
      </c>
      <c r="B59" s="18">
        <v>2499</v>
      </c>
      <c r="C59" s="18" t="s">
        <v>485</v>
      </c>
      <c r="D59" s="18" t="s">
        <v>1015</v>
      </c>
      <c r="E59" s="18" t="s">
        <v>148</v>
      </c>
      <c r="F59" s="33" t="s">
        <v>149</v>
      </c>
      <c r="G59" s="19"/>
      <c r="H59" s="18" t="s">
        <v>40</v>
      </c>
      <c r="I59" s="18" t="s">
        <v>490</v>
      </c>
      <c r="J59" s="18" t="s">
        <v>491</v>
      </c>
      <c r="K59" s="20">
        <v>45565</v>
      </c>
      <c r="L59" s="50" t="s">
        <v>1016</v>
      </c>
      <c r="M59" s="50" t="s">
        <v>914</v>
      </c>
      <c r="N59" s="50"/>
      <c r="O59" s="18" t="s">
        <v>530</v>
      </c>
      <c r="P59" s="18" t="s">
        <v>912</v>
      </c>
      <c r="Q59" s="18" t="s">
        <v>496</v>
      </c>
      <c r="R59" s="18" t="s">
        <v>780</v>
      </c>
      <c r="S59" s="18" t="s">
        <v>780</v>
      </c>
      <c r="T59" s="18" t="s">
        <v>1017</v>
      </c>
      <c r="U59" s="18" t="s">
        <v>1018</v>
      </c>
      <c r="V59" s="18" t="s">
        <v>1019</v>
      </c>
      <c r="W59" s="114" t="s">
        <v>1020</v>
      </c>
      <c r="X59" s="18" t="s">
        <v>1021</v>
      </c>
      <c r="Y59" s="80" t="s">
        <v>1022</v>
      </c>
      <c r="Z59" s="18" t="s">
        <v>499</v>
      </c>
      <c r="AA59" s="20">
        <v>45628</v>
      </c>
      <c r="AB59" s="18" t="s">
        <v>500</v>
      </c>
      <c r="AC59" s="18" t="s">
        <v>501</v>
      </c>
      <c r="AD59" s="18" t="s">
        <v>150</v>
      </c>
      <c r="AE59" s="18" t="s">
        <v>41</v>
      </c>
      <c r="AF59" s="18" t="s">
        <v>53</v>
      </c>
      <c r="AG59" s="14" t="str">
        <f>VLOOKUP(AF59,Tabla3[[Estado Requerimiento]:[Macro estado]],2,FALSE)</f>
        <v>03. Culminado</v>
      </c>
      <c r="AH59" s="18"/>
      <c r="AI59" s="80">
        <v>45628</v>
      </c>
      <c r="AJ59" s="80">
        <v>45964</v>
      </c>
      <c r="AK59" s="80">
        <v>45628</v>
      </c>
      <c r="AL59" s="80">
        <v>46063</v>
      </c>
      <c r="AM59" s="80">
        <v>46022</v>
      </c>
      <c r="AN59" s="80">
        <v>46070</v>
      </c>
      <c r="AO59" s="80">
        <v>46084</v>
      </c>
      <c r="AP59" s="81">
        <f t="shared" si="0"/>
        <v>46179.6</v>
      </c>
      <c r="AQ59" s="80">
        <v>46098</v>
      </c>
      <c r="AR59" s="80">
        <v>46105</v>
      </c>
      <c r="AS59" s="81">
        <f t="shared" si="1"/>
        <v>46186.6</v>
      </c>
      <c r="AT59" s="19" t="s">
        <v>1023</v>
      </c>
      <c r="AU59" s="44" t="str">
        <f>VLOOKUP(Cartera1017[[#This Row],[Gerencia]],tbGerencia[#All],3,FALSE)</f>
        <v>Operac.</v>
      </c>
      <c r="AV59" s="44" t="str">
        <f>IFERROR(VLOOKUP(Cartera1017[[#This Row],[Subgerencia]],Definiciones!$A$90:$B$144,2,FALSE),"")</f>
        <v>BancariosRecaudación</v>
      </c>
      <c r="AW59" s="44" t="str">
        <f>IF(OR(LEN(Cartera1017[[#This Row],[Fecha de Solicitud]])=0,(Cartera1017[[#This Row],[Fecha de Solicitud]])="No definido"),"No definido",IF(YEAR(Cartera1017[[#This Row],[Fecha de Solicitud]])&lt;2023," &lt;  2023",TEXT(Cartera1017[[#This Row],[Fecha de Solicitud]],"yyyy-mm")))</f>
        <v>2024-09</v>
      </c>
      <c r="AX59" s="44" t="str">
        <f>IF(Cartera1017[[#This Row],[Fecha de Priorización Comité]]="","No definido",TEXT(Cartera1017[[#This Row],[Fecha de Priorización Comité]],"yyyy-mm"))</f>
        <v>2024-12</v>
      </c>
      <c r="AY59" s="44" t="str">
        <f>IF(Cartera1017[[#This Row],[Fecha Fin- Desarrollo]]="","No definido",TEXT(Cartera1017[[#This Row],[Fecha Fin- Desarrollo]],"yyyy-mm"))</f>
        <v>2026-02</v>
      </c>
      <c r="AZ59" s="44" t="str">
        <f>IF(Cartera1017[[#This Row],[Fecha Fin- Producción]]="","No definido",TEXT(Cartera1017[[#This Row],[Fecha Fin- Producción]],"yyyy-mm"))</f>
        <v>2026-03</v>
      </c>
      <c r="BA59" s="44" t="str">
        <f>IF(Cartera1017[[#This Row],[Fecha Fin-Planificada]]="","No definido",TEXT(Cartera1017[[#This Row],[Fecha Fin-Planificada]],"yyyy-mm"))</f>
        <v>2026-06</v>
      </c>
      <c r="BB59" s="33"/>
      <c r="BC59" s="66"/>
      <c r="BD59" s="66"/>
      <c r="BE59" s="66"/>
      <c r="BF59" s="127"/>
      <c r="BG59" s="28" t="s">
        <v>992</v>
      </c>
      <c r="BH5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477</v>
      </c>
      <c r="BI59" s="90">
        <f>IF(ISNUMBER(Cartera1017[[#This Row],[Duracion en Dias]]),Cartera1017[[#This Row],[Duracion en Dias]]/30, "No Aplica")</f>
        <v>15.9</v>
      </c>
      <c r="BJ59" s="18" t="s">
        <v>1024</v>
      </c>
      <c r="BK59" s="28" t="s">
        <v>506</v>
      </c>
      <c r="BL59" s="110" t="s">
        <v>536</v>
      </c>
      <c r="BM59" s="342">
        <v>46105.730138888888</v>
      </c>
      <c r="BN59" s="227" t="s">
        <v>1025</v>
      </c>
      <c r="BO59" s="227" t="s">
        <v>1026</v>
      </c>
      <c r="BP59" s="227"/>
      <c r="BQ5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59" s="14" t="str">
        <f>IFERROR(VLOOKUP(Cartera1017[[#This Row],[Aplicativo]],Tabla76[],2,FALSE),"Sin Aplicativo")</f>
        <v>Créditos Hipotecarios</v>
      </c>
      <c r="BS59" s="14" t="str">
        <f>IFERROR(VLOOKUP(Cartera1017[[#This Row],[Aplicativo]],Tabla76[],3,FALSE),"Sin Aplicativo")</f>
        <v>Productos</v>
      </c>
      <c r="BT59" s="400">
        <v>45778</v>
      </c>
      <c r="BU59" s="140">
        <v>45778</v>
      </c>
      <c r="BV59" s="28"/>
      <c r="BW59"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46105</v>
      </c>
      <c r="BX5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59" s="97" t="str">
        <f ca="1">IF(Cartera1017[[#This Row],[Fecha Fin2]]="","No definido",CONCATENATE(TEXT(Cartera1017[[#This Row],[Fecha Fin2]],"mmm")," ",YEAR(Cartera1017[[#This Row],[Fecha Fin2]])))</f>
        <v>Mar 2026</v>
      </c>
      <c r="BZ59" s="28">
        <v>2025</v>
      </c>
      <c r="CA59" s="48" t="str">
        <f>IF(Cartera1017[[#This Row],[Estado TI]] = "08. Producción Finalizada","Culminado",IF(Cartera1017[[#This Row],[Estado TI]]= "09. Descartado","Descartado","Activos"))</f>
        <v>Culminado</v>
      </c>
      <c r="CB59" s="28"/>
      <c r="CC5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59" s="54" t="str">
        <f>IF(
AND(
Cartera1017[[#This Row],[DEVOLVER 27]]="NO",
NOT(ISBLANK(Cartera1017[[#This Row],[ESTADO NO DEVUELTOS 27]]))
),
"PRE",
"POST"
)</f>
        <v>PRE</v>
      </c>
      <c r="CE59" s="54" t="s">
        <v>509</v>
      </c>
      <c r="CF59" s="28" t="s">
        <v>48</v>
      </c>
      <c r="CG5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5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59" s="406">
        <f>Cartera1017[[#This Row],[Porcentaje de Avance]]</f>
        <v>1</v>
      </c>
      <c r="CK59" s="388">
        <f ca="1">IF(
   OR(
     Cartera1017[[#This Row],[Estado TI]]="09. Descartado",
     Cartera1017[[#This Row],[Comienzo Desarrollo]]="",
     Cartera1017[[#This Row],[Fin Producción]]=""
   ),
   "",
   Cartera1017[[#This Row],[% PLANIFICADO]]-Cartera1017[[#This Row],[% COMPLETADO]]
)</f>
        <v>0</v>
      </c>
      <c r="CL59" s="388">
        <f ca="1">IF(
   OR(
     Cartera1017[[#This Row],[Estado TI]]="09. Descartado",
     Cartera1017[[#This Row],[Comienzo Desarrollo]]="",
     Cartera1017[[#This Row],[Fin Producción]]="",
     Cartera1017[[#This Row],[% PLANIFICADO]]=0
   ),
   "",
   MIN(Cartera1017[[#This Row],[% COMPLETADO]]/Cartera1017[[#This Row],[% PLANIFICADO]],1.2)
)</f>
        <v>1</v>
      </c>
      <c r="CM59" s="377">
        <v>45964</v>
      </c>
      <c r="CN59" s="377">
        <v>45964</v>
      </c>
      <c r="CO59" s="377">
        <v>46063</v>
      </c>
      <c r="CP59" s="377">
        <v>46070</v>
      </c>
      <c r="CQ59" s="377">
        <v>46112</v>
      </c>
      <c r="CR59" s="377">
        <v>46113</v>
      </c>
      <c r="CS59" s="377">
        <v>46115</v>
      </c>
      <c r="CT59" s="44">
        <f>IF(Cartera1017[[#This Row],[Fin Desarrollo]]="",25,IFERROR(NETWORKDAYS(Cartera1017[[#This Row],[Comienzo Desarrollo]],Cartera1017[[#This Row],[Fin Desarrollo]],FERIADOS[Fecha]),""))</f>
        <v>67</v>
      </c>
      <c r="CU5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59" s="44">
        <f>IF(OR(Cartera1017[[#This Row],[Comienzo Desarrollo]]="",Cartera1017[[#This Row],[Fin Desarrollo]]=""),200,IFERROR(Cartera1017[[#This Row],[DURACIÓN DESARROLLO DIAS]]*VLOOKUP(Cartera1017[[#This Row],[ID Mantenimiento]],MANT_HORAS[],2,FALSE),200))</f>
        <v>200</v>
      </c>
      <c r="CW59" s="110"/>
      <c r="CX59" s="110" t="str">
        <f>VLOOKUP(Cartera1017[[#This Row],[Estado TI]],Definiciones!$A$549:$B$559,2,FALSE)</f>
        <v>4. PRODUCCIÓN</v>
      </c>
      <c r="CY59" s="28">
        <f ca="1">1-Cartera1017[[#This Row],[Porcentaje avanzado desarrollo]]</f>
        <v>0</v>
      </c>
      <c r="CZ5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67</v>
      </c>
      <c r="DA59" s="28">
        <f ca="1">MAX(0,Cartera1017[[#This Row],[DURACIÓN DESARROLLO DIAS]]-Cartera1017[[#This Row],[Dias avanzados]])</f>
        <v>0</v>
      </c>
      <c r="DB59" s="28">
        <f ca="1">Cartera1017[[#This Row],[Dias avanzados]]*IFERROR(VLOOKUP(Cartera1017[[#This Row],[ID Mantenimiento]],MANT_HORAS[],2,FALSE),8)</f>
        <v>536</v>
      </c>
      <c r="DC59" s="28">
        <f ca="1">Cartera1017[[#This Row],[Dias faltantes]]*IFERROR(VLOOKUP(Cartera1017[[#This Row],[ID Mantenimiento]],MANT_HORAS[],2,FALSE),8)</f>
        <v>0</v>
      </c>
      <c r="DD59" s="28" t="str">
        <f>IF(Cartera1017[[#This Row],[Fin Producción]]=0,"Por definir",CONCATENATE(YEAR(Cartera1017[[#This Row],[Fin Producción]]),"-",ROUNDUP(MONTH(Cartera1017[[#This Row],[Fin Producción]]),0)))</f>
        <v>2026-4</v>
      </c>
      <c r="DE59" s="18" t="s">
        <v>510</v>
      </c>
      <c r="DF59" s="28"/>
      <c r="DG59" s="28"/>
      <c r="DH59" s="565"/>
    </row>
    <row r="60" spans="1:112" ht="44.25" hidden="1" customHeight="1">
      <c r="A60" s="229" t="s">
        <v>1027</v>
      </c>
      <c r="B60" s="18">
        <v>2530</v>
      </c>
      <c r="C60" s="18" t="s">
        <v>485</v>
      </c>
      <c r="D60" s="18" t="s">
        <v>1028</v>
      </c>
      <c r="E60" s="18" t="s">
        <v>151</v>
      </c>
      <c r="F60" s="33" t="s">
        <v>152</v>
      </c>
      <c r="G60" s="19"/>
      <c r="H60" s="18" t="s">
        <v>108</v>
      </c>
      <c r="I60" s="18" t="s">
        <v>811</v>
      </c>
      <c r="J60" s="18" t="s">
        <v>500</v>
      </c>
      <c r="K60" s="20"/>
      <c r="L60" s="270"/>
      <c r="M60" s="50" t="s">
        <v>742</v>
      </c>
      <c r="N60" s="50"/>
      <c r="O60" s="18" t="s">
        <v>712</v>
      </c>
      <c r="P60" s="18" t="s">
        <v>495</v>
      </c>
      <c r="Q60" s="18" t="s">
        <v>496</v>
      </c>
      <c r="R60" s="18" t="s">
        <v>497</v>
      </c>
      <c r="S60" s="18"/>
      <c r="T60" s="18"/>
      <c r="U60" s="18"/>
      <c r="V60" s="18"/>
      <c r="W60" s="18"/>
      <c r="X60" s="18"/>
      <c r="Y60" s="80"/>
      <c r="Z60" s="18" t="s">
        <v>532</v>
      </c>
      <c r="AA60" s="20">
        <v>45653</v>
      </c>
      <c r="AB60" s="18" t="s">
        <v>500</v>
      </c>
      <c r="AC60" s="18" t="s">
        <v>558</v>
      </c>
      <c r="AD60" s="18" t="s">
        <v>153</v>
      </c>
      <c r="AE60" s="18" t="s">
        <v>109</v>
      </c>
      <c r="AF60" s="18" t="s">
        <v>35</v>
      </c>
      <c r="AG60" s="14" t="str">
        <f>VLOOKUP(AF60,Tabla3[[Estado Requerimiento]:[Macro estado]],2,FALSE)</f>
        <v>02. En Proceso</v>
      </c>
      <c r="AH60" s="18"/>
      <c r="AI60" s="80">
        <v>45600</v>
      </c>
      <c r="AJ60" s="80"/>
      <c r="AK60" s="80">
        <v>45601</v>
      </c>
      <c r="AL60" s="80">
        <v>45616</v>
      </c>
      <c r="AM60" s="80"/>
      <c r="AN60" s="80">
        <v>45621</v>
      </c>
      <c r="AO60" s="80">
        <v>45644</v>
      </c>
      <c r="AP60" s="81">
        <f t="shared" si="0"/>
        <v>45622</v>
      </c>
      <c r="AQ60" s="80">
        <v>45672</v>
      </c>
      <c r="AR60" s="80"/>
      <c r="AS60" s="81">
        <f t="shared" si="1"/>
        <v>45629</v>
      </c>
      <c r="AT60" s="19" t="s">
        <v>1029</v>
      </c>
      <c r="AU60" s="44" t="str">
        <f>VLOOKUP(Cartera1017[[#This Row],[Gerencia]],tbGerencia[#All],3,FALSE)</f>
        <v>TI</v>
      </c>
      <c r="AV60" s="44" t="str">
        <f>IFERROR(VLOOKUP(Cartera1017[[#This Row],[Subgerencia]],Definiciones!$A$90:$B$144,2,FALSE),"")</f>
        <v>ConstrucciónAplicaciones</v>
      </c>
      <c r="AW60" s="44" t="str">
        <f>IF(OR(LEN(Cartera1017[[#This Row],[Fecha de Solicitud]])=0,(Cartera1017[[#This Row],[Fecha de Solicitud]])="No definido"),"No definido",IF(YEAR(Cartera1017[[#This Row],[Fecha de Solicitud]])&lt;2023," &lt;  2023",TEXT(Cartera1017[[#This Row],[Fecha de Solicitud]],"yyyy-mm")))</f>
        <v>No definido</v>
      </c>
      <c r="AX60" s="44" t="str">
        <f>IF(Cartera1017[[#This Row],[Fecha de Priorización Comité]]="","No definido",TEXT(Cartera1017[[#This Row],[Fecha de Priorización Comité]],"yyyy-mm"))</f>
        <v>2024-12</v>
      </c>
      <c r="AY60" s="44" t="str">
        <f>IF(Cartera1017[[#This Row],[Fecha Fin- Desarrollo]]="","No definido",TEXT(Cartera1017[[#This Row],[Fecha Fin- Desarrollo]],"yyyy-mm"))</f>
        <v>2024-11</v>
      </c>
      <c r="AZ60" s="44" t="str">
        <f>IF(Cartera1017[[#This Row],[Fecha Fin- Producción]]="","No definido",TEXT(Cartera1017[[#This Row],[Fecha Fin- Producción]],"yyyy-mm"))</f>
        <v>No definido</v>
      </c>
      <c r="BA60" s="44" t="str">
        <f>IF(Cartera1017[[#This Row],[Fecha Fin-Planificada]]="","No definido",TEXT(Cartera1017[[#This Row],[Fecha Fin-Planificada]],"yyyy-mm"))</f>
        <v>2024-12</v>
      </c>
      <c r="BB60" s="33"/>
      <c r="BC60" s="66"/>
      <c r="BD60" s="66"/>
      <c r="BE60" s="66"/>
      <c r="BF60" s="127"/>
      <c r="BG60" s="28" t="s">
        <v>992</v>
      </c>
      <c r="BH6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0" s="90" t="str">
        <f>IF(ISNUMBER(Cartera1017[[#This Row],[Duracion en Dias]]),Cartera1017[[#This Row],[Duracion en Dias]]/30, "No Aplica")</f>
        <v>No Aplica</v>
      </c>
      <c r="BJ60" s="109"/>
      <c r="BK60" s="28" t="s">
        <v>506</v>
      </c>
      <c r="BL60" s="110" t="s">
        <v>734</v>
      </c>
      <c r="BM60" s="342">
        <v>45672.622233796297</v>
      </c>
      <c r="BN60" s="227"/>
      <c r="BO60" s="227"/>
      <c r="BP60" s="227"/>
      <c r="BQ6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0" s="14" t="str">
        <f>IFERROR(VLOOKUP(Cartera1017[[#This Row],[Aplicativo]],Tabla76[],2,FALSE),"Sin Aplicativo")</f>
        <v>Pagalo.pe</v>
      </c>
      <c r="BS60" s="14" t="str">
        <f>IFERROR(VLOOKUP(Cartera1017[[#This Row],[Aplicativo]],Tabla76[],3,FALSE),"Sin Aplicativo")</f>
        <v>Canales Virtuales</v>
      </c>
      <c r="BT60" s="162">
        <v>45809</v>
      </c>
      <c r="BU60" s="162">
        <v>45809</v>
      </c>
      <c r="BV60" s="28"/>
      <c r="BW60"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45838</v>
      </c>
      <c r="BX6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0" s="97" t="str">
        <f ca="1">IF(Cartera1017[[#This Row],[Fecha Fin2]]="","No definido",CONCATENATE(TEXT(Cartera1017[[#This Row],[Fecha Fin2]],"mmm")," ",YEAR(Cartera1017[[#This Row],[Fecha Fin2]])))</f>
        <v>Jun 2025</v>
      </c>
      <c r="BZ60" s="28"/>
      <c r="CA60" s="48" t="str">
        <f>IF(Cartera1017[[#This Row],[Estado TI]] = "08. Producción Finalizada","Culminado",IF(Cartera1017[[#This Row],[Estado TI]]= "09. Descartado","Descartado","Activos"))</f>
        <v>Activos</v>
      </c>
      <c r="CB60" s="28" t="s">
        <v>747</v>
      </c>
      <c r="CC6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60" s="54" t="str">
        <f>IF(
AND(
Cartera1017[[#This Row],[DEVOLVER 27]]="NO",
NOT(ISBLANK(Cartera1017[[#This Row],[ESTADO NO DEVUELTOS 27]]))
),
"PRE",
"POST"
)</f>
        <v>PRE</v>
      </c>
      <c r="CE60" s="54" t="s">
        <v>509</v>
      </c>
      <c r="CF60" s="28" t="s">
        <v>35</v>
      </c>
      <c r="CG6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6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6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0" s="406">
        <f>Cartera1017[[#This Row],[Porcentaje de Avance]]</f>
        <v>0.9</v>
      </c>
      <c r="CK60" s="388">
        <f ca="1">IF(
   OR(
     Cartera1017[[#This Row],[Estado TI]]="09. Descartado",
     Cartera1017[[#This Row],[Comienzo Desarrollo]]="",
     Cartera1017[[#This Row],[Fin Producción]]=""
   ),
   "",
   Cartera1017[[#This Row],[% PLANIFICADO]]-Cartera1017[[#This Row],[% COMPLETADO]]
)</f>
        <v>9.9999999999999978E-2</v>
      </c>
      <c r="CL60" s="388">
        <f ca="1">IF(
   OR(
     Cartera1017[[#This Row],[Estado TI]]="09. Descartado",
     Cartera1017[[#This Row],[Comienzo Desarrollo]]="",
     Cartera1017[[#This Row],[Fin Producción]]="",
     Cartera1017[[#This Row],[% PLANIFICADO]]=0
   ),
   "",
   MIN(Cartera1017[[#This Row],[% COMPLETADO]]/Cartera1017[[#This Row],[% PLANIFICADO]],1.2)
)</f>
        <v>0.9</v>
      </c>
      <c r="CM60" s="377">
        <v>45601</v>
      </c>
      <c r="CN60" s="377">
        <v>45601</v>
      </c>
      <c r="CO60" s="377">
        <v>45616</v>
      </c>
      <c r="CP60" s="377">
        <v>45621</v>
      </c>
      <c r="CQ60" s="377">
        <v>45644</v>
      </c>
      <c r="CR60" s="377">
        <v>45672</v>
      </c>
      <c r="CS60" s="377">
        <v>46108</v>
      </c>
      <c r="CT60" s="44">
        <f>IF(Cartera1017[[#This Row],[Fin Desarrollo]]="",25,IFERROR(NETWORKDAYS(Cartera1017[[#This Row],[Comienzo Desarrollo]],Cartera1017[[#This Row],[Fin Desarrollo]],FERIADOS[Fecha]),""))</f>
        <v>12</v>
      </c>
      <c r="CU6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60" s="44">
        <f>IF(OR(Cartera1017[[#This Row],[Comienzo Desarrollo]]="",Cartera1017[[#This Row],[Fin Desarrollo]]=""),200,IFERROR(Cartera1017[[#This Row],[DURACIÓN DESARROLLO DIAS]]*VLOOKUP(Cartera1017[[#This Row],[ID Mantenimiento]],MANT_HORAS[],2,FALSE),200))</f>
        <v>200</v>
      </c>
      <c r="CW60" s="110"/>
      <c r="CX60" s="110" t="str">
        <f>VLOOKUP(Cartera1017[[#This Row],[Estado TI]],Definiciones!$A$549:$B$559,2,FALSE)</f>
        <v>3. DESPLIEGUE</v>
      </c>
      <c r="CY60" s="28">
        <f ca="1">1-Cartera1017[[#This Row],[Porcentaje avanzado desarrollo]]</f>
        <v>0</v>
      </c>
      <c r="CZ6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v>
      </c>
      <c r="DA60" s="28">
        <f ca="1">MAX(0,Cartera1017[[#This Row],[DURACIÓN DESARROLLO DIAS]]-Cartera1017[[#This Row],[Dias avanzados]])</f>
        <v>0</v>
      </c>
      <c r="DB60" s="28">
        <f ca="1">Cartera1017[[#This Row],[Dias avanzados]]*IFERROR(VLOOKUP(Cartera1017[[#This Row],[ID Mantenimiento]],MANT_HORAS[],2,FALSE),8)</f>
        <v>96</v>
      </c>
      <c r="DC60" s="28">
        <f ca="1">Cartera1017[[#This Row],[Dias faltantes]]*IFERROR(VLOOKUP(Cartera1017[[#This Row],[ID Mantenimiento]],MANT_HORAS[],2,FALSE),8)</f>
        <v>0</v>
      </c>
      <c r="DD60" s="28" t="str">
        <f>IF(Cartera1017[[#This Row],[Fin Producción]]=0,"Por definir",CONCATENATE(YEAR(Cartera1017[[#This Row],[Fin Producción]]),"-",ROUNDUP(MONTH(Cartera1017[[#This Row],[Fin Producción]]),0)))</f>
        <v>2026-3</v>
      </c>
      <c r="DE60" s="18" t="s">
        <v>510</v>
      </c>
      <c r="DF60" s="28" t="s">
        <v>1030</v>
      </c>
      <c r="DG60" s="28" t="s">
        <v>659</v>
      </c>
      <c r="DH60" s="565"/>
    </row>
    <row r="61" spans="1:112" ht="44.25" hidden="1" customHeight="1">
      <c r="A61" s="229" t="s">
        <v>1031</v>
      </c>
      <c r="B61" s="18">
        <v>2544</v>
      </c>
      <c r="C61" s="18" t="s">
        <v>485</v>
      </c>
      <c r="D61" s="18" t="s">
        <v>1032</v>
      </c>
      <c r="E61" s="18" t="s">
        <v>154</v>
      </c>
      <c r="F61" s="33" t="s">
        <v>155</v>
      </c>
      <c r="G61" s="19" t="s">
        <v>155</v>
      </c>
      <c r="H61" s="39" t="s">
        <v>26</v>
      </c>
      <c r="I61" s="39" t="s">
        <v>539</v>
      </c>
      <c r="J61" s="39" t="s">
        <v>554</v>
      </c>
      <c r="K61" s="20">
        <v>45595</v>
      </c>
      <c r="L61" s="50" t="s">
        <v>1033</v>
      </c>
      <c r="M61" s="50" t="s">
        <v>770</v>
      </c>
      <c r="N61" s="50" t="s">
        <v>645</v>
      </c>
      <c r="O61" s="18" t="s">
        <v>642</v>
      </c>
      <c r="P61" s="18" t="s">
        <v>549</v>
      </c>
      <c r="Q61" s="18" t="s">
        <v>496</v>
      </c>
      <c r="R61" s="18" t="s">
        <v>599</v>
      </c>
      <c r="S61" s="18" t="s">
        <v>599</v>
      </c>
      <c r="T61" s="18" t="s">
        <v>652</v>
      </c>
      <c r="U61" s="18" t="s">
        <v>1034</v>
      </c>
      <c r="V61" s="18"/>
      <c r="W61" s="18"/>
      <c r="X61" s="18"/>
      <c r="Y61" s="80"/>
      <c r="Z61" s="18" t="s">
        <v>499</v>
      </c>
      <c r="AA61" s="20">
        <v>45656</v>
      </c>
      <c r="AB61" s="18" t="s">
        <v>500</v>
      </c>
      <c r="AC61" s="18" t="s">
        <v>570</v>
      </c>
      <c r="AD61" s="18" t="s">
        <v>30</v>
      </c>
      <c r="AE61" s="18" t="s">
        <v>27</v>
      </c>
      <c r="AF61" s="18" t="s">
        <v>53</v>
      </c>
      <c r="AG61" s="14" t="str">
        <f>VLOOKUP(AF61,Tabla3[[Estado Requerimiento]:[Macro estado]],2,FALSE)</f>
        <v>03. Culminado</v>
      </c>
      <c r="AH61" s="18"/>
      <c r="AI61" s="80">
        <v>45656</v>
      </c>
      <c r="AJ61" s="80"/>
      <c r="AK61" s="80">
        <v>45748</v>
      </c>
      <c r="AL61" s="80">
        <v>45873</v>
      </c>
      <c r="AM61" s="80">
        <v>45869</v>
      </c>
      <c r="AN61" s="80">
        <v>45876</v>
      </c>
      <c r="AO61" s="80">
        <v>45957</v>
      </c>
      <c r="AP61" s="81">
        <f t="shared" si="0"/>
        <v>45917.4</v>
      </c>
      <c r="AQ61" s="80">
        <v>46050</v>
      </c>
      <c r="AR61" s="80">
        <v>46051</v>
      </c>
      <c r="AS61" s="81">
        <f t="shared" si="1"/>
        <v>45924.4</v>
      </c>
      <c r="AT61" s="19" t="s">
        <v>1035</v>
      </c>
      <c r="AU61" s="44" t="str">
        <f>VLOOKUP(Cartera1017[[#This Row],[Gerencia]],tbGerencia[#All],3,FALSE)</f>
        <v>B.Digital</v>
      </c>
      <c r="AV61" s="44" t="str">
        <f>IFERROR(VLOOKUP(Cartera1017[[#This Row],[Subgerencia]],Definiciones!$A$90:$B$144,2,FALSE),"")</f>
        <v>CanalesAlternos</v>
      </c>
      <c r="AW61" s="44" t="str">
        <f>IF(OR(LEN(Cartera1017[[#This Row],[Fecha de Solicitud]])=0,(Cartera1017[[#This Row],[Fecha de Solicitud]])="No definido"),"No definido",IF(YEAR(Cartera1017[[#This Row],[Fecha de Solicitud]])&lt;2023," &lt;  2023",TEXT(Cartera1017[[#This Row],[Fecha de Solicitud]],"yyyy-mm")))</f>
        <v>2024-10</v>
      </c>
      <c r="AX61" s="44" t="str">
        <f>IF(Cartera1017[[#This Row],[Fecha de Priorización Comité]]="","No definido",TEXT(Cartera1017[[#This Row],[Fecha de Priorización Comité]],"yyyy-mm"))</f>
        <v>2024-12</v>
      </c>
      <c r="AY61" s="44" t="str">
        <f>IF(Cartera1017[[#This Row],[Fecha Fin- Desarrollo]]="","No definido",TEXT(Cartera1017[[#This Row],[Fecha Fin- Desarrollo]],"yyyy-mm"))</f>
        <v>2025-08</v>
      </c>
      <c r="AZ61" s="44" t="str">
        <f>IF(Cartera1017[[#This Row],[Fecha Fin- Producción]]="","No definido",TEXT(Cartera1017[[#This Row],[Fecha Fin- Producción]],"yyyy-mm"))</f>
        <v>2026-01</v>
      </c>
      <c r="BA61" s="44" t="str">
        <f>IF(Cartera1017[[#This Row],[Fecha Fin-Planificada]]="","No definido",TEXT(Cartera1017[[#This Row],[Fecha Fin-Planificada]],"yyyy-mm"))</f>
        <v>2025-09</v>
      </c>
      <c r="BB61" s="33" t="s">
        <v>772</v>
      </c>
      <c r="BC61" s="66">
        <v>45761</v>
      </c>
      <c r="BD61" s="66">
        <v>45869</v>
      </c>
      <c r="BE61" s="66"/>
      <c r="BF61" s="127"/>
      <c r="BG61" s="28" t="s">
        <v>992</v>
      </c>
      <c r="BH61"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303</v>
      </c>
      <c r="BI61" s="90">
        <f>IF(ISNUMBER(Cartera1017[[#This Row],[Duracion en Dias]]),Cartera1017[[#This Row],[Duracion en Dias]]/30, "No Aplica")</f>
        <v>10.1</v>
      </c>
      <c r="BJ61" s="188" t="s">
        <v>1036</v>
      </c>
      <c r="BK61" s="28" t="s">
        <v>506</v>
      </c>
      <c r="BL61" s="110" t="s">
        <v>536</v>
      </c>
      <c r="BM61" s="342">
        <v>46051.301180555558</v>
      </c>
      <c r="BN61" s="227"/>
      <c r="BO61" s="227"/>
      <c r="BP61" s="227"/>
      <c r="BQ6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1" s="14" t="str">
        <f>IFERROR(VLOOKUP(Cartera1017[[#This Row],[Aplicativo]],Tabla76[],2,FALSE),"Sin Aplicativo")</f>
        <v>ATM-Agentes-VISA</v>
      </c>
      <c r="BS61" s="14" t="str">
        <f>IFERROR(VLOOKUP(Cartera1017[[#This Row],[Aplicativo]],Tabla76[],3,FALSE),"Sin Aplicativo")</f>
        <v>Canales Presenciales</v>
      </c>
      <c r="BT61" s="162">
        <v>45809</v>
      </c>
      <c r="BU61" s="162">
        <v>45809</v>
      </c>
      <c r="BV61" s="66" t="s">
        <v>1037</v>
      </c>
      <c r="BW6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46051</v>
      </c>
      <c r="BX6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1" s="97" t="str">
        <f ca="1">IF(Cartera1017[[#This Row],[Fecha Fin2]]="","No definido",CONCATENATE(TEXT(Cartera1017[[#This Row],[Fecha Fin2]],"mmm")," ",YEAR(Cartera1017[[#This Row],[Fecha Fin2]])))</f>
        <v>Ene 2026</v>
      </c>
      <c r="BZ61" s="28">
        <v>2025</v>
      </c>
      <c r="CA61" s="48" t="str">
        <f>IF(Cartera1017[[#This Row],[Estado TI]] = "08. Producción Finalizada","Culminado",IF(Cartera1017[[#This Row],[Estado TI]]= "09. Descartado","Descartado","Activos"))</f>
        <v>Culminado</v>
      </c>
      <c r="CB61" s="28" t="s">
        <v>645</v>
      </c>
      <c r="CC6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61" s="54" t="str">
        <f>IF(
AND(
Cartera1017[[#This Row],[DEVOLVER 27]]="NO",
NOT(ISBLANK(Cartera1017[[#This Row],[ESTADO NO DEVUELTOS 27]]))
),
"PRE",
"POST"
)</f>
        <v>PRE</v>
      </c>
      <c r="CE61" s="54" t="s">
        <v>509</v>
      </c>
      <c r="CF61" s="28" t="s">
        <v>87</v>
      </c>
      <c r="CG6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6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1" s="406">
        <f>Cartera1017[[#This Row],[Porcentaje de Avance]]</f>
        <v>1</v>
      </c>
      <c r="CK61" s="388">
        <f ca="1">IF(
   OR(
     Cartera1017[[#This Row],[Estado TI]]="09. Descartado",
     Cartera1017[[#This Row],[Comienzo Desarrollo]]="",
     Cartera1017[[#This Row],[Fin Producción]]=""
   ),
   "",
   Cartera1017[[#This Row],[% PLANIFICADO]]-Cartera1017[[#This Row],[% COMPLETADO]]
)</f>
        <v>0</v>
      </c>
      <c r="CL61" s="388">
        <f ca="1">IF(
   OR(
     Cartera1017[[#This Row],[Estado TI]]="09. Descartado",
     Cartera1017[[#This Row],[Comienzo Desarrollo]]="",
     Cartera1017[[#This Row],[Fin Producción]]="",
     Cartera1017[[#This Row],[% PLANIFICADO]]=0
   ),
   "",
   MIN(Cartera1017[[#This Row],[% COMPLETADO]]/Cartera1017[[#This Row],[% PLANIFICADO]],1.2)
)</f>
        <v>1</v>
      </c>
      <c r="CM61" s="377">
        <v>45748</v>
      </c>
      <c r="CN61" s="377">
        <v>45748</v>
      </c>
      <c r="CO61" s="377">
        <v>45873</v>
      </c>
      <c r="CP61" s="377">
        <v>45876</v>
      </c>
      <c r="CQ61" s="377">
        <v>45957</v>
      </c>
      <c r="CR61" s="377">
        <v>46050</v>
      </c>
      <c r="CS61" s="377">
        <v>46051</v>
      </c>
      <c r="CT61" s="44">
        <f>IF(Cartera1017[[#This Row],[Fin Desarrollo]]="",25,IFERROR(NETWORKDAYS(Cartera1017[[#This Row],[Comienzo Desarrollo]],Cartera1017[[#This Row],[Fin Desarrollo]],FERIADOS[Fecha]),""))</f>
        <v>87</v>
      </c>
      <c r="CU6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61" s="44">
        <f>IF(OR(Cartera1017[[#This Row],[Comienzo Desarrollo]]="",Cartera1017[[#This Row],[Fin Desarrollo]]=""),200,IFERROR(Cartera1017[[#This Row],[DURACIÓN DESARROLLO DIAS]]*VLOOKUP(Cartera1017[[#This Row],[ID Mantenimiento]],MANT_HORAS[],2,FALSE),200))</f>
        <v>200</v>
      </c>
      <c r="CW61" s="110"/>
      <c r="CX61" s="110" t="str">
        <f>VLOOKUP(Cartera1017[[#This Row],[Estado TI]],Definiciones!$A$549:$B$559,2,FALSE)</f>
        <v>4. PRODUCCIÓN</v>
      </c>
      <c r="CY61" s="28">
        <f ca="1">1-Cartera1017[[#This Row],[Porcentaje avanzado desarrollo]]</f>
        <v>0</v>
      </c>
      <c r="CZ6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87</v>
      </c>
      <c r="DA61" s="28">
        <f ca="1">MAX(0,Cartera1017[[#This Row],[DURACIÓN DESARROLLO DIAS]]-Cartera1017[[#This Row],[Dias avanzados]])</f>
        <v>0</v>
      </c>
      <c r="DB61" s="28">
        <f ca="1">Cartera1017[[#This Row],[Dias avanzados]]*IFERROR(VLOOKUP(Cartera1017[[#This Row],[ID Mantenimiento]],MANT_HORAS[],2,FALSE),8)</f>
        <v>696</v>
      </c>
      <c r="DC61" s="28">
        <f ca="1">Cartera1017[[#This Row],[Dias faltantes]]*IFERROR(VLOOKUP(Cartera1017[[#This Row],[ID Mantenimiento]],MANT_HORAS[],2,FALSE),8)</f>
        <v>0</v>
      </c>
      <c r="DD61" s="28" t="str">
        <f>IF(Cartera1017[[#This Row],[Fin Producción]]=0,"Por definir",CONCATENATE(YEAR(Cartera1017[[#This Row],[Fin Producción]]),"-",ROUNDUP(MONTH(Cartera1017[[#This Row],[Fin Producción]]),0)))</f>
        <v>2026-1</v>
      </c>
      <c r="DE61" s="18" t="s">
        <v>510</v>
      </c>
      <c r="DF61" s="28"/>
      <c r="DG61" s="28"/>
      <c r="DH61" s="565"/>
    </row>
    <row r="62" spans="1:112" ht="44.25" hidden="1" customHeight="1">
      <c r="A62" s="229" t="s">
        <v>1038</v>
      </c>
      <c r="B62" s="18">
        <v>2554</v>
      </c>
      <c r="C62" s="18" t="s">
        <v>485</v>
      </c>
      <c r="D62" s="18" t="s">
        <v>1039</v>
      </c>
      <c r="E62" s="18" t="s">
        <v>156</v>
      </c>
      <c r="F62" s="33" t="s">
        <v>157</v>
      </c>
      <c r="G62" s="19"/>
      <c r="H62" s="18" t="s">
        <v>40</v>
      </c>
      <c r="I62" s="18" t="s">
        <v>577</v>
      </c>
      <c r="J62" s="18" t="s">
        <v>578</v>
      </c>
      <c r="K62" s="20">
        <v>45638</v>
      </c>
      <c r="L62" s="50" t="s">
        <v>1040</v>
      </c>
      <c r="M62" s="50" t="s">
        <v>1041</v>
      </c>
      <c r="N62" s="50"/>
      <c r="O62" s="18" t="s">
        <v>530</v>
      </c>
      <c r="P62" s="18" t="s">
        <v>797</v>
      </c>
      <c r="Q62" s="18" t="s">
        <v>496</v>
      </c>
      <c r="R62" s="18" t="s">
        <v>780</v>
      </c>
      <c r="S62" s="18" t="s">
        <v>780</v>
      </c>
      <c r="T62" s="18" t="s">
        <v>781</v>
      </c>
      <c r="U62" s="18" t="s">
        <v>1042</v>
      </c>
      <c r="V62" s="18" t="s">
        <v>495</v>
      </c>
      <c r="W62" s="18" t="s">
        <v>495</v>
      </c>
      <c r="X62" s="18" t="s">
        <v>495</v>
      </c>
      <c r="Y62" s="80">
        <v>45657</v>
      </c>
      <c r="Z62" s="18" t="s">
        <v>499</v>
      </c>
      <c r="AA62" s="20">
        <v>45706</v>
      </c>
      <c r="AB62" s="18" t="s">
        <v>500</v>
      </c>
      <c r="AC62" s="18" t="s">
        <v>558</v>
      </c>
      <c r="AD62" s="18" t="s">
        <v>43</v>
      </c>
      <c r="AE62" s="18" t="s">
        <v>41</v>
      </c>
      <c r="AF62" s="18" t="s">
        <v>48</v>
      </c>
      <c r="AG62" s="14" t="str">
        <f>VLOOKUP(AF62,Tabla3[[Estado Requerimiento]:[Macro estado]],2,FALSE)</f>
        <v>02. En Proceso</v>
      </c>
      <c r="AH62" s="18"/>
      <c r="AI62" s="80">
        <v>45674</v>
      </c>
      <c r="AJ62" s="80">
        <v>45964</v>
      </c>
      <c r="AK62" s="80">
        <v>45964</v>
      </c>
      <c r="AL62" s="80"/>
      <c r="AM62" s="80">
        <v>46022</v>
      </c>
      <c r="AN62" s="80"/>
      <c r="AO62" s="80"/>
      <c r="AP62" s="81">
        <f t="shared" si="0"/>
        <v>46045.2</v>
      </c>
      <c r="AQ62" s="80">
        <v>45960</v>
      </c>
      <c r="AR62" s="80">
        <v>45960</v>
      </c>
      <c r="AS62" s="81">
        <f t="shared" si="1"/>
        <v>46052.2</v>
      </c>
      <c r="AT62" s="19" t="s">
        <v>1043</v>
      </c>
      <c r="AU62" s="44" t="str">
        <f>VLOOKUP(Cartera1017[[#This Row],[Gerencia]],tbGerencia[#All],3,FALSE)</f>
        <v>Operac.</v>
      </c>
      <c r="AV62" s="44" t="str">
        <f>IFERROR(VLOOKUP(Cartera1017[[#This Row],[Subgerencia]],Definiciones!$A$90:$B$144,2,FALSE),"")</f>
        <v>CaptacionesPagaduría</v>
      </c>
      <c r="AW62" s="44" t="str">
        <f>IF(OR(LEN(Cartera1017[[#This Row],[Fecha de Solicitud]])=0,(Cartera1017[[#This Row],[Fecha de Solicitud]])="No definido"),"No definido",IF(YEAR(Cartera1017[[#This Row],[Fecha de Solicitud]])&lt;2023," &lt;  2023",TEXT(Cartera1017[[#This Row],[Fecha de Solicitud]],"yyyy-mm")))</f>
        <v>2024-12</v>
      </c>
      <c r="AX62" s="44" t="str">
        <f>IF(Cartera1017[[#This Row],[Fecha de Priorización Comité]]="","No definido",TEXT(Cartera1017[[#This Row],[Fecha de Priorización Comité]],"yyyy-mm"))</f>
        <v>2025-02</v>
      </c>
      <c r="AY62" s="44" t="str">
        <f>IF(Cartera1017[[#This Row],[Fecha Fin- Desarrollo]]="","No definido",TEXT(Cartera1017[[#This Row],[Fecha Fin- Desarrollo]],"yyyy-mm"))</f>
        <v>No definido</v>
      </c>
      <c r="AZ62" s="44" t="str">
        <f>IF(Cartera1017[[#This Row],[Fecha Fin- Producción]]="","No definido",TEXT(Cartera1017[[#This Row],[Fecha Fin- Producción]],"yyyy-mm"))</f>
        <v>2025-10</v>
      </c>
      <c r="BA62" s="44" t="str">
        <f>IF(Cartera1017[[#This Row],[Fecha Fin-Planificada]]="","No definido",TEXT(Cartera1017[[#This Row],[Fecha Fin-Planificada]],"yyyy-mm"))</f>
        <v>2026-01</v>
      </c>
      <c r="BB62" s="33"/>
      <c r="BC62" s="66"/>
      <c r="BD62" s="66"/>
      <c r="BE62" s="66"/>
      <c r="BF62" s="127"/>
      <c r="BG62" s="28" t="s">
        <v>1044</v>
      </c>
      <c r="BH6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v>
      </c>
      <c r="BI62" s="90">
        <f>IF(ISNUMBER(Cartera1017[[#This Row],[Duracion en Dias]]),Cartera1017[[#This Row],[Duracion en Dias]]/30, "No Aplica")</f>
        <v>-0.13333333333333333</v>
      </c>
      <c r="BJ62" s="188" t="s">
        <v>1045</v>
      </c>
      <c r="BK62" s="28" t="s">
        <v>506</v>
      </c>
      <c r="BL62" s="110" t="s">
        <v>572</v>
      </c>
      <c r="BM62" s="342">
        <v>46030.745289351849</v>
      </c>
      <c r="BN62" s="227" t="s">
        <v>786</v>
      </c>
      <c r="BO62" s="413" t="s">
        <v>1046</v>
      </c>
      <c r="BP62" s="413"/>
      <c r="BQ6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2" s="14" t="str">
        <f>IFERROR(VLOOKUP(Cartera1017[[#This Row],[Aplicativo]],Tabla76[],2,FALSE),"Sin Aplicativo")</f>
        <v>Ventanilla</v>
      </c>
      <c r="BS62" s="14" t="str">
        <f>IFERROR(VLOOKUP(Cartera1017[[#This Row],[Aplicativo]],Tabla76[],3,FALSE),"Sin Aplicativo")</f>
        <v>Canales Presenciales</v>
      </c>
      <c r="BT62" s="400">
        <v>45778</v>
      </c>
      <c r="BU62" s="140">
        <v>45778</v>
      </c>
      <c r="BV62" s="33" t="s">
        <v>1047</v>
      </c>
      <c r="BW6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6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2" s="97" t="str">
        <f ca="1">IF(Cartera1017[[#This Row],[Fecha Fin2]]="","No definido",CONCATENATE(TEXT(Cartera1017[[#This Row],[Fecha Fin2]],"mmm")," ",YEAR(Cartera1017[[#This Row],[Fecha Fin2]])))</f>
        <v>May 2025</v>
      </c>
      <c r="BZ62" s="28">
        <v>2025</v>
      </c>
      <c r="CA62" s="48" t="str">
        <f>IF(Cartera1017[[#This Row],[Estado TI]] = "08. Producción Finalizada","Culminado",IF(Cartera1017[[#This Row],[Estado TI]]= "09. Descartado","Descartado","Activos"))</f>
        <v>Activos</v>
      </c>
      <c r="CB62" s="28"/>
      <c r="CC6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0.3</v>
      </c>
      <c r="CD62" s="54" t="str">
        <f>IF(
AND(
Cartera1017[[#This Row],[DEVOLVER 27]]="NO",
NOT(ISBLANK(Cartera1017[[#This Row],[ESTADO NO DEVUELTOS 27]]))
),
"PRE",
"POST"
)</f>
        <v>PRE</v>
      </c>
      <c r="CE62" s="54" t="s">
        <v>509</v>
      </c>
      <c r="CF62" s="28" t="s">
        <v>48</v>
      </c>
      <c r="CG6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6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6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62" s="406">
        <f>Cartera1017[[#This Row],[Porcentaje de Avance]]</f>
        <v>0.3</v>
      </c>
      <c r="CK62" s="388">
        <f ca="1">IF(
   OR(
     Cartera1017[[#This Row],[Estado TI]]="09. Descartado",
     Cartera1017[[#This Row],[Comienzo Desarrollo]]="",
     Cartera1017[[#This Row],[Fin Producción]]=""
   ),
   "",
   Cartera1017[[#This Row],[% PLANIFICADO]]-Cartera1017[[#This Row],[% COMPLETADO]]
)</f>
        <v>-0.3</v>
      </c>
      <c r="CL62" s="388" t="str">
        <f ca="1">IF(
   OR(
     Cartera1017[[#This Row],[Estado TI]]="09. Descartado",
     Cartera1017[[#This Row],[Comienzo Desarrollo]]="",
     Cartera1017[[#This Row],[Fin Producción]]="",
     Cartera1017[[#This Row],[% PLANIFICADO]]=0
   ),
   "",
   MIN(Cartera1017[[#This Row],[% COMPLETADO]]/Cartera1017[[#This Row],[% PLANIFICADO]],1.2)
)</f>
        <v/>
      </c>
      <c r="CM62" s="377">
        <v>45964</v>
      </c>
      <c r="CN62" s="377">
        <v>46266</v>
      </c>
      <c r="CO62" s="377">
        <v>46339</v>
      </c>
      <c r="CP62" s="377">
        <v>46342</v>
      </c>
      <c r="CQ62" s="377">
        <v>46387</v>
      </c>
      <c r="CR62" s="377">
        <v>46391</v>
      </c>
      <c r="CS62" s="423">
        <v>46395</v>
      </c>
      <c r="CT62" s="44">
        <f>IF(Cartera1017[[#This Row],[Fin Desarrollo]]="",25,IFERROR(NETWORKDAYS(Cartera1017[[#This Row],[Comienzo Desarrollo]],Cartera1017[[#This Row],[Fin Desarrollo]],FERIADOS[Fecha]),""))</f>
        <v>53</v>
      </c>
      <c r="CU6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V62" s="44">
        <f>IF(OR(Cartera1017[[#This Row],[Comienzo Desarrollo]]="",Cartera1017[[#This Row],[Fin Desarrollo]]=""),200,IFERROR(Cartera1017[[#This Row],[DURACIÓN DESARROLLO DIAS]]*VLOOKUP(Cartera1017[[#This Row],[ID Mantenimiento]],MANT_HORAS[],2,FALSE),200))</f>
        <v>60.571428571428569</v>
      </c>
      <c r="CW62" s="110"/>
      <c r="CX62" s="110" t="str">
        <f>VLOOKUP(Cartera1017[[#This Row],[Estado TI]],Definiciones!$A$549:$B$559,2,FALSE)</f>
        <v>1. DESARROLLO</v>
      </c>
      <c r="CY62" s="28">
        <f ca="1">1-Cartera1017[[#This Row],[Porcentaje avanzado desarrollo]]</f>
        <v>1</v>
      </c>
      <c r="CZ6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62" s="28">
        <f ca="1">MAX(0,Cartera1017[[#This Row],[DURACIÓN DESARROLLO DIAS]]-Cartera1017[[#This Row],[Dias avanzados]])</f>
        <v>53</v>
      </c>
      <c r="DB62" s="28">
        <f ca="1">Cartera1017[[#This Row],[Dias avanzados]]*IFERROR(VLOOKUP(Cartera1017[[#This Row],[ID Mantenimiento]],MANT_HORAS[],2,FALSE),8)</f>
        <v>0</v>
      </c>
      <c r="DC62" s="28">
        <f ca="1">Cartera1017[[#This Row],[Dias faltantes]]*IFERROR(VLOOKUP(Cartera1017[[#This Row],[ID Mantenimiento]],MANT_HORAS[],2,FALSE),8)</f>
        <v>60.571428571428569</v>
      </c>
      <c r="DD62" s="28" t="str">
        <f>IF(Cartera1017[[#This Row],[Fin Producción]]=0,"Por definir",CONCATENATE(YEAR(Cartera1017[[#This Row],[Fin Producción]]),"-",ROUNDUP(MONTH(Cartera1017[[#This Row],[Fin Producción]]),0)))</f>
        <v>2027-1</v>
      </c>
      <c r="DE62" s="18" t="s">
        <v>510</v>
      </c>
      <c r="DF62" s="28"/>
      <c r="DG62" s="28"/>
      <c r="DH62" s="565"/>
    </row>
    <row r="63" spans="1:112" ht="44.25" hidden="1" customHeight="1">
      <c r="A63" s="229" t="s">
        <v>1048</v>
      </c>
      <c r="B63" s="18">
        <v>2563</v>
      </c>
      <c r="C63" s="18" t="s">
        <v>485</v>
      </c>
      <c r="D63" s="18" t="s">
        <v>1049</v>
      </c>
      <c r="E63" s="18" t="s">
        <v>158</v>
      </c>
      <c r="F63" s="33" t="s">
        <v>159</v>
      </c>
      <c r="G63" s="19" t="s">
        <v>1050</v>
      </c>
      <c r="H63" s="18" t="s">
        <v>108</v>
      </c>
      <c r="I63" s="18" t="s">
        <v>811</v>
      </c>
      <c r="J63" s="18" t="s">
        <v>500</v>
      </c>
      <c r="K63" s="20">
        <v>45679</v>
      </c>
      <c r="L63" s="347" t="s">
        <v>1051</v>
      </c>
      <c r="M63" s="50" t="s">
        <v>579</v>
      </c>
      <c r="N63" s="43" t="s">
        <v>1004</v>
      </c>
      <c r="O63" s="18" t="s">
        <v>548</v>
      </c>
      <c r="P63" s="18" t="s">
        <v>912</v>
      </c>
      <c r="Q63" s="18" t="s">
        <v>822</v>
      </c>
      <c r="R63" s="18" t="s">
        <v>780</v>
      </c>
      <c r="S63" s="18" t="s">
        <v>780</v>
      </c>
      <c r="T63" s="18" t="s">
        <v>652</v>
      </c>
      <c r="U63" s="18" t="s">
        <v>1052</v>
      </c>
      <c r="V63" s="18" t="s">
        <v>1053</v>
      </c>
      <c r="W63" s="18">
        <v>6</v>
      </c>
      <c r="X63" s="18" t="s">
        <v>1054</v>
      </c>
      <c r="Y63" s="80">
        <v>45657</v>
      </c>
      <c r="Z63" s="18" t="s">
        <v>499</v>
      </c>
      <c r="AA63" s="20">
        <v>45706</v>
      </c>
      <c r="AB63" s="18" t="s">
        <v>500</v>
      </c>
      <c r="AC63" s="18" t="s">
        <v>570</v>
      </c>
      <c r="AD63" s="18" t="s">
        <v>43</v>
      </c>
      <c r="AE63" s="18" t="s">
        <v>109</v>
      </c>
      <c r="AF63" s="18" t="s">
        <v>53</v>
      </c>
      <c r="AG63" s="14" t="str">
        <f>VLOOKUP(AF63,Tabla3[[Estado Requerimiento]:[Macro estado]],2,FALSE)</f>
        <v>03. Culminado</v>
      </c>
      <c r="AH63" s="18"/>
      <c r="AI63" s="80">
        <v>45678</v>
      </c>
      <c r="AJ63" s="80"/>
      <c r="AK63" s="80">
        <v>46014</v>
      </c>
      <c r="AL63" s="80">
        <v>46014</v>
      </c>
      <c r="AM63" s="80">
        <v>45887</v>
      </c>
      <c r="AN63" s="80">
        <v>46014</v>
      </c>
      <c r="AO63" s="80">
        <v>46111</v>
      </c>
      <c r="AP63" s="81">
        <f t="shared" si="0"/>
        <v>45836.2</v>
      </c>
      <c r="AQ63" s="80">
        <v>46118</v>
      </c>
      <c r="AR63" s="80">
        <v>46118</v>
      </c>
      <c r="AS63" s="81">
        <f t="shared" si="1"/>
        <v>45843.199999999997</v>
      </c>
      <c r="AT63" s="19" t="s">
        <v>1055</v>
      </c>
      <c r="AU63" s="44" t="str">
        <f>VLOOKUP(Cartera1017[[#This Row],[Gerencia]],tbGerencia[#All],3,FALSE)</f>
        <v>TI</v>
      </c>
      <c r="AV63" s="44" t="str">
        <f>IFERROR(VLOOKUP(Cartera1017[[#This Row],[Subgerencia]],Definiciones!$A$90:$B$144,2,FALSE),"")</f>
        <v>ConstrucciónAplicaciones</v>
      </c>
      <c r="AW63" s="44" t="str">
        <f>IF(OR(LEN(Cartera1017[[#This Row],[Fecha de Solicitud]])=0,(Cartera1017[[#This Row],[Fecha de Solicitud]])="No definido"),"No definido",IF(YEAR(Cartera1017[[#This Row],[Fecha de Solicitud]])&lt;2023," &lt;  2023",TEXT(Cartera1017[[#This Row],[Fecha de Solicitud]],"yyyy-mm")))</f>
        <v>2025-01</v>
      </c>
      <c r="AX63" s="44" t="str">
        <f>IF(Cartera1017[[#This Row],[Fecha de Priorización Comité]]="","No definido",TEXT(Cartera1017[[#This Row],[Fecha de Priorización Comité]],"yyyy-mm"))</f>
        <v>2025-02</v>
      </c>
      <c r="AY63" s="44" t="str">
        <f>IF(Cartera1017[[#This Row],[Fecha Fin- Desarrollo]]="","No definido",TEXT(Cartera1017[[#This Row],[Fecha Fin- Desarrollo]],"yyyy-mm"))</f>
        <v>2025-12</v>
      </c>
      <c r="AZ63" s="44" t="str">
        <f>IF(Cartera1017[[#This Row],[Fecha Fin- Producción]]="","No definido",TEXT(Cartera1017[[#This Row],[Fecha Fin- Producción]],"yyyy-mm"))</f>
        <v>2026-04</v>
      </c>
      <c r="BA63" s="44" t="str">
        <f>IF(Cartera1017[[#This Row],[Fecha Fin-Planificada]]="","No definido",TEXT(Cartera1017[[#This Row],[Fecha Fin-Planificada]],"yyyy-mm"))</f>
        <v>2025-07</v>
      </c>
      <c r="BB63" s="33" t="s">
        <v>772</v>
      </c>
      <c r="BC63" s="66">
        <v>45695</v>
      </c>
      <c r="BD63" s="66">
        <v>45887</v>
      </c>
      <c r="BE63" s="66"/>
      <c r="BF63" s="127"/>
      <c r="BG63" s="28" t="s">
        <v>1044</v>
      </c>
      <c r="BH6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104</v>
      </c>
      <c r="BI63" s="90">
        <f>IF(ISNUMBER(Cartera1017[[#This Row],[Duracion en Dias]]),Cartera1017[[#This Row],[Duracion en Dias]]/30, "No Aplica")</f>
        <v>3.4666666666666668</v>
      </c>
      <c r="BJ63" s="18" t="s">
        <v>1056</v>
      </c>
      <c r="BK63" s="28" t="s">
        <v>506</v>
      </c>
      <c r="BL63" s="110" t="s">
        <v>536</v>
      </c>
      <c r="BM63" s="342">
        <v>46135.388472222221</v>
      </c>
      <c r="BN63" s="227" t="s">
        <v>786</v>
      </c>
      <c r="BO63" s="401" t="s">
        <v>1057</v>
      </c>
      <c r="BP63" s="401"/>
      <c r="BQ6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3" s="14" t="str">
        <f>IFERROR(VLOOKUP(Cartera1017[[#This Row],[Aplicativo]],Tabla76[],2,FALSE),"Sin Aplicativo")</f>
        <v>Clientes (BDUC)</v>
      </c>
      <c r="BS63" s="14" t="str">
        <f>IFERROR(VLOOKUP(Cartera1017[[#This Row],[Aplicativo]],Tabla76[],3,FALSE),"Sin Aplicativo")</f>
        <v>Canales Presenciales</v>
      </c>
      <c r="BT63" s="400">
        <v>46082</v>
      </c>
      <c r="BU63" s="140">
        <v>46082</v>
      </c>
      <c r="BV63" s="28" t="s">
        <v>1058</v>
      </c>
      <c r="BW6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46118</v>
      </c>
      <c r="BX6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3" s="97" t="str">
        <f ca="1">IF(Cartera1017[[#This Row],[Fecha Fin2]]="","No definido",CONCATENATE(TEXT(Cartera1017[[#This Row],[Fecha Fin2]],"mmm")," ",YEAR(Cartera1017[[#This Row],[Fecha Fin2]])))</f>
        <v>Abr 2026</v>
      </c>
      <c r="BZ63" s="28">
        <v>2026</v>
      </c>
      <c r="CA63" s="48" t="str">
        <f>IF(Cartera1017[[#This Row],[Estado TI]] = "08. Producción Finalizada","Culminado",IF(Cartera1017[[#This Row],[Estado TI]]= "09. Descartado","Descartado","Activos"))</f>
        <v>Culminado</v>
      </c>
      <c r="CB63" s="28"/>
      <c r="CC6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63" s="54" t="str">
        <f>IF(
AND(
Cartera1017[[#This Row],[DEVOLVER 27]]="NO",
NOT(ISBLANK(Cartera1017[[#This Row],[ESTADO NO DEVUELTOS 27]]))
),
"PRE",
"POST"
)</f>
        <v>PRE</v>
      </c>
      <c r="CE63" s="54" t="s">
        <v>509</v>
      </c>
      <c r="CF63" s="399" t="s">
        <v>48</v>
      </c>
      <c r="CG63"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6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3" s="406">
        <f>Cartera1017[[#This Row],[Porcentaje de Avance]]</f>
        <v>1</v>
      </c>
      <c r="CK63" s="417">
        <f ca="1">IF(
   OR(
     Cartera1017[[#This Row],[Estado TI]]="09. Descartado",
     Cartera1017[[#This Row],[Comienzo Desarrollo]]="",
     Cartera1017[[#This Row],[Fin Producción]]=""
   ),
   "",
   Cartera1017[[#This Row],[% PLANIFICADO]]-Cartera1017[[#This Row],[% COMPLETADO]]
)</f>
        <v>0</v>
      </c>
      <c r="CL63" s="417">
        <f ca="1">IF(
   OR(
     Cartera1017[[#This Row],[Estado TI]]="09. Descartado",
     Cartera1017[[#This Row],[Comienzo Desarrollo]]="",
     Cartera1017[[#This Row],[Fin Producción]]="",
     Cartera1017[[#This Row],[% PLANIFICADO]]=0
   ),
   "",
   MIN(Cartera1017[[#This Row],[% COMPLETADO]]/Cartera1017[[#This Row],[% PLANIFICADO]],1.2)
)</f>
        <v>1</v>
      </c>
      <c r="CM63" s="476">
        <v>46014</v>
      </c>
      <c r="CN63" s="377">
        <v>46014</v>
      </c>
      <c r="CO63" s="377">
        <v>46014</v>
      </c>
      <c r="CP63" s="377">
        <v>46014</v>
      </c>
      <c r="CQ63" s="377">
        <v>46098</v>
      </c>
      <c r="CR63" s="377">
        <v>46099</v>
      </c>
      <c r="CS63" s="377">
        <v>46137</v>
      </c>
      <c r="CT63" s="44">
        <f>IF(Cartera1017[[#This Row],[Fin Desarrollo]]="",25,IFERROR(NETWORKDAYS(Cartera1017[[#This Row],[Comienzo Desarrollo]],Cartera1017[[#This Row],[Fin Desarrollo]],FERIADOS[Fecha]),""))</f>
        <v>1</v>
      </c>
      <c r="CU6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63" s="44">
        <f>IF(OR(Cartera1017[[#This Row],[Comienzo Desarrollo]]="",Cartera1017[[#This Row],[Fin Desarrollo]]=""),200,IFERROR(Cartera1017[[#This Row],[DURACIÓN DESARROLLO DIAS]]*VLOOKUP(Cartera1017[[#This Row],[ID Mantenimiento]],MANT_HORAS[],2,FALSE),200))</f>
        <v>200</v>
      </c>
      <c r="CW63" s="110"/>
      <c r="CX63" s="110" t="str">
        <f>VLOOKUP(Cartera1017[[#This Row],[Estado TI]],Definiciones!$A$549:$B$559,2,FALSE)</f>
        <v>4. PRODUCCIÓN</v>
      </c>
      <c r="CY63" s="28">
        <f ca="1">1-Cartera1017[[#This Row],[Porcentaje avanzado desarrollo]]</f>
        <v>0</v>
      </c>
      <c r="CZ6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63" s="28">
        <f ca="1">MAX(0,Cartera1017[[#This Row],[DURACIÓN DESARROLLO DIAS]]-Cartera1017[[#This Row],[Dias avanzados]])</f>
        <v>0</v>
      </c>
      <c r="DB63" s="28">
        <f ca="1">Cartera1017[[#This Row],[Dias avanzados]]*IFERROR(VLOOKUP(Cartera1017[[#This Row],[ID Mantenimiento]],MANT_HORAS[],2,FALSE),8)</f>
        <v>8</v>
      </c>
      <c r="DC63" s="28">
        <f ca="1">Cartera1017[[#This Row],[Dias faltantes]]*IFERROR(VLOOKUP(Cartera1017[[#This Row],[ID Mantenimiento]],MANT_HORAS[],2,FALSE),8)</f>
        <v>0</v>
      </c>
      <c r="DD63" s="28" t="str">
        <f>IF(Cartera1017[[#This Row],[Fin Producción]]=0,"Por definir",CONCATENATE(YEAR(Cartera1017[[#This Row],[Fin Producción]]),"-",ROUNDUP(MONTH(Cartera1017[[#This Row],[Fin Producción]]),0)))</f>
        <v>2026-4</v>
      </c>
      <c r="DE63" s="18" t="s">
        <v>510</v>
      </c>
      <c r="DF63" s="28"/>
      <c r="DG63" s="28"/>
      <c r="DH63" s="565"/>
    </row>
    <row r="64" spans="1:112" ht="44.25" hidden="1" customHeight="1">
      <c r="A64" s="229" t="s">
        <v>1059</v>
      </c>
      <c r="B64" s="18">
        <v>2565</v>
      </c>
      <c r="C64" s="18" t="s">
        <v>485</v>
      </c>
      <c r="D64" s="18" t="s">
        <v>1060</v>
      </c>
      <c r="E64" s="18" t="s">
        <v>160</v>
      </c>
      <c r="F64" s="33" t="s">
        <v>161</v>
      </c>
      <c r="G64" s="19"/>
      <c r="H64" s="18" t="s">
        <v>40</v>
      </c>
      <c r="I64" s="18" t="s">
        <v>490</v>
      </c>
      <c r="J64" s="18" t="s">
        <v>662</v>
      </c>
      <c r="K64" s="20">
        <v>45674</v>
      </c>
      <c r="L64" s="50" t="s">
        <v>1061</v>
      </c>
      <c r="M64" s="50" t="s">
        <v>931</v>
      </c>
      <c r="N64" s="50"/>
      <c r="O64" s="18" t="s">
        <v>548</v>
      </c>
      <c r="P64" s="18" t="s">
        <v>495</v>
      </c>
      <c r="Q64" s="18" t="s">
        <v>496</v>
      </c>
      <c r="R64" s="18" t="s">
        <v>497</v>
      </c>
      <c r="S64" s="18"/>
      <c r="T64" s="18" t="s">
        <v>495</v>
      </c>
      <c r="U64" s="18" t="s">
        <v>495</v>
      </c>
      <c r="V64" s="18" t="s">
        <v>495</v>
      </c>
      <c r="W64" s="18" t="s">
        <v>495</v>
      </c>
      <c r="X64" s="18" t="s">
        <v>495</v>
      </c>
      <c r="Y64" s="80" t="s">
        <v>495</v>
      </c>
      <c r="Z64" s="18" t="s">
        <v>499</v>
      </c>
      <c r="AA64" s="20">
        <v>45706</v>
      </c>
      <c r="AB64" s="18" t="s">
        <v>500</v>
      </c>
      <c r="AC64" s="18" t="s">
        <v>558</v>
      </c>
      <c r="AD64" s="18" t="s">
        <v>162</v>
      </c>
      <c r="AE64" s="18" t="s">
        <v>41</v>
      </c>
      <c r="AF64" s="18" t="s">
        <v>53</v>
      </c>
      <c r="AG64" s="14" t="str">
        <f>VLOOKUP(AF64,Tabla3[[Estado Requerimiento]:[Macro estado]],2,FALSE)</f>
        <v>03. Culminado</v>
      </c>
      <c r="AH64" s="18"/>
      <c r="AI64" s="80">
        <v>45680</v>
      </c>
      <c r="AJ64" s="80">
        <v>45964</v>
      </c>
      <c r="AK64" s="80">
        <v>46055</v>
      </c>
      <c r="AL64" s="80">
        <v>46055</v>
      </c>
      <c r="AM64" s="80">
        <v>45989</v>
      </c>
      <c r="AN64" s="80">
        <v>46069</v>
      </c>
      <c r="AO64" s="80">
        <v>46073</v>
      </c>
      <c r="AP64" s="81">
        <f t="shared" si="0"/>
        <v>45962.6</v>
      </c>
      <c r="AQ64" s="80">
        <v>46090</v>
      </c>
      <c r="AR64" s="80">
        <v>46090</v>
      </c>
      <c r="AS64" s="81">
        <f t="shared" si="1"/>
        <v>45969.599999999999</v>
      </c>
      <c r="AT64" s="19" t="s">
        <v>1062</v>
      </c>
      <c r="AU64" s="44" t="str">
        <f>VLOOKUP(Cartera1017[[#This Row],[Gerencia]],tbGerencia[#All],3,FALSE)</f>
        <v>Operac.</v>
      </c>
      <c r="AV64" s="44" t="str">
        <f>IFERROR(VLOOKUP(Cartera1017[[#This Row],[Subgerencia]],Definiciones!$A$90:$B$144,2,FALSE),"")</f>
        <v>BancariosRecaudación</v>
      </c>
      <c r="AW64" s="44" t="str">
        <f>IF(OR(LEN(Cartera1017[[#This Row],[Fecha de Solicitud]])=0,(Cartera1017[[#This Row],[Fecha de Solicitud]])="No definido"),"No definido",IF(YEAR(Cartera1017[[#This Row],[Fecha de Solicitud]])&lt;2023," &lt;  2023",TEXT(Cartera1017[[#This Row],[Fecha de Solicitud]],"yyyy-mm")))</f>
        <v>2025-01</v>
      </c>
      <c r="AX64" s="44" t="str">
        <f>IF(Cartera1017[[#This Row],[Fecha de Priorización Comité]]="","No definido",TEXT(Cartera1017[[#This Row],[Fecha de Priorización Comité]],"yyyy-mm"))</f>
        <v>2025-02</v>
      </c>
      <c r="AY64" s="44" t="str">
        <f>IF(Cartera1017[[#This Row],[Fecha Fin- Desarrollo]]="","No definido",TEXT(Cartera1017[[#This Row],[Fecha Fin- Desarrollo]],"yyyy-mm"))</f>
        <v>2026-02</v>
      </c>
      <c r="AZ64" s="44" t="str">
        <f>IF(Cartera1017[[#This Row],[Fecha Fin- Producción]]="","No definido",TEXT(Cartera1017[[#This Row],[Fecha Fin- Producción]],"yyyy-mm"))</f>
        <v>2026-03</v>
      </c>
      <c r="BA64" s="44" t="str">
        <f>IF(Cartera1017[[#This Row],[Fecha Fin-Planificada]]="","No definido",TEXT(Cartera1017[[#This Row],[Fecha Fin-Planificada]],"yyyy-mm"))</f>
        <v>2025-11</v>
      </c>
      <c r="BB64" s="33"/>
      <c r="BC64" s="66"/>
      <c r="BD64" s="66"/>
      <c r="BE64" s="66"/>
      <c r="BF64" s="127"/>
      <c r="BG64" s="28" t="s">
        <v>1044</v>
      </c>
      <c r="BH6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35</v>
      </c>
      <c r="BI64" s="90">
        <f>IF(ISNUMBER(Cartera1017[[#This Row],[Duracion en Dias]]),Cartera1017[[#This Row],[Duracion en Dias]]/30, "No Aplica")</f>
        <v>1.1666666666666667</v>
      </c>
      <c r="BJ64" s="188" t="s">
        <v>1063</v>
      </c>
      <c r="BK64" s="28" t="s">
        <v>506</v>
      </c>
      <c r="BL64" s="110" t="s">
        <v>536</v>
      </c>
      <c r="BM64" s="342">
        <v>46090.438090277778</v>
      </c>
      <c r="BN64" s="227"/>
      <c r="BO64" s="401"/>
      <c r="BP64" s="401"/>
      <c r="BQ6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4" s="14" t="str">
        <f>IFERROR(VLOOKUP(Cartera1017[[#This Row],[Aplicativo]],Tabla76[],2,FALSE),"Sin Aplicativo")</f>
        <v>BackOffice</v>
      </c>
      <c r="BS64" s="14" t="str">
        <f>IFERROR(VLOOKUP(Cartera1017[[#This Row],[Aplicativo]],Tabla76[],3,FALSE),"Sin Aplicativo")</f>
        <v>Otros Requerimientos</v>
      </c>
      <c r="BT64" s="400">
        <v>45717</v>
      </c>
      <c r="BU64" s="140">
        <v>45717</v>
      </c>
      <c r="BV64" s="28" t="s">
        <v>1064</v>
      </c>
      <c r="BW64"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6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4" s="97" t="str">
        <f ca="1">IF(Cartera1017[[#This Row],[Fecha Fin2]]="","No definido",CONCATENATE(TEXT(Cartera1017[[#This Row],[Fecha Fin2]],"mmm")," ",YEAR(Cartera1017[[#This Row],[Fecha Fin2]])))</f>
        <v>Mar 2026</v>
      </c>
      <c r="BZ64" s="28">
        <v>2025</v>
      </c>
      <c r="CA64" s="48" t="str">
        <f>IF(Cartera1017[[#This Row],[Estado TI]] = "08. Producción Finalizada","Culminado",IF(Cartera1017[[#This Row],[Estado TI]]= "09. Descartado","Descartado","Activos"))</f>
        <v>Culminado</v>
      </c>
      <c r="CB64" s="28"/>
      <c r="CC6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64" s="54" t="str">
        <f>IF(
AND(
Cartera1017[[#This Row],[DEVOLVER 27]]="NO",
NOT(ISBLANK(Cartera1017[[#This Row],[ESTADO NO DEVUELTOS 27]]))
),
"PRE",
"POST"
)</f>
        <v>PRE</v>
      </c>
      <c r="CE64" s="54" t="s">
        <v>509</v>
      </c>
      <c r="CF64" s="28" t="s">
        <v>48</v>
      </c>
      <c r="CG6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6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4" s="406">
        <f>Cartera1017[[#This Row],[Porcentaje de Avance]]</f>
        <v>1</v>
      </c>
      <c r="CK64" s="388">
        <f ca="1">IF(
   OR(
     Cartera1017[[#This Row],[Estado TI]]="09. Descartado",
     Cartera1017[[#This Row],[Comienzo Desarrollo]]="",
     Cartera1017[[#This Row],[Fin Producción]]=""
   ),
   "",
   Cartera1017[[#This Row],[% PLANIFICADO]]-Cartera1017[[#This Row],[% COMPLETADO]]
)</f>
        <v>0</v>
      </c>
      <c r="CL64" s="388">
        <f ca="1">IF(
   OR(
     Cartera1017[[#This Row],[Estado TI]]="09. Descartado",
     Cartera1017[[#This Row],[Comienzo Desarrollo]]="",
     Cartera1017[[#This Row],[Fin Producción]]="",
     Cartera1017[[#This Row],[% PLANIFICADO]]=0
   ),
   "",
   MIN(Cartera1017[[#This Row],[% COMPLETADO]]/Cartera1017[[#This Row],[% PLANIFICADO]],1.2)
)</f>
        <v>1</v>
      </c>
      <c r="CM64" s="377">
        <v>46055</v>
      </c>
      <c r="CN64" s="377">
        <v>46055</v>
      </c>
      <c r="CO64" s="377">
        <v>46055</v>
      </c>
      <c r="CP64" s="377">
        <v>46069</v>
      </c>
      <c r="CQ64" s="377">
        <v>46098</v>
      </c>
      <c r="CR64" s="377">
        <v>46099</v>
      </c>
      <c r="CS64" s="377">
        <v>46111</v>
      </c>
      <c r="CT64" s="44">
        <f>IF(Cartera1017[[#This Row],[Fin Desarrollo]]="",25,IFERROR(NETWORKDAYS(Cartera1017[[#This Row],[Comienzo Desarrollo]],Cartera1017[[#This Row],[Fin Desarrollo]],FERIADOS[Fecha]),""))</f>
        <v>1</v>
      </c>
      <c r="CU6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64" s="44">
        <f>IF(OR(Cartera1017[[#This Row],[Comienzo Desarrollo]]="",Cartera1017[[#This Row],[Fin Desarrollo]]=""),200,IFERROR(Cartera1017[[#This Row],[DURACIÓN DESARROLLO DIAS]]*VLOOKUP(Cartera1017[[#This Row],[ID Mantenimiento]],MANT_HORAS[],2,FALSE),200))</f>
        <v>200</v>
      </c>
      <c r="CW64" s="110"/>
      <c r="CX64" s="110" t="str">
        <f>VLOOKUP(Cartera1017[[#This Row],[Estado TI]],Definiciones!$A$549:$B$559,2,FALSE)</f>
        <v>4. PRODUCCIÓN</v>
      </c>
      <c r="CY64" s="28">
        <f ca="1">1-Cartera1017[[#This Row],[Porcentaje avanzado desarrollo]]</f>
        <v>0</v>
      </c>
      <c r="CZ6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64" s="28">
        <f ca="1">MAX(0,Cartera1017[[#This Row],[DURACIÓN DESARROLLO DIAS]]-Cartera1017[[#This Row],[Dias avanzados]])</f>
        <v>0</v>
      </c>
      <c r="DB64" s="28">
        <f ca="1">Cartera1017[[#This Row],[Dias avanzados]]*IFERROR(VLOOKUP(Cartera1017[[#This Row],[ID Mantenimiento]],MANT_HORAS[],2,FALSE),8)</f>
        <v>8</v>
      </c>
      <c r="DC64" s="28">
        <f ca="1">Cartera1017[[#This Row],[Dias faltantes]]*IFERROR(VLOOKUP(Cartera1017[[#This Row],[ID Mantenimiento]],MANT_HORAS[],2,FALSE),8)</f>
        <v>0</v>
      </c>
      <c r="DD64" s="28" t="str">
        <f>IF(Cartera1017[[#This Row],[Fin Producción]]=0,"Por definir",CONCATENATE(YEAR(Cartera1017[[#This Row],[Fin Producción]]),"-",ROUNDUP(MONTH(Cartera1017[[#This Row],[Fin Producción]]),0)))</f>
        <v>2026-3</v>
      </c>
      <c r="DE64" s="18" t="s">
        <v>510</v>
      </c>
      <c r="DF64" s="28"/>
      <c r="DG64" s="28"/>
      <c r="DH64" s="565"/>
    </row>
    <row r="65" spans="1:112" ht="44.25" hidden="1" customHeight="1">
      <c r="A65" s="229" t="s">
        <v>1065</v>
      </c>
      <c r="B65" s="18">
        <v>2576</v>
      </c>
      <c r="C65" s="18" t="s">
        <v>485</v>
      </c>
      <c r="D65" s="18" t="s">
        <v>1066</v>
      </c>
      <c r="E65" s="18" t="s">
        <v>1067</v>
      </c>
      <c r="F65" s="33" t="s">
        <v>1068</v>
      </c>
      <c r="G65" s="19"/>
      <c r="H65" s="18" t="s">
        <v>40</v>
      </c>
      <c r="I65" s="18" t="s">
        <v>490</v>
      </c>
      <c r="J65" s="18" t="s">
        <v>662</v>
      </c>
      <c r="K65" s="20">
        <v>45574</v>
      </c>
      <c r="L65" s="50" t="s">
        <v>1069</v>
      </c>
      <c r="M65" s="50" t="s">
        <v>1070</v>
      </c>
      <c r="N65" s="50"/>
      <c r="O65" s="18" t="s">
        <v>548</v>
      </c>
      <c r="P65" s="18" t="s">
        <v>495</v>
      </c>
      <c r="Q65" s="18" t="s">
        <v>951</v>
      </c>
      <c r="R65" s="18" t="s">
        <v>497</v>
      </c>
      <c r="S65" s="18"/>
      <c r="T65" s="18" t="s">
        <v>495</v>
      </c>
      <c r="U65" s="18" t="s">
        <v>495</v>
      </c>
      <c r="V65" s="18" t="s">
        <v>495</v>
      </c>
      <c r="W65" s="18" t="s">
        <v>495</v>
      </c>
      <c r="X65" s="18" t="s">
        <v>495</v>
      </c>
      <c r="Y65" s="80" t="s">
        <v>495</v>
      </c>
      <c r="Z65" s="18" t="s">
        <v>499</v>
      </c>
      <c r="AA65" s="20">
        <v>45706</v>
      </c>
      <c r="AB65" s="18" t="s">
        <v>500</v>
      </c>
      <c r="AC65" s="18" t="s">
        <v>558</v>
      </c>
      <c r="AD65" s="18" t="s">
        <v>139</v>
      </c>
      <c r="AE65" s="18" t="s">
        <v>41</v>
      </c>
      <c r="AF65" s="18" t="s">
        <v>53</v>
      </c>
      <c r="AG65" s="14" t="str">
        <f>VLOOKUP(AF65,Tabla3[[Estado Requerimiento]:[Macro estado]],2,FALSE)</f>
        <v>03. Culminado</v>
      </c>
      <c r="AH65" s="18"/>
      <c r="AI65" s="80">
        <v>45686</v>
      </c>
      <c r="AJ65" s="80">
        <v>45964</v>
      </c>
      <c r="AK65" s="80">
        <v>45691</v>
      </c>
      <c r="AL65" s="80">
        <v>46015</v>
      </c>
      <c r="AM65" s="80">
        <v>45989</v>
      </c>
      <c r="AN65" s="80">
        <v>46030</v>
      </c>
      <c r="AO65" s="80">
        <v>46043</v>
      </c>
      <c r="AP65" s="81">
        <f t="shared" si="0"/>
        <v>46108.2</v>
      </c>
      <c r="AQ65" s="80">
        <v>46045</v>
      </c>
      <c r="AR65" s="80">
        <v>46047</v>
      </c>
      <c r="AS65" s="81">
        <f t="shared" si="1"/>
        <v>46115.199999999997</v>
      </c>
      <c r="AT65" s="19" t="s">
        <v>1071</v>
      </c>
      <c r="AU65" s="44" t="str">
        <f>VLOOKUP(Cartera1017[[#This Row],[Gerencia]],tbGerencia[#All],3,FALSE)</f>
        <v>Operac.</v>
      </c>
      <c r="AV65" s="44" t="str">
        <f>IFERROR(VLOOKUP(Cartera1017[[#This Row],[Subgerencia]],Definiciones!$A$90:$B$144,2,FALSE),"")</f>
        <v>BancariosRecaudación</v>
      </c>
      <c r="AW65" s="44" t="str">
        <f>IF(OR(LEN(Cartera1017[[#This Row],[Fecha de Solicitud]])=0,(Cartera1017[[#This Row],[Fecha de Solicitud]])="No definido"),"No definido",IF(YEAR(Cartera1017[[#This Row],[Fecha de Solicitud]])&lt;2023," &lt;  2023",TEXT(Cartera1017[[#This Row],[Fecha de Solicitud]],"yyyy-mm")))</f>
        <v>2024-10</v>
      </c>
      <c r="AX65" s="44" t="str">
        <f>IF(Cartera1017[[#This Row],[Fecha de Priorización Comité]]="","No definido",TEXT(Cartera1017[[#This Row],[Fecha de Priorización Comité]],"yyyy-mm"))</f>
        <v>2025-02</v>
      </c>
      <c r="AY65" s="44" t="str">
        <f>IF(Cartera1017[[#This Row],[Fecha Fin- Desarrollo]]="","No definido",TEXT(Cartera1017[[#This Row],[Fecha Fin- Desarrollo]],"yyyy-mm"))</f>
        <v>2025-12</v>
      </c>
      <c r="AZ65" s="44" t="str">
        <f>IF(Cartera1017[[#This Row],[Fecha Fin- Producción]]="","No definido",TEXT(Cartera1017[[#This Row],[Fecha Fin- Producción]],"yyyy-mm"))</f>
        <v>2026-01</v>
      </c>
      <c r="BA65" s="44" t="str">
        <f>IF(Cartera1017[[#This Row],[Fecha Fin-Planificada]]="","No definido",TEXT(Cartera1017[[#This Row],[Fecha Fin-Planificada]],"yyyy-mm"))</f>
        <v>2026-04</v>
      </c>
      <c r="BB65" s="33"/>
      <c r="BC65" s="66"/>
      <c r="BD65" s="66"/>
      <c r="BE65" s="66"/>
      <c r="BF65" s="127"/>
      <c r="BG65" s="28" t="s">
        <v>1044</v>
      </c>
      <c r="BH6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356</v>
      </c>
      <c r="BI65" s="90">
        <f>IF(ISNUMBER(Cartera1017[[#This Row],[Duracion en Dias]]),Cartera1017[[#This Row],[Duracion en Dias]]/30, "No Aplica")</f>
        <v>11.866666666666667</v>
      </c>
      <c r="BJ65" s="18" t="s">
        <v>1072</v>
      </c>
      <c r="BK65" s="28" t="s">
        <v>506</v>
      </c>
      <c r="BL65" s="110" t="s">
        <v>536</v>
      </c>
      <c r="BM65" s="342">
        <v>46047.024976851855</v>
      </c>
      <c r="BN65" s="227"/>
      <c r="BO65" s="401"/>
      <c r="BP65" s="401"/>
      <c r="BQ6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5" s="14" t="str">
        <f>IFERROR(VLOOKUP(Cartera1017[[#This Row],[Aplicativo]],Tabla76[],2,FALSE),"Sin Aplicativo")</f>
        <v>Sin Aplicativo</v>
      </c>
      <c r="BS65" s="14" t="str">
        <f>IFERROR(VLOOKUP(Cartera1017[[#This Row],[Aplicativo]],Tabla76[],3,FALSE),"Sin Aplicativo")</f>
        <v>Sin Aplicativo</v>
      </c>
      <c r="BT65" s="400" t="s">
        <v>521</v>
      </c>
      <c r="BU65" s="28"/>
      <c r="BV65" s="145"/>
      <c r="BW65"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46047</v>
      </c>
      <c r="BX6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5" s="97" t="str">
        <f ca="1">IF(Cartera1017[[#This Row],[Fecha Fin2]]="","No definido",CONCATENATE(TEXT(Cartera1017[[#This Row],[Fecha Fin2]],"mmm")," ",YEAR(Cartera1017[[#This Row],[Fecha Fin2]])))</f>
        <v>Ene 2026</v>
      </c>
      <c r="BZ65" s="28">
        <v>2025</v>
      </c>
      <c r="CA65" s="48" t="str">
        <f>IF(Cartera1017[[#This Row],[Estado TI]] = "08. Producción Finalizada","Culminado",IF(Cartera1017[[#This Row],[Estado TI]]= "09. Descartado","Descartado","Activos"))</f>
        <v>Culminado</v>
      </c>
      <c r="CB65" s="28"/>
      <c r="CC6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65" s="54" t="str">
        <f>IF(
AND(
Cartera1017[[#This Row],[DEVOLVER 27]]="NO",
NOT(ISBLANK(Cartera1017[[#This Row],[ESTADO NO DEVUELTOS 27]]))
),
"PRE",
"POST"
)</f>
        <v>PRE</v>
      </c>
      <c r="CE65" s="54" t="s">
        <v>509</v>
      </c>
      <c r="CF65" s="28" t="s">
        <v>48</v>
      </c>
      <c r="CG6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6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5" s="406">
        <f>Cartera1017[[#This Row],[Porcentaje de Avance]]</f>
        <v>1</v>
      </c>
      <c r="CK65" s="388">
        <f ca="1">IF(
   OR(
     Cartera1017[[#This Row],[Estado TI]]="09. Descartado",
     Cartera1017[[#This Row],[Comienzo Desarrollo]]="",
     Cartera1017[[#This Row],[Fin Producción]]=""
   ),
   "",
   Cartera1017[[#This Row],[% PLANIFICADO]]-Cartera1017[[#This Row],[% COMPLETADO]]
)</f>
        <v>0</v>
      </c>
      <c r="CL65" s="388">
        <f ca="1">IF(
   OR(
     Cartera1017[[#This Row],[Estado TI]]="09. Descartado",
     Cartera1017[[#This Row],[Comienzo Desarrollo]]="",
     Cartera1017[[#This Row],[Fin Producción]]="",
     Cartera1017[[#This Row],[% PLANIFICADO]]=0
   ),
   "",
   MIN(Cartera1017[[#This Row],[% COMPLETADO]]/Cartera1017[[#This Row],[% PLANIFICADO]],1.2)
)</f>
        <v>1</v>
      </c>
      <c r="CM65" s="377">
        <v>45691</v>
      </c>
      <c r="CN65" s="377">
        <v>45691</v>
      </c>
      <c r="CO65" s="377">
        <v>46015</v>
      </c>
      <c r="CP65" s="377">
        <v>46030</v>
      </c>
      <c r="CQ65" s="377">
        <v>46043</v>
      </c>
      <c r="CR65" s="377">
        <v>46045</v>
      </c>
      <c r="CS65" s="377">
        <v>46047</v>
      </c>
      <c r="CT65" s="44">
        <f>IF(Cartera1017[[#This Row],[Fin Desarrollo]]="",25,IFERROR(NETWORKDAYS(Cartera1017[[#This Row],[Comienzo Desarrollo]],Cartera1017[[#This Row],[Fin Desarrollo]],FERIADOS[Fecha]),""))</f>
        <v>228</v>
      </c>
      <c r="CU6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65" s="44">
        <f>IF(OR(Cartera1017[[#This Row],[Comienzo Desarrollo]]="",Cartera1017[[#This Row],[Fin Desarrollo]]=""),200,IFERROR(Cartera1017[[#This Row],[DURACIÓN DESARROLLO DIAS]]*VLOOKUP(Cartera1017[[#This Row],[ID Mantenimiento]],MANT_HORAS[],2,FALSE),200))</f>
        <v>200</v>
      </c>
      <c r="CW65" s="110"/>
      <c r="CX65" s="110" t="str">
        <f>VLOOKUP(Cartera1017[[#This Row],[Estado TI]],Definiciones!$A$549:$B$559,2,FALSE)</f>
        <v>4. PRODUCCIÓN</v>
      </c>
      <c r="CY65" s="28">
        <f ca="1">1-Cartera1017[[#This Row],[Porcentaje avanzado desarrollo]]</f>
        <v>0</v>
      </c>
      <c r="CZ6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228</v>
      </c>
      <c r="DA65" s="28">
        <f ca="1">MAX(0,Cartera1017[[#This Row],[DURACIÓN DESARROLLO DIAS]]-Cartera1017[[#This Row],[Dias avanzados]])</f>
        <v>0</v>
      </c>
      <c r="DB65" s="28">
        <f ca="1">Cartera1017[[#This Row],[Dias avanzados]]*IFERROR(VLOOKUP(Cartera1017[[#This Row],[ID Mantenimiento]],MANT_HORAS[],2,FALSE),8)</f>
        <v>1824</v>
      </c>
      <c r="DC65" s="28">
        <f ca="1">Cartera1017[[#This Row],[Dias faltantes]]*IFERROR(VLOOKUP(Cartera1017[[#This Row],[ID Mantenimiento]],MANT_HORAS[],2,FALSE),8)</f>
        <v>0</v>
      </c>
      <c r="DD65" s="28" t="str">
        <f>IF(Cartera1017[[#This Row],[Fin Producción]]=0,"Por definir",CONCATENATE(YEAR(Cartera1017[[#This Row],[Fin Producción]]),"-",ROUNDUP(MONTH(Cartera1017[[#This Row],[Fin Producción]]),0)))</f>
        <v>2026-1</v>
      </c>
      <c r="DE65" s="18" t="s">
        <v>510</v>
      </c>
      <c r="DF65" s="28"/>
      <c r="DG65" s="28"/>
      <c r="DH65" s="565"/>
    </row>
    <row r="66" spans="1:112" ht="44.25" hidden="1" customHeight="1">
      <c r="A66" s="229" t="s">
        <v>1073</v>
      </c>
      <c r="B66" s="18">
        <v>2595</v>
      </c>
      <c r="C66" s="18" t="s">
        <v>485</v>
      </c>
      <c r="D66" s="18" t="s">
        <v>1074</v>
      </c>
      <c r="E66" s="18" t="s">
        <v>163</v>
      </c>
      <c r="F66" s="33" t="s">
        <v>164</v>
      </c>
      <c r="G66" s="19"/>
      <c r="H66" s="18" t="s">
        <v>40</v>
      </c>
      <c r="I66" s="18" t="s">
        <v>490</v>
      </c>
      <c r="J66" s="18" t="s">
        <v>491</v>
      </c>
      <c r="K66" s="20">
        <v>45674</v>
      </c>
      <c r="L66" s="50" t="s">
        <v>1075</v>
      </c>
      <c r="M66" s="50" t="s">
        <v>1076</v>
      </c>
      <c r="N66" s="50"/>
      <c r="O66" s="18" t="s">
        <v>530</v>
      </c>
      <c r="P66" s="18" t="s">
        <v>1077</v>
      </c>
      <c r="Q66" s="18" t="s">
        <v>495</v>
      </c>
      <c r="R66" s="18" t="s">
        <v>497</v>
      </c>
      <c r="S66" s="18"/>
      <c r="T66" s="18" t="s">
        <v>495</v>
      </c>
      <c r="U66" s="18" t="s">
        <v>495</v>
      </c>
      <c r="V66" s="18" t="s">
        <v>495</v>
      </c>
      <c r="W66" s="18" t="s">
        <v>495</v>
      </c>
      <c r="X66" s="18" t="s">
        <v>495</v>
      </c>
      <c r="Y66" s="80" t="s">
        <v>495</v>
      </c>
      <c r="Z66" s="18" t="s">
        <v>499</v>
      </c>
      <c r="AA66" s="20">
        <v>45706</v>
      </c>
      <c r="AB66" s="18" t="s">
        <v>500</v>
      </c>
      <c r="AC66" s="18" t="s">
        <v>501</v>
      </c>
      <c r="AD66" s="18" t="s">
        <v>165</v>
      </c>
      <c r="AE66" s="18" t="s">
        <v>41</v>
      </c>
      <c r="AF66" s="18" t="s">
        <v>53</v>
      </c>
      <c r="AG66" s="14" t="str">
        <f>VLOOKUP(AF66,Tabla3[[Estado Requerimiento]:[Macro estado]],2,FALSE)</f>
        <v>03. Culminado</v>
      </c>
      <c r="AH66" s="18"/>
      <c r="AI66" s="80">
        <v>45692</v>
      </c>
      <c r="AJ66" s="80">
        <v>45964</v>
      </c>
      <c r="AK66" s="80">
        <v>45855</v>
      </c>
      <c r="AL66" s="80">
        <v>45994</v>
      </c>
      <c r="AM66" s="80">
        <v>46022</v>
      </c>
      <c r="AN66" s="80">
        <v>46013</v>
      </c>
      <c r="AO66" s="80">
        <v>46094</v>
      </c>
      <c r="AP66" s="81">
        <f t="shared" si="0"/>
        <v>46088.800000000003</v>
      </c>
      <c r="AQ66" s="80">
        <v>46098</v>
      </c>
      <c r="AR66" s="80">
        <v>46142</v>
      </c>
      <c r="AS66" s="81">
        <f t="shared" si="1"/>
        <v>46095.8</v>
      </c>
      <c r="AT66" s="19" t="s">
        <v>1078</v>
      </c>
      <c r="AU66" s="44" t="str">
        <f>VLOOKUP(Cartera1017[[#This Row],[Gerencia]],tbGerencia[#All],3,FALSE)</f>
        <v>Operac.</v>
      </c>
      <c r="AV66" s="44" t="str">
        <f>IFERROR(VLOOKUP(Cartera1017[[#This Row],[Subgerencia]],Definiciones!$A$90:$B$144,2,FALSE),"")</f>
        <v>BancariosRecaudación</v>
      </c>
      <c r="AW66" s="44" t="str">
        <f>IF(OR(LEN(Cartera1017[[#This Row],[Fecha de Solicitud]])=0,(Cartera1017[[#This Row],[Fecha de Solicitud]])="No definido"),"No definido",IF(YEAR(Cartera1017[[#This Row],[Fecha de Solicitud]])&lt;2023," &lt;  2023",TEXT(Cartera1017[[#This Row],[Fecha de Solicitud]],"yyyy-mm")))</f>
        <v>2025-01</v>
      </c>
      <c r="AX66" s="44" t="str">
        <f>IF(Cartera1017[[#This Row],[Fecha de Priorización Comité]]="","No definido",TEXT(Cartera1017[[#This Row],[Fecha de Priorización Comité]],"yyyy-mm"))</f>
        <v>2025-02</v>
      </c>
      <c r="AY66" s="44" t="str">
        <f>IF(Cartera1017[[#This Row],[Fecha Fin- Desarrollo]]="","No definido",TEXT(Cartera1017[[#This Row],[Fecha Fin- Desarrollo]],"yyyy-mm"))</f>
        <v>2025-12</v>
      </c>
      <c r="AZ66" s="44" t="str">
        <f>IF(Cartera1017[[#This Row],[Fecha Fin- Producción]]="","No definido",TEXT(Cartera1017[[#This Row],[Fecha Fin- Producción]],"yyyy-mm"))</f>
        <v>2026-04</v>
      </c>
      <c r="BA66" s="44" t="str">
        <f>IF(Cartera1017[[#This Row],[Fecha Fin-Planificada]]="","No definido",TEXT(Cartera1017[[#This Row],[Fecha Fin-Planificada]],"yyyy-mm"))</f>
        <v>2026-03</v>
      </c>
      <c r="BB66" s="33"/>
      <c r="BC66" s="66"/>
      <c r="BD66" s="66"/>
      <c r="BE66" s="66"/>
      <c r="BF66" s="127"/>
      <c r="BG66" s="28" t="s">
        <v>1044</v>
      </c>
      <c r="BH6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287</v>
      </c>
      <c r="BI66" s="90">
        <f>IF(ISNUMBER(Cartera1017[[#This Row],[Duracion en Dias]]),Cartera1017[[#This Row],[Duracion en Dias]]/30, "No Aplica")</f>
        <v>9.5666666666666664</v>
      </c>
      <c r="BJ66" s="109"/>
      <c r="BK66" s="28" t="s">
        <v>506</v>
      </c>
      <c r="BL66" s="110" t="s">
        <v>536</v>
      </c>
      <c r="BM66" s="342">
        <v>46142.734780092593</v>
      </c>
      <c r="BN66" s="227"/>
      <c r="BO66" s="401"/>
      <c r="BP66" s="401"/>
      <c r="BQ6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6" s="14" t="str">
        <f>IFERROR(VLOOKUP(Cartera1017[[#This Row],[Aplicativo]],Tabla76[],2,FALSE),"Sin Aplicativo")</f>
        <v>Sin Aplicativo</v>
      </c>
      <c r="BS66" s="14" t="str">
        <f>IFERROR(VLOOKUP(Cartera1017[[#This Row],[Aplicativo]],Tabla76[],3,FALSE),"Sin Aplicativo")</f>
        <v>Sin Aplicativo</v>
      </c>
      <c r="BT66" s="400">
        <v>45870</v>
      </c>
      <c r="BU66" s="140">
        <v>45870</v>
      </c>
      <c r="BV66" s="33" t="s">
        <v>1079</v>
      </c>
      <c r="BW6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46142</v>
      </c>
      <c r="BX6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6" s="97" t="str">
        <f ca="1">IF(Cartera1017[[#This Row],[Fecha Fin2]]="","No definido",CONCATENATE(TEXT(Cartera1017[[#This Row],[Fecha Fin2]],"mmm")," ",YEAR(Cartera1017[[#This Row],[Fecha Fin2]])))</f>
        <v>Abr 2026</v>
      </c>
      <c r="BZ66" s="28">
        <v>2025</v>
      </c>
      <c r="CA66" s="48" t="str">
        <f>IF(Cartera1017[[#This Row],[Estado TI]] = "08. Producción Finalizada","Culminado",IF(Cartera1017[[#This Row],[Estado TI]]= "09. Descartado","Descartado","Activos"))</f>
        <v>Culminado</v>
      </c>
      <c r="CB66" s="28"/>
      <c r="CC6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66" s="54" t="str">
        <f>IF(
AND(
Cartera1017[[#This Row],[DEVOLVER 27]]="NO",
NOT(ISBLANK(Cartera1017[[#This Row],[ESTADO NO DEVUELTOS 27]]))
),
"PRE",
"POST"
)</f>
        <v>PRE</v>
      </c>
      <c r="CE66" s="54" t="s">
        <v>509</v>
      </c>
      <c r="CF66" s="28" t="s">
        <v>48</v>
      </c>
      <c r="CG6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6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6" s="406">
        <f>Cartera1017[[#This Row],[Porcentaje de Avance]]</f>
        <v>1</v>
      </c>
      <c r="CK66" s="388">
        <f ca="1">IF(
   OR(
     Cartera1017[[#This Row],[Estado TI]]="09. Descartado",
     Cartera1017[[#This Row],[Comienzo Desarrollo]]="",
     Cartera1017[[#This Row],[Fin Producción]]=""
   ),
   "",
   Cartera1017[[#This Row],[% PLANIFICADO]]-Cartera1017[[#This Row],[% COMPLETADO]]
)</f>
        <v>0</v>
      </c>
      <c r="CL66" s="388">
        <f ca="1">IF(
   OR(
     Cartera1017[[#This Row],[Estado TI]]="09. Descartado",
     Cartera1017[[#This Row],[Comienzo Desarrollo]]="",
     Cartera1017[[#This Row],[Fin Producción]]="",
     Cartera1017[[#This Row],[% PLANIFICADO]]=0
   ),
   "",
   MIN(Cartera1017[[#This Row],[% COMPLETADO]]/Cartera1017[[#This Row],[% PLANIFICADO]],1.2)
)</f>
        <v>1</v>
      </c>
      <c r="CM66" s="377">
        <v>45855</v>
      </c>
      <c r="CN66" s="377">
        <v>45855</v>
      </c>
      <c r="CO66" s="377">
        <v>45994</v>
      </c>
      <c r="CP66" s="377">
        <v>46013</v>
      </c>
      <c r="CQ66" s="377">
        <v>46097</v>
      </c>
      <c r="CR66" s="377">
        <v>46098</v>
      </c>
      <c r="CS66" s="377">
        <v>46108</v>
      </c>
      <c r="CT66" s="44">
        <f>IF(Cartera1017[[#This Row],[Fin Desarrollo]]="",25,IFERROR(NETWORKDAYS(Cartera1017[[#This Row],[Comienzo Desarrollo]],Cartera1017[[#This Row],[Fin Desarrollo]],FERIADOS[Fecha]),""))</f>
        <v>97</v>
      </c>
      <c r="CU6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66" s="44">
        <f>IF(OR(Cartera1017[[#This Row],[Comienzo Desarrollo]]="",Cartera1017[[#This Row],[Fin Desarrollo]]=""),200,IFERROR(Cartera1017[[#This Row],[DURACIÓN DESARROLLO DIAS]]*VLOOKUP(Cartera1017[[#This Row],[ID Mantenimiento]],MANT_HORAS[],2,FALSE),200))</f>
        <v>200</v>
      </c>
      <c r="CW66" s="110"/>
      <c r="CX66" s="110" t="str">
        <f>VLOOKUP(Cartera1017[[#This Row],[Estado TI]],Definiciones!$A$549:$B$559,2,FALSE)</f>
        <v>4. PRODUCCIÓN</v>
      </c>
      <c r="CY66" s="28">
        <f ca="1">1-Cartera1017[[#This Row],[Porcentaje avanzado desarrollo]]</f>
        <v>0</v>
      </c>
      <c r="CZ6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97</v>
      </c>
      <c r="DA66" s="28">
        <f ca="1">MAX(0,Cartera1017[[#This Row],[DURACIÓN DESARROLLO DIAS]]-Cartera1017[[#This Row],[Dias avanzados]])</f>
        <v>0</v>
      </c>
      <c r="DB66" s="28">
        <f ca="1">Cartera1017[[#This Row],[Dias avanzados]]*IFERROR(VLOOKUP(Cartera1017[[#This Row],[ID Mantenimiento]],MANT_HORAS[],2,FALSE),8)</f>
        <v>776</v>
      </c>
      <c r="DC66" s="28">
        <f ca="1">Cartera1017[[#This Row],[Dias faltantes]]*IFERROR(VLOOKUP(Cartera1017[[#This Row],[ID Mantenimiento]],MANT_HORAS[],2,FALSE),8)</f>
        <v>0</v>
      </c>
      <c r="DD66" s="28" t="str">
        <f>IF(Cartera1017[[#This Row],[Fin Producción]]=0,"Por definir",CONCATENATE(YEAR(Cartera1017[[#This Row],[Fin Producción]]),"-",ROUNDUP(MONTH(Cartera1017[[#This Row],[Fin Producción]]),0)))</f>
        <v>2026-3</v>
      </c>
      <c r="DE66" s="18" t="s">
        <v>510</v>
      </c>
      <c r="DF66" s="28" t="s">
        <v>1080</v>
      </c>
      <c r="DG66" s="28" t="s">
        <v>659</v>
      </c>
      <c r="DH66" s="565"/>
    </row>
    <row r="67" spans="1:112" ht="44.25" hidden="1" customHeight="1">
      <c r="A67" s="229" t="s">
        <v>1081</v>
      </c>
      <c r="B67" s="18">
        <v>2596</v>
      </c>
      <c r="C67" s="18" t="s">
        <v>485</v>
      </c>
      <c r="D67" s="18" t="s">
        <v>1082</v>
      </c>
      <c r="E67" s="18" t="s">
        <v>166</v>
      </c>
      <c r="F67" s="33" t="s">
        <v>167</v>
      </c>
      <c r="G67" s="19"/>
      <c r="H67" s="18" t="s">
        <v>40</v>
      </c>
      <c r="I67" s="18" t="s">
        <v>577</v>
      </c>
      <c r="J67" s="18" t="s">
        <v>922</v>
      </c>
      <c r="K67" s="20">
        <v>45686</v>
      </c>
      <c r="L67" s="50" t="s">
        <v>1083</v>
      </c>
      <c r="M67" s="50" t="s">
        <v>1084</v>
      </c>
      <c r="N67" s="50"/>
      <c r="O67" s="18" t="s">
        <v>530</v>
      </c>
      <c r="P67" s="18" t="s">
        <v>797</v>
      </c>
      <c r="Q67" s="18" t="s">
        <v>495</v>
      </c>
      <c r="R67" s="18" t="s">
        <v>497</v>
      </c>
      <c r="S67" s="18"/>
      <c r="T67" s="18" t="s">
        <v>495</v>
      </c>
      <c r="U67" s="18" t="s">
        <v>495</v>
      </c>
      <c r="V67" s="18" t="s">
        <v>495</v>
      </c>
      <c r="W67" s="18" t="s">
        <v>495</v>
      </c>
      <c r="X67" s="18" t="s">
        <v>495</v>
      </c>
      <c r="Y67" s="80" t="s">
        <v>495</v>
      </c>
      <c r="Z67" s="18" t="s">
        <v>499</v>
      </c>
      <c r="AA67" s="20">
        <v>45706</v>
      </c>
      <c r="AB67" s="18" t="s">
        <v>500</v>
      </c>
      <c r="AC67" s="18" t="s">
        <v>558</v>
      </c>
      <c r="AD67" s="18" t="s">
        <v>54</v>
      </c>
      <c r="AE67" s="18" t="s">
        <v>41</v>
      </c>
      <c r="AF67" s="18" t="s">
        <v>53</v>
      </c>
      <c r="AG67" s="14" t="str">
        <f>VLOOKUP(AF67,Tabla3[[Estado Requerimiento]:[Macro estado]],2,FALSE)</f>
        <v>03. Culminado</v>
      </c>
      <c r="AH67" s="18"/>
      <c r="AI67" s="80">
        <v>45692</v>
      </c>
      <c r="AJ67" s="80">
        <v>45964</v>
      </c>
      <c r="AK67" s="80">
        <v>45748</v>
      </c>
      <c r="AL67" s="80">
        <v>46084</v>
      </c>
      <c r="AM67" s="80">
        <v>46052</v>
      </c>
      <c r="AN67" s="80">
        <v>46094</v>
      </c>
      <c r="AO67" s="80">
        <v>46108</v>
      </c>
      <c r="AP67" s="81">
        <f t="shared" si="0"/>
        <v>46173.599999999999</v>
      </c>
      <c r="AQ67" s="80">
        <v>46125</v>
      </c>
      <c r="AR67" s="80">
        <v>46126</v>
      </c>
      <c r="AS67" s="81">
        <f t="shared" si="1"/>
        <v>46180.6</v>
      </c>
      <c r="AT67" s="19" t="s">
        <v>1085</v>
      </c>
      <c r="AU67" s="44" t="str">
        <f>VLOOKUP(Cartera1017[[#This Row],[Gerencia]],tbGerencia[#All],3,FALSE)</f>
        <v>Operac.</v>
      </c>
      <c r="AV67" s="44" t="str">
        <f>IFERROR(VLOOKUP(Cartera1017[[#This Row],[Subgerencia]],Definiciones!$A$90:$B$144,2,FALSE),"")</f>
        <v>CaptacionesPagaduría</v>
      </c>
      <c r="AW67" s="44" t="str">
        <f>IF(OR(LEN(Cartera1017[[#This Row],[Fecha de Solicitud]])=0,(Cartera1017[[#This Row],[Fecha de Solicitud]])="No definido"),"No definido",IF(YEAR(Cartera1017[[#This Row],[Fecha de Solicitud]])&lt;2023," &lt;  2023",TEXT(Cartera1017[[#This Row],[Fecha de Solicitud]],"yyyy-mm")))</f>
        <v>2025-01</v>
      </c>
      <c r="AX67" s="44" t="str">
        <f>IF(Cartera1017[[#This Row],[Fecha de Priorización Comité]]="","No definido",TEXT(Cartera1017[[#This Row],[Fecha de Priorización Comité]],"yyyy-mm"))</f>
        <v>2025-02</v>
      </c>
      <c r="AY67" s="44" t="str">
        <f>IF(Cartera1017[[#This Row],[Fecha Fin- Desarrollo]]="","No definido",TEXT(Cartera1017[[#This Row],[Fecha Fin- Desarrollo]],"yyyy-mm"))</f>
        <v>2026-03</v>
      </c>
      <c r="AZ67" s="44" t="str">
        <f>IF(Cartera1017[[#This Row],[Fecha Fin- Producción]]="","No definido",TEXT(Cartera1017[[#This Row],[Fecha Fin- Producción]],"yyyy-mm"))</f>
        <v>2026-04</v>
      </c>
      <c r="BA67" s="44" t="str">
        <f>IF(Cartera1017[[#This Row],[Fecha Fin-Planificada]]="","No definido",TEXT(Cartera1017[[#This Row],[Fecha Fin-Planificada]],"yyyy-mm"))</f>
        <v>2026-06</v>
      </c>
      <c r="BB67" s="33"/>
      <c r="BC67" s="66"/>
      <c r="BD67" s="66"/>
      <c r="BE67" s="66"/>
      <c r="BF67" s="127"/>
      <c r="BG67" s="28" t="s">
        <v>1044</v>
      </c>
      <c r="BH6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378</v>
      </c>
      <c r="BI67" s="90">
        <f>IF(ISNUMBER(Cartera1017[[#This Row],[Duracion en Dias]]),Cartera1017[[#This Row],[Duracion en Dias]]/30, "No Aplica")</f>
        <v>12.6</v>
      </c>
      <c r="BJ67" s="18" t="s">
        <v>1086</v>
      </c>
      <c r="BK67" s="28" t="s">
        <v>506</v>
      </c>
      <c r="BL67" s="110" t="s">
        <v>536</v>
      </c>
      <c r="BM67" s="342">
        <v>46133.614594907405</v>
      </c>
      <c r="BN67" s="227"/>
      <c r="BO67" s="401"/>
      <c r="BP67" s="401"/>
      <c r="BQ6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7" s="14" t="str">
        <f>IFERROR(VLOOKUP(Cartera1017[[#This Row],[Aplicativo]],Tabla76[],2,FALSE),"Sin Aplicativo")</f>
        <v>Sin Aplicativo</v>
      </c>
      <c r="BS67" s="14" t="str">
        <f>IFERROR(VLOOKUP(Cartera1017[[#This Row],[Aplicativo]],Tabla76[],3,FALSE),"Sin Aplicativo")</f>
        <v>Sin Aplicativo</v>
      </c>
      <c r="BT67" s="400">
        <v>45839</v>
      </c>
      <c r="BU67" s="140">
        <v>45839</v>
      </c>
      <c r="BV67" s="33" t="s">
        <v>1087</v>
      </c>
      <c r="BW67"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46126</v>
      </c>
      <c r="BX6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7" s="97" t="str">
        <f ca="1">IF(Cartera1017[[#This Row],[Fecha Fin2]]="","No definido",CONCATENATE(TEXT(Cartera1017[[#This Row],[Fecha Fin2]],"mmm")," ",YEAR(Cartera1017[[#This Row],[Fecha Fin2]])))</f>
        <v>Abr 2026</v>
      </c>
      <c r="BZ67" s="28">
        <v>2025</v>
      </c>
      <c r="CA67" s="48" t="str">
        <f>IF(Cartera1017[[#This Row],[Estado TI]] = "08. Producción Finalizada","Culminado",IF(Cartera1017[[#This Row],[Estado TI]]= "09. Descartado","Descartado","Activos"))</f>
        <v>Culminado</v>
      </c>
      <c r="CB67" s="28"/>
      <c r="CC6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67" s="54" t="str">
        <f>IF(
AND(
Cartera1017[[#This Row],[DEVOLVER 27]]="NO",
NOT(ISBLANK(Cartera1017[[#This Row],[ESTADO NO DEVUELTOS 27]]))
),
"PRE",
"POST"
)</f>
        <v>PRE</v>
      </c>
      <c r="CE67" s="54" t="s">
        <v>509</v>
      </c>
      <c r="CF67" s="28" t="s">
        <v>48</v>
      </c>
      <c r="CG6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6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7" s="406">
        <f>Cartera1017[[#This Row],[Porcentaje de Avance]]</f>
        <v>1</v>
      </c>
      <c r="CK67" s="388">
        <f ca="1">IF(
   OR(
     Cartera1017[[#This Row],[Estado TI]]="09. Descartado",
     Cartera1017[[#This Row],[Comienzo Desarrollo]]="",
     Cartera1017[[#This Row],[Fin Producción]]=""
   ),
   "",
   Cartera1017[[#This Row],[% PLANIFICADO]]-Cartera1017[[#This Row],[% COMPLETADO]]
)</f>
        <v>0</v>
      </c>
      <c r="CL67" s="388">
        <f ca="1">IF(
   OR(
     Cartera1017[[#This Row],[Estado TI]]="09. Descartado",
     Cartera1017[[#This Row],[Comienzo Desarrollo]]="",
     Cartera1017[[#This Row],[Fin Producción]]="",
     Cartera1017[[#This Row],[% PLANIFICADO]]=0
   ),
   "",
   MIN(Cartera1017[[#This Row],[% COMPLETADO]]/Cartera1017[[#This Row],[% PLANIFICADO]],1.2)
)</f>
        <v>1</v>
      </c>
      <c r="CM67" s="377">
        <v>45964</v>
      </c>
      <c r="CN67" s="377">
        <v>45964</v>
      </c>
      <c r="CO67" s="377">
        <v>46090</v>
      </c>
      <c r="CP67" s="377">
        <v>46092</v>
      </c>
      <c r="CQ67" s="377">
        <v>46118</v>
      </c>
      <c r="CR67" s="377">
        <v>46119</v>
      </c>
      <c r="CS67" s="377">
        <v>46125</v>
      </c>
      <c r="CT67" s="44">
        <f>IF(Cartera1017[[#This Row],[Fin Desarrollo]]="",25,IFERROR(NETWORKDAYS(Cartera1017[[#This Row],[Comienzo Desarrollo]],Cartera1017[[#This Row],[Fin Desarrollo]],FERIADOS[Fecha]),""))</f>
        <v>86</v>
      </c>
      <c r="CU6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67" s="44">
        <f>IF(OR(Cartera1017[[#This Row],[Comienzo Desarrollo]]="",Cartera1017[[#This Row],[Fin Desarrollo]]=""),200,IFERROR(Cartera1017[[#This Row],[DURACIÓN DESARROLLO DIAS]]*VLOOKUP(Cartera1017[[#This Row],[ID Mantenimiento]],MANT_HORAS[],2,FALSE),200))</f>
        <v>200</v>
      </c>
      <c r="CW67" s="110"/>
      <c r="CX67" s="110" t="str">
        <f>VLOOKUP(Cartera1017[[#This Row],[Estado TI]],Definiciones!$A$549:$B$559,2,FALSE)</f>
        <v>4. PRODUCCIÓN</v>
      </c>
      <c r="CY67" s="28">
        <f ca="1">1-Cartera1017[[#This Row],[Porcentaje avanzado desarrollo]]</f>
        <v>0</v>
      </c>
      <c r="CZ6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86</v>
      </c>
      <c r="DA67" s="28">
        <f ca="1">MAX(0,Cartera1017[[#This Row],[DURACIÓN DESARROLLO DIAS]]-Cartera1017[[#This Row],[Dias avanzados]])</f>
        <v>0</v>
      </c>
      <c r="DB67" s="28">
        <f ca="1">Cartera1017[[#This Row],[Dias avanzados]]*IFERROR(VLOOKUP(Cartera1017[[#This Row],[ID Mantenimiento]],MANT_HORAS[],2,FALSE),8)</f>
        <v>688</v>
      </c>
      <c r="DC67" s="28">
        <f ca="1">Cartera1017[[#This Row],[Dias faltantes]]*IFERROR(VLOOKUP(Cartera1017[[#This Row],[ID Mantenimiento]],MANT_HORAS[],2,FALSE),8)</f>
        <v>0</v>
      </c>
      <c r="DD67" s="28" t="str">
        <f>IF(Cartera1017[[#This Row],[Fin Producción]]=0,"Por definir",CONCATENATE(YEAR(Cartera1017[[#This Row],[Fin Producción]]),"-",ROUNDUP(MONTH(Cartera1017[[#This Row],[Fin Producción]]),0)))</f>
        <v>2026-4</v>
      </c>
      <c r="DE67" s="18" t="s">
        <v>510</v>
      </c>
      <c r="DF67" s="28"/>
      <c r="DG67" s="28"/>
      <c r="DH67" s="565"/>
    </row>
    <row r="68" spans="1:112" ht="44.25" hidden="1" customHeight="1">
      <c r="A68" s="229" t="s">
        <v>1088</v>
      </c>
      <c r="B68" s="18">
        <v>1792</v>
      </c>
      <c r="C68" s="18" t="s">
        <v>485</v>
      </c>
      <c r="D68" s="18" t="s">
        <v>1089</v>
      </c>
      <c r="E68" s="18" t="s">
        <v>168</v>
      </c>
      <c r="F68" s="33" t="s">
        <v>169</v>
      </c>
      <c r="G68" s="19" t="s">
        <v>1090</v>
      </c>
      <c r="H68" s="18" t="s">
        <v>40</v>
      </c>
      <c r="I68" s="18" t="s">
        <v>577</v>
      </c>
      <c r="J68" s="18" t="s">
        <v>578</v>
      </c>
      <c r="K68" s="20">
        <v>45155</v>
      </c>
      <c r="L68" s="50" t="s">
        <v>528</v>
      </c>
      <c r="M68" s="50" t="s">
        <v>579</v>
      </c>
      <c r="N68" s="43" t="s">
        <v>1004</v>
      </c>
      <c r="O68" s="18" t="s">
        <v>530</v>
      </c>
      <c r="P68" s="18" t="s">
        <v>495</v>
      </c>
      <c r="Q68" s="18" t="s">
        <v>495</v>
      </c>
      <c r="R68" s="18" t="s">
        <v>780</v>
      </c>
      <c r="S68" s="18" t="s">
        <v>780</v>
      </c>
      <c r="T68" s="18" t="s">
        <v>652</v>
      </c>
      <c r="U68" s="18" t="s">
        <v>1091</v>
      </c>
      <c r="V68" s="18" t="s">
        <v>1053</v>
      </c>
      <c r="W68" s="18">
        <v>6</v>
      </c>
      <c r="X68" s="18" t="s">
        <v>1054</v>
      </c>
      <c r="Y68" s="80">
        <v>45657</v>
      </c>
      <c r="Z68" s="18" t="s">
        <v>499</v>
      </c>
      <c r="AA68" s="20">
        <v>45706</v>
      </c>
      <c r="AB68" s="18" t="s">
        <v>500</v>
      </c>
      <c r="AC68" s="18" t="s">
        <v>570</v>
      </c>
      <c r="AD68" s="18" t="s">
        <v>43</v>
      </c>
      <c r="AE68" s="18" t="s">
        <v>41</v>
      </c>
      <c r="AF68" s="18" t="s">
        <v>35</v>
      </c>
      <c r="AG68" s="14" t="str">
        <f>VLOOKUP(AF68,Tabla3[[Estado Requerimiento]:[Macro estado]],2,FALSE)</f>
        <v>02. En Proceso</v>
      </c>
      <c r="AH68" s="18"/>
      <c r="AI68" s="80">
        <v>45155</v>
      </c>
      <c r="AJ68" s="80">
        <v>45964</v>
      </c>
      <c r="AK68" s="80">
        <v>46014</v>
      </c>
      <c r="AL68" s="80">
        <v>46038</v>
      </c>
      <c r="AM68" s="80">
        <v>46052</v>
      </c>
      <c r="AN68" s="80">
        <v>46041</v>
      </c>
      <c r="AO68" s="80">
        <v>46056</v>
      </c>
      <c r="AP68" s="81">
        <f t="shared" si="0"/>
        <v>46067.199999999997</v>
      </c>
      <c r="AQ68" s="80">
        <v>46063</v>
      </c>
      <c r="AR68" s="80"/>
      <c r="AS68" s="201">
        <f t="shared" si="1"/>
        <v>46074.2</v>
      </c>
      <c r="AT68" s="19" t="s">
        <v>1092</v>
      </c>
      <c r="AU68" s="44" t="str">
        <f>VLOOKUP(Cartera1017[[#This Row],[Gerencia]],tbGerencia[#All],3,FALSE)</f>
        <v>Operac.</v>
      </c>
      <c r="AV68" s="44" t="str">
        <f>IFERROR(VLOOKUP(Cartera1017[[#This Row],[Subgerencia]],Definiciones!$A$90:$B$144,2,FALSE),"")</f>
        <v>CaptacionesPagaduría</v>
      </c>
      <c r="AW68" s="44" t="str">
        <f>IF(OR(LEN(Cartera1017[[#This Row],[Fecha de Solicitud]])=0,(Cartera1017[[#This Row],[Fecha de Solicitud]])="No definido"),"No definido",IF(YEAR(Cartera1017[[#This Row],[Fecha de Solicitud]])&lt;2023," &lt;  2023",TEXT(Cartera1017[[#This Row],[Fecha de Solicitud]],"yyyy-mm")))</f>
        <v>2023-08</v>
      </c>
      <c r="AX68" s="44" t="str">
        <f>IF(Cartera1017[[#This Row],[Fecha de Priorización Comité]]="","No definido",TEXT(Cartera1017[[#This Row],[Fecha de Priorización Comité]],"yyyy-mm"))</f>
        <v>2025-02</v>
      </c>
      <c r="AY68" s="44" t="str">
        <f>IF(Cartera1017[[#This Row],[Fecha Fin- Desarrollo]]="","No definido",TEXT(Cartera1017[[#This Row],[Fecha Fin- Desarrollo]],"yyyy-mm"))</f>
        <v>2026-01</v>
      </c>
      <c r="AZ68" s="44" t="str">
        <f>IF(Cartera1017[[#This Row],[Fecha Fin- Producción]]="","No definido",TEXT(Cartera1017[[#This Row],[Fecha Fin- Producción]],"yyyy-mm"))</f>
        <v>No definido</v>
      </c>
      <c r="BA68" s="44" t="str">
        <f>IF(Cartera1017[[#This Row],[Fecha Fin-Planificada]]="","No definido",TEXT(Cartera1017[[#This Row],[Fecha Fin-Planificada]],"yyyy-mm"))</f>
        <v>2026-02</v>
      </c>
      <c r="BB68" s="33" t="s">
        <v>772</v>
      </c>
      <c r="BC68" s="66">
        <v>45666</v>
      </c>
      <c r="BD68" s="66">
        <v>45891</v>
      </c>
      <c r="BE68" s="66"/>
      <c r="BF68" s="127"/>
      <c r="BG68" s="28" t="s">
        <v>1044</v>
      </c>
      <c r="BH6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8" s="90" t="str">
        <f>IF(ISNUMBER(Cartera1017[[#This Row],[Duracion en Dias]]),Cartera1017[[#This Row],[Duracion en Dias]]/30, "No Aplica")</f>
        <v>No Aplica</v>
      </c>
      <c r="BJ68" s="109"/>
      <c r="BK68" s="28" t="s">
        <v>506</v>
      </c>
      <c r="BL68" s="110" t="s">
        <v>734</v>
      </c>
      <c r="BM68" s="342">
        <v>46083.654953703706</v>
      </c>
      <c r="BN68" s="227" t="s">
        <v>786</v>
      </c>
      <c r="BO68" s="401" t="s">
        <v>1057</v>
      </c>
      <c r="BP68" s="401"/>
      <c r="BQ6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8" s="14" t="str">
        <f>IFERROR(VLOOKUP(Cartera1017[[#This Row],[Aplicativo]],Tabla76[],2,FALSE),"Sin Aplicativo")</f>
        <v>Clientes (BDUC)</v>
      </c>
      <c r="BS68" s="14" t="str">
        <f>IFERROR(VLOOKUP(Cartera1017[[#This Row],[Aplicativo]],Tabla76[],3,FALSE),"Sin Aplicativo")</f>
        <v>Canales Presenciales</v>
      </c>
      <c r="BT68" s="400">
        <v>45992</v>
      </c>
      <c r="BU68" s="140">
        <v>45992</v>
      </c>
      <c r="BV68" s="28"/>
      <c r="BW6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46022</v>
      </c>
      <c r="BX6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8" s="97" t="str">
        <f ca="1">IF(Cartera1017[[#This Row],[Fecha Fin2]]="","No definido",CONCATENATE(TEXT(Cartera1017[[#This Row],[Fecha Fin2]],"mmm")," ",YEAR(Cartera1017[[#This Row],[Fecha Fin2]])))</f>
        <v>Dic 2025</v>
      </c>
      <c r="BZ68" s="28">
        <v>2025</v>
      </c>
      <c r="CA68" s="48" t="str">
        <f>IF(Cartera1017[[#This Row],[Estado TI]] = "08. Producción Finalizada","Culminado",IF(Cartera1017[[#This Row],[Estado TI]]= "09. Descartado","Descartado","Activos"))</f>
        <v>Activos</v>
      </c>
      <c r="CB68" s="28"/>
      <c r="CC6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68" s="54" t="str">
        <f>IF(
AND(
Cartera1017[[#This Row],[DEVOLVER 27]]="NO",
NOT(ISBLANK(Cartera1017[[#This Row],[ESTADO NO DEVUELTOS 27]]))
),
"PRE",
"POST"
)</f>
        <v>PRE</v>
      </c>
      <c r="CE68" s="54" t="s">
        <v>509</v>
      </c>
      <c r="CF68" s="28" t="s">
        <v>48</v>
      </c>
      <c r="CG6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6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6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8" s="406">
        <f>Cartera1017[[#This Row],[Porcentaje de Avance]]</f>
        <v>0.9</v>
      </c>
      <c r="CK68" s="388">
        <f ca="1">IF(
   OR(
     Cartera1017[[#This Row],[Estado TI]]="09. Descartado",
     Cartera1017[[#This Row],[Comienzo Desarrollo]]="",
     Cartera1017[[#This Row],[Fin Producción]]=""
   ),
   "",
   Cartera1017[[#This Row],[% PLANIFICADO]]-Cartera1017[[#This Row],[% COMPLETADO]]
)</f>
        <v>9.9999999999999978E-2</v>
      </c>
      <c r="CL68" s="388">
        <f ca="1">IF(
   OR(
     Cartera1017[[#This Row],[Estado TI]]="09. Descartado",
     Cartera1017[[#This Row],[Comienzo Desarrollo]]="",
     Cartera1017[[#This Row],[Fin Producción]]="",
     Cartera1017[[#This Row],[% PLANIFICADO]]=0
   ),
   "",
   MIN(Cartera1017[[#This Row],[% COMPLETADO]]/Cartera1017[[#This Row],[% PLANIFICADO]],1.2)
)</f>
        <v>0.9</v>
      </c>
      <c r="CM68" s="377">
        <v>46014</v>
      </c>
      <c r="CN68" s="377">
        <v>46014</v>
      </c>
      <c r="CO68" s="377">
        <v>46038</v>
      </c>
      <c r="CP68" s="377">
        <v>46041</v>
      </c>
      <c r="CQ68" s="377">
        <v>46056</v>
      </c>
      <c r="CR68" s="377">
        <v>46063</v>
      </c>
      <c r="CS68" s="377">
        <v>46108</v>
      </c>
      <c r="CT68" s="44">
        <f>IF(Cartera1017[[#This Row],[Fin Desarrollo]]="",25,IFERROR(NETWORKDAYS(Cartera1017[[#This Row],[Comienzo Desarrollo]],Cartera1017[[#This Row],[Fin Desarrollo]],FERIADOS[Fecha]),""))</f>
        <v>15</v>
      </c>
      <c r="CU6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68" s="44">
        <f>IF(OR(Cartera1017[[#This Row],[Comienzo Desarrollo]]="",Cartera1017[[#This Row],[Fin Desarrollo]]=""),200,IFERROR(Cartera1017[[#This Row],[DURACIÓN DESARROLLO DIAS]]*VLOOKUP(Cartera1017[[#This Row],[ID Mantenimiento]],MANT_HORAS[],2,FALSE),200))</f>
        <v>200</v>
      </c>
      <c r="CW68" s="110"/>
      <c r="CX68" s="110" t="str">
        <f>VLOOKUP(Cartera1017[[#This Row],[Estado TI]],Definiciones!$A$549:$B$559,2,FALSE)</f>
        <v>3. DESPLIEGUE</v>
      </c>
      <c r="CY68" s="28">
        <f ca="1">1-Cartera1017[[#This Row],[Porcentaje avanzado desarrollo]]</f>
        <v>0</v>
      </c>
      <c r="CZ6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v>
      </c>
      <c r="DA68" s="28">
        <f ca="1">MAX(0,Cartera1017[[#This Row],[DURACIÓN DESARROLLO DIAS]]-Cartera1017[[#This Row],[Dias avanzados]])</f>
        <v>0</v>
      </c>
      <c r="DB68" s="28">
        <f ca="1">Cartera1017[[#This Row],[Dias avanzados]]*IFERROR(VLOOKUP(Cartera1017[[#This Row],[ID Mantenimiento]],MANT_HORAS[],2,FALSE),8)</f>
        <v>120</v>
      </c>
      <c r="DC68" s="28">
        <f ca="1">Cartera1017[[#This Row],[Dias faltantes]]*IFERROR(VLOOKUP(Cartera1017[[#This Row],[ID Mantenimiento]],MANT_HORAS[],2,FALSE),8)</f>
        <v>0</v>
      </c>
      <c r="DD68" s="28" t="str">
        <f>IF(Cartera1017[[#This Row],[Fin Producción]]=0,"Por definir",CONCATENATE(YEAR(Cartera1017[[#This Row],[Fin Producción]]),"-",ROUNDUP(MONTH(Cartera1017[[#This Row],[Fin Producción]]),0)))</f>
        <v>2026-3</v>
      </c>
      <c r="DE68" s="18" t="s">
        <v>510</v>
      </c>
      <c r="DF68" s="28" t="s">
        <v>1093</v>
      </c>
      <c r="DG68" s="28" t="s">
        <v>659</v>
      </c>
      <c r="DH68" s="565"/>
    </row>
    <row r="69" spans="1:112" ht="44.25" hidden="1" customHeight="1">
      <c r="A69" s="229" t="s">
        <v>1094</v>
      </c>
      <c r="B69" s="18">
        <v>2603</v>
      </c>
      <c r="C69" s="18" t="s">
        <v>485</v>
      </c>
      <c r="D69" s="18" t="s">
        <v>1095</v>
      </c>
      <c r="E69" s="18" t="s">
        <v>1096</v>
      </c>
      <c r="F69" s="33" t="s">
        <v>1097</v>
      </c>
      <c r="G69" s="19" t="s">
        <v>1098</v>
      </c>
      <c r="H69" s="18" t="s">
        <v>46</v>
      </c>
      <c r="I69" s="18" t="s">
        <v>46</v>
      </c>
      <c r="J69" s="18" t="s">
        <v>1002</v>
      </c>
      <c r="K69" s="20">
        <v>45534</v>
      </c>
      <c r="L69" s="50" t="s">
        <v>1099</v>
      </c>
      <c r="M69" s="50" t="s">
        <v>590</v>
      </c>
      <c r="N69" s="43" t="s">
        <v>1004</v>
      </c>
      <c r="O69" s="18" t="s">
        <v>530</v>
      </c>
      <c r="P69" s="18" t="s">
        <v>495</v>
      </c>
      <c r="Q69" s="18" t="s">
        <v>495</v>
      </c>
      <c r="R69" s="18" t="s">
        <v>497</v>
      </c>
      <c r="S69" s="18"/>
      <c r="T69" s="18"/>
      <c r="U69" s="18"/>
      <c r="V69" s="18"/>
      <c r="W69" s="18"/>
      <c r="X69" s="18"/>
      <c r="Y69" s="80"/>
      <c r="Z69" s="18" t="s">
        <v>499</v>
      </c>
      <c r="AA69" s="20">
        <v>45706</v>
      </c>
      <c r="AB69" s="18" t="s">
        <v>500</v>
      </c>
      <c r="AC69" s="18" t="s">
        <v>570</v>
      </c>
      <c r="AD69" s="18" t="s">
        <v>43</v>
      </c>
      <c r="AE69" s="18" t="s">
        <v>47</v>
      </c>
      <c r="AF69" s="18" t="s">
        <v>53</v>
      </c>
      <c r="AG69" s="14" t="str">
        <f>VLOOKUP(AF69,Tabla3[[Estado Requerimiento]:[Macro estado]],2,FALSE)</f>
        <v>03. Culminado</v>
      </c>
      <c r="AH69" s="18"/>
      <c r="AI69" s="80">
        <v>45125</v>
      </c>
      <c r="AJ69" s="80"/>
      <c r="AK69" s="80">
        <v>45768</v>
      </c>
      <c r="AL69" s="80">
        <v>45768</v>
      </c>
      <c r="AM69" s="80">
        <v>45821</v>
      </c>
      <c r="AN69" s="80">
        <v>45783</v>
      </c>
      <c r="AO69" s="80">
        <v>45840</v>
      </c>
      <c r="AP69" s="81">
        <f t="shared" si="0"/>
        <v>45842.2</v>
      </c>
      <c r="AQ69" s="80">
        <v>46043</v>
      </c>
      <c r="AR69" s="80">
        <v>46043</v>
      </c>
      <c r="AS69" s="81">
        <f t="shared" si="1"/>
        <v>45849.2</v>
      </c>
      <c r="AT69" s="19" t="s">
        <v>1100</v>
      </c>
      <c r="AU69" s="44" t="str">
        <f>VLOOKUP(Cartera1017[[#This Row],[Gerencia]],tbGerencia[#All],3,FALSE)</f>
        <v>PLAFT</v>
      </c>
      <c r="AV69" s="44" t="str">
        <f>IFERROR(VLOOKUP(Cartera1017[[#This Row],[Subgerencia]],Definiciones!$A$90:$B$144,2,FALSE),"")</f>
        <v>OficialíaPLAFT</v>
      </c>
      <c r="AW69" s="44" t="str">
        <f>IF(OR(LEN(Cartera1017[[#This Row],[Fecha de Solicitud]])=0,(Cartera1017[[#This Row],[Fecha de Solicitud]])="No definido"),"No definido",IF(YEAR(Cartera1017[[#This Row],[Fecha de Solicitud]])&lt;2023," &lt;  2023",TEXT(Cartera1017[[#This Row],[Fecha de Solicitud]],"yyyy-mm")))</f>
        <v>2024-08</v>
      </c>
      <c r="AX69" s="44" t="str">
        <f>IF(Cartera1017[[#This Row],[Fecha de Priorización Comité]]="","No definido",TEXT(Cartera1017[[#This Row],[Fecha de Priorización Comité]],"yyyy-mm"))</f>
        <v>2025-02</v>
      </c>
      <c r="AY69" s="44" t="str">
        <f>IF(Cartera1017[[#This Row],[Fecha Fin- Desarrollo]]="","No definido",TEXT(Cartera1017[[#This Row],[Fecha Fin- Desarrollo]],"yyyy-mm"))</f>
        <v>2025-04</v>
      </c>
      <c r="AZ69" s="44" t="str">
        <f>IF(Cartera1017[[#This Row],[Fecha Fin- Producción]]="","No definido",TEXT(Cartera1017[[#This Row],[Fecha Fin- Producción]],"yyyy-mm"))</f>
        <v>2026-01</v>
      </c>
      <c r="BA69" s="44" t="str">
        <f>IF(Cartera1017[[#This Row],[Fecha Fin-Planificada]]="","No definido",TEXT(Cartera1017[[#This Row],[Fecha Fin-Planificada]],"yyyy-mm"))</f>
        <v>2025-07</v>
      </c>
      <c r="BB69" s="33" t="s">
        <v>604</v>
      </c>
      <c r="BC69" s="66">
        <v>45464</v>
      </c>
      <c r="BD69" s="66">
        <v>45821</v>
      </c>
      <c r="BE69" s="66">
        <v>45821</v>
      </c>
      <c r="BF69" s="127"/>
      <c r="BG69" s="28" t="s">
        <v>1044</v>
      </c>
      <c r="BH6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275</v>
      </c>
      <c r="BI69" s="90">
        <f>IF(ISNUMBER(Cartera1017[[#This Row],[Duracion en Dias]]),Cartera1017[[#This Row],[Duracion en Dias]]/30, "No Aplica")</f>
        <v>9.1666666666666661</v>
      </c>
      <c r="BJ69" s="109"/>
      <c r="BK69" s="28" t="s">
        <v>506</v>
      </c>
      <c r="BL69" s="108" t="s">
        <v>536</v>
      </c>
      <c r="BM69" s="342">
        <v>46043.48846064815</v>
      </c>
      <c r="BN69" s="227"/>
      <c r="BO69" s="401"/>
      <c r="BP69" s="401"/>
      <c r="BQ6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9" s="14" t="str">
        <f>IFERROR(VLOOKUP(Cartera1017[[#This Row],[Aplicativo]],Tabla76[],2,FALSE),"Sin Aplicativo")</f>
        <v>BackOffice</v>
      </c>
      <c r="BS69" s="14" t="str">
        <f>IFERROR(VLOOKUP(Cartera1017[[#This Row],[Aplicativo]],Tabla76[],3,FALSE),"Sin Aplicativo")</f>
        <v>Otros Requerimientos</v>
      </c>
      <c r="BT69" s="400">
        <v>45717</v>
      </c>
      <c r="BU69" s="140">
        <v>45717</v>
      </c>
      <c r="BV69" s="33" t="s">
        <v>1101</v>
      </c>
      <c r="BW69"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6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9" s="97" t="str">
        <f ca="1">IF(Cartera1017[[#This Row],[Fecha Fin2]]="","No definido",CONCATENATE(TEXT(Cartera1017[[#This Row],[Fecha Fin2]],"mmm")," ",YEAR(Cartera1017[[#This Row],[Fecha Fin2]])))</f>
        <v>Ene 2026</v>
      </c>
      <c r="BZ69" s="28"/>
      <c r="CA69" s="48" t="str">
        <f>IF(Cartera1017[[#This Row],[Estado TI]] = "08. Producción Finalizada","Culminado",IF(Cartera1017[[#This Row],[Estado TI]]= "09. Descartado","Descartado","Activos"))</f>
        <v>Culminado</v>
      </c>
      <c r="CB69" s="28"/>
      <c r="CC6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69" s="54" t="str">
        <f>IF(
AND(
Cartera1017[[#This Row],[DEVOLVER 27]]="NO",
NOT(ISBLANK(Cartera1017[[#This Row],[ESTADO NO DEVUELTOS 27]]))
),
"PRE",
"POST"
)</f>
        <v>PRE</v>
      </c>
      <c r="CE69" s="54" t="s">
        <v>509</v>
      </c>
      <c r="CF69" s="28" t="s">
        <v>42</v>
      </c>
      <c r="CG6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6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9" s="406">
        <f>Cartera1017[[#This Row],[Porcentaje de Avance]]</f>
        <v>1</v>
      </c>
      <c r="CK69" s="388">
        <f ca="1">IF(
   OR(
     Cartera1017[[#This Row],[Estado TI]]="09. Descartado",
     Cartera1017[[#This Row],[Comienzo Desarrollo]]="",
     Cartera1017[[#This Row],[Fin Producción]]=""
   ),
   "",
   Cartera1017[[#This Row],[% PLANIFICADO]]-Cartera1017[[#This Row],[% COMPLETADO]]
)</f>
        <v>0</v>
      </c>
      <c r="CL69" s="388">
        <f ca="1">IF(
   OR(
     Cartera1017[[#This Row],[Estado TI]]="09. Descartado",
     Cartera1017[[#This Row],[Comienzo Desarrollo]]="",
     Cartera1017[[#This Row],[Fin Producción]]="",
     Cartera1017[[#This Row],[% PLANIFICADO]]=0
   ),
   "",
   MIN(Cartera1017[[#This Row],[% COMPLETADO]]/Cartera1017[[#This Row],[% PLANIFICADO]],1.2)
)</f>
        <v>1</v>
      </c>
      <c r="CM69" s="377">
        <v>45768</v>
      </c>
      <c r="CN69" s="377">
        <v>45768</v>
      </c>
      <c r="CO69" s="377">
        <v>45768</v>
      </c>
      <c r="CP69" s="377">
        <v>45783</v>
      </c>
      <c r="CQ69" s="377">
        <v>45840</v>
      </c>
      <c r="CR69" s="377">
        <v>46043</v>
      </c>
      <c r="CS69" s="377">
        <v>46043</v>
      </c>
      <c r="CT69" s="44">
        <f>IF(Cartera1017[[#This Row],[Fin Desarrollo]]="",25,IFERROR(NETWORKDAYS(Cartera1017[[#This Row],[Comienzo Desarrollo]],Cartera1017[[#This Row],[Fin Desarrollo]],FERIADOS[Fecha]),""))</f>
        <v>1</v>
      </c>
      <c r="CU6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69" s="44">
        <f>IF(OR(Cartera1017[[#This Row],[Comienzo Desarrollo]]="",Cartera1017[[#This Row],[Fin Desarrollo]]=""),200,IFERROR(Cartera1017[[#This Row],[DURACIÓN DESARROLLO DIAS]]*VLOOKUP(Cartera1017[[#This Row],[ID Mantenimiento]],MANT_HORAS[],2,FALSE),200))</f>
        <v>200</v>
      </c>
      <c r="CW69" s="110"/>
      <c r="CX69" s="110" t="str">
        <f>VLOOKUP(Cartera1017[[#This Row],[Estado TI]],Definiciones!$A$549:$B$559,2,FALSE)</f>
        <v>4. PRODUCCIÓN</v>
      </c>
      <c r="CY69" s="28">
        <f ca="1">1-Cartera1017[[#This Row],[Porcentaje avanzado desarrollo]]</f>
        <v>0</v>
      </c>
      <c r="CZ6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69" s="28">
        <f ca="1">MAX(0,Cartera1017[[#This Row],[DURACIÓN DESARROLLO DIAS]]-Cartera1017[[#This Row],[Dias avanzados]])</f>
        <v>0</v>
      </c>
      <c r="DB69" s="28">
        <f ca="1">Cartera1017[[#This Row],[Dias avanzados]]*IFERROR(VLOOKUP(Cartera1017[[#This Row],[ID Mantenimiento]],MANT_HORAS[],2,FALSE),8)</f>
        <v>8</v>
      </c>
      <c r="DC69" s="28">
        <f ca="1">Cartera1017[[#This Row],[Dias faltantes]]*IFERROR(VLOOKUP(Cartera1017[[#This Row],[ID Mantenimiento]],MANT_HORAS[],2,FALSE),8)</f>
        <v>0</v>
      </c>
      <c r="DD69" s="28" t="str">
        <f>IF(Cartera1017[[#This Row],[Fin Producción]]=0,"Por definir",CONCATENATE(YEAR(Cartera1017[[#This Row],[Fin Producción]]),"-",ROUNDUP(MONTH(Cartera1017[[#This Row],[Fin Producción]]),0)))</f>
        <v>2026-1</v>
      </c>
      <c r="DE69" s="18" t="s">
        <v>510</v>
      </c>
      <c r="DF69" s="28"/>
      <c r="DG69" s="28"/>
      <c r="DH69" s="565"/>
    </row>
    <row r="70" spans="1:112" ht="44.25" hidden="1" customHeight="1">
      <c r="A70" s="229" t="s">
        <v>1102</v>
      </c>
      <c r="B70" s="18">
        <v>2546</v>
      </c>
      <c r="C70" s="18" t="s">
        <v>485</v>
      </c>
      <c r="D70" s="18" t="s">
        <v>1103</v>
      </c>
      <c r="E70" s="18" t="s">
        <v>170</v>
      </c>
      <c r="F70" s="33" t="s">
        <v>171</v>
      </c>
      <c r="G70" s="19" t="s">
        <v>171</v>
      </c>
      <c r="H70" s="18" t="s">
        <v>26</v>
      </c>
      <c r="I70" s="18" t="s">
        <v>539</v>
      </c>
      <c r="J70" s="18" t="s">
        <v>554</v>
      </c>
      <c r="K70" s="20">
        <v>45595</v>
      </c>
      <c r="L70" s="50" t="s">
        <v>1033</v>
      </c>
      <c r="M70" s="50" t="s">
        <v>556</v>
      </c>
      <c r="N70" s="125"/>
      <c r="O70" s="18" t="s">
        <v>642</v>
      </c>
      <c r="P70" s="18" t="s">
        <v>549</v>
      </c>
      <c r="Q70" s="18" t="s">
        <v>496</v>
      </c>
      <c r="R70" s="18" t="s">
        <v>599</v>
      </c>
      <c r="S70" s="18" t="s">
        <v>599</v>
      </c>
      <c r="T70" s="18" t="s">
        <v>652</v>
      </c>
      <c r="U70" s="18" t="s">
        <v>1104</v>
      </c>
      <c r="V70" s="18"/>
      <c r="W70" s="18"/>
      <c r="X70" s="18"/>
      <c r="Y70" s="80">
        <v>44743</v>
      </c>
      <c r="Z70" s="18" t="s">
        <v>499</v>
      </c>
      <c r="AA70" s="20">
        <v>45706</v>
      </c>
      <c r="AB70" s="18" t="s">
        <v>500</v>
      </c>
      <c r="AC70" s="18" t="s">
        <v>570</v>
      </c>
      <c r="AD70" s="18" t="s">
        <v>30</v>
      </c>
      <c r="AE70" s="18" t="s">
        <v>27</v>
      </c>
      <c r="AF70" s="18" t="s">
        <v>42</v>
      </c>
      <c r="AG70" s="14" t="str">
        <f>VLOOKUP(AF70,Tabla3[[Estado Requerimiento]:[Macro estado]],2,FALSE)</f>
        <v>02. En Proceso</v>
      </c>
      <c r="AH70" s="18"/>
      <c r="AI70" s="80">
        <v>45695</v>
      </c>
      <c r="AJ70" s="80"/>
      <c r="AK70" s="80">
        <v>45751</v>
      </c>
      <c r="AL70" s="80">
        <v>46037</v>
      </c>
      <c r="AM70" s="80">
        <v>45891</v>
      </c>
      <c r="AN70" s="80">
        <v>46037</v>
      </c>
      <c r="AO70" s="80">
        <v>46043</v>
      </c>
      <c r="AP70" s="81">
        <f t="shared" ref="AP70:AP133" si="2">IF(AND(ISNUMBER(AK70),ISNUMBER(AM70)),AM70+(AM70- AK70)*0.4,IF(AND(ISNUMBER(AK70),ISNUMBER(AL70)),AL70+(AL70-AK70)*0.4,""))</f>
        <v>45947</v>
      </c>
      <c r="AQ70" s="80"/>
      <c r="AR70" s="80"/>
      <c r="AS70" s="81">
        <f t="shared" ref="AS70:AS133" si="3">IF(ISNUMBER(AP70),AP70+7,"")</f>
        <v>45954</v>
      </c>
      <c r="AT70" s="19" t="s">
        <v>1105</v>
      </c>
      <c r="AU70" s="44" t="str">
        <f>VLOOKUP(Cartera1017[[#This Row],[Gerencia]],tbGerencia[#All],3,FALSE)</f>
        <v>B.Digital</v>
      </c>
      <c r="AV70" s="44" t="str">
        <f>IFERROR(VLOOKUP(Cartera1017[[#This Row],[Subgerencia]],Definiciones!$A$90:$B$144,2,FALSE),"")</f>
        <v>CanalesAlternos</v>
      </c>
      <c r="AW70" s="44" t="str">
        <f>IF(OR(LEN(Cartera1017[[#This Row],[Fecha de Solicitud]])=0,(Cartera1017[[#This Row],[Fecha de Solicitud]])="No definido"),"No definido",IF(YEAR(Cartera1017[[#This Row],[Fecha de Solicitud]])&lt;2023," &lt;  2023",TEXT(Cartera1017[[#This Row],[Fecha de Solicitud]],"yyyy-mm")))</f>
        <v>2024-10</v>
      </c>
      <c r="AX70" s="44" t="str">
        <f>IF(Cartera1017[[#This Row],[Fecha de Priorización Comité]]="","No definido",TEXT(Cartera1017[[#This Row],[Fecha de Priorización Comité]],"yyyy-mm"))</f>
        <v>2025-02</v>
      </c>
      <c r="AY70" s="44" t="str">
        <f>IF(Cartera1017[[#This Row],[Fecha Fin- Desarrollo]]="","No definido",TEXT(Cartera1017[[#This Row],[Fecha Fin- Desarrollo]],"yyyy-mm"))</f>
        <v>2026-01</v>
      </c>
      <c r="AZ70" s="44" t="str">
        <f>IF(Cartera1017[[#This Row],[Fecha Fin- Producción]]="","No definido",TEXT(Cartera1017[[#This Row],[Fecha Fin- Producción]],"yyyy-mm"))</f>
        <v>No definido</v>
      </c>
      <c r="BA70" s="44" t="str">
        <f>IF(Cartera1017[[#This Row],[Fecha Fin-Planificada]]="","No definido",TEXT(Cartera1017[[#This Row],[Fecha Fin-Planificada]],"yyyy-mm"))</f>
        <v>2025-10</v>
      </c>
      <c r="BB70" s="33" t="s">
        <v>772</v>
      </c>
      <c r="BC70" s="66">
        <v>45757</v>
      </c>
      <c r="BD70" s="66">
        <v>45891</v>
      </c>
      <c r="BE70" s="66"/>
      <c r="BF70" s="127"/>
      <c r="BG70" s="28" t="s">
        <v>1044</v>
      </c>
      <c r="BH7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0" s="90" t="str">
        <f>IF(ISNUMBER(Cartera1017[[#This Row],[Duracion en Dias]]),Cartera1017[[#This Row],[Duracion en Dias]]/30, "No Aplica")</f>
        <v>No Aplica</v>
      </c>
      <c r="BJ70" s="18" t="s">
        <v>1106</v>
      </c>
      <c r="BK70" s="28" t="s">
        <v>506</v>
      </c>
      <c r="BL70" s="110" t="s">
        <v>655</v>
      </c>
      <c r="BM70" s="342">
        <v>46043.608726851853</v>
      </c>
      <c r="BN70" s="227"/>
      <c r="BO70" s="401"/>
      <c r="BP70" s="401"/>
      <c r="BQ7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70" s="14" t="str">
        <f>IFERROR(VLOOKUP(Cartera1017[[#This Row],[Aplicativo]],Tabla76[],2,FALSE),"Sin Aplicativo")</f>
        <v>ATM-Agentes-VISA</v>
      </c>
      <c r="BS70" s="14" t="str">
        <f>IFERROR(VLOOKUP(Cartera1017[[#This Row],[Aplicativo]],Tabla76[],3,FALSE),"Sin Aplicativo")</f>
        <v>Canales Presenciales</v>
      </c>
      <c r="BT70" s="400" t="s">
        <v>521</v>
      </c>
      <c r="BU70" s="140"/>
      <c r="BV70" s="60" t="s">
        <v>1107</v>
      </c>
      <c r="BW70"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0" s="97" t="str">
        <f ca="1">IF(Cartera1017[[#This Row],[Fecha Fin2]]="","No definido",CONCATENATE(TEXT(Cartera1017[[#This Row],[Fecha Fin2]],"mmm")," ",YEAR(Cartera1017[[#This Row],[Fecha Fin2]])))</f>
        <v>No definido</v>
      </c>
      <c r="BZ70" s="28">
        <v>2025</v>
      </c>
      <c r="CA70" s="48" t="str">
        <f>IF(Cartera1017[[#This Row],[Estado TI]] = "08. Producción Finalizada","Culminado",IF(Cartera1017[[#This Row],[Estado TI]]= "09. Descartado","Descartado","Activos"))</f>
        <v>Activos</v>
      </c>
      <c r="CB70" s="28" t="s">
        <v>564</v>
      </c>
      <c r="CC7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70" s="54" t="str">
        <f>IF(
AND(
Cartera1017[[#This Row],[DEVOLVER 27]]="NO",
NOT(ISBLANK(Cartera1017[[#This Row],[ESTADO NO DEVUELTOS 27]]))
),
"PRE",
"POST"
)</f>
        <v>PRE</v>
      </c>
      <c r="CE70" s="54" t="s">
        <v>509</v>
      </c>
      <c r="CF70" s="104" t="s">
        <v>48</v>
      </c>
      <c r="CG70"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7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7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70" s="406">
        <f>Cartera1017[[#This Row],[Porcentaje de Avance]]</f>
        <v>0.85</v>
      </c>
      <c r="CK70" s="418">
        <f ca="1">IF(
   OR(
     Cartera1017[[#This Row],[Estado TI]]="09. Descartado",
     Cartera1017[[#This Row],[Comienzo Desarrollo]]="",
     Cartera1017[[#This Row],[Fin Producción]]=""
   ),
   "",
   Cartera1017[[#This Row],[% PLANIFICADO]]-Cartera1017[[#This Row],[% COMPLETADO]]
)</f>
        <v>0.15000000000000002</v>
      </c>
      <c r="CL70" s="418">
        <f ca="1">IF(
   OR(
     Cartera1017[[#This Row],[Estado TI]]="09. Descartado",
     Cartera1017[[#This Row],[Comienzo Desarrollo]]="",
     Cartera1017[[#This Row],[Fin Producción]]="",
     Cartera1017[[#This Row],[% PLANIFICADO]]=0
   ),
   "",
   MIN(Cartera1017[[#This Row],[% COMPLETADO]]/Cartera1017[[#This Row],[% PLANIFICADO]],1.2)
)</f>
        <v>0.85</v>
      </c>
      <c r="CM70" s="423">
        <v>45971</v>
      </c>
      <c r="CN70" s="377">
        <v>45971</v>
      </c>
      <c r="CO70" s="377">
        <v>46037</v>
      </c>
      <c r="CP70" s="377">
        <v>46037</v>
      </c>
      <c r="CQ70" s="377">
        <v>46043</v>
      </c>
      <c r="CR70" s="377">
        <v>46072</v>
      </c>
      <c r="CS70" s="377">
        <v>46108</v>
      </c>
      <c r="CT70" s="44">
        <f>IF(Cartera1017[[#This Row],[Fin Desarrollo]]="",25,IFERROR(NETWORKDAYS(Cartera1017[[#This Row],[Comienzo Desarrollo]],Cartera1017[[#This Row],[Fin Desarrollo]],FERIADOS[Fecha]),""))</f>
        <v>44</v>
      </c>
      <c r="CU7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70" s="44">
        <f>IF(OR(Cartera1017[[#This Row],[Comienzo Desarrollo]]="",Cartera1017[[#This Row],[Fin Desarrollo]]=""),200,IFERROR(Cartera1017[[#This Row],[DURACIÓN DESARROLLO DIAS]]*VLOOKUP(Cartera1017[[#This Row],[ID Mantenimiento]],MANT_HORAS[],2,FALSE),200))</f>
        <v>200</v>
      </c>
      <c r="CW70" s="110" t="s">
        <v>544</v>
      </c>
      <c r="CX70" s="110" t="str">
        <f>VLOOKUP(Cartera1017[[#This Row],[Estado TI]],Definiciones!$A$549:$B$559,2,FALSE)</f>
        <v>2. CALIDAD</v>
      </c>
      <c r="CY70" s="28">
        <f ca="1">1-Cartera1017[[#This Row],[Porcentaje avanzado desarrollo]]</f>
        <v>0</v>
      </c>
      <c r="CZ7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44</v>
      </c>
      <c r="DA70" s="28">
        <f ca="1">MAX(0,Cartera1017[[#This Row],[DURACIÓN DESARROLLO DIAS]]-Cartera1017[[#This Row],[Dias avanzados]])</f>
        <v>0</v>
      </c>
      <c r="DB70" s="28">
        <f ca="1">Cartera1017[[#This Row],[Dias avanzados]]*IFERROR(VLOOKUP(Cartera1017[[#This Row],[ID Mantenimiento]],MANT_HORAS[],2,FALSE),8)</f>
        <v>352</v>
      </c>
      <c r="DC70" s="28">
        <f ca="1">Cartera1017[[#This Row],[Dias faltantes]]*IFERROR(VLOOKUP(Cartera1017[[#This Row],[ID Mantenimiento]],MANT_HORAS[],2,FALSE),8)</f>
        <v>0</v>
      </c>
      <c r="DD70" s="28" t="str">
        <f>IF(Cartera1017[[#This Row],[Fin Producción]]=0,"Por definir",CONCATENATE(YEAR(Cartera1017[[#This Row],[Fin Producción]]),"-",ROUNDUP(MONTH(Cartera1017[[#This Row],[Fin Producción]]),0)))</f>
        <v>2026-3</v>
      </c>
      <c r="DE70" s="18" t="s">
        <v>510</v>
      </c>
      <c r="DF70" s="28" t="s">
        <v>1108</v>
      </c>
      <c r="DG70" s="28" t="s">
        <v>1109</v>
      </c>
      <c r="DH70" s="565"/>
    </row>
    <row r="71" spans="1:112" ht="44.25" hidden="1" customHeight="1">
      <c r="A71" s="229" t="s">
        <v>1110</v>
      </c>
      <c r="B71" s="18">
        <v>2632</v>
      </c>
      <c r="C71" s="18" t="s">
        <v>485</v>
      </c>
      <c r="D71" s="18" t="s">
        <v>1111</v>
      </c>
      <c r="E71" s="18" t="s">
        <v>172</v>
      </c>
      <c r="F71" s="33" t="s">
        <v>173</v>
      </c>
      <c r="G71" s="19" t="s">
        <v>1112</v>
      </c>
      <c r="H71" s="18" t="s">
        <v>26</v>
      </c>
      <c r="I71" s="18" t="s">
        <v>539</v>
      </c>
      <c r="J71" s="18" t="s">
        <v>540</v>
      </c>
      <c r="K71" s="20"/>
      <c r="L71" s="50" t="s">
        <v>528</v>
      </c>
      <c r="M71" s="50" t="s">
        <v>556</v>
      </c>
      <c r="N71" s="50"/>
      <c r="O71" s="18" t="s">
        <v>642</v>
      </c>
      <c r="P71" s="18" t="s">
        <v>495</v>
      </c>
      <c r="Q71" s="18" t="s">
        <v>496</v>
      </c>
      <c r="R71" s="18" t="s">
        <v>531</v>
      </c>
      <c r="S71" s="18"/>
      <c r="T71" s="18"/>
      <c r="U71" s="18"/>
      <c r="V71" s="18"/>
      <c r="W71" s="18"/>
      <c r="X71" s="18"/>
      <c r="Y71" s="80"/>
      <c r="Z71" s="18" t="s">
        <v>532</v>
      </c>
      <c r="AA71" s="20">
        <v>45706</v>
      </c>
      <c r="AB71" s="18" t="s">
        <v>500</v>
      </c>
      <c r="AC71" s="18" t="s">
        <v>558</v>
      </c>
      <c r="AD71" s="18" t="s">
        <v>30</v>
      </c>
      <c r="AE71" s="18" t="s">
        <v>27</v>
      </c>
      <c r="AF71" s="563" t="s">
        <v>28</v>
      </c>
      <c r="AG71" s="430" t="str">
        <f>VLOOKUP(AF71,Tabla3[[Estado Requerimiento]:[Macro estado]],2,FALSE)</f>
        <v>04. Paralizado</v>
      </c>
      <c r="AH71" s="18" t="s">
        <v>559</v>
      </c>
      <c r="AI71" s="80">
        <v>45691</v>
      </c>
      <c r="AJ71" s="80"/>
      <c r="AK71" s="80">
        <v>45691</v>
      </c>
      <c r="AL71" s="80"/>
      <c r="AM71" s="80"/>
      <c r="AN71" s="80"/>
      <c r="AO71" s="80"/>
      <c r="AP71" s="81" t="str">
        <f t="shared" si="2"/>
        <v/>
      </c>
      <c r="AQ71" s="80"/>
      <c r="AR71" s="80"/>
      <c r="AS71" s="81" t="str">
        <f t="shared" si="3"/>
        <v/>
      </c>
      <c r="AT71" s="19" t="s">
        <v>1113</v>
      </c>
      <c r="AU71" s="44" t="str">
        <f>VLOOKUP(Cartera1017[[#This Row],[Gerencia]],tbGerencia[#All],3,FALSE)</f>
        <v>B.Digital</v>
      </c>
      <c r="AV71" s="44" t="str">
        <f>IFERROR(VLOOKUP(Cartera1017[[#This Row],[Subgerencia]],Definiciones!$A$90:$B$144,2,FALSE),"")</f>
        <v>CanalesAlternos</v>
      </c>
      <c r="AW71" s="44" t="str">
        <f>IF(OR(LEN(Cartera1017[[#This Row],[Fecha de Solicitud]])=0,(Cartera1017[[#This Row],[Fecha de Solicitud]])="No definido"),"No definido",IF(YEAR(Cartera1017[[#This Row],[Fecha de Solicitud]])&lt;2023," &lt;  2023",TEXT(Cartera1017[[#This Row],[Fecha de Solicitud]],"yyyy-mm")))</f>
        <v>No definido</v>
      </c>
      <c r="AX71" s="44" t="str">
        <f>IF(Cartera1017[[#This Row],[Fecha de Priorización Comité]]="","No definido",TEXT(Cartera1017[[#This Row],[Fecha de Priorización Comité]],"yyyy-mm"))</f>
        <v>2025-02</v>
      </c>
      <c r="AY71" s="44" t="str">
        <f>IF(Cartera1017[[#This Row],[Fecha Fin- Desarrollo]]="","No definido",TEXT(Cartera1017[[#This Row],[Fecha Fin- Desarrollo]],"yyyy-mm"))</f>
        <v>No definido</v>
      </c>
      <c r="AZ71" s="44" t="str">
        <f>IF(Cartera1017[[#This Row],[Fecha Fin- Producción]]="","No definido",TEXT(Cartera1017[[#This Row],[Fecha Fin- Producción]],"yyyy-mm"))</f>
        <v>No definido</v>
      </c>
      <c r="BA71" s="44" t="str">
        <f>IF(Cartera1017[[#This Row],[Fecha Fin-Planificada]]="","No definido",TEXT(Cartera1017[[#This Row],[Fecha Fin-Planificada]],"yyyy-mm"))</f>
        <v>No definido</v>
      </c>
      <c r="BB71" s="33"/>
      <c r="BC71" s="66"/>
      <c r="BD71" s="66"/>
      <c r="BE71" s="66"/>
      <c r="BF71" s="127"/>
      <c r="BG71" s="28" t="s">
        <v>1044</v>
      </c>
      <c r="BH7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1" s="90" t="str">
        <f>IF(ISNUMBER(Cartera1017[[#This Row],[Duracion en Dias]]),Cartera1017[[#This Row],[Duracion en Dias]]/30, "No Aplica")</f>
        <v>No Aplica</v>
      </c>
      <c r="BJ71" s="18" t="s">
        <v>1114</v>
      </c>
      <c r="BK71" s="28" t="s">
        <v>1115</v>
      </c>
      <c r="BL71" s="110" t="s">
        <v>562</v>
      </c>
      <c r="BM71" s="342">
        <v>46014.724085648151</v>
      </c>
      <c r="BN71" s="227"/>
      <c r="BO71" s="401"/>
      <c r="BP71" s="401"/>
      <c r="BQ7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1" s="14" t="str">
        <f>IFERROR(VLOOKUP(Cartera1017[[#This Row],[Aplicativo]],Tabla76[],2,FALSE),"Sin Aplicativo")</f>
        <v>ATM-Agentes-VISA</v>
      </c>
      <c r="BS71" s="14" t="str">
        <f>IFERROR(VLOOKUP(Cartera1017[[#This Row],[Aplicativo]],Tabla76[],3,FALSE),"Sin Aplicativo")</f>
        <v>Canales Presenciales</v>
      </c>
      <c r="BT71" s="162">
        <v>45870</v>
      </c>
      <c r="BU71" s="162">
        <v>45870</v>
      </c>
      <c r="BV71" s="33"/>
      <c r="BW7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7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71" s="149" t="str">
        <f ca="1">IF(Cartera1017[[#This Row],[Fecha Fin2]]="","No definido",CONCATENATE(TEXT(Cartera1017[[#This Row],[Fecha Fin2]],"mmm")," ",YEAR(Cartera1017[[#This Row],[Fecha Fin2]])))</f>
        <v>Ago 2025</v>
      </c>
      <c r="BZ71" s="28">
        <v>2025</v>
      </c>
      <c r="CA71" s="48" t="str">
        <f>IF(Cartera1017[[#This Row],[Estado TI]] = "08. Producción Finalizada","Culminado",IF(Cartera1017[[#This Row],[Estado TI]]= "09. Descartado","Descartado","Activos"))</f>
        <v>Activos</v>
      </c>
      <c r="CB71" s="28" t="s">
        <v>645</v>
      </c>
      <c r="CC7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71" s="54" t="str">
        <f>IF(
AND(
Cartera1017[[#This Row],[DEVOLVER 27]]="NO",
NOT(ISBLANK(Cartera1017[[#This Row],[ESTADO NO DEVUELTOS 27]]))
),
"PRE",
"POST"
)</f>
        <v>POST</v>
      </c>
      <c r="CE71" s="54" t="s">
        <v>523</v>
      </c>
      <c r="CF71" s="28" t="s">
        <v>524</v>
      </c>
      <c r="CG7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71"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71" s="406">
        <f>Cartera1017[[#This Row],[Porcentaje de Avance]]</f>
        <v>0.12</v>
      </c>
      <c r="CK71" s="388" t="str">
        <f>IF(
   OR(
     Cartera1017[[#This Row],[Estado TI]]="09. Descartado",
     Cartera1017[[#This Row],[Comienzo Desarrollo]]="",
     Cartera1017[[#This Row],[Fin Producción]]=""
   ),
   "",
   Cartera1017[[#This Row],[% PLANIFICADO]]-Cartera1017[[#This Row],[% COMPLETADO]]
)</f>
        <v/>
      </c>
      <c r="CL71" s="388" t="str">
        <f ca="1">IF(
   OR(
     Cartera1017[[#This Row],[Estado TI]]="09. Descartado",
     Cartera1017[[#This Row],[Comienzo Desarrollo]]="",
     Cartera1017[[#This Row],[Fin Producción]]="",
     Cartera1017[[#This Row],[% PLANIFICADO]]=0
   ),
   "",
   MIN(Cartera1017[[#This Row],[% COMPLETADO]]/Cartera1017[[#This Row],[% PLANIFICADO]],1.2)
)</f>
        <v/>
      </c>
      <c r="CM71" s="377"/>
      <c r="CN71" s="377"/>
      <c r="CO71" s="377"/>
      <c r="CP71" s="377"/>
      <c r="CQ71" s="377"/>
      <c r="CR71" s="377"/>
      <c r="CS71" s="377">
        <v>46477</v>
      </c>
      <c r="CT71" s="44">
        <f>IF(Cartera1017[[#This Row],[Fin Desarrollo]]="",25,IFERROR(NETWORKDAYS(Cartera1017[[#This Row],[Comienzo Desarrollo]],Cartera1017[[#This Row],[Fin Desarrollo]],FERIADOS[Fecha]),""))</f>
        <v>25</v>
      </c>
      <c r="CU7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71" s="44">
        <f>IF(OR(Cartera1017[[#This Row],[Comienzo Desarrollo]]="",Cartera1017[[#This Row],[Fin Desarrollo]]=""),200,IFERROR(Cartera1017[[#This Row],[DURACIÓN DESARROLLO DIAS]]*VLOOKUP(Cartera1017[[#This Row],[ID Mantenimiento]],MANT_HORAS[],2,FALSE),200))</f>
        <v>200</v>
      </c>
      <c r="CW71" s="110"/>
      <c r="CX71" s="110" t="str">
        <f>VLOOKUP(Cartera1017[[#This Row],[Estado TI]],Definiciones!$A$549:$B$559,2,FALSE)</f>
        <v>6. PARALIZADO</v>
      </c>
      <c r="CY71" s="28">
        <f ca="1">1-Cartera1017[[#This Row],[Porcentaje avanzado desarrollo]]</f>
        <v>0.9</v>
      </c>
      <c r="CZ7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71" s="28">
        <f ca="1">MAX(0,Cartera1017[[#This Row],[DURACIÓN DESARROLLO DIAS]]-Cartera1017[[#This Row],[Dias avanzados]])</f>
        <v>24</v>
      </c>
      <c r="DB71" s="28">
        <f ca="1">Cartera1017[[#This Row],[Dias avanzados]]*IFERROR(VLOOKUP(Cartera1017[[#This Row],[ID Mantenimiento]],MANT_HORAS[],2,FALSE),8)</f>
        <v>8</v>
      </c>
      <c r="DC71" s="28">
        <f ca="1">Cartera1017[[#This Row],[Dias faltantes]]*IFERROR(VLOOKUP(Cartera1017[[#This Row],[ID Mantenimiento]],MANT_HORAS[],2,FALSE),8)</f>
        <v>192</v>
      </c>
      <c r="DD71" s="28" t="str">
        <f>IF(Cartera1017[[#This Row],[Fin Producción]]=0,"Por definir",CONCATENATE(YEAR(Cartera1017[[#This Row],[Fin Producción]]),"-",ROUNDUP(MONTH(Cartera1017[[#This Row],[Fin Producción]]),0)))</f>
        <v>2027-3</v>
      </c>
      <c r="DE71" s="18" t="s">
        <v>510</v>
      </c>
      <c r="DF71" s="28"/>
      <c r="DG71" s="28"/>
      <c r="DH71" s="565"/>
    </row>
    <row r="72" spans="1:112" ht="44.25" hidden="1" customHeight="1">
      <c r="A72" s="229" t="s">
        <v>1116</v>
      </c>
      <c r="B72" s="18">
        <v>2673</v>
      </c>
      <c r="C72" s="18" t="s">
        <v>485</v>
      </c>
      <c r="D72" s="18" t="s">
        <v>1117</v>
      </c>
      <c r="E72" s="18" t="s">
        <v>174</v>
      </c>
      <c r="F72" s="60" t="s">
        <v>175</v>
      </c>
      <c r="G72" s="19"/>
      <c r="H72" s="18" t="s">
        <v>40</v>
      </c>
      <c r="I72" s="18" t="s">
        <v>577</v>
      </c>
      <c r="J72" s="18" t="s">
        <v>1118</v>
      </c>
      <c r="K72" s="20">
        <v>45715</v>
      </c>
      <c r="L72" s="50" t="s">
        <v>1119</v>
      </c>
      <c r="M72" s="50" t="s">
        <v>890</v>
      </c>
      <c r="N72" s="50"/>
      <c r="O72" s="18" t="s">
        <v>530</v>
      </c>
      <c r="P72" s="18" t="s">
        <v>549</v>
      </c>
      <c r="Q72" s="18" t="s">
        <v>496</v>
      </c>
      <c r="R72" s="18" t="s">
        <v>497</v>
      </c>
      <c r="S72" s="18"/>
      <c r="T72" s="18" t="s">
        <v>495</v>
      </c>
      <c r="U72" s="18" t="s">
        <v>495</v>
      </c>
      <c r="V72" s="18" t="s">
        <v>495</v>
      </c>
      <c r="W72" s="18" t="s">
        <v>495</v>
      </c>
      <c r="X72" s="18" t="s">
        <v>495</v>
      </c>
      <c r="Y72" s="80" t="s">
        <v>495</v>
      </c>
      <c r="Z72" s="18" t="s">
        <v>499</v>
      </c>
      <c r="AA72" s="20">
        <v>45747</v>
      </c>
      <c r="AB72" s="18" t="s">
        <v>500</v>
      </c>
      <c r="AC72" s="18" t="s">
        <v>501</v>
      </c>
      <c r="AD72" s="397" t="s">
        <v>123</v>
      </c>
      <c r="AE72" s="18" t="s">
        <v>41</v>
      </c>
      <c r="AF72" s="39" t="s">
        <v>502</v>
      </c>
      <c r="AG72" s="398" t="str">
        <f>VLOOKUP(AF72,Tabla3[[Estado Requerimiento]:[Macro estado]],2,FALSE)</f>
        <v>05. Descartado</v>
      </c>
      <c r="AH72" s="18"/>
      <c r="AI72" s="80">
        <v>45729</v>
      </c>
      <c r="AJ72" s="80"/>
      <c r="AK72" s="80">
        <v>45988</v>
      </c>
      <c r="AL72" s="80"/>
      <c r="AM72" s="80"/>
      <c r="AN72" s="80"/>
      <c r="AO72" s="80"/>
      <c r="AP72" s="81" t="str">
        <f t="shared" si="2"/>
        <v/>
      </c>
      <c r="AQ72" s="80"/>
      <c r="AR72" s="80"/>
      <c r="AS72" s="81" t="str">
        <f t="shared" si="3"/>
        <v/>
      </c>
      <c r="AT72" s="19" t="s">
        <v>1120</v>
      </c>
      <c r="AU72" s="44" t="str">
        <f>VLOOKUP(Cartera1017[[#This Row],[Gerencia]],tbGerencia[#All],3,FALSE)</f>
        <v>Operac.</v>
      </c>
      <c r="AV72" s="44" t="str">
        <f>IFERROR(VLOOKUP(Cartera1017[[#This Row],[Subgerencia]],Definiciones!$A$90:$B$144,2,FALSE),"")</f>
        <v>CaptacionesPagaduría</v>
      </c>
      <c r="AW72" s="44" t="str">
        <f>IF(OR(LEN(Cartera1017[[#This Row],[Fecha de Solicitud]])=0,(Cartera1017[[#This Row],[Fecha de Solicitud]])="No definido"),"No definido",IF(YEAR(Cartera1017[[#This Row],[Fecha de Solicitud]])&lt;2023," &lt;  2023",TEXT(Cartera1017[[#This Row],[Fecha de Solicitud]],"yyyy-mm")))</f>
        <v>2025-02</v>
      </c>
      <c r="AX72" s="44" t="str">
        <f>IF(Cartera1017[[#This Row],[Fecha de Priorización Comité]]="","No definido",TEXT(Cartera1017[[#This Row],[Fecha de Priorización Comité]],"yyyy-mm"))</f>
        <v>2025-03</v>
      </c>
      <c r="AY72" s="44" t="str">
        <f>IF(Cartera1017[[#This Row],[Fecha Fin- Desarrollo]]="","No definido",TEXT(Cartera1017[[#This Row],[Fecha Fin- Desarrollo]],"yyyy-mm"))</f>
        <v>No definido</v>
      </c>
      <c r="AZ72" s="44" t="str">
        <f>IF(Cartera1017[[#This Row],[Fecha Fin- Producción]]="","No definido",TEXT(Cartera1017[[#This Row],[Fecha Fin- Producción]],"yyyy-mm"))</f>
        <v>No definido</v>
      </c>
      <c r="BA72" s="44" t="str">
        <f>IF(Cartera1017[[#This Row],[Fecha Fin-Planificada]]="","No definido",TEXT(Cartera1017[[#This Row],[Fecha Fin-Planificada]],"yyyy-mm"))</f>
        <v>No definido</v>
      </c>
      <c r="BB72" s="33"/>
      <c r="BC72" s="66"/>
      <c r="BD72" s="66"/>
      <c r="BE72" s="66"/>
      <c r="BF72" s="127"/>
      <c r="BG72" s="28" t="s">
        <v>1044</v>
      </c>
      <c r="BH7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2" s="90" t="str">
        <f>IF(ISNUMBER(Cartera1017[[#This Row],[Duracion en Dias]]),Cartera1017[[#This Row],[Duracion en Dias]]/30, "No Aplica")</f>
        <v>No Aplica</v>
      </c>
      <c r="BJ72" s="188" t="s">
        <v>1121</v>
      </c>
      <c r="BK72" s="28" t="s">
        <v>506</v>
      </c>
      <c r="BL72" s="110" t="s">
        <v>572</v>
      </c>
      <c r="BM72" s="342">
        <v>46029.760613425926</v>
      </c>
      <c r="BN72" s="227"/>
      <c r="BO72" s="401"/>
      <c r="BP72" s="401"/>
      <c r="BQ7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2" s="14" t="str">
        <f>IFERROR(VLOOKUP(Cartera1017[[#This Row],[Aplicativo]],Tabla76[],2,FALSE),"Sin Aplicativo")</f>
        <v>BackOffice</v>
      </c>
      <c r="BS72" s="14" t="str">
        <f>IFERROR(VLOOKUP(Cartera1017[[#This Row],[Aplicativo]],Tabla76[],3,FALSE),"Sin Aplicativo")</f>
        <v>Otros Requerimientos</v>
      </c>
      <c r="BT72" s="400" t="s">
        <v>521</v>
      </c>
      <c r="BU72" s="28"/>
      <c r="BV72" s="151" t="s">
        <v>1122</v>
      </c>
      <c r="BW72"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2" s="149" t="str">
        <f ca="1">IF(Cartera1017[[#This Row],[Fecha Fin2]]="","No definido",CONCATENATE(TEXT(Cartera1017[[#This Row],[Fecha Fin2]],"mmm")," ",YEAR(Cartera1017[[#This Row],[Fecha Fin2]])))</f>
        <v>No definido</v>
      </c>
      <c r="BZ72" s="28">
        <v>2025</v>
      </c>
      <c r="CA72" s="48" t="str">
        <f>IF(Cartera1017[[#This Row],[Estado TI]] = "08. Producción Finalizada","Culminado",IF(Cartera1017[[#This Row],[Estado TI]]= "09. Descartado","Descartado","Activos"))</f>
        <v>Descartado</v>
      </c>
      <c r="CB72" s="28"/>
      <c r="CC7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72" s="54" t="str">
        <f>IF(
AND(
Cartera1017[[#This Row],[DEVOLVER 27]]="NO",
NOT(ISBLANK(Cartera1017[[#This Row],[ESTADO NO DEVUELTOS 27]]))
),
"PRE",
"POST"
)</f>
        <v>POST</v>
      </c>
      <c r="CE72" s="54" t="s">
        <v>1123</v>
      </c>
      <c r="CF72" s="28" t="s">
        <v>502</v>
      </c>
      <c r="CG7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72"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72" s="406">
        <f>Cartera1017[[#This Row],[Porcentaje de Avance]]</f>
        <v>-0.01</v>
      </c>
      <c r="CK72" s="388" t="str">
        <f>IF(
   OR(
     Cartera1017[[#This Row],[Estado TI]]="09. Descartado",
     Cartera1017[[#This Row],[Comienzo Desarrollo]]="",
     Cartera1017[[#This Row],[Fin Producción]]=""
   ),
   "",
   Cartera1017[[#This Row],[% PLANIFICADO]]-Cartera1017[[#This Row],[% COMPLETADO]]
)</f>
        <v/>
      </c>
      <c r="CL72" s="388" t="str">
        <f ca="1">IF(
   OR(
     Cartera1017[[#This Row],[Estado TI]]="09. Descartado",
     Cartera1017[[#This Row],[Comienzo Desarrollo]]="",
     Cartera1017[[#This Row],[Fin Producción]]="",
     Cartera1017[[#This Row],[% PLANIFICADO]]=0
   ),
   "",
   MIN(Cartera1017[[#This Row],[% COMPLETADO]]/Cartera1017[[#This Row],[% PLANIFICADO]],1.2)
)</f>
        <v/>
      </c>
      <c r="CM72" s="377"/>
      <c r="CN72" s="377"/>
      <c r="CO72" s="377"/>
      <c r="CP72" s="377"/>
      <c r="CQ72" s="377"/>
      <c r="CR72" s="377"/>
      <c r="CS72" s="377"/>
      <c r="CT72" s="44">
        <f>IF(Cartera1017[[#This Row],[Fin Desarrollo]]="",25,IFERROR(NETWORKDAYS(Cartera1017[[#This Row],[Comienzo Desarrollo]],Cartera1017[[#This Row],[Fin Desarrollo]],FERIADOS[Fecha]),""))</f>
        <v>25</v>
      </c>
      <c r="CU7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72" s="44">
        <f>IF(OR(Cartera1017[[#This Row],[Comienzo Desarrollo]]="",Cartera1017[[#This Row],[Fin Desarrollo]]=""),200,IFERROR(Cartera1017[[#This Row],[DURACIÓN DESARROLLO DIAS]]*VLOOKUP(Cartera1017[[#This Row],[ID Mantenimiento]],MANT_HORAS[],2,FALSE),200))</f>
        <v>200</v>
      </c>
      <c r="CW72" s="110"/>
      <c r="CX72" s="110" t="str">
        <f>VLOOKUP(Cartera1017[[#This Row],[Estado TI]],Definiciones!$A$549:$B$559,2,FALSE)</f>
        <v>5. DESCARTADO</v>
      </c>
      <c r="CY72" s="28">
        <f ca="1">1-Cartera1017[[#This Row],[Porcentaje avanzado desarrollo]]</f>
        <v>0.9</v>
      </c>
      <c r="CZ7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72" s="28">
        <f ca="1">MAX(0,Cartera1017[[#This Row],[DURACIÓN DESARROLLO DIAS]]-Cartera1017[[#This Row],[Dias avanzados]])</f>
        <v>24</v>
      </c>
      <c r="DB72" s="28">
        <f ca="1">Cartera1017[[#This Row],[Dias avanzados]]*IFERROR(VLOOKUP(Cartera1017[[#This Row],[ID Mantenimiento]],MANT_HORAS[],2,FALSE),8)</f>
        <v>2.6666666666666665</v>
      </c>
      <c r="DC72" s="28">
        <f ca="1">Cartera1017[[#This Row],[Dias faltantes]]*IFERROR(VLOOKUP(Cartera1017[[#This Row],[ID Mantenimiento]],MANT_HORAS[],2,FALSE),8)</f>
        <v>64</v>
      </c>
      <c r="DD72" s="28" t="str">
        <f>IF(Cartera1017[[#This Row],[Fin Producción]]=0,"Por definir",CONCATENATE(YEAR(Cartera1017[[#This Row],[Fin Producción]]),"-",ROUNDUP(MONTH(Cartera1017[[#This Row],[Fin Producción]]),0)))</f>
        <v>Por definir</v>
      </c>
      <c r="DE72" s="18" t="s">
        <v>510</v>
      </c>
      <c r="DF72" s="28"/>
      <c r="DG72" s="28"/>
      <c r="DH72" s="565"/>
    </row>
    <row r="73" spans="1:112" ht="44.25" hidden="1" customHeight="1">
      <c r="A73" s="229" t="s">
        <v>1124</v>
      </c>
      <c r="B73" s="18">
        <v>2689</v>
      </c>
      <c r="C73" s="18" t="s">
        <v>485</v>
      </c>
      <c r="D73" s="18" t="s">
        <v>1125</v>
      </c>
      <c r="E73" s="18" t="s">
        <v>176</v>
      </c>
      <c r="F73" s="33" t="s">
        <v>177</v>
      </c>
      <c r="G73" s="19"/>
      <c r="H73" s="18" t="s">
        <v>40</v>
      </c>
      <c r="I73" s="18" t="s">
        <v>577</v>
      </c>
      <c r="J73" s="18" t="s">
        <v>1118</v>
      </c>
      <c r="K73" s="20">
        <v>45674</v>
      </c>
      <c r="L73" s="50" t="s">
        <v>1126</v>
      </c>
      <c r="M73" s="50" t="s">
        <v>597</v>
      </c>
      <c r="N73" s="50"/>
      <c r="O73" s="18" t="s">
        <v>530</v>
      </c>
      <c r="P73" s="18" t="s">
        <v>495</v>
      </c>
      <c r="Q73" s="18" t="s">
        <v>1127</v>
      </c>
      <c r="R73" s="18" t="s">
        <v>497</v>
      </c>
      <c r="S73" s="18"/>
      <c r="T73" s="18" t="s">
        <v>495</v>
      </c>
      <c r="U73" s="18" t="s">
        <v>495</v>
      </c>
      <c r="V73" s="18" t="s">
        <v>495</v>
      </c>
      <c r="W73" s="18" t="s">
        <v>495</v>
      </c>
      <c r="X73" s="18" t="s">
        <v>495</v>
      </c>
      <c r="Y73" s="80" t="s">
        <v>495</v>
      </c>
      <c r="Z73" s="18" t="s">
        <v>532</v>
      </c>
      <c r="AA73" s="20">
        <v>45747</v>
      </c>
      <c r="AB73" s="18" t="s">
        <v>500</v>
      </c>
      <c r="AC73" s="18" t="s">
        <v>501</v>
      </c>
      <c r="AD73" s="18" t="s">
        <v>1128</v>
      </c>
      <c r="AE73" s="18" t="s">
        <v>41</v>
      </c>
      <c r="AF73" s="18" t="s">
        <v>48</v>
      </c>
      <c r="AG73" s="14" t="str">
        <f>VLOOKUP(AF73,Tabla3[[Estado Requerimiento]:[Macro estado]],2,FALSE)</f>
        <v>02. En Proceso</v>
      </c>
      <c r="AH73" s="18"/>
      <c r="AI73" s="80">
        <v>45720</v>
      </c>
      <c r="AJ73" s="80">
        <v>45964</v>
      </c>
      <c r="AK73" s="80">
        <v>46142</v>
      </c>
      <c r="AL73" s="80">
        <v>46064</v>
      </c>
      <c r="AM73" s="80">
        <v>46022</v>
      </c>
      <c r="AN73" s="80">
        <v>46076</v>
      </c>
      <c r="AO73" s="80"/>
      <c r="AP73" s="81">
        <f t="shared" si="2"/>
        <v>45974</v>
      </c>
      <c r="AQ73" s="80"/>
      <c r="AR73" s="80"/>
      <c r="AS73" s="81">
        <f t="shared" si="3"/>
        <v>45981</v>
      </c>
      <c r="AT73" s="19" t="s">
        <v>1129</v>
      </c>
      <c r="AU73" s="44" t="str">
        <f>VLOOKUP(Cartera1017[[#This Row],[Gerencia]],tbGerencia[#All],3,FALSE)</f>
        <v>Operac.</v>
      </c>
      <c r="AV73" s="44" t="str">
        <f>IFERROR(VLOOKUP(Cartera1017[[#This Row],[Subgerencia]],Definiciones!$A$90:$B$144,2,FALSE),"")</f>
        <v>CaptacionesPagaduría</v>
      </c>
      <c r="AW73" s="44" t="str">
        <f>IF(OR(LEN(Cartera1017[[#This Row],[Fecha de Solicitud]])=0,(Cartera1017[[#This Row],[Fecha de Solicitud]])="No definido"),"No definido",IF(YEAR(Cartera1017[[#This Row],[Fecha de Solicitud]])&lt;2023," &lt;  2023",TEXT(Cartera1017[[#This Row],[Fecha de Solicitud]],"yyyy-mm")))</f>
        <v>2025-01</v>
      </c>
      <c r="AX73" s="44" t="str">
        <f>IF(Cartera1017[[#This Row],[Fecha de Priorización Comité]]="","No definido",TEXT(Cartera1017[[#This Row],[Fecha de Priorización Comité]],"yyyy-mm"))</f>
        <v>2025-03</v>
      </c>
      <c r="AY73" s="44" t="str">
        <f>IF(Cartera1017[[#This Row],[Fecha Fin- Desarrollo]]="","No definido",TEXT(Cartera1017[[#This Row],[Fecha Fin- Desarrollo]],"yyyy-mm"))</f>
        <v>2026-02</v>
      </c>
      <c r="AZ73" s="44" t="str">
        <f>IF(Cartera1017[[#This Row],[Fecha Fin- Producción]]="","No definido",TEXT(Cartera1017[[#This Row],[Fecha Fin- Producción]],"yyyy-mm"))</f>
        <v>No definido</v>
      </c>
      <c r="BA73" s="44" t="str">
        <f>IF(Cartera1017[[#This Row],[Fecha Fin-Planificada]]="","No definido",TEXT(Cartera1017[[#This Row],[Fecha Fin-Planificada]],"yyyy-mm"))</f>
        <v>2025-11</v>
      </c>
      <c r="BB73" s="33"/>
      <c r="BC73" s="66"/>
      <c r="BD73" s="66"/>
      <c r="BE73" s="66"/>
      <c r="BF73" s="127"/>
      <c r="BG73" s="28" t="s">
        <v>1044</v>
      </c>
      <c r="BH7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3" s="90" t="str">
        <f>IF(ISNUMBER(Cartera1017[[#This Row],[Duracion en Dias]]),Cartera1017[[#This Row],[Duracion en Dias]]/30, "No Aplica")</f>
        <v>No Aplica</v>
      </c>
      <c r="BJ73" s="18" t="s">
        <v>1130</v>
      </c>
      <c r="BK73" s="28" t="s">
        <v>582</v>
      </c>
      <c r="BL73" s="110" t="s">
        <v>592</v>
      </c>
      <c r="BM73" s="342">
        <v>46148.515740740739</v>
      </c>
      <c r="BN73" s="227"/>
      <c r="BO73" s="401"/>
      <c r="BP73" s="401"/>
      <c r="BQ7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73" s="14" t="str">
        <f>IFERROR(VLOOKUP(Cartera1017[[#This Row],[Aplicativo]],Tabla76[],2,FALSE),"Sin Aplicativo")</f>
        <v>BackOffice</v>
      </c>
      <c r="BS73" s="14" t="str">
        <f>IFERROR(VLOOKUP(Cartera1017[[#This Row],[Aplicativo]],Tabla76[],3,FALSE),"Sin Aplicativo")</f>
        <v>Otros Requerimientos</v>
      </c>
      <c r="BT73" s="400" t="s">
        <v>521</v>
      </c>
      <c r="BU73" s="28"/>
      <c r="BV73" s="33"/>
      <c r="BW7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3" s="97" t="str">
        <f ca="1">IF(Cartera1017[[#This Row],[Fecha Fin2]]="","No definido",CONCATENATE(TEXT(Cartera1017[[#This Row],[Fecha Fin2]],"mmm")," ",YEAR(Cartera1017[[#This Row],[Fecha Fin2]])))</f>
        <v>No definido</v>
      </c>
      <c r="BZ73" s="28">
        <v>2025</v>
      </c>
      <c r="CA73" s="48" t="str">
        <f>IF(Cartera1017[[#This Row],[Estado TI]] = "08. Producción Finalizada","Culminado",IF(Cartera1017[[#This Row],[Estado TI]]= "09. Descartado","Descartado","Activos"))</f>
        <v>Activos</v>
      </c>
      <c r="CB73" s="28"/>
      <c r="CC7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73" s="54" t="str">
        <f>IF(
AND(
Cartera1017[[#This Row],[DEVOLVER 27]]="NO",
NOT(ISBLANK(Cartera1017[[#This Row],[ESTADO NO DEVUELTOS 27]]))
),
"PRE",
"POST"
)</f>
        <v>PRE</v>
      </c>
      <c r="CE73" s="54" t="s">
        <v>509</v>
      </c>
      <c r="CF73" s="28" t="s">
        <v>48</v>
      </c>
      <c r="CG7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7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7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0.13793103448275862</v>
      </c>
      <c r="CJ73" s="406">
        <f>Cartera1017[[#This Row],[Porcentaje de Avance]]</f>
        <v>0.15</v>
      </c>
      <c r="CK73" s="388">
        <f ca="1">IF(
   OR(
     Cartera1017[[#This Row],[Estado TI]]="09. Descartado",
     Cartera1017[[#This Row],[Comienzo Desarrollo]]="",
     Cartera1017[[#This Row],[Fin Producción]]=""
   ),
   "",
   Cartera1017[[#This Row],[% PLANIFICADO]]-Cartera1017[[#This Row],[% COMPLETADO]]
)</f>
        <v>-1.2068965517241376E-2</v>
      </c>
      <c r="CL73" s="388">
        <f ca="1">IF(
   OR(
     Cartera1017[[#This Row],[Estado TI]]="09. Descartado",
     Cartera1017[[#This Row],[Comienzo Desarrollo]]="",
     Cartera1017[[#This Row],[Fin Producción]]="",
     Cartera1017[[#This Row],[% PLANIFICADO]]=0
   ),
   "",
   MIN(Cartera1017[[#This Row],[% COMPLETADO]]/Cartera1017[[#This Row],[% PLANIFICADO]],1.2)
)</f>
        <v>1.0874999999999999</v>
      </c>
      <c r="CM73" s="377">
        <v>45958</v>
      </c>
      <c r="CN73" s="377">
        <v>46153</v>
      </c>
      <c r="CO73" s="377">
        <v>46195</v>
      </c>
      <c r="CP73" s="377">
        <v>46196</v>
      </c>
      <c r="CQ73" s="377">
        <v>46227</v>
      </c>
      <c r="CR73" s="377">
        <v>46230</v>
      </c>
      <c r="CS73" s="377">
        <v>46237</v>
      </c>
      <c r="CT73" s="44">
        <f>IF(Cartera1017[[#This Row],[Fin Desarrollo]]="",25,IFERROR(NETWORKDAYS(Cartera1017[[#This Row],[Comienzo Desarrollo]],Cartera1017[[#This Row],[Fin Desarrollo]],FERIADOS[Fecha]),""))</f>
        <v>31</v>
      </c>
      <c r="CU7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0.22580645161290322</v>
      </c>
      <c r="CV73" s="44">
        <f>IF(OR(Cartera1017[[#This Row],[Comienzo Desarrollo]]="",Cartera1017[[#This Row],[Fin Desarrollo]]=""),200,IFERROR(Cartera1017[[#This Row],[DURACIÓN DESARROLLO DIAS]]*VLOOKUP(Cartera1017[[#This Row],[ID Mantenimiento]],MANT_HORAS[],2,FALSE),200))</f>
        <v>173.6</v>
      </c>
      <c r="CW73" s="110"/>
      <c r="CX73" s="110" t="str">
        <f>VLOOKUP(Cartera1017[[#This Row],[Estado TI]],Definiciones!$A$549:$B$559,2,FALSE)</f>
        <v>1. DESARROLLO</v>
      </c>
      <c r="CY73" s="28">
        <f ca="1">1-Cartera1017[[#This Row],[Porcentaje avanzado desarrollo]]</f>
        <v>0.77419354838709675</v>
      </c>
      <c r="CZ7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DA73" s="28">
        <f ca="1">MAX(0,Cartera1017[[#This Row],[DURACIÓN DESARROLLO DIAS]]-Cartera1017[[#This Row],[Dias avanzados]])</f>
        <v>24</v>
      </c>
      <c r="DB73" s="28">
        <f ca="1">Cartera1017[[#This Row],[Dias avanzados]]*IFERROR(VLOOKUP(Cartera1017[[#This Row],[ID Mantenimiento]],MANT_HORAS[],2,FALSE),8)</f>
        <v>39.199999999999996</v>
      </c>
      <c r="DC73" s="28">
        <f ca="1">Cartera1017[[#This Row],[Dias faltantes]]*IFERROR(VLOOKUP(Cartera1017[[#This Row],[ID Mantenimiento]],MANT_HORAS[],2,FALSE),8)</f>
        <v>134.39999999999998</v>
      </c>
      <c r="DD73" s="28" t="str">
        <f>IF(Cartera1017[[#This Row],[Fin Producción]]=0,"Por definir",CONCATENATE(YEAR(Cartera1017[[#This Row],[Fin Producción]]),"-",ROUNDUP(MONTH(Cartera1017[[#This Row],[Fin Producción]]),0)))</f>
        <v>2026-8</v>
      </c>
      <c r="DE73" s="18" t="s">
        <v>510</v>
      </c>
      <c r="DF73" s="28"/>
      <c r="DG73" s="28"/>
      <c r="DH73" s="565"/>
    </row>
    <row r="74" spans="1:112" ht="44.25" hidden="1" customHeight="1">
      <c r="A74" s="229" t="s">
        <v>1131</v>
      </c>
      <c r="B74" s="18">
        <v>2696</v>
      </c>
      <c r="C74" s="18" t="s">
        <v>485</v>
      </c>
      <c r="D74" s="18" t="s">
        <v>1132</v>
      </c>
      <c r="E74" s="18" t="s">
        <v>180</v>
      </c>
      <c r="F74" s="33" t="s">
        <v>181</v>
      </c>
      <c r="G74" s="19"/>
      <c r="H74" s="18" t="s">
        <v>108</v>
      </c>
      <c r="I74" s="18" t="s">
        <v>811</v>
      </c>
      <c r="J74" s="18" t="s">
        <v>500</v>
      </c>
      <c r="K74" s="20"/>
      <c r="L74" s="50" t="s">
        <v>528</v>
      </c>
      <c r="M74" s="50" t="s">
        <v>703</v>
      </c>
      <c r="N74" s="50"/>
      <c r="O74" s="18" t="s">
        <v>530</v>
      </c>
      <c r="P74" s="18" t="s">
        <v>495</v>
      </c>
      <c r="Q74" s="18" t="s">
        <v>496</v>
      </c>
      <c r="R74" s="18" t="s">
        <v>497</v>
      </c>
      <c r="S74" s="18"/>
      <c r="T74" s="18"/>
      <c r="U74" s="18"/>
      <c r="V74" s="18"/>
      <c r="W74" s="18"/>
      <c r="X74" s="18"/>
      <c r="Y74" s="80"/>
      <c r="Z74" s="18" t="s">
        <v>532</v>
      </c>
      <c r="AA74" s="20">
        <v>45747</v>
      </c>
      <c r="AB74" s="18" t="s">
        <v>500</v>
      </c>
      <c r="AC74" s="18"/>
      <c r="AD74" s="18" t="s">
        <v>133</v>
      </c>
      <c r="AE74" s="18" t="s">
        <v>109</v>
      </c>
      <c r="AF74" s="18" t="s">
        <v>53</v>
      </c>
      <c r="AG74" s="14" t="str">
        <f>VLOOKUP(AF74,Tabla3[[Estado Requerimiento]:[Macro estado]],2,FALSE)</f>
        <v>03. Culminado</v>
      </c>
      <c r="AH74" s="18"/>
      <c r="AI74" s="80">
        <v>45727</v>
      </c>
      <c r="AJ74" s="80"/>
      <c r="AK74" s="80">
        <v>45873</v>
      </c>
      <c r="AL74" s="80">
        <v>45938</v>
      </c>
      <c r="AM74" s="80">
        <v>45891</v>
      </c>
      <c r="AN74" s="80">
        <v>45950</v>
      </c>
      <c r="AO74" s="80">
        <v>46021</v>
      </c>
      <c r="AP74" s="81">
        <f t="shared" si="2"/>
        <v>45898.2</v>
      </c>
      <c r="AQ74" s="80">
        <v>46053</v>
      </c>
      <c r="AR74" s="80">
        <v>46091</v>
      </c>
      <c r="AS74" s="81">
        <f t="shared" si="3"/>
        <v>45905.2</v>
      </c>
      <c r="AT74" s="19" t="s">
        <v>1133</v>
      </c>
      <c r="AU74" s="44" t="str">
        <f>VLOOKUP(Cartera1017[[#This Row],[Gerencia]],tbGerencia[#All],3,FALSE)</f>
        <v>TI</v>
      </c>
      <c r="AV74" s="44" t="str">
        <f>IFERROR(VLOOKUP(Cartera1017[[#This Row],[Subgerencia]],Definiciones!$A$90:$B$144,2,FALSE),"")</f>
        <v>ConstrucciónAplicaciones</v>
      </c>
      <c r="AW74" s="44" t="str">
        <f>IF(OR(LEN(Cartera1017[[#This Row],[Fecha de Solicitud]])=0,(Cartera1017[[#This Row],[Fecha de Solicitud]])="No definido"),"No definido",IF(YEAR(Cartera1017[[#This Row],[Fecha de Solicitud]])&lt;2023," &lt;  2023",TEXT(Cartera1017[[#This Row],[Fecha de Solicitud]],"yyyy-mm")))</f>
        <v>No definido</v>
      </c>
      <c r="AX74" s="44" t="str">
        <f>IF(Cartera1017[[#This Row],[Fecha de Priorización Comité]]="","No definido",TEXT(Cartera1017[[#This Row],[Fecha de Priorización Comité]],"yyyy-mm"))</f>
        <v>2025-03</v>
      </c>
      <c r="AY74" s="44" t="str">
        <f>IF(Cartera1017[[#This Row],[Fecha Fin- Desarrollo]]="","No definido",TEXT(Cartera1017[[#This Row],[Fecha Fin- Desarrollo]],"yyyy-mm"))</f>
        <v>2025-10</v>
      </c>
      <c r="AZ74" s="44" t="str">
        <f>IF(Cartera1017[[#This Row],[Fecha Fin- Producción]]="","No definido",TEXT(Cartera1017[[#This Row],[Fecha Fin- Producción]],"yyyy-mm"))</f>
        <v>2026-03</v>
      </c>
      <c r="BA74" s="44" t="str">
        <f>IF(Cartera1017[[#This Row],[Fecha Fin-Planificada]]="","No definido",TEXT(Cartera1017[[#This Row],[Fecha Fin-Planificada]],"yyyy-mm"))</f>
        <v>2025-09</v>
      </c>
      <c r="BB74" s="33"/>
      <c r="BC74" s="66"/>
      <c r="BD74" s="66"/>
      <c r="BE74" s="66"/>
      <c r="BF74" s="127"/>
      <c r="BG74" s="28" t="s">
        <v>1044</v>
      </c>
      <c r="BH7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218</v>
      </c>
      <c r="BI74" s="90">
        <f>IF(ISNUMBER(Cartera1017[[#This Row],[Duracion en Dias]]),Cartera1017[[#This Row],[Duracion en Dias]]/30, "No Aplica")</f>
        <v>7.2666666666666666</v>
      </c>
      <c r="BJ74" s="109"/>
      <c r="BK74" s="28" t="s">
        <v>506</v>
      </c>
      <c r="BL74" s="110" t="s">
        <v>636</v>
      </c>
      <c r="BM74" s="342">
        <v>46091.63212962963</v>
      </c>
      <c r="BN74" s="227"/>
      <c r="BO74" s="401"/>
      <c r="BP74" s="401"/>
      <c r="BQ7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4" s="14" t="str">
        <f>IFERROR(VLOOKUP(Cartera1017[[#This Row],[Aplicativo]],Tabla76[],2,FALSE),"Sin Aplicativo")</f>
        <v>BackOffice</v>
      </c>
      <c r="BS74" s="14" t="str">
        <f>IFERROR(VLOOKUP(Cartera1017[[#This Row],[Aplicativo]],Tabla76[],3,FALSE),"Sin Aplicativo")</f>
        <v>Otros Requerimientos</v>
      </c>
      <c r="BT74" s="400" t="s">
        <v>521</v>
      </c>
      <c r="BU74" s="28"/>
      <c r="BV74" s="151" t="s">
        <v>1134</v>
      </c>
      <c r="BW7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7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4" s="97" t="str">
        <f ca="1">IF(Cartera1017[[#This Row],[Fecha Fin2]]="","No definido",CONCATENATE(TEXT(Cartera1017[[#This Row],[Fecha Fin2]],"mmm")," ",YEAR(Cartera1017[[#This Row],[Fecha Fin2]])))</f>
        <v>Mar 2026</v>
      </c>
      <c r="BZ74" s="28" t="s">
        <v>815</v>
      </c>
      <c r="CA74" s="48" t="str">
        <f>IF(Cartera1017[[#This Row],[Estado TI]] = "08. Producción Finalizada","Culminado",IF(Cartera1017[[#This Row],[Estado TI]]= "09. Descartado","Descartado","Activos"))</f>
        <v>Culminado</v>
      </c>
      <c r="CB74" s="28"/>
      <c r="CC7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74" s="54" t="str">
        <f>IF(
AND(
Cartera1017[[#This Row],[DEVOLVER 27]]="NO",
NOT(ISBLANK(Cartera1017[[#This Row],[ESTADO NO DEVUELTOS 27]]))
),
"PRE",
"POST"
)</f>
        <v>PRE</v>
      </c>
      <c r="CE74" s="54" t="s">
        <v>509</v>
      </c>
      <c r="CF74" s="28" t="s">
        <v>87</v>
      </c>
      <c r="CG7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7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74" s="406">
        <f>Cartera1017[[#This Row],[Porcentaje de Avance]]</f>
        <v>1</v>
      </c>
      <c r="CK74" s="388">
        <f ca="1">IF(
   OR(
     Cartera1017[[#This Row],[Estado TI]]="09. Descartado",
     Cartera1017[[#This Row],[Comienzo Desarrollo]]="",
     Cartera1017[[#This Row],[Fin Producción]]=""
   ),
   "",
   Cartera1017[[#This Row],[% PLANIFICADO]]-Cartera1017[[#This Row],[% COMPLETADO]]
)</f>
        <v>0</v>
      </c>
      <c r="CL74" s="388">
        <f ca="1">IF(
   OR(
     Cartera1017[[#This Row],[Estado TI]]="09. Descartado",
     Cartera1017[[#This Row],[Comienzo Desarrollo]]="",
     Cartera1017[[#This Row],[Fin Producción]]="",
     Cartera1017[[#This Row],[% PLANIFICADO]]=0
   ),
   "",
   MIN(Cartera1017[[#This Row],[% COMPLETADO]]/Cartera1017[[#This Row],[% PLANIFICADO]],1.2)
)</f>
        <v>1</v>
      </c>
      <c r="CM74" s="377">
        <v>45873</v>
      </c>
      <c r="CN74" s="423">
        <v>45873</v>
      </c>
      <c r="CO74" s="423">
        <v>45938</v>
      </c>
      <c r="CP74" s="423">
        <v>45950</v>
      </c>
      <c r="CQ74" s="423">
        <v>46021</v>
      </c>
      <c r="CR74" s="423">
        <v>46053</v>
      </c>
      <c r="CS74" s="377">
        <v>46108</v>
      </c>
      <c r="CT74" s="44">
        <f>IF(Cartera1017[[#This Row],[Fin Desarrollo]]="",25,IFERROR(NETWORKDAYS(Cartera1017[[#This Row],[Comienzo Desarrollo]],Cartera1017[[#This Row],[Fin Desarrollo]],FERIADOS[Fecha]),""))</f>
        <v>47</v>
      </c>
      <c r="CU7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74" s="44">
        <f>IF(OR(Cartera1017[[#This Row],[Comienzo Desarrollo]]="",Cartera1017[[#This Row],[Fin Desarrollo]]=""),200,IFERROR(Cartera1017[[#This Row],[DURACIÓN DESARROLLO DIAS]]*VLOOKUP(Cartera1017[[#This Row],[ID Mantenimiento]],MANT_HORAS[],2,FALSE),200))</f>
        <v>200</v>
      </c>
      <c r="CW74" s="110"/>
      <c r="CX74" s="110" t="str">
        <f>VLOOKUP(Cartera1017[[#This Row],[Estado TI]],Definiciones!$A$549:$B$559,2,FALSE)</f>
        <v>4. PRODUCCIÓN</v>
      </c>
      <c r="CY74" s="28">
        <f ca="1">1-Cartera1017[[#This Row],[Porcentaje avanzado desarrollo]]</f>
        <v>0</v>
      </c>
      <c r="CZ7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47</v>
      </c>
      <c r="DA74" s="28">
        <f ca="1">MAX(0,Cartera1017[[#This Row],[DURACIÓN DESARROLLO DIAS]]-Cartera1017[[#This Row],[Dias avanzados]])</f>
        <v>0</v>
      </c>
      <c r="DB74" s="28">
        <f ca="1">Cartera1017[[#This Row],[Dias avanzados]]*IFERROR(VLOOKUP(Cartera1017[[#This Row],[ID Mantenimiento]],MANT_HORAS[],2,FALSE),8)</f>
        <v>376</v>
      </c>
      <c r="DC74" s="28">
        <f ca="1">Cartera1017[[#This Row],[Dias faltantes]]*IFERROR(VLOOKUP(Cartera1017[[#This Row],[ID Mantenimiento]],MANT_HORAS[],2,FALSE),8)</f>
        <v>0</v>
      </c>
      <c r="DD74" s="28" t="str">
        <f>IF(Cartera1017[[#This Row],[Fin Producción]]=0,"Por definir",CONCATENATE(YEAR(Cartera1017[[#This Row],[Fin Producción]]),"-",ROUNDUP(MONTH(Cartera1017[[#This Row],[Fin Producción]]),0)))</f>
        <v>2026-3</v>
      </c>
      <c r="DE74" s="18" t="s">
        <v>510</v>
      </c>
      <c r="DF74" s="28"/>
      <c r="DG74" s="28"/>
      <c r="DH74" s="565"/>
    </row>
    <row r="75" spans="1:112" ht="44.25" hidden="1" customHeight="1">
      <c r="A75" s="229" t="s">
        <v>1135</v>
      </c>
      <c r="B75" s="18">
        <v>2698</v>
      </c>
      <c r="C75" s="18" t="s">
        <v>485</v>
      </c>
      <c r="D75" s="18" t="s">
        <v>1136</v>
      </c>
      <c r="E75" s="18" t="s">
        <v>182</v>
      </c>
      <c r="F75" s="33" t="s">
        <v>183</v>
      </c>
      <c r="G75" s="19"/>
      <c r="H75" s="18" t="s">
        <v>108</v>
      </c>
      <c r="I75" s="18" t="s">
        <v>811</v>
      </c>
      <c r="J75" s="18" t="s">
        <v>500</v>
      </c>
      <c r="K75" s="20"/>
      <c r="L75" s="50" t="s">
        <v>528</v>
      </c>
      <c r="M75" s="50" t="s">
        <v>703</v>
      </c>
      <c r="N75" s="50"/>
      <c r="O75" s="18" t="s">
        <v>530</v>
      </c>
      <c r="P75" s="18" t="s">
        <v>912</v>
      </c>
      <c r="Q75" s="18" t="s">
        <v>496</v>
      </c>
      <c r="R75" s="18" t="s">
        <v>497</v>
      </c>
      <c r="S75" s="18"/>
      <c r="T75" s="18"/>
      <c r="U75" s="18"/>
      <c r="V75" s="18"/>
      <c r="W75" s="18"/>
      <c r="X75" s="18"/>
      <c r="Y75" s="80"/>
      <c r="Z75" s="18" t="s">
        <v>532</v>
      </c>
      <c r="AA75" s="20">
        <v>45747</v>
      </c>
      <c r="AB75" s="18" t="s">
        <v>500</v>
      </c>
      <c r="AC75" s="18"/>
      <c r="AD75" s="18" t="s">
        <v>133</v>
      </c>
      <c r="AE75" s="18" t="s">
        <v>109</v>
      </c>
      <c r="AF75" s="18" t="s">
        <v>53</v>
      </c>
      <c r="AG75" s="14" t="str">
        <f>VLOOKUP(AF75,Tabla3[[Estado Requerimiento]:[Macro estado]],2,FALSE)</f>
        <v>03. Culminado</v>
      </c>
      <c r="AH75" s="18"/>
      <c r="AI75" s="80">
        <v>45720</v>
      </c>
      <c r="AJ75" s="80"/>
      <c r="AK75" s="80">
        <v>45873</v>
      </c>
      <c r="AL75" s="80">
        <v>45938</v>
      </c>
      <c r="AM75" s="80">
        <v>45891</v>
      </c>
      <c r="AN75" s="80">
        <v>45950</v>
      </c>
      <c r="AO75" s="80">
        <v>46021</v>
      </c>
      <c r="AP75" s="81">
        <f t="shared" si="2"/>
        <v>45898.2</v>
      </c>
      <c r="AQ75" s="80">
        <v>46052</v>
      </c>
      <c r="AR75" s="80">
        <v>46091</v>
      </c>
      <c r="AS75" s="81">
        <f t="shared" si="3"/>
        <v>45905.2</v>
      </c>
      <c r="AT75" s="19" t="s">
        <v>1133</v>
      </c>
      <c r="AU75" s="44" t="str">
        <f>VLOOKUP(Cartera1017[[#This Row],[Gerencia]],tbGerencia[#All],3,FALSE)</f>
        <v>TI</v>
      </c>
      <c r="AV75" s="44" t="str">
        <f>IFERROR(VLOOKUP(Cartera1017[[#This Row],[Subgerencia]],Definiciones!$A$90:$B$144,2,FALSE),"")</f>
        <v>ConstrucciónAplicaciones</v>
      </c>
      <c r="AW75" s="44" t="str">
        <f>IF(OR(LEN(Cartera1017[[#This Row],[Fecha de Solicitud]])=0,(Cartera1017[[#This Row],[Fecha de Solicitud]])="No definido"),"No definido",IF(YEAR(Cartera1017[[#This Row],[Fecha de Solicitud]])&lt;2023," &lt;  2023",TEXT(Cartera1017[[#This Row],[Fecha de Solicitud]],"yyyy-mm")))</f>
        <v>No definido</v>
      </c>
      <c r="AX75" s="44" t="str">
        <f>IF(Cartera1017[[#This Row],[Fecha de Priorización Comité]]="","No definido",TEXT(Cartera1017[[#This Row],[Fecha de Priorización Comité]],"yyyy-mm"))</f>
        <v>2025-03</v>
      </c>
      <c r="AY75" s="44" t="str">
        <f>IF(Cartera1017[[#This Row],[Fecha Fin- Desarrollo]]="","No definido",TEXT(Cartera1017[[#This Row],[Fecha Fin- Desarrollo]],"yyyy-mm"))</f>
        <v>2025-10</v>
      </c>
      <c r="AZ75" s="44" t="str">
        <f>IF(Cartera1017[[#This Row],[Fecha Fin- Producción]]="","No definido",TEXT(Cartera1017[[#This Row],[Fecha Fin- Producción]],"yyyy-mm"))</f>
        <v>2026-03</v>
      </c>
      <c r="BA75" s="44" t="str">
        <f>IF(Cartera1017[[#This Row],[Fecha Fin-Planificada]]="","No definido",TEXT(Cartera1017[[#This Row],[Fecha Fin-Planificada]],"yyyy-mm"))</f>
        <v>2025-09</v>
      </c>
      <c r="BB75" s="33"/>
      <c r="BC75" s="66"/>
      <c r="BD75" s="66"/>
      <c r="BE75" s="66"/>
      <c r="BF75" s="127"/>
      <c r="BG75" s="28" t="s">
        <v>1044</v>
      </c>
      <c r="BH7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218</v>
      </c>
      <c r="BI75" s="90">
        <f>IF(ISNUMBER(Cartera1017[[#This Row],[Duracion en Dias]]),Cartera1017[[#This Row],[Duracion en Dias]]/30, "No Aplica")</f>
        <v>7.2666666666666666</v>
      </c>
      <c r="BJ75" s="109"/>
      <c r="BK75" s="28" t="s">
        <v>506</v>
      </c>
      <c r="BL75" s="110" t="s">
        <v>636</v>
      </c>
      <c r="BM75" s="342">
        <v>46091.631388888891</v>
      </c>
      <c r="BN75" s="227"/>
      <c r="BO75" s="401"/>
      <c r="BP75" s="401"/>
      <c r="BQ7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5" s="14" t="str">
        <f>IFERROR(VLOOKUP(Cartera1017[[#This Row],[Aplicativo]],Tabla76[],2,FALSE),"Sin Aplicativo")</f>
        <v>BackOffice</v>
      </c>
      <c r="BS75" s="14" t="str">
        <f>IFERROR(VLOOKUP(Cartera1017[[#This Row],[Aplicativo]],Tabla76[],3,FALSE),"Sin Aplicativo")</f>
        <v>Otros Requerimientos</v>
      </c>
      <c r="BT75" s="400" t="s">
        <v>521</v>
      </c>
      <c r="BU75" s="28"/>
      <c r="BV75" s="151" t="s">
        <v>1134</v>
      </c>
      <c r="BW7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7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5" s="97" t="str">
        <f ca="1">IF(Cartera1017[[#This Row],[Fecha Fin2]]="","No definido",CONCATENATE(TEXT(Cartera1017[[#This Row],[Fecha Fin2]],"mmm")," ",YEAR(Cartera1017[[#This Row],[Fecha Fin2]])))</f>
        <v>Mar 2026</v>
      </c>
      <c r="BZ75" s="28" t="s">
        <v>815</v>
      </c>
      <c r="CA75" s="48" t="str">
        <f>IF(Cartera1017[[#This Row],[Estado TI]] = "08. Producción Finalizada","Culminado",IF(Cartera1017[[#This Row],[Estado TI]]= "09. Descartado","Descartado","Activos"))</f>
        <v>Culminado</v>
      </c>
      <c r="CB75" s="28"/>
      <c r="CC7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75" s="54" t="str">
        <f>IF(
AND(
Cartera1017[[#This Row],[DEVOLVER 27]]="NO",
NOT(ISBLANK(Cartera1017[[#This Row],[ESTADO NO DEVUELTOS 27]]))
),
"PRE",
"POST"
)</f>
        <v>PRE</v>
      </c>
      <c r="CE75" s="54" t="s">
        <v>509</v>
      </c>
      <c r="CF75" s="28" t="s">
        <v>87</v>
      </c>
      <c r="CG7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7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75" s="406">
        <f>Cartera1017[[#This Row],[Porcentaje de Avance]]</f>
        <v>1</v>
      </c>
      <c r="CK75" s="388">
        <f ca="1">IF(
   OR(
     Cartera1017[[#This Row],[Estado TI]]="09. Descartado",
     Cartera1017[[#This Row],[Comienzo Desarrollo]]="",
     Cartera1017[[#This Row],[Fin Producción]]=""
   ),
   "",
   Cartera1017[[#This Row],[% PLANIFICADO]]-Cartera1017[[#This Row],[% COMPLETADO]]
)</f>
        <v>0</v>
      </c>
      <c r="CL75" s="388">
        <f ca="1">IF(
   OR(
     Cartera1017[[#This Row],[Estado TI]]="09. Descartado",
     Cartera1017[[#This Row],[Comienzo Desarrollo]]="",
     Cartera1017[[#This Row],[Fin Producción]]="",
     Cartera1017[[#This Row],[% PLANIFICADO]]=0
   ),
   "",
   MIN(Cartera1017[[#This Row],[% COMPLETADO]]/Cartera1017[[#This Row],[% PLANIFICADO]],1.2)
)</f>
        <v>1</v>
      </c>
      <c r="CM75" s="377">
        <v>45873</v>
      </c>
      <c r="CN75" s="423">
        <v>45873</v>
      </c>
      <c r="CO75" s="423">
        <v>45938</v>
      </c>
      <c r="CP75" s="423">
        <v>45950</v>
      </c>
      <c r="CQ75" s="423">
        <v>46021</v>
      </c>
      <c r="CR75" s="423">
        <v>46052</v>
      </c>
      <c r="CS75" s="377">
        <v>46108</v>
      </c>
      <c r="CT75" s="44">
        <f>IF(Cartera1017[[#This Row],[Fin Desarrollo]]="",25,IFERROR(NETWORKDAYS(Cartera1017[[#This Row],[Comienzo Desarrollo]],Cartera1017[[#This Row],[Fin Desarrollo]],FERIADOS[Fecha]),""))</f>
        <v>47</v>
      </c>
      <c r="CU7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75" s="44">
        <f>IF(OR(Cartera1017[[#This Row],[Comienzo Desarrollo]]="",Cartera1017[[#This Row],[Fin Desarrollo]]=""),200,IFERROR(Cartera1017[[#This Row],[DURACIÓN DESARROLLO DIAS]]*VLOOKUP(Cartera1017[[#This Row],[ID Mantenimiento]],MANT_HORAS[],2,FALSE),200))</f>
        <v>200</v>
      </c>
      <c r="CW75" s="110"/>
      <c r="CX75" s="110" t="str">
        <f>VLOOKUP(Cartera1017[[#This Row],[Estado TI]],Definiciones!$A$549:$B$559,2,FALSE)</f>
        <v>4. PRODUCCIÓN</v>
      </c>
      <c r="CY75" s="28">
        <f ca="1">1-Cartera1017[[#This Row],[Porcentaje avanzado desarrollo]]</f>
        <v>0</v>
      </c>
      <c r="CZ7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47</v>
      </c>
      <c r="DA75" s="28">
        <f ca="1">MAX(0,Cartera1017[[#This Row],[DURACIÓN DESARROLLO DIAS]]-Cartera1017[[#This Row],[Dias avanzados]])</f>
        <v>0</v>
      </c>
      <c r="DB75" s="28">
        <f ca="1">Cartera1017[[#This Row],[Dias avanzados]]*IFERROR(VLOOKUP(Cartera1017[[#This Row],[ID Mantenimiento]],MANT_HORAS[],2,FALSE),8)</f>
        <v>376</v>
      </c>
      <c r="DC75" s="28">
        <f ca="1">Cartera1017[[#This Row],[Dias faltantes]]*IFERROR(VLOOKUP(Cartera1017[[#This Row],[ID Mantenimiento]],MANT_HORAS[],2,FALSE),8)</f>
        <v>0</v>
      </c>
      <c r="DD75" s="28" t="str">
        <f>IF(Cartera1017[[#This Row],[Fin Producción]]=0,"Por definir",CONCATENATE(YEAR(Cartera1017[[#This Row],[Fin Producción]]),"-",ROUNDUP(MONTH(Cartera1017[[#This Row],[Fin Producción]]),0)))</f>
        <v>2026-3</v>
      </c>
      <c r="DE75" s="18" t="s">
        <v>510</v>
      </c>
      <c r="DF75" s="28"/>
      <c r="DG75" s="28"/>
      <c r="DH75" s="565"/>
    </row>
    <row r="76" spans="1:112" ht="44.25" hidden="1" customHeight="1">
      <c r="A76" s="229" t="s">
        <v>1137</v>
      </c>
      <c r="B76" s="18">
        <v>2704</v>
      </c>
      <c r="C76" s="18" t="s">
        <v>485</v>
      </c>
      <c r="D76" s="18" t="s">
        <v>1138</v>
      </c>
      <c r="E76" s="18" t="s">
        <v>1139</v>
      </c>
      <c r="F76" s="33" t="s">
        <v>1140</v>
      </c>
      <c r="G76" s="19"/>
      <c r="H76" s="18" t="s">
        <v>40</v>
      </c>
      <c r="I76" s="18" t="s">
        <v>794</v>
      </c>
      <c r="J76" s="18" t="s">
        <v>795</v>
      </c>
      <c r="K76" s="20"/>
      <c r="L76" s="50" t="s">
        <v>528</v>
      </c>
      <c r="M76" s="50" t="s">
        <v>703</v>
      </c>
      <c r="N76" s="50"/>
      <c r="O76" s="18" t="s">
        <v>530</v>
      </c>
      <c r="P76" s="18" t="s">
        <v>1141</v>
      </c>
      <c r="Q76" s="18" t="s">
        <v>496</v>
      </c>
      <c r="R76" s="18" t="s">
        <v>531</v>
      </c>
      <c r="S76" s="18"/>
      <c r="T76" s="18"/>
      <c r="U76" s="18"/>
      <c r="V76" s="18" t="s">
        <v>495</v>
      </c>
      <c r="W76" s="18" t="s">
        <v>495</v>
      </c>
      <c r="X76" s="18" t="s">
        <v>495</v>
      </c>
      <c r="Y76" s="80" t="s">
        <v>495</v>
      </c>
      <c r="Z76" s="18" t="s">
        <v>532</v>
      </c>
      <c r="AA76" s="20">
        <v>45747</v>
      </c>
      <c r="AB76" s="18" t="s">
        <v>500</v>
      </c>
      <c r="AC76" s="18" t="s">
        <v>501</v>
      </c>
      <c r="AD76" s="18" t="s">
        <v>150</v>
      </c>
      <c r="AE76" s="18" t="s">
        <v>41</v>
      </c>
      <c r="AF76" s="18" t="s">
        <v>53</v>
      </c>
      <c r="AG76" s="14" t="str">
        <f>VLOOKUP(AF76,Tabla3[[Estado Requerimiento]:[Macro estado]],2,FALSE)</f>
        <v>03. Culminado</v>
      </c>
      <c r="AH76" s="18"/>
      <c r="AI76" s="80">
        <v>45712</v>
      </c>
      <c r="AJ76" s="80"/>
      <c r="AK76" s="80">
        <v>45712</v>
      </c>
      <c r="AL76" s="80"/>
      <c r="AM76" s="80"/>
      <c r="AN76" s="80"/>
      <c r="AO76" s="80"/>
      <c r="AP76" s="81" t="str">
        <f t="shared" si="2"/>
        <v/>
      </c>
      <c r="AQ76" s="80">
        <v>45856</v>
      </c>
      <c r="AR76" s="80">
        <v>46035</v>
      </c>
      <c r="AS76" s="81" t="str">
        <f t="shared" si="3"/>
        <v/>
      </c>
      <c r="AT76" s="19" t="s">
        <v>1142</v>
      </c>
      <c r="AU76" s="44" t="str">
        <f>VLOOKUP(Cartera1017[[#This Row],[Gerencia]],tbGerencia[#All],3,FALSE)</f>
        <v>Operac.</v>
      </c>
      <c r="AV76" s="44" t="str">
        <f>IFERROR(VLOOKUP(Cartera1017[[#This Row],[Subgerencia]],Definiciones!$A$90:$B$144,2,FALSE),"")</f>
        <v>Internacional</v>
      </c>
      <c r="AW76" s="44" t="str">
        <f>IF(OR(LEN(Cartera1017[[#This Row],[Fecha de Solicitud]])=0,(Cartera1017[[#This Row],[Fecha de Solicitud]])="No definido"),"No definido",IF(YEAR(Cartera1017[[#This Row],[Fecha de Solicitud]])&lt;2023," &lt;  2023",TEXT(Cartera1017[[#This Row],[Fecha de Solicitud]],"yyyy-mm")))</f>
        <v>No definido</v>
      </c>
      <c r="AX76" s="44" t="str">
        <f>IF(Cartera1017[[#This Row],[Fecha de Priorización Comité]]="","No definido",TEXT(Cartera1017[[#This Row],[Fecha de Priorización Comité]],"yyyy-mm"))</f>
        <v>2025-03</v>
      </c>
      <c r="AY76" s="44" t="str">
        <f>IF(Cartera1017[[#This Row],[Fecha Fin- Desarrollo]]="","No definido",TEXT(Cartera1017[[#This Row],[Fecha Fin- Desarrollo]],"yyyy-mm"))</f>
        <v>No definido</v>
      </c>
      <c r="AZ76" s="44" t="str">
        <f>IF(Cartera1017[[#This Row],[Fecha Fin- Producción]]="","No definido",TEXT(Cartera1017[[#This Row],[Fecha Fin- Producción]],"yyyy-mm"))</f>
        <v>2026-01</v>
      </c>
      <c r="BA76" s="44" t="str">
        <f>IF(Cartera1017[[#This Row],[Fecha Fin-Planificada]]="","No definido",TEXT(Cartera1017[[#This Row],[Fecha Fin-Planificada]],"yyyy-mm"))</f>
        <v>No definido</v>
      </c>
      <c r="BB76" s="33"/>
      <c r="BC76" s="66"/>
      <c r="BD76" s="66"/>
      <c r="BE76" s="66"/>
      <c r="BF76" s="127"/>
      <c r="BG76" s="28" t="s">
        <v>1044</v>
      </c>
      <c r="BH7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323</v>
      </c>
      <c r="BI76" s="90">
        <f>IF(ISNUMBER(Cartera1017[[#This Row],[Duracion en Dias]]),Cartera1017[[#This Row],[Duracion en Dias]]/30, "No Aplica")</f>
        <v>10.766666666666667</v>
      </c>
      <c r="BJ76" s="109"/>
      <c r="BK76" s="28" t="s">
        <v>506</v>
      </c>
      <c r="BL76" s="110" t="s">
        <v>636</v>
      </c>
      <c r="BM76" s="342">
        <v>46035.726064814815</v>
      </c>
      <c r="BN76" s="227"/>
      <c r="BO76" s="401"/>
      <c r="BP76" s="401"/>
      <c r="BQ7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6" s="14" t="str">
        <f>IFERROR(VLOOKUP(Cartera1017[[#This Row],[Aplicativo]],Tabla76[],2,FALSE),"Sin Aplicativo")</f>
        <v>BackOffice</v>
      </c>
      <c r="BS76" s="14" t="str">
        <f>IFERROR(VLOOKUP(Cartera1017[[#This Row],[Aplicativo]],Tabla76[],3,FALSE),"Sin Aplicativo")</f>
        <v>Otros Requerimientos</v>
      </c>
      <c r="BT76" s="400" t="s">
        <v>521</v>
      </c>
      <c r="BU76" s="28"/>
      <c r="BV76" s="33"/>
      <c r="BW7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7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6" s="97" t="str">
        <f ca="1">IF(Cartera1017[[#This Row],[Fecha Fin2]]="","No definido",CONCATENATE(TEXT(Cartera1017[[#This Row],[Fecha Fin2]],"mmm")," ",YEAR(Cartera1017[[#This Row],[Fecha Fin2]])))</f>
        <v>Ene 2026</v>
      </c>
      <c r="BZ76" s="28">
        <v>2025</v>
      </c>
      <c r="CA76" s="48" t="str">
        <f>IF(Cartera1017[[#This Row],[Estado TI]] = "08. Producción Finalizada","Culminado",IF(Cartera1017[[#This Row],[Estado TI]]= "09. Descartado","Descartado","Activos"))</f>
        <v>Culminado</v>
      </c>
      <c r="CB76" s="28"/>
      <c r="CC7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76" s="54" t="str">
        <f>IF(
AND(
Cartera1017[[#This Row],[DEVOLVER 27]]="NO",
NOT(ISBLANK(Cartera1017[[#This Row],[ESTADO NO DEVUELTOS 27]]))
),
"PRE",
"POST"
)</f>
        <v>PRE</v>
      </c>
      <c r="CE76" s="54" t="s">
        <v>509</v>
      </c>
      <c r="CF76" s="28" t="s">
        <v>35</v>
      </c>
      <c r="CG7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7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76" s="406">
        <f>Cartera1017[[#This Row],[Porcentaje de Avance]]</f>
        <v>1</v>
      </c>
      <c r="CK76" s="388">
        <f ca="1">IF(
   OR(
     Cartera1017[[#This Row],[Estado TI]]="09. Descartado",
     Cartera1017[[#This Row],[Comienzo Desarrollo]]="",
     Cartera1017[[#This Row],[Fin Producción]]=""
   ),
   "",
   Cartera1017[[#This Row],[% PLANIFICADO]]-Cartera1017[[#This Row],[% COMPLETADO]]
)</f>
        <v>0</v>
      </c>
      <c r="CL76" s="388">
        <f ca="1">IF(
   OR(
     Cartera1017[[#This Row],[Estado TI]]="09. Descartado",
     Cartera1017[[#This Row],[Comienzo Desarrollo]]="",
     Cartera1017[[#This Row],[Fin Producción]]="",
     Cartera1017[[#This Row],[% PLANIFICADO]]=0
   ),
   "",
   MIN(Cartera1017[[#This Row],[% COMPLETADO]]/Cartera1017[[#This Row],[% PLANIFICADO]],1.2)
)</f>
        <v>1</v>
      </c>
      <c r="CM76" s="377">
        <v>45712</v>
      </c>
      <c r="CN76" s="377">
        <v>45712</v>
      </c>
      <c r="CO76" s="377" t="s">
        <v>1143</v>
      </c>
      <c r="CP76" s="377" t="s">
        <v>1143</v>
      </c>
      <c r="CQ76" s="377" t="s">
        <v>1143</v>
      </c>
      <c r="CR76" s="377">
        <v>45856</v>
      </c>
      <c r="CS76" s="377">
        <v>46035</v>
      </c>
      <c r="CT76" s="44">
        <f>IF(Cartera1017[[#This Row],[Fin Desarrollo]]="",25,IFERROR(NETWORKDAYS(Cartera1017[[#This Row],[Comienzo Desarrollo]],Cartera1017[[#This Row],[Fin Desarrollo]],FERIADOS[Fecha]),""))</f>
        <v>25</v>
      </c>
      <c r="CU7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76" s="44">
        <f>IF(OR(Cartera1017[[#This Row],[Comienzo Desarrollo]]="",Cartera1017[[#This Row],[Fin Desarrollo]]=""),200,IFERROR(Cartera1017[[#This Row],[DURACIÓN DESARROLLO DIAS]]*VLOOKUP(Cartera1017[[#This Row],[ID Mantenimiento]],MANT_HORAS[],2,FALSE),200))</f>
        <v>200</v>
      </c>
      <c r="CW76" s="110"/>
      <c r="CX76" s="110" t="str">
        <f>VLOOKUP(Cartera1017[[#This Row],[Estado TI]],Definiciones!$A$549:$B$559,2,FALSE)</f>
        <v>4. PRODUCCIÓN</v>
      </c>
      <c r="CY76" s="28">
        <f ca="1">1-Cartera1017[[#This Row],[Porcentaje avanzado desarrollo]]</f>
        <v>0.9</v>
      </c>
      <c r="CZ7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76" s="28">
        <f ca="1">MAX(0,Cartera1017[[#This Row],[DURACIÓN DESARROLLO DIAS]]-Cartera1017[[#This Row],[Dias avanzados]])</f>
        <v>24</v>
      </c>
      <c r="DB76" s="28">
        <f ca="1">Cartera1017[[#This Row],[Dias avanzados]]*IFERROR(VLOOKUP(Cartera1017[[#This Row],[ID Mantenimiento]],MANT_HORAS[],2,FALSE),8)</f>
        <v>8</v>
      </c>
      <c r="DC76" s="28">
        <f ca="1">Cartera1017[[#This Row],[Dias faltantes]]*IFERROR(VLOOKUP(Cartera1017[[#This Row],[ID Mantenimiento]],MANT_HORAS[],2,FALSE),8)</f>
        <v>192</v>
      </c>
      <c r="DD76" s="28" t="str">
        <f>IF(Cartera1017[[#This Row],[Fin Producción]]=0,"Por definir",CONCATENATE(YEAR(Cartera1017[[#This Row],[Fin Producción]]),"-",ROUNDUP(MONTH(Cartera1017[[#This Row],[Fin Producción]]),0)))</f>
        <v>2026-1</v>
      </c>
      <c r="DE76" s="18" t="s">
        <v>510</v>
      </c>
      <c r="DF76" s="28"/>
      <c r="DG76" s="28"/>
      <c r="DH76" s="565"/>
    </row>
    <row r="77" spans="1:112" ht="44.25" hidden="1" customHeight="1">
      <c r="A77" s="229" t="s">
        <v>1144</v>
      </c>
      <c r="B77" s="18">
        <v>2705</v>
      </c>
      <c r="C77" s="18" t="s">
        <v>485</v>
      </c>
      <c r="D77" s="18" t="s">
        <v>1145</v>
      </c>
      <c r="E77" s="18" t="s">
        <v>1146</v>
      </c>
      <c r="F77" s="33" t="s">
        <v>1147</v>
      </c>
      <c r="G77" s="19"/>
      <c r="H77" s="18" t="s">
        <v>33</v>
      </c>
      <c r="I77" s="18" t="s">
        <v>727</v>
      </c>
      <c r="J77" s="18" t="s">
        <v>1148</v>
      </c>
      <c r="K77" s="20"/>
      <c r="L77" s="50" t="s">
        <v>528</v>
      </c>
      <c r="M77" s="50" t="s">
        <v>1149</v>
      </c>
      <c r="N77" s="50"/>
      <c r="O77" s="18" t="s">
        <v>548</v>
      </c>
      <c r="P77" s="18" t="s">
        <v>1077</v>
      </c>
      <c r="Q77" s="18" t="s">
        <v>496</v>
      </c>
      <c r="R77" s="18" t="s">
        <v>497</v>
      </c>
      <c r="S77" s="18"/>
      <c r="T77" s="18"/>
      <c r="U77" s="18"/>
      <c r="V77" s="18"/>
      <c r="W77" s="18"/>
      <c r="X77" s="18"/>
      <c r="Y77" s="80"/>
      <c r="Z77" s="18" t="s">
        <v>532</v>
      </c>
      <c r="AA77" s="20">
        <v>45747</v>
      </c>
      <c r="AB77" s="18" t="s">
        <v>500</v>
      </c>
      <c r="AC77" s="18" t="s">
        <v>558</v>
      </c>
      <c r="AD77" s="18" t="s">
        <v>150</v>
      </c>
      <c r="AE77" s="18" t="s">
        <v>34</v>
      </c>
      <c r="AF77" s="18" t="s">
        <v>53</v>
      </c>
      <c r="AG77" s="14" t="str">
        <f>VLOOKUP(AF77,Tabla3[[Estado Requerimiento]:[Macro estado]],2,FALSE)</f>
        <v>03. Culminado</v>
      </c>
      <c r="AH77" s="18"/>
      <c r="AI77" s="80">
        <v>45719</v>
      </c>
      <c r="AJ77" s="80"/>
      <c r="AK77" s="80">
        <v>45719</v>
      </c>
      <c r="AL77" s="80">
        <v>45862</v>
      </c>
      <c r="AM77" s="80"/>
      <c r="AN77" s="80">
        <v>45900</v>
      </c>
      <c r="AO77" s="80">
        <v>45926</v>
      </c>
      <c r="AP77" s="81">
        <f t="shared" si="2"/>
        <v>45919.199999999997</v>
      </c>
      <c r="AQ77" s="80">
        <v>46041</v>
      </c>
      <c r="AR77" s="80">
        <v>46043</v>
      </c>
      <c r="AS77" s="81">
        <f t="shared" si="3"/>
        <v>45926.2</v>
      </c>
      <c r="AT77" s="19" t="s">
        <v>1150</v>
      </c>
      <c r="AU77" s="44" t="str">
        <f>VLOOKUP(Cartera1017[[#This Row],[Gerencia]],tbGerencia[#All],3,FALSE)</f>
        <v>Productos</v>
      </c>
      <c r="AV77" s="44" t="str">
        <f>IFERROR(VLOOKUP(Cartera1017[[#This Row],[Subgerencia]],Definiciones!$A$90:$B$144,2,FALSE),"")</f>
        <v>BancaPersonal</v>
      </c>
      <c r="AW77" s="44" t="str">
        <f>IF(OR(LEN(Cartera1017[[#This Row],[Fecha de Solicitud]])=0,(Cartera1017[[#This Row],[Fecha de Solicitud]])="No definido"),"No definido",IF(YEAR(Cartera1017[[#This Row],[Fecha de Solicitud]])&lt;2023," &lt;  2023",TEXT(Cartera1017[[#This Row],[Fecha de Solicitud]],"yyyy-mm")))</f>
        <v>No definido</v>
      </c>
      <c r="AX77" s="44" t="str">
        <f>IF(Cartera1017[[#This Row],[Fecha de Priorización Comité]]="","No definido",TEXT(Cartera1017[[#This Row],[Fecha de Priorización Comité]],"yyyy-mm"))</f>
        <v>2025-03</v>
      </c>
      <c r="AY77" s="44" t="str">
        <f>IF(Cartera1017[[#This Row],[Fecha Fin- Desarrollo]]="","No definido",TEXT(Cartera1017[[#This Row],[Fecha Fin- Desarrollo]],"yyyy-mm"))</f>
        <v>2025-07</v>
      </c>
      <c r="AZ77" s="44" t="str">
        <f>IF(Cartera1017[[#This Row],[Fecha Fin- Producción]]="","No definido",TEXT(Cartera1017[[#This Row],[Fecha Fin- Producción]],"yyyy-mm"))</f>
        <v>2026-01</v>
      </c>
      <c r="BA77" s="44" t="str">
        <f>IF(Cartera1017[[#This Row],[Fecha Fin-Planificada]]="","No definido",TEXT(Cartera1017[[#This Row],[Fecha Fin-Planificada]],"yyyy-mm"))</f>
        <v>2025-09</v>
      </c>
      <c r="BB77" s="33"/>
      <c r="BC77" s="66"/>
      <c r="BD77" s="66"/>
      <c r="BE77" s="66"/>
      <c r="BF77" s="127"/>
      <c r="BG77" s="28" t="s">
        <v>1044</v>
      </c>
      <c r="BH7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324</v>
      </c>
      <c r="BI77" s="90">
        <f>IF(ISNUMBER(Cartera1017[[#This Row],[Duracion en Dias]]),Cartera1017[[#This Row],[Duracion en Dias]]/30, "No Aplica")</f>
        <v>10.8</v>
      </c>
      <c r="BJ77" s="109"/>
      <c r="BK77" s="28" t="s">
        <v>506</v>
      </c>
      <c r="BL77" s="110" t="s">
        <v>536</v>
      </c>
      <c r="BM77" s="342">
        <v>46043.479305555556</v>
      </c>
      <c r="BN77" s="227"/>
      <c r="BO77" s="401"/>
      <c r="BP77" s="401"/>
      <c r="BQ7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7" s="14" t="str">
        <f>IFERROR(VLOOKUP(Cartera1017[[#This Row],[Aplicativo]],Tabla76[],2,FALSE),"Sin Aplicativo")</f>
        <v>Préstamos Multired</v>
      </c>
      <c r="BS77" s="14" t="str">
        <f>IFERROR(VLOOKUP(Cartera1017[[#This Row],[Aplicativo]],Tabla76[],3,FALSE),"Sin Aplicativo")</f>
        <v>Productos</v>
      </c>
      <c r="BT77" s="400" t="s">
        <v>521</v>
      </c>
      <c r="BU77" s="28"/>
      <c r="BV77" s="33"/>
      <c r="BW7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7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7" s="97" t="str">
        <f ca="1">IF(Cartera1017[[#This Row],[Fecha Fin2]]="","No definido",CONCATENATE(TEXT(Cartera1017[[#This Row],[Fecha Fin2]],"mmm")," ",YEAR(Cartera1017[[#This Row],[Fecha Fin2]])))</f>
        <v>Ene 2026</v>
      </c>
      <c r="BZ77" s="28">
        <v>2025</v>
      </c>
      <c r="CA77" s="48" t="str">
        <f>IF(Cartera1017[[#This Row],[Estado TI]] = "08. Producción Finalizada","Culminado",IF(Cartera1017[[#This Row],[Estado TI]]= "09. Descartado","Descartado","Activos"))</f>
        <v>Culminado</v>
      </c>
      <c r="CB77" s="28"/>
      <c r="CC7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77" s="54" t="str">
        <f>IF(
AND(
Cartera1017[[#This Row],[DEVOLVER 27]]="NO",
NOT(ISBLANK(Cartera1017[[#This Row],[ESTADO NO DEVUELTOS 27]]))
),
"PRE",
"POST"
)</f>
        <v>PRE</v>
      </c>
      <c r="CE77" s="54" t="s">
        <v>509</v>
      </c>
      <c r="CF77" s="28" t="s">
        <v>42</v>
      </c>
      <c r="CG7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7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77" s="406">
        <f>Cartera1017[[#This Row],[Porcentaje de Avance]]</f>
        <v>1</v>
      </c>
      <c r="CK77" s="388">
        <f ca="1">IF(
   OR(
     Cartera1017[[#This Row],[Estado TI]]="09. Descartado",
     Cartera1017[[#This Row],[Comienzo Desarrollo]]="",
     Cartera1017[[#This Row],[Fin Producción]]=""
   ),
   "",
   Cartera1017[[#This Row],[% PLANIFICADO]]-Cartera1017[[#This Row],[% COMPLETADO]]
)</f>
        <v>0</v>
      </c>
      <c r="CL77" s="388">
        <f ca="1">IF(
   OR(
     Cartera1017[[#This Row],[Estado TI]]="09. Descartado",
     Cartera1017[[#This Row],[Comienzo Desarrollo]]="",
     Cartera1017[[#This Row],[Fin Producción]]="",
     Cartera1017[[#This Row],[% PLANIFICADO]]=0
   ),
   "",
   MIN(Cartera1017[[#This Row],[% COMPLETADO]]/Cartera1017[[#This Row],[% PLANIFICADO]],1.2)
)</f>
        <v>1</v>
      </c>
      <c r="CM77" s="377">
        <v>45719</v>
      </c>
      <c r="CN77" s="377">
        <v>45719</v>
      </c>
      <c r="CO77" s="377">
        <v>45862</v>
      </c>
      <c r="CP77" s="377">
        <v>45900</v>
      </c>
      <c r="CQ77" s="377">
        <v>45926</v>
      </c>
      <c r="CR77" s="377">
        <v>46041</v>
      </c>
      <c r="CS77" s="377">
        <v>46043</v>
      </c>
      <c r="CT77" s="44">
        <f>IF(Cartera1017[[#This Row],[Fin Desarrollo]]="",25,IFERROR(NETWORKDAYS(Cartera1017[[#This Row],[Comienzo Desarrollo]],Cartera1017[[#This Row],[Fin Desarrollo]],FERIADOS[Fecha]),""))</f>
        <v>103</v>
      </c>
      <c r="CU7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77" s="44">
        <f>IF(OR(Cartera1017[[#This Row],[Comienzo Desarrollo]]="",Cartera1017[[#This Row],[Fin Desarrollo]]=""),200,IFERROR(Cartera1017[[#This Row],[DURACIÓN DESARROLLO DIAS]]*VLOOKUP(Cartera1017[[#This Row],[ID Mantenimiento]],MANT_HORAS[],2,FALSE),200))</f>
        <v>200</v>
      </c>
      <c r="CW77" s="110"/>
      <c r="CX77" s="110" t="str">
        <f>VLOOKUP(Cartera1017[[#This Row],[Estado TI]],Definiciones!$A$549:$B$559,2,FALSE)</f>
        <v>4. PRODUCCIÓN</v>
      </c>
      <c r="CY77" s="28">
        <f ca="1">1-Cartera1017[[#This Row],[Porcentaje avanzado desarrollo]]</f>
        <v>0</v>
      </c>
      <c r="CZ7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103</v>
      </c>
      <c r="DA77" s="28">
        <f ca="1">MAX(0,Cartera1017[[#This Row],[DURACIÓN DESARROLLO DIAS]]-Cartera1017[[#This Row],[Dias avanzados]])</f>
        <v>0</v>
      </c>
      <c r="DB77" s="28">
        <f ca="1">Cartera1017[[#This Row],[Dias avanzados]]*IFERROR(VLOOKUP(Cartera1017[[#This Row],[ID Mantenimiento]],MANT_HORAS[],2,FALSE),8)</f>
        <v>824</v>
      </c>
      <c r="DC77" s="28">
        <f ca="1">Cartera1017[[#This Row],[Dias faltantes]]*IFERROR(VLOOKUP(Cartera1017[[#This Row],[ID Mantenimiento]],MANT_HORAS[],2,FALSE),8)</f>
        <v>0</v>
      </c>
      <c r="DD77" s="28" t="str">
        <f>IF(Cartera1017[[#This Row],[Fin Producción]]=0,"Por definir",CONCATENATE(YEAR(Cartera1017[[#This Row],[Fin Producción]]),"-",ROUNDUP(MONTH(Cartera1017[[#This Row],[Fin Producción]]),0)))</f>
        <v>2026-1</v>
      </c>
      <c r="DE77" s="18" t="s">
        <v>510</v>
      </c>
      <c r="DF77" s="28"/>
      <c r="DG77" s="28"/>
      <c r="DH77" s="565"/>
    </row>
    <row r="78" spans="1:112" ht="44.25" hidden="1" customHeight="1">
      <c r="A78" s="229" t="s">
        <v>1151</v>
      </c>
      <c r="B78" s="18">
        <v>2234</v>
      </c>
      <c r="C78" s="18" t="s">
        <v>485</v>
      </c>
      <c r="D78" s="18" t="s">
        <v>1152</v>
      </c>
      <c r="E78" s="18" t="s">
        <v>184</v>
      </c>
      <c r="F78" s="33" t="s">
        <v>185</v>
      </c>
      <c r="G78" s="19"/>
      <c r="H78" s="18" t="s">
        <v>40</v>
      </c>
      <c r="I78" s="18" t="s">
        <v>490</v>
      </c>
      <c r="J78" s="18" t="s">
        <v>662</v>
      </c>
      <c r="K78" s="20">
        <v>45336</v>
      </c>
      <c r="L78" s="50" t="s">
        <v>1153</v>
      </c>
      <c r="M78" s="50" t="s">
        <v>820</v>
      </c>
      <c r="N78" s="50"/>
      <c r="O78" s="18" t="s">
        <v>712</v>
      </c>
      <c r="P78" s="18" t="s">
        <v>495</v>
      </c>
      <c r="Q78" s="18" t="s">
        <v>942</v>
      </c>
      <c r="R78" s="18" t="s">
        <v>497</v>
      </c>
      <c r="S78" s="18"/>
      <c r="T78" s="18" t="s">
        <v>495</v>
      </c>
      <c r="U78" s="18" t="s">
        <v>495</v>
      </c>
      <c r="V78" s="18" t="s">
        <v>495</v>
      </c>
      <c r="W78" s="18" t="s">
        <v>495</v>
      </c>
      <c r="X78" s="18" t="s">
        <v>495</v>
      </c>
      <c r="Y78" s="80" t="s">
        <v>495</v>
      </c>
      <c r="Z78" s="18" t="s">
        <v>499</v>
      </c>
      <c r="AA78" s="20">
        <v>45747</v>
      </c>
      <c r="AB78" s="18" t="s">
        <v>500</v>
      </c>
      <c r="AC78" s="18" t="s">
        <v>558</v>
      </c>
      <c r="AD78" s="18" t="s">
        <v>139</v>
      </c>
      <c r="AE78" s="18" t="s">
        <v>41</v>
      </c>
      <c r="AF78" s="18" t="s">
        <v>28</v>
      </c>
      <c r="AG78" s="14" t="str">
        <f>VLOOKUP(AF78,Tabla3[[Estado Requerimiento]:[Macro estado]],2,FALSE)</f>
        <v>04. Paralizado</v>
      </c>
      <c r="AH78" s="18" t="s">
        <v>659</v>
      </c>
      <c r="AI78" s="80">
        <v>45726</v>
      </c>
      <c r="AJ78" s="80">
        <v>45964</v>
      </c>
      <c r="AK78" s="80">
        <v>45748</v>
      </c>
      <c r="AL78" s="80"/>
      <c r="AM78" s="80"/>
      <c r="AN78" s="80"/>
      <c r="AO78" s="80"/>
      <c r="AP78" s="81" t="str">
        <f t="shared" si="2"/>
        <v/>
      </c>
      <c r="AQ78" s="80"/>
      <c r="AR78" s="80"/>
      <c r="AS78" s="81" t="str">
        <f t="shared" si="3"/>
        <v/>
      </c>
      <c r="AT78" s="19" t="s">
        <v>1154</v>
      </c>
      <c r="AU78" s="44" t="str">
        <f>VLOOKUP(Cartera1017[[#This Row],[Gerencia]],tbGerencia[#All],3,FALSE)</f>
        <v>Operac.</v>
      </c>
      <c r="AV78" s="44" t="str">
        <f>IFERROR(VLOOKUP(Cartera1017[[#This Row],[Subgerencia]],Definiciones!$A$90:$B$144,2,FALSE),"")</f>
        <v>BancariosRecaudación</v>
      </c>
      <c r="AW78" s="44" t="str">
        <f>IF(OR(LEN(Cartera1017[[#This Row],[Fecha de Solicitud]])=0,(Cartera1017[[#This Row],[Fecha de Solicitud]])="No definido"),"No definido",IF(YEAR(Cartera1017[[#This Row],[Fecha de Solicitud]])&lt;2023," &lt;  2023",TEXT(Cartera1017[[#This Row],[Fecha de Solicitud]],"yyyy-mm")))</f>
        <v>2024-02</v>
      </c>
      <c r="AX78" s="44" t="str">
        <f>IF(Cartera1017[[#This Row],[Fecha de Priorización Comité]]="","No definido",TEXT(Cartera1017[[#This Row],[Fecha de Priorización Comité]],"yyyy-mm"))</f>
        <v>2025-03</v>
      </c>
      <c r="AY78" s="44" t="str">
        <f>IF(Cartera1017[[#This Row],[Fecha Fin- Desarrollo]]="","No definido",TEXT(Cartera1017[[#This Row],[Fecha Fin- Desarrollo]],"yyyy-mm"))</f>
        <v>No definido</v>
      </c>
      <c r="AZ78" s="44" t="str">
        <f>IF(Cartera1017[[#This Row],[Fecha Fin- Producción]]="","No definido",TEXT(Cartera1017[[#This Row],[Fecha Fin- Producción]],"yyyy-mm"))</f>
        <v>No definido</v>
      </c>
      <c r="BA78" s="44" t="str">
        <f>IF(Cartera1017[[#This Row],[Fecha Fin-Planificada]]="","No definido",TEXT(Cartera1017[[#This Row],[Fecha Fin-Planificada]],"yyyy-mm"))</f>
        <v>No definido</v>
      </c>
      <c r="BB78" s="33"/>
      <c r="BC78" s="66"/>
      <c r="BD78" s="66"/>
      <c r="BE78" s="66"/>
      <c r="BF78" s="127"/>
      <c r="BG78" s="28" t="s">
        <v>1044</v>
      </c>
      <c r="BH7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8" s="90" t="str">
        <f>IF(ISNUMBER(Cartera1017[[#This Row],[Duracion en Dias]]),Cartera1017[[#This Row],[Duracion en Dias]]/30, "No Aplica")</f>
        <v>No Aplica</v>
      </c>
      <c r="BJ78" s="109"/>
      <c r="BK78" s="28" t="s">
        <v>754</v>
      </c>
      <c r="BL78" s="110" t="s">
        <v>562</v>
      </c>
      <c r="BM78" s="342">
        <v>46031.445601851854</v>
      </c>
      <c r="BN78" s="227"/>
      <c r="BO78" s="401"/>
      <c r="BP78" s="401"/>
      <c r="BQ7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8" s="14" t="str">
        <f>IFERROR(VLOOKUP(Cartera1017[[#This Row],[Aplicativo]],Tabla76[],2,FALSE),"Sin Aplicativo")</f>
        <v>BackOffice</v>
      </c>
      <c r="BS78" s="14" t="str">
        <f>IFERROR(VLOOKUP(Cartera1017[[#This Row],[Aplicativo]],Tabla76[],3,FALSE),"Sin Aplicativo")</f>
        <v>Otros Requerimientos</v>
      </c>
      <c r="BT78" s="400" t="s">
        <v>521</v>
      </c>
      <c r="BU78" s="28"/>
      <c r="BV78" s="33" t="s">
        <v>1155</v>
      </c>
      <c r="BW7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8" s="149" t="str">
        <f ca="1">IF(Cartera1017[[#This Row],[Fecha Fin2]]="","No definido",CONCATENATE(TEXT(Cartera1017[[#This Row],[Fecha Fin2]],"mmm")," ",YEAR(Cartera1017[[#This Row],[Fecha Fin2]])))</f>
        <v>No definido</v>
      </c>
      <c r="BZ78" s="28">
        <v>2025</v>
      </c>
      <c r="CA78" s="48" t="str">
        <f>IF(Cartera1017[[#This Row],[Estado TI]] = "08. Producción Finalizada","Culminado",IF(Cartera1017[[#This Row],[Estado TI]]= "09. Descartado","Descartado","Activos"))</f>
        <v>Activos</v>
      </c>
      <c r="CB78" s="28"/>
      <c r="CC7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78" s="54" t="str">
        <f>IF(
AND(
Cartera1017[[#This Row],[DEVOLVER 27]]="NO",
NOT(ISBLANK(Cartera1017[[#This Row],[ESTADO NO DEVUELTOS 27]]))
),
"PRE",
"POST"
)</f>
        <v>PRE</v>
      </c>
      <c r="CE78" s="54" t="s">
        <v>509</v>
      </c>
      <c r="CF78" s="28" t="s">
        <v>48</v>
      </c>
      <c r="CG7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78"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78" s="406">
        <f>Cartera1017[[#This Row],[Porcentaje de Avance]]</f>
        <v>0.12</v>
      </c>
      <c r="CK78" s="388" t="str">
        <f>IF(
   OR(
     Cartera1017[[#This Row],[Estado TI]]="09. Descartado",
     Cartera1017[[#This Row],[Comienzo Desarrollo]]="",
     Cartera1017[[#This Row],[Fin Producción]]=""
   ),
   "",
   Cartera1017[[#This Row],[% PLANIFICADO]]-Cartera1017[[#This Row],[% COMPLETADO]]
)</f>
        <v/>
      </c>
      <c r="CL78" s="388" t="str">
        <f ca="1">IF(
   OR(
     Cartera1017[[#This Row],[Estado TI]]="09. Descartado",
     Cartera1017[[#This Row],[Comienzo Desarrollo]]="",
     Cartera1017[[#This Row],[Fin Producción]]="",
     Cartera1017[[#This Row],[% PLANIFICADO]]=0
   ),
   "",
   MIN(Cartera1017[[#This Row],[% COMPLETADO]]/Cartera1017[[#This Row],[% PLANIFICADO]],1.2)
)</f>
        <v/>
      </c>
      <c r="CM78" s="377"/>
      <c r="CN78" s="377"/>
      <c r="CO78" s="377"/>
      <c r="CP78" s="377"/>
      <c r="CQ78" s="377"/>
      <c r="CR78" s="377"/>
      <c r="CS78" s="377">
        <v>46356</v>
      </c>
      <c r="CT78" s="44">
        <f>IF(Cartera1017[[#This Row],[Fin Desarrollo]]="",25,IFERROR(NETWORKDAYS(Cartera1017[[#This Row],[Comienzo Desarrollo]],Cartera1017[[#This Row],[Fin Desarrollo]],FERIADOS[Fecha]),""))</f>
        <v>25</v>
      </c>
      <c r="CU7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78" s="44">
        <f>IF(OR(Cartera1017[[#This Row],[Comienzo Desarrollo]]="",Cartera1017[[#This Row],[Fin Desarrollo]]=""),200,IFERROR(Cartera1017[[#This Row],[DURACIÓN DESARROLLO DIAS]]*VLOOKUP(Cartera1017[[#This Row],[ID Mantenimiento]],MANT_HORAS[],2,FALSE),200))</f>
        <v>200</v>
      </c>
      <c r="CW78" s="110"/>
      <c r="CX78" s="110" t="str">
        <f>VLOOKUP(Cartera1017[[#This Row],[Estado TI]],Definiciones!$A$549:$B$559,2,FALSE)</f>
        <v>6. PARALIZADO</v>
      </c>
      <c r="CY78" s="28">
        <f ca="1">1-Cartera1017[[#This Row],[Porcentaje avanzado desarrollo]]</f>
        <v>0.9</v>
      </c>
      <c r="CZ7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78" s="28">
        <f ca="1">MAX(0,Cartera1017[[#This Row],[DURACIÓN DESARROLLO DIAS]]-Cartera1017[[#This Row],[Dias avanzados]])</f>
        <v>24</v>
      </c>
      <c r="DB78" s="28">
        <f ca="1">Cartera1017[[#This Row],[Dias avanzados]]*IFERROR(VLOOKUP(Cartera1017[[#This Row],[ID Mantenimiento]],MANT_HORAS[],2,FALSE),8)</f>
        <v>8</v>
      </c>
      <c r="DC78" s="28">
        <f ca="1">Cartera1017[[#This Row],[Dias faltantes]]*IFERROR(VLOOKUP(Cartera1017[[#This Row],[ID Mantenimiento]],MANT_HORAS[],2,FALSE),8)</f>
        <v>192</v>
      </c>
      <c r="DD78" s="28" t="str">
        <f>IF(Cartera1017[[#This Row],[Fin Producción]]=0,"Por definir",CONCATENATE(YEAR(Cartera1017[[#This Row],[Fin Producción]]),"-",ROUNDUP(MONTH(Cartera1017[[#This Row],[Fin Producción]]),0)))</f>
        <v>2026-11</v>
      </c>
      <c r="DE78" s="18" t="s">
        <v>510</v>
      </c>
      <c r="DF78" s="28"/>
      <c r="DG78" s="28"/>
      <c r="DH78" s="565"/>
    </row>
    <row r="79" spans="1:112" ht="44.25" customHeight="1">
      <c r="A79" s="229" t="s">
        <v>1156</v>
      </c>
      <c r="B79" s="18">
        <v>2638</v>
      </c>
      <c r="C79" s="18" t="s">
        <v>485</v>
      </c>
      <c r="D79" s="18" t="s">
        <v>1157</v>
      </c>
      <c r="E79" s="18" t="s">
        <v>186</v>
      </c>
      <c r="F79" s="19" t="s">
        <v>187</v>
      </c>
      <c r="G79" s="19"/>
      <c r="H79" s="18" t="s">
        <v>82</v>
      </c>
      <c r="I79" s="18" t="s">
        <v>700</v>
      </c>
      <c r="J79" s="18" t="s">
        <v>1158</v>
      </c>
      <c r="K79" s="20">
        <v>45674</v>
      </c>
      <c r="L79" s="50" t="s">
        <v>1159</v>
      </c>
      <c r="M79" s="50" t="s">
        <v>703</v>
      </c>
      <c r="N79" s="50"/>
      <c r="O79" s="18" t="s">
        <v>530</v>
      </c>
      <c r="P79" s="18" t="s">
        <v>731</v>
      </c>
      <c r="Q79" s="18" t="s">
        <v>496</v>
      </c>
      <c r="R79" s="18" t="s">
        <v>599</v>
      </c>
      <c r="S79" s="18" t="s">
        <v>599</v>
      </c>
      <c r="T79" s="18" t="s">
        <v>652</v>
      </c>
      <c r="U79" s="18" t="s">
        <v>1160</v>
      </c>
      <c r="V79" s="18"/>
      <c r="W79" s="18"/>
      <c r="X79" s="18"/>
      <c r="Y79" s="80"/>
      <c r="Z79" s="18" t="s">
        <v>499</v>
      </c>
      <c r="AA79" s="20">
        <v>45747</v>
      </c>
      <c r="AB79" s="18" t="s">
        <v>500</v>
      </c>
      <c r="AC79" s="18" t="s">
        <v>558</v>
      </c>
      <c r="AD79" s="18" t="s">
        <v>84</v>
      </c>
      <c r="AE79" s="18" t="s">
        <v>63</v>
      </c>
      <c r="AF79" s="18" t="s">
        <v>48</v>
      </c>
      <c r="AG79" s="14" t="str">
        <f>VLOOKUP(AF79,Tabla3[[Estado Requerimiento]:[Macro estado]],2,FALSE)</f>
        <v>02. En Proceso</v>
      </c>
      <c r="AH79" s="18"/>
      <c r="AI79" s="80">
        <v>45708</v>
      </c>
      <c r="AJ79" s="80"/>
      <c r="AK79" s="80">
        <v>45763</v>
      </c>
      <c r="AL79" s="80"/>
      <c r="AM79" s="80"/>
      <c r="AN79" s="80"/>
      <c r="AO79" s="80"/>
      <c r="AP79" s="81" t="str">
        <f t="shared" si="2"/>
        <v/>
      </c>
      <c r="AQ79" s="80"/>
      <c r="AR79" s="80"/>
      <c r="AS79" s="81" t="str">
        <f t="shared" si="3"/>
        <v/>
      </c>
      <c r="AT79" s="19" t="s">
        <v>1161</v>
      </c>
      <c r="AU79" s="44" t="str">
        <f>VLOOKUP(Cartera1017[[#This Row],[Gerencia]],tbGerencia[#All],3,FALSE)</f>
        <v>Riesgos</v>
      </c>
      <c r="AV79" s="44" t="str">
        <f>IFERROR(VLOOKUP(Cartera1017[[#This Row],[Subgerencia]],Definiciones!$A$90:$B$144,2,FALSE),"")</f>
        <v>CrediticiosFinancieros</v>
      </c>
      <c r="AW79" s="44" t="str">
        <f>IF(OR(LEN(Cartera1017[[#This Row],[Fecha de Solicitud]])=0,(Cartera1017[[#This Row],[Fecha de Solicitud]])="No definido"),"No definido",IF(YEAR(Cartera1017[[#This Row],[Fecha de Solicitud]])&lt;2023," &lt;  2023",TEXT(Cartera1017[[#This Row],[Fecha de Solicitud]],"yyyy-mm")))</f>
        <v>2025-01</v>
      </c>
      <c r="AX79" s="44" t="str">
        <f>IF(Cartera1017[[#This Row],[Fecha de Priorización Comité]]="","No definido",TEXT(Cartera1017[[#This Row],[Fecha de Priorización Comité]],"yyyy-mm"))</f>
        <v>2025-03</v>
      </c>
      <c r="AY79" s="44" t="str">
        <f>IF(Cartera1017[[#This Row],[Fecha Fin- Desarrollo]]="","No definido",TEXT(Cartera1017[[#This Row],[Fecha Fin- Desarrollo]],"yyyy-mm"))</f>
        <v>No definido</v>
      </c>
      <c r="AZ79" s="44" t="str">
        <f>IF(Cartera1017[[#This Row],[Fecha Fin- Producción]]="","No definido",TEXT(Cartera1017[[#This Row],[Fecha Fin- Producción]],"yyyy-mm"))</f>
        <v>No definido</v>
      </c>
      <c r="BA79" s="44" t="str">
        <f>IF(Cartera1017[[#This Row],[Fecha Fin-Planificada]]="","No definido",TEXT(Cartera1017[[#This Row],[Fecha Fin-Planificada]],"yyyy-mm"))</f>
        <v>No definido</v>
      </c>
      <c r="BB79" s="33"/>
      <c r="BC79" s="66"/>
      <c r="BD79" s="66"/>
      <c r="BE79" s="66"/>
      <c r="BF79" s="127"/>
      <c r="BG79" s="28" t="s">
        <v>1044</v>
      </c>
      <c r="BH7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9" s="90" t="str">
        <f>IF(ISNUMBER(Cartera1017[[#This Row],[Duracion en Dias]]),Cartera1017[[#This Row],[Duracion en Dias]]/30, "No Aplica")</f>
        <v>No Aplica</v>
      </c>
      <c r="BJ79" s="18" t="s">
        <v>1162</v>
      </c>
      <c r="BK79" s="28" t="s">
        <v>754</v>
      </c>
      <c r="BL79" s="110" t="s">
        <v>592</v>
      </c>
      <c r="BM79" s="342">
        <v>45763.37972222222</v>
      </c>
      <c r="BN79" s="227"/>
      <c r="BO79" s="401"/>
      <c r="BP79" s="401"/>
      <c r="BQ7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9" s="14" t="str">
        <f>IFERROR(VLOOKUP(Cartera1017[[#This Row],[Aplicativo]],Tabla76[],2,FALSE),"Sin Aplicativo")</f>
        <v>BackOffice</v>
      </c>
      <c r="BS79" s="14" t="str">
        <f>IFERROR(VLOOKUP(Cartera1017[[#This Row],[Aplicativo]],Tabla76[],3,FALSE),"Sin Aplicativo")</f>
        <v>Otros Requerimientos</v>
      </c>
      <c r="BT79" s="400" t="s">
        <v>521</v>
      </c>
      <c r="BU79" s="28"/>
      <c r="BV79" s="144" t="s">
        <v>1163</v>
      </c>
      <c r="BW7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9" s="149" t="str">
        <f ca="1">IF(Cartera1017[[#This Row],[Fecha Fin2]]="","No definido",CONCATENATE(TEXT(Cartera1017[[#This Row],[Fecha Fin2]],"mmm")," ",YEAR(Cartera1017[[#This Row],[Fecha Fin2]])))</f>
        <v>No definido</v>
      </c>
      <c r="BZ79" s="28" t="s">
        <v>815</v>
      </c>
      <c r="CA79" s="48" t="str">
        <f>IF(Cartera1017[[#This Row],[Estado TI]] = "08. Producción Finalizada","Culminado",IF(Cartera1017[[#This Row],[Estado TI]]= "09. Descartado","Descartado","Activos"))</f>
        <v>Activos</v>
      </c>
      <c r="CB79" s="28"/>
      <c r="CC7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79" s="54" t="str">
        <f>IF(
AND(
Cartera1017[[#This Row],[DEVOLVER 27]]="NO",
NOT(ISBLANK(Cartera1017[[#This Row],[ESTADO NO DEVUELTOS 27]]))
),
"PRE",
"POST"
)</f>
        <v>POST</v>
      </c>
      <c r="CE79" s="54" t="s">
        <v>523</v>
      </c>
      <c r="CF79" s="28" t="s">
        <v>524</v>
      </c>
      <c r="CG7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7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7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79" s="406">
        <f>Cartera1017[[#This Row],[Porcentaje de Avance]]</f>
        <v>0.15</v>
      </c>
      <c r="CK79" s="388">
        <f ca="1">IF(
   OR(
     Cartera1017[[#This Row],[Estado TI]]="09. Descartado",
     Cartera1017[[#This Row],[Comienzo Desarrollo]]="",
     Cartera1017[[#This Row],[Fin Producción]]=""
   ),
   "",
   Cartera1017[[#This Row],[% PLANIFICADO]]-Cartera1017[[#This Row],[% COMPLETADO]]
)</f>
        <v>-0.15</v>
      </c>
      <c r="CL79" s="388" t="str">
        <f ca="1">IF(
   OR(
     Cartera1017[[#This Row],[Estado TI]]="09. Descartado",
     Cartera1017[[#This Row],[Comienzo Desarrollo]]="",
     Cartera1017[[#This Row],[Fin Producción]]="",
     Cartera1017[[#This Row],[% PLANIFICADO]]=0
   ),
   "",
   MIN(Cartera1017[[#This Row],[% COMPLETADO]]/Cartera1017[[#This Row],[% PLANIFICADO]],1.2)
)</f>
        <v/>
      </c>
      <c r="CM79" s="377">
        <v>45964</v>
      </c>
      <c r="CN79" s="377">
        <v>46266</v>
      </c>
      <c r="CO79" s="377">
        <v>46310</v>
      </c>
      <c r="CP79" s="377">
        <v>46310</v>
      </c>
      <c r="CQ79" s="377">
        <v>46343</v>
      </c>
      <c r="CR79" s="377">
        <v>46343</v>
      </c>
      <c r="CS79" s="377">
        <v>46454</v>
      </c>
      <c r="CT79" s="44">
        <f>IF(Cartera1017[[#This Row],[Fin Desarrollo]]="",25,IFERROR(NETWORKDAYS(Cartera1017[[#This Row],[Comienzo Desarrollo]],Cartera1017[[#This Row],[Fin Desarrollo]],FERIADOS[Fecha]),""))</f>
        <v>32</v>
      </c>
      <c r="CU7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V79" s="44">
        <f>IF(OR(Cartera1017[[#This Row],[Comienzo Desarrollo]]="",Cartera1017[[#This Row],[Fin Desarrollo]]=""),200,IFERROR(Cartera1017[[#This Row],[DURACIÓN DESARROLLO DIAS]]*VLOOKUP(Cartera1017[[#This Row],[ID Mantenimiento]],MANT_HORAS[],2,FALSE),200))</f>
        <v>256</v>
      </c>
      <c r="CW79" s="110"/>
      <c r="CX79" s="110" t="str">
        <f>VLOOKUP(Cartera1017[[#This Row],[Estado TI]],Definiciones!$A$549:$B$559,2,FALSE)</f>
        <v>1. DESARROLLO</v>
      </c>
      <c r="CY79" s="28">
        <f ca="1">1-Cartera1017[[#This Row],[Porcentaje avanzado desarrollo]]</f>
        <v>1</v>
      </c>
      <c r="CZ7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79" s="28">
        <f ca="1">MAX(0,Cartera1017[[#This Row],[DURACIÓN DESARROLLO DIAS]]-Cartera1017[[#This Row],[Dias avanzados]])</f>
        <v>32</v>
      </c>
      <c r="DB79" s="28">
        <f ca="1">Cartera1017[[#This Row],[Dias avanzados]]*IFERROR(VLOOKUP(Cartera1017[[#This Row],[ID Mantenimiento]],MANT_HORAS[],2,FALSE),8)</f>
        <v>0</v>
      </c>
      <c r="DC79" s="28">
        <f ca="1">Cartera1017[[#This Row],[Dias faltantes]]*IFERROR(VLOOKUP(Cartera1017[[#This Row],[ID Mantenimiento]],MANT_HORAS[],2,FALSE),8)</f>
        <v>256</v>
      </c>
      <c r="DD79" s="28" t="str">
        <f>IF(Cartera1017[[#This Row],[Fin Producción]]=0,"Por definir",CONCATENATE(YEAR(Cartera1017[[#This Row],[Fin Producción]]),"-",ROUNDUP(MONTH(Cartera1017[[#This Row],[Fin Producción]]),0)))</f>
        <v>2027-3</v>
      </c>
      <c r="DE79" s="18" t="s">
        <v>510</v>
      </c>
      <c r="DF79" s="33" t="s">
        <v>1164</v>
      </c>
      <c r="DG79" s="28"/>
      <c r="DH79" s="565"/>
    </row>
    <row r="80" spans="1:112" ht="44.25" hidden="1" customHeight="1">
      <c r="A80" s="229" t="s">
        <v>1165</v>
      </c>
      <c r="B80" s="18">
        <v>2652</v>
      </c>
      <c r="C80" s="18" t="s">
        <v>485</v>
      </c>
      <c r="D80" s="18" t="s">
        <v>1166</v>
      </c>
      <c r="E80" s="18" t="s">
        <v>188</v>
      </c>
      <c r="F80" s="33" t="s">
        <v>189</v>
      </c>
      <c r="G80" s="19"/>
      <c r="H80" s="18" t="s">
        <v>59</v>
      </c>
      <c r="I80" s="18" t="s">
        <v>618</v>
      </c>
      <c r="J80" s="18" t="s">
        <v>619</v>
      </c>
      <c r="K80" s="20">
        <v>45716</v>
      </c>
      <c r="L80" s="50" t="s">
        <v>1167</v>
      </c>
      <c r="M80" s="50" t="s">
        <v>870</v>
      </c>
      <c r="N80" s="50" t="s">
        <v>1168</v>
      </c>
      <c r="O80" s="18" t="s">
        <v>530</v>
      </c>
      <c r="P80" s="18" t="s">
        <v>495</v>
      </c>
      <c r="Q80" s="18" t="s">
        <v>496</v>
      </c>
      <c r="R80" s="18" t="s">
        <v>497</v>
      </c>
      <c r="S80" s="18"/>
      <c r="T80" s="18"/>
      <c r="U80" s="18"/>
      <c r="V80" s="18"/>
      <c r="W80" s="18"/>
      <c r="X80" s="18"/>
      <c r="Y80" s="80"/>
      <c r="Z80" s="18" t="s">
        <v>499</v>
      </c>
      <c r="AA80" s="20">
        <v>45747</v>
      </c>
      <c r="AB80" s="18" t="s">
        <v>533</v>
      </c>
      <c r="AC80" s="18" t="s">
        <v>501</v>
      </c>
      <c r="AD80" s="18" t="s">
        <v>190</v>
      </c>
      <c r="AE80" s="18" t="s">
        <v>47</v>
      </c>
      <c r="AF80" s="18" t="s">
        <v>53</v>
      </c>
      <c r="AG80" s="14" t="str">
        <f>VLOOKUP(AF80,Tabla3[[Estado Requerimiento]:[Macro estado]],2,FALSE)</f>
        <v>03. Culminado</v>
      </c>
      <c r="AH80" s="18"/>
      <c r="AI80" s="80">
        <v>45720</v>
      </c>
      <c r="AJ80" s="80"/>
      <c r="AK80" s="80">
        <v>45943</v>
      </c>
      <c r="AL80" s="80">
        <v>45951</v>
      </c>
      <c r="AM80" s="80"/>
      <c r="AN80" s="80">
        <v>45957</v>
      </c>
      <c r="AO80" s="80">
        <v>45980</v>
      </c>
      <c r="AP80" s="81">
        <f t="shared" si="2"/>
        <v>45954.2</v>
      </c>
      <c r="AQ80" s="80">
        <v>46050</v>
      </c>
      <c r="AR80" s="80">
        <v>46051</v>
      </c>
      <c r="AS80" s="81">
        <f t="shared" si="3"/>
        <v>45961.2</v>
      </c>
      <c r="AT80" s="19" t="s">
        <v>1169</v>
      </c>
      <c r="AU80" s="44" t="str">
        <f>VLOOKUP(Cartera1017[[#This Row],[Gerencia]],tbGerencia[#All],3,FALSE)</f>
        <v>RRHH</v>
      </c>
      <c r="AV80" s="44" t="str">
        <f>IFERROR(VLOOKUP(Cartera1017[[#This Row],[Subgerencia]],Definiciones!$A$90:$B$144,2,FALSE),"")</f>
        <v>AdministraciónPersonal</v>
      </c>
      <c r="AW80" s="44" t="str">
        <f>IF(OR(LEN(Cartera1017[[#This Row],[Fecha de Solicitud]])=0,(Cartera1017[[#This Row],[Fecha de Solicitud]])="No definido"),"No definido",IF(YEAR(Cartera1017[[#This Row],[Fecha de Solicitud]])&lt;2023," &lt;  2023",TEXT(Cartera1017[[#This Row],[Fecha de Solicitud]],"yyyy-mm")))</f>
        <v>2025-02</v>
      </c>
      <c r="AX80" s="44" t="str">
        <f>IF(Cartera1017[[#This Row],[Fecha de Priorización Comité]]="","No definido",TEXT(Cartera1017[[#This Row],[Fecha de Priorización Comité]],"yyyy-mm"))</f>
        <v>2025-03</v>
      </c>
      <c r="AY80" s="44" t="str">
        <f>IF(Cartera1017[[#This Row],[Fecha Fin- Desarrollo]]="","No definido",TEXT(Cartera1017[[#This Row],[Fecha Fin- Desarrollo]],"yyyy-mm"))</f>
        <v>2025-10</v>
      </c>
      <c r="AZ80" s="44" t="str">
        <f>IF(Cartera1017[[#This Row],[Fecha Fin- Producción]]="","No definido",TEXT(Cartera1017[[#This Row],[Fecha Fin- Producción]],"yyyy-mm"))</f>
        <v>2026-01</v>
      </c>
      <c r="BA80" s="44" t="str">
        <f>IF(Cartera1017[[#This Row],[Fecha Fin-Planificada]]="","No definido",TEXT(Cartera1017[[#This Row],[Fecha Fin-Planificada]],"yyyy-mm"))</f>
        <v>2025-10</v>
      </c>
      <c r="BB80" s="33"/>
      <c r="BC80" s="66"/>
      <c r="BD80" s="66"/>
      <c r="BE80" s="66"/>
      <c r="BF80" s="127"/>
      <c r="BG80" s="28" t="s">
        <v>1044</v>
      </c>
      <c r="BH8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108</v>
      </c>
      <c r="BI80" s="90">
        <f>IF(ISNUMBER(Cartera1017[[#This Row],[Duracion en Dias]]),Cartera1017[[#This Row],[Duracion en Dias]]/30, "No Aplica")</f>
        <v>3.6</v>
      </c>
      <c r="BJ80" s="18" t="s">
        <v>1170</v>
      </c>
      <c r="BK80" s="28" t="s">
        <v>506</v>
      </c>
      <c r="BL80" s="110" t="s">
        <v>536</v>
      </c>
      <c r="BM80" s="342">
        <v>46051.841747685183</v>
      </c>
      <c r="BN80" s="227"/>
      <c r="BO80" s="401"/>
      <c r="BP80" s="401"/>
      <c r="BQ8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0" s="14" t="str">
        <f>IFERROR(VLOOKUP(Cartera1017[[#This Row],[Aplicativo]],Tabla76[],2,FALSE),"Sin Aplicativo")</f>
        <v>Oracle</v>
      </c>
      <c r="BS80" s="14" t="str">
        <f>IFERROR(VLOOKUP(Cartera1017[[#This Row],[Aplicativo]],Tabla76[],3,FALSE),"Sin Aplicativo")</f>
        <v>Otros Requerimientos</v>
      </c>
      <c r="BT80" s="411" t="s">
        <v>521</v>
      </c>
      <c r="BU80" s="275"/>
      <c r="BV80" s="33"/>
      <c r="BW8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46051</v>
      </c>
      <c r="BX8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0" s="149" t="str">
        <f ca="1">IF(Cartera1017[[#This Row],[Fecha Fin2]]="","No definido",CONCATENATE(TEXT(Cartera1017[[#This Row],[Fecha Fin2]],"mmm")," ",YEAR(Cartera1017[[#This Row],[Fecha Fin2]])))</f>
        <v>Ene 2026</v>
      </c>
      <c r="BZ80" s="28"/>
      <c r="CA80" s="48" t="str">
        <f>IF(Cartera1017[[#This Row],[Estado TI]] = "08. Producción Finalizada","Culminado",IF(Cartera1017[[#This Row],[Estado TI]]= "09. Descartado","Descartado","Activos"))</f>
        <v>Culminado</v>
      </c>
      <c r="CB80" s="28"/>
      <c r="CC8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80" s="54" t="str">
        <f>IF(
AND(
Cartera1017[[#This Row],[DEVOLVER 27]]="NO",
NOT(ISBLANK(Cartera1017[[#This Row],[ESTADO NO DEVUELTOS 27]]))
),
"PRE",
"POST"
)</f>
        <v>PRE</v>
      </c>
      <c r="CE80" s="54" t="s">
        <v>509</v>
      </c>
      <c r="CF80" s="28" t="s">
        <v>178</v>
      </c>
      <c r="CG8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8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0" s="406">
        <f>Cartera1017[[#This Row],[Porcentaje de Avance]]</f>
        <v>1</v>
      </c>
      <c r="CK80" s="388">
        <f ca="1">IF(
   OR(
     Cartera1017[[#This Row],[Estado TI]]="09. Descartado",
     Cartera1017[[#This Row],[Comienzo Desarrollo]]="",
     Cartera1017[[#This Row],[Fin Producción]]=""
   ),
   "",
   Cartera1017[[#This Row],[% PLANIFICADO]]-Cartera1017[[#This Row],[% COMPLETADO]]
)</f>
        <v>0</v>
      </c>
      <c r="CL80" s="388">
        <f ca="1">IF(
   OR(
     Cartera1017[[#This Row],[Estado TI]]="09. Descartado",
     Cartera1017[[#This Row],[Comienzo Desarrollo]]="",
     Cartera1017[[#This Row],[Fin Producción]]="",
     Cartera1017[[#This Row],[% PLANIFICADO]]=0
   ),
   "",
   MIN(Cartera1017[[#This Row],[% COMPLETADO]]/Cartera1017[[#This Row],[% PLANIFICADO]],1.2)
)</f>
        <v>1</v>
      </c>
      <c r="CM80" s="377">
        <v>45943</v>
      </c>
      <c r="CN80" s="377">
        <v>45943</v>
      </c>
      <c r="CO80" s="377">
        <v>45951</v>
      </c>
      <c r="CP80" s="377">
        <v>45957</v>
      </c>
      <c r="CQ80" s="377">
        <v>45980</v>
      </c>
      <c r="CR80" s="377">
        <v>46050</v>
      </c>
      <c r="CS80" s="377">
        <v>46052</v>
      </c>
      <c r="CT80" s="44">
        <f>IF(Cartera1017[[#This Row],[Fin Desarrollo]]="",25,IFERROR(NETWORKDAYS(Cartera1017[[#This Row],[Comienzo Desarrollo]],Cartera1017[[#This Row],[Fin Desarrollo]],FERIADOS[Fecha]),""))</f>
        <v>7</v>
      </c>
      <c r="CU8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80" s="44">
        <f>IF(OR(Cartera1017[[#This Row],[Comienzo Desarrollo]]="",Cartera1017[[#This Row],[Fin Desarrollo]]=""),200,IFERROR(Cartera1017[[#This Row],[DURACIÓN DESARROLLO DIAS]]*VLOOKUP(Cartera1017[[#This Row],[ID Mantenimiento]],MANT_HORAS[],2,FALSE),200))</f>
        <v>200</v>
      </c>
      <c r="CW80" s="110"/>
      <c r="CX80" s="110" t="str">
        <f>VLOOKUP(Cartera1017[[#This Row],[Estado TI]],Definiciones!$A$549:$B$559,2,FALSE)</f>
        <v>4. PRODUCCIÓN</v>
      </c>
      <c r="CY80" s="28">
        <f ca="1">1-Cartera1017[[#This Row],[Porcentaje avanzado desarrollo]]</f>
        <v>0</v>
      </c>
      <c r="CZ8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DA80" s="28">
        <f ca="1">MAX(0,Cartera1017[[#This Row],[DURACIÓN DESARROLLO DIAS]]-Cartera1017[[#This Row],[Dias avanzados]])</f>
        <v>0</v>
      </c>
      <c r="DB80" s="28">
        <f ca="1">Cartera1017[[#This Row],[Dias avanzados]]*IFERROR(VLOOKUP(Cartera1017[[#This Row],[ID Mantenimiento]],MANT_HORAS[],2,FALSE),8)</f>
        <v>56</v>
      </c>
      <c r="DC80" s="28">
        <f ca="1">Cartera1017[[#This Row],[Dias faltantes]]*IFERROR(VLOOKUP(Cartera1017[[#This Row],[ID Mantenimiento]],MANT_HORAS[],2,FALSE),8)</f>
        <v>0</v>
      </c>
      <c r="DD80" s="28" t="str">
        <f>IF(Cartera1017[[#This Row],[Fin Producción]]=0,"Por definir",CONCATENATE(YEAR(Cartera1017[[#This Row],[Fin Producción]]),"-",ROUNDUP(MONTH(Cartera1017[[#This Row],[Fin Producción]]),0)))</f>
        <v>2026-1</v>
      </c>
      <c r="DE80" s="18" t="s">
        <v>510</v>
      </c>
      <c r="DF80" s="28"/>
      <c r="DG80" s="28"/>
      <c r="DH80" s="565"/>
    </row>
    <row r="81" spans="1:112" ht="44.25" hidden="1" customHeight="1">
      <c r="A81" s="229" t="s">
        <v>1171</v>
      </c>
      <c r="B81" s="18">
        <v>2653</v>
      </c>
      <c r="C81" s="18" t="s">
        <v>485</v>
      </c>
      <c r="D81" s="18" t="s">
        <v>1172</v>
      </c>
      <c r="E81" s="18" t="s">
        <v>191</v>
      </c>
      <c r="F81" s="33" t="s">
        <v>192</v>
      </c>
      <c r="G81" s="19"/>
      <c r="H81" s="18" t="s">
        <v>59</v>
      </c>
      <c r="I81" s="18" t="s">
        <v>618</v>
      </c>
      <c r="J81" s="18" t="s">
        <v>619</v>
      </c>
      <c r="K81" s="20">
        <v>45716</v>
      </c>
      <c r="L81" s="50" t="s">
        <v>1167</v>
      </c>
      <c r="M81" s="50" t="s">
        <v>857</v>
      </c>
      <c r="N81" s="50" t="s">
        <v>1168</v>
      </c>
      <c r="O81" s="18" t="s">
        <v>530</v>
      </c>
      <c r="P81" s="18" t="s">
        <v>495</v>
      </c>
      <c r="Q81" s="18" t="s">
        <v>496</v>
      </c>
      <c r="R81" s="18" t="s">
        <v>497</v>
      </c>
      <c r="S81" s="18"/>
      <c r="T81" s="18"/>
      <c r="U81" s="18"/>
      <c r="V81" s="18"/>
      <c r="W81" s="18"/>
      <c r="X81" s="18"/>
      <c r="Y81" s="80"/>
      <c r="Z81" s="18" t="s">
        <v>499</v>
      </c>
      <c r="AA81" s="20">
        <v>45747</v>
      </c>
      <c r="AB81" s="18" t="s">
        <v>533</v>
      </c>
      <c r="AC81" s="18" t="s">
        <v>558</v>
      </c>
      <c r="AD81" s="18" t="s">
        <v>190</v>
      </c>
      <c r="AE81" s="18" t="s">
        <v>47</v>
      </c>
      <c r="AF81" s="18" t="s">
        <v>53</v>
      </c>
      <c r="AG81" s="14" t="str">
        <f>VLOOKUP(AF81,Tabla3[[Estado Requerimiento]:[Macro estado]],2,FALSE)</f>
        <v>03. Culminado</v>
      </c>
      <c r="AH81" s="18"/>
      <c r="AI81" s="80">
        <v>45721</v>
      </c>
      <c r="AJ81" s="80"/>
      <c r="AK81" s="80">
        <v>45943</v>
      </c>
      <c r="AL81" s="80">
        <v>45945</v>
      </c>
      <c r="AM81" s="80"/>
      <c r="AN81" s="80">
        <v>45953</v>
      </c>
      <c r="AO81" s="80">
        <v>45980</v>
      </c>
      <c r="AP81" s="81">
        <f t="shared" si="2"/>
        <v>45945.8</v>
      </c>
      <c r="AQ81" s="80">
        <v>46051</v>
      </c>
      <c r="AR81" s="80">
        <v>46157</v>
      </c>
      <c r="AS81" s="81">
        <f t="shared" si="3"/>
        <v>45952.800000000003</v>
      </c>
      <c r="AT81" s="19" t="s">
        <v>1173</v>
      </c>
      <c r="AU81" s="44" t="str">
        <f>VLOOKUP(Cartera1017[[#This Row],[Gerencia]],tbGerencia[#All],3,FALSE)</f>
        <v>RRHH</v>
      </c>
      <c r="AV81" s="44" t="str">
        <f>IFERROR(VLOOKUP(Cartera1017[[#This Row],[Subgerencia]],Definiciones!$A$90:$B$144,2,FALSE),"")</f>
        <v>AdministraciónPersonal</v>
      </c>
      <c r="AW81" s="44" t="str">
        <f>IF(OR(LEN(Cartera1017[[#This Row],[Fecha de Solicitud]])=0,(Cartera1017[[#This Row],[Fecha de Solicitud]])="No definido"),"No definido",IF(YEAR(Cartera1017[[#This Row],[Fecha de Solicitud]])&lt;2023," &lt;  2023",TEXT(Cartera1017[[#This Row],[Fecha de Solicitud]],"yyyy-mm")))</f>
        <v>2025-02</v>
      </c>
      <c r="AX81" s="44" t="str">
        <f>IF(Cartera1017[[#This Row],[Fecha de Priorización Comité]]="","No definido",TEXT(Cartera1017[[#This Row],[Fecha de Priorización Comité]],"yyyy-mm"))</f>
        <v>2025-03</v>
      </c>
      <c r="AY81" s="44" t="str">
        <f>IF(Cartera1017[[#This Row],[Fecha Fin- Desarrollo]]="","No definido",TEXT(Cartera1017[[#This Row],[Fecha Fin- Desarrollo]],"yyyy-mm"))</f>
        <v>2025-10</v>
      </c>
      <c r="AZ81" s="44" t="str">
        <f>IF(Cartera1017[[#This Row],[Fecha Fin- Producción]]="","No definido",TEXT(Cartera1017[[#This Row],[Fecha Fin- Producción]],"yyyy-mm"))</f>
        <v>2026-05</v>
      </c>
      <c r="BA81" s="44" t="str">
        <f>IF(Cartera1017[[#This Row],[Fecha Fin-Planificada]]="","No definido",TEXT(Cartera1017[[#This Row],[Fecha Fin-Planificada]],"yyyy-mm"))</f>
        <v>2025-10</v>
      </c>
      <c r="BB81" s="33"/>
      <c r="BC81" s="66"/>
      <c r="BD81" s="66"/>
      <c r="BE81" s="66"/>
      <c r="BF81" s="127"/>
      <c r="BG81" s="28" t="s">
        <v>1044</v>
      </c>
      <c r="BH81"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214</v>
      </c>
      <c r="BI81" s="90">
        <f>IF(ISNUMBER(Cartera1017[[#This Row],[Duracion en Dias]]),Cartera1017[[#This Row],[Duracion en Dias]]/30, "No Aplica")</f>
        <v>7.1333333333333337</v>
      </c>
      <c r="BJ81" s="18" t="s">
        <v>1170</v>
      </c>
      <c r="BK81" s="28" t="s">
        <v>506</v>
      </c>
      <c r="BL81" s="110" t="s">
        <v>536</v>
      </c>
      <c r="BM81" s="342">
        <v>46157.71366898148</v>
      </c>
      <c r="BN81" s="227"/>
      <c r="BO81" s="401"/>
      <c r="BP81" s="401"/>
      <c r="BQ8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1" s="14" t="str">
        <f>IFERROR(VLOOKUP(Cartera1017[[#This Row],[Aplicativo]],Tabla76[],2,FALSE),"Sin Aplicativo")</f>
        <v>BackOffice</v>
      </c>
      <c r="BS81" s="14" t="str">
        <f>IFERROR(VLOOKUP(Cartera1017[[#This Row],[Aplicativo]],Tabla76[],3,FALSE),"Sin Aplicativo")</f>
        <v>Otros Requerimientos</v>
      </c>
      <c r="BT81" s="400" t="s">
        <v>521</v>
      </c>
      <c r="BU81" s="28"/>
      <c r="BV81" s="33"/>
      <c r="BW81"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46157</v>
      </c>
      <c r="BX8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1" s="149" t="str">
        <f ca="1">IF(Cartera1017[[#This Row],[Fecha Fin2]]="","No definido",CONCATENATE(TEXT(Cartera1017[[#This Row],[Fecha Fin2]],"mmm")," ",YEAR(Cartera1017[[#This Row],[Fecha Fin2]])))</f>
        <v>May 2026</v>
      </c>
      <c r="BZ81" s="28"/>
      <c r="CA81" s="48" t="str">
        <f>IF(Cartera1017[[#This Row],[Estado TI]] = "08. Producción Finalizada","Culminado",IF(Cartera1017[[#This Row],[Estado TI]]= "09. Descartado","Descartado","Activos"))</f>
        <v>Culminado</v>
      </c>
      <c r="CB81" s="28"/>
      <c r="CC8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81" s="54" t="str">
        <f>IF(
AND(
Cartera1017[[#This Row],[DEVOLVER 27]]="NO",
NOT(ISBLANK(Cartera1017[[#This Row],[ESTADO NO DEVUELTOS 27]]))
),
"PRE",
"POST"
)</f>
        <v>PRE</v>
      </c>
      <c r="CE81" s="54" t="s">
        <v>509</v>
      </c>
      <c r="CF81" s="28" t="s">
        <v>87</v>
      </c>
      <c r="CG8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8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1" s="406">
        <f>Cartera1017[[#This Row],[Porcentaje de Avance]]</f>
        <v>1</v>
      </c>
      <c r="CK81" s="388">
        <f ca="1">IF(
   OR(
     Cartera1017[[#This Row],[Estado TI]]="09. Descartado",
     Cartera1017[[#This Row],[Comienzo Desarrollo]]="",
     Cartera1017[[#This Row],[Fin Producción]]=""
   ),
   "",
   Cartera1017[[#This Row],[% PLANIFICADO]]-Cartera1017[[#This Row],[% COMPLETADO]]
)</f>
        <v>0</v>
      </c>
      <c r="CL81" s="388">
        <f ca="1">IF(
   OR(
     Cartera1017[[#This Row],[Estado TI]]="09. Descartado",
     Cartera1017[[#This Row],[Comienzo Desarrollo]]="",
     Cartera1017[[#This Row],[Fin Producción]]="",
     Cartera1017[[#This Row],[% PLANIFICADO]]=0
   ),
   "",
   MIN(Cartera1017[[#This Row],[% COMPLETADO]]/Cartera1017[[#This Row],[% PLANIFICADO]],1.2)
)</f>
        <v>1</v>
      </c>
      <c r="CM81" s="377">
        <v>45943</v>
      </c>
      <c r="CN81" s="377">
        <v>45943</v>
      </c>
      <c r="CO81" s="377">
        <v>45945</v>
      </c>
      <c r="CP81" s="377">
        <v>45953</v>
      </c>
      <c r="CQ81" s="377">
        <v>45980</v>
      </c>
      <c r="CR81" s="377">
        <v>46051</v>
      </c>
      <c r="CS81" s="377">
        <v>46108</v>
      </c>
      <c r="CT81" s="44">
        <f>IF(Cartera1017[[#This Row],[Fin Desarrollo]]="",25,IFERROR(NETWORKDAYS(Cartera1017[[#This Row],[Comienzo Desarrollo]],Cartera1017[[#This Row],[Fin Desarrollo]],FERIADOS[Fecha]),""))</f>
        <v>3</v>
      </c>
      <c r="CU8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81" s="44">
        <f>IF(OR(Cartera1017[[#This Row],[Comienzo Desarrollo]]="",Cartera1017[[#This Row],[Fin Desarrollo]]=""),200,IFERROR(Cartera1017[[#This Row],[DURACIÓN DESARROLLO DIAS]]*VLOOKUP(Cartera1017[[#This Row],[ID Mantenimiento]],MANT_HORAS[],2,FALSE),200))</f>
        <v>200</v>
      </c>
      <c r="CW81" s="110"/>
      <c r="CX81" s="110" t="str">
        <f>VLOOKUP(Cartera1017[[#This Row],[Estado TI]],Definiciones!$A$549:$B$559,2,FALSE)</f>
        <v>4. PRODUCCIÓN</v>
      </c>
      <c r="CY81" s="28">
        <f ca="1">1-Cartera1017[[#This Row],[Porcentaje avanzado desarrollo]]</f>
        <v>0</v>
      </c>
      <c r="CZ8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v>
      </c>
      <c r="DA81" s="28">
        <f ca="1">MAX(0,Cartera1017[[#This Row],[DURACIÓN DESARROLLO DIAS]]-Cartera1017[[#This Row],[Dias avanzados]])</f>
        <v>0</v>
      </c>
      <c r="DB81" s="28">
        <f ca="1">Cartera1017[[#This Row],[Dias avanzados]]*IFERROR(VLOOKUP(Cartera1017[[#This Row],[ID Mantenimiento]],MANT_HORAS[],2,FALSE),8)</f>
        <v>24</v>
      </c>
      <c r="DC81" s="28">
        <f ca="1">Cartera1017[[#This Row],[Dias faltantes]]*IFERROR(VLOOKUP(Cartera1017[[#This Row],[ID Mantenimiento]],MANT_HORAS[],2,FALSE),8)</f>
        <v>0</v>
      </c>
      <c r="DD81" s="28" t="str">
        <f>IF(Cartera1017[[#This Row],[Fin Producción]]=0,"Por definir",CONCATENATE(YEAR(Cartera1017[[#This Row],[Fin Producción]]),"-",ROUNDUP(MONTH(Cartera1017[[#This Row],[Fin Producción]]),0)))</f>
        <v>2026-3</v>
      </c>
      <c r="DE81" s="18" t="s">
        <v>510</v>
      </c>
      <c r="DF81" s="28" t="s">
        <v>1174</v>
      </c>
      <c r="DG81" s="28" t="s">
        <v>659</v>
      </c>
      <c r="DH81" s="565"/>
    </row>
    <row r="82" spans="1:112" ht="44.25" hidden="1" customHeight="1">
      <c r="A82" s="229" t="s">
        <v>1175</v>
      </c>
      <c r="B82" s="18">
        <v>2654</v>
      </c>
      <c r="C82" s="18" t="s">
        <v>485</v>
      </c>
      <c r="D82" s="18" t="s">
        <v>1176</v>
      </c>
      <c r="E82" s="18" t="s">
        <v>193</v>
      </c>
      <c r="F82" s="33" t="s">
        <v>194</v>
      </c>
      <c r="G82" s="19"/>
      <c r="H82" s="18" t="s">
        <v>59</v>
      </c>
      <c r="I82" s="18" t="s">
        <v>618</v>
      </c>
      <c r="J82" s="18" t="s">
        <v>619</v>
      </c>
      <c r="K82" s="20">
        <v>45716</v>
      </c>
      <c r="L82" s="50" t="s">
        <v>1167</v>
      </c>
      <c r="M82" s="50" t="s">
        <v>870</v>
      </c>
      <c r="N82" s="50" t="s">
        <v>1168</v>
      </c>
      <c r="O82" s="18" t="s">
        <v>530</v>
      </c>
      <c r="P82" s="18" t="s">
        <v>495</v>
      </c>
      <c r="Q82" s="18" t="s">
        <v>496</v>
      </c>
      <c r="R82" s="18" t="s">
        <v>497</v>
      </c>
      <c r="S82" s="18"/>
      <c r="T82" s="18"/>
      <c r="U82" s="18"/>
      <c r="V82" s="18"/>
      <c r="W82" s="18"/>
      <c r="X82" s="18"/>
      <c r="Y82" s="80"/>
      <c r="Z82" s="18" t="s">
        <v>499</v>
      </c>
      <c r="AA82" s="20">
        <v>45747</v>
      </c>
      <c r="AB82" s="18" t="s">
        <v>533</v>
      </c>
      <c r="AC82" s="18" t="s">
        <v>558</v>
      </c>
      <c r="AD82" s="18" t="s">
        <v>190</v>
      </c>
      <c r="AE82" s="18" t="s">
        <v>47</v>
      </c>
      <c r="AF82" s="18" t="s">
        <v>53</v>
      </c>
      <c r="AG82" s="14" t="str">
        <f>VLOOKUP(AF82,Tabla3[[Estado Requerimiento]:[Macro estado]],2,FALSE)</f>
        <v>03. Culminado</v>
      </c>
      <c r="AH82" s="18"/>
      <c r="AI82" s="80">
        <v>45721</v>
      </c>
      <c r="AJ82" s="80"/>
      <c r="AK82" s="80">
        <v>45943</v>
      </c>
      <c r="AL82" s="80">
        <v>45954</v>
      </c>
      <c r="AM82" s="80"/>
      <c r="AN82" s="80">
        <v>45957</v>
      </c>
      <c r="AO82" s="80">
        <v>46007</v>
      </c>
      <c r="AP82" s="81">
        <f t="shared" si="2"/>
        <v>45958.400000000001</v>
      </c>
      <c r="AQ82" s="80">
        <v>46050</v>
      </c>
      <c r="AR82" s="80">
        <v>46051</v>
      </c>
      <c r="AS82" s="81">
        <f t="shared" si="3"/>
        <v>45965.4</v>
      </c>
      <c r="AT82" s="19" t="s">
        <v>1177</v>
      </c>
      <c r="AU82" s="44" t="str">
        <f>VLOOKUP(Cartera1017[[#This Row],[Gerencia]],tbGerencia[#All],3,FALSE)</f>
        <v>RRHH</v>
      </c>
      <c r="AV82" s="44" t="str">
        <f>IFERROR(VLOOKUP(Cartera1017[[#This Row],[Subgerencia]],Definiciones!$A$90:$B$144,2,FALSE),"")</f>
        <v>AdministraciónPersonal</v>
      </c>
      <c r="AW82" s="44" t="str">
        <f>IF(OR(LEN(Cartera1017[[#This Row],[Fecha de Solicitud]])=0,(Cartera1017[[#This Row],[Fecha de Solicitud]])="No definido"),"No definido",IF(YEAR(Cartera1017[[#This Row],[Fecha de Solicitud]])&lt;2023," &lt;  2023",TEXT(Cartera1017[[#This Row],[Fecha de Solicitud]],"yyyy-mm")))</f>
        <v>2025-02</v>
      </c>
      <c r="AX82" s="44" t="str">
        <f>IF(Cartera1017[[#This Row],[Fecha de Priorización Comité]]="","No definido",TEXT(Cartera1017[[#This Row],[Fecha de Priorización Comité]],"yyyy-mm"))</f>
        <v>2025-03</v>
      </c>
      <c r="AY82" s="44" t="str">
        <f>IF(Cartera1017[[#This Row],[Fecha Fin- Desarrollo]]="","No definido",TEXT(Cartera1017[[#This Row],[Fecha Fin- Desarrollo]],"yyyy-mm"))</f>
        <v>2025-10</v>
      </c>
      <c r="AZ82" s="44" t="str">
        <f>IF(Cartera1017[[#This Row],[Fecha Fin- Producción]]="","No definido",TEXT(Cartera1017[[#This Row],[Fecha Fin- Producción]],"yyyy-mm"))</f>
        <v>2026-01</v>
      </c>
      <c r="BA82" s="44" t="str">
        <f>IF(Cartera1017[[#This Row],[Fecha Fin-Planificada]]="","No definido",TEXT(Cartera1017[[#This Row],[Fecha Fin-Planificada]],"yyyy-mm"))</f>
        <v>2025-11</v>
      </c>
      <c r="BB82" s="33"/>
      <c r="BC82" s="66"/>
      <c r="BD82" s="66"/>
      <c r="BE82" s="66"/>
      <c r="BF82" s="127"/>
      <c r="BG82" s="28" t="s">
        <v>1044</v>
      </c>
      <c r="BH8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108</v>
      </c>
      <c r="BI82" s="90">
        <f>IF(ISNUMBER(Cartera1017[[#This Row],[Duracion en Dias]]),Cartera1017[[#This Row],[Duracion en Dias]]/30, "No Aplica")</f>
        <v>3.6</v>
      </c>
      <c r="BJ82" s="18" t="s">
        <v>1170</v>
      </c>
      <c r="BK82" s="28" t="s">
        <v>506</v>
      </c>
      <c r="BL82" s="110" t="s">
        <v>536</v>
      </c>
      <c r="BM82" s="342">
        <v>46051.720034722224</v>
      </c>
      <c r="BN82" s="227"/>
      <c r="BO82" s="401"/>
      <c r="BP82" s="401"/>
      <c r="BQ8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2" s="14" t="str">
        <f>IFERROR(VLOOKUP(Cartera1017[[#This Row],[Aplicativo]],Tabla76[],2,FALSE),"Sin Aplicativo")</f>
        <v>Oracle</v>
      </c>
      <c r="BS82" s="14" t="str">
        <f>IFERROR(VLOOKUP(Cartera1017[[#This Row],[Aplicativo]],Tabla76[],3,FALSE),"Sin Aplicativo")</f>
        <v>Otros Requerimientos</v>
      </c>
      <c r="BT82" s="400" t="s">
        <v>521</v>
      </c>
      <c r="BU82" s="28"/>
      <c r="BV82" s="33"/>
      <c r="BW8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46051</v>
      </c>
      <c r="BX8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2" s="149" t="str">
        <f ca="1">IF(Cartera1017[[#This Row],[Fecha Fin2]]="","No definido",CONCATENATE(TEXT(Cartera1017[[#This Row],[Fecha Fin2]],"mmm")," ",YEAR(Cartera1017[[#This Row],[Fecha Fin2]])))</f>
        <v>Ene 2026</v>
      </c>
      <c r="BZ82" s="28"/>
      <c r="CA82" s="48" t="str">
        <f>IF(Cartera1017[[#This Row],[Estado TI]] = "08. Producción Finalizada","Culminado",IF(Cartera1017[[#This Row],[Estado TI]]= "09. Descartado","Descartado","Activos"))</f>
        <v>Culminado</v>
      </c>
      <c r="CB82" s="28"/>
      <c r="CC8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82" s="54" t="str">
        <f>IF(
AND(
Cartera1017[[#This Row],[DEVOLVER 27]]="NO",
NOT(ISBLANK(Cartera1017[[#This Row],[ESTADO NO DEVUELTOS 27]]))
),
"PRE",
"POST"
)</f>
        <v>PRE</v>
      </c>
      <c r="CE82" s="54" t="s">
        <v>509</v>
      </c>
      <c r="CF82" s="28" t="s">
        <v>178</v>
      </c>
      <c r="CG8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8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2" s="406">
        <f>Cartera1017[[#This Row],[Porcentaje de Avance]]</f>
        <v>1</v>
      </c>
      <c r="CK82" s="388">
        <f ca="1">IF(
   OR(
     Cartera1017[[#This Row],[Estado TI]]="09. Descartado",
     Cartera1017[[#This Row],[Comienzo Desarrollo]]="",
     Cartera1017[[#This Row],[Fin Producción]]=""
   ),
   "",
   Cartera1017[[#This Row],[% PLANIFICADO]]-Cartera1017[[#This Row],[% COMPLETADO]]
)</f>
        <v>0</v>
      </c>
      <c r="CL82" s="388">
        <f ca="1">IF(
   OR(
     Cartera1017[[#This Row],[Estado TI]]="09. Descartado",
     Cartera1017[[#This Row],[Comienzo Desarrollo]]="",
     Cartera1017[[#This Row],[Fin Producción]]="",
     Cartera1017[[#This Row],[% PLANIFICADO]]=0
   ),
   "",
   MIN(Cartera1017[[#This Row],[% COMPLETADO]]/Cartera1017[[#This Row],[% PLANIFICADO]],1.2)
)</f>
        <v>1</v>
      </c>
      <c r="CM82" s="377">
        <v>45943</v>
      </c>
      <c r="CN82" s="377">
        <v>45943</v>
      </c>
      <c r="CO82" s="377">
        <v>45954</v>
      </c>
      <c r="CP82" s="377">
        <v>45957</v>
      </c>
      <c r="CQ82" s="377">
        <v>46007</v>
      </c>
      <c r="CR82" s="377">
        <v>46050</v>
      </c>
      <c r="CS82" s="377">
        <v>46051</v>
      </c>
      <c r="CT82" s="44">
        <f>IF(Cartera1017[[#This Row],[Fin Desarrollo]]="",25,IFERROR(NETWORKDAYS(Cartera1017[[#This Row],[Comienzo Desarrollo]],Cartera1017[[#This Row],[Fin Desarrollo]],FERIADOS[Fecha]),""))</f>
        <v>10</v>
      </c>
      <c r="CU8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82" s="44">
        <f>IF(OR(Cartera1017[[#This Row],[Comienzo Desarrollo]]="",Cartera1017[[#This Row],[Fin Desarrollo]]=""),200,IFERROR(Cartera1017[[#This Row],[DURACIÓN DESARROLLO DIAS]]*VLOOKUP(Cartera1017[[#This Row],[ID Mantenimiento]],MANT_HORAS[],2,FALSE),200))</f>
        <v>200</v>
      </c>
      <c r="CW82" s="110"/>
      <c r="CX82" s="110" t="str">
        <f>VLOOKUP(Cartera1017[[#This Row],[Estado TI]],Definiciones!$A$549:$B$559,2,FALSE)</f>
        <v>4. PRODUCCIÓN</v>
      </c>
      <c r="CY82" s="28">
        <f ca="1">1-Cartera1017[[#This Row],[Porcentaje avanzado desarrollo]]</f>
        <v>0</v>
      </c>
      <c r="CZ8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DA82" s="28">
        <f ca="1">MAX(0,Cartera1017[[#This Row],[DURACIÓN DESARROLLO DIAS]]-Cartera1017[[#This Row],[Dias avanzados]])</f>
        <v>0</v>
      </c>
      <c r="DB82" s="28">
        <f ca="1">Cartera1017[[#This Row],[Dias avanzados]]*IFERROR(VLOOKUP(Cartera1017[[#This Row],[ID Mantenimiento]],MANT_HORAS[],2,FALSE),8)</f>
        <v>80</v>
      </c>
      <c r="DC82" s="28">
        <f ca="1">Cartera1017[[#This Row],[Dias faltantes]]*IFERROR(VLOOKUP(Cartera1017[[#This Row],[ID Mantenimiento]],MANT_HORAS[],2,FALSE),8)</f>
        <v>0</v>
      </c>
      <c r="DD82" s="28" t="str">
        <f>IF(Cartera1017[[#This Row],[Fin Producción]]=0,"Por definir",CONCATENATE(YEAR(Cartera1017[[#This Row],[Fin Producción]]),"-",ROUNDUP(MONTH(Cartera1017[[#This Row],[Fin Producción]]),0)))</f>
        <v>2026-1</v>
      </c>
      <c r="DE82" s="18" t="s">
        <v>510</v>
      </c>
      <c r="DF82" s="28"/>
      <c r="DG82" s="28"/>
      <c r="DH82" s="565"/>
    </row>
    <row r="83" spans="1:112" ht="44.25" hidden="1" customHeight="1">
      <c r="A83" s="229" t="s">
        <v>1178</v>
      </c>
      <c r="B83" s="18">
        <v>2655</v>
      </c>
      <c r="C83" s="18" t="s">
        <v>485</v>
      </c>
      <c r="D83" s="18" t="s">
        <v>1179</v>
      </c>
      <c r="E83" s="18" t="s">
        <v>195</v>
      </c>
      <c r="F83" s="33" t="s">
        <v>196</v>
      </c>
      <c r="G83" s="19"/>
      <c r="H83" s="18" t="s">
        <v>59</v>
      </c>
      <c r="I83" s="18" t="s">
        <v>618</v>
      </c>
      <c r="J83" s="18" t="s">
        <v>619</v>
      </c>
      <c r="K83" s="20">
        <v>45716</v>
      </c>
      <c r="L83" s="50" t="s">
        <v>1167</v>
      </c>
      <c r="M83" s="50" t="s">
        <v>684</v>
      </c>
      <c r="N83" s="50" t="s">
        <v>1168</v>
      </c>
      <c r="O83" s="18" t="s">
        <v>530</v>
      </c>
      <c r="P83" s="18" t="s">
        <v>495</v>
      </c>
      <c r="Q83" s="18" t="s">
        <v>496</v>
      </c>
      <c r="R83" s="18" t="s">
        <v>497</v>
      </c>
      <c r="S83" s="18"/>
      <c r="T83" s="18"/>
      <c r="U83" s="18"/>
      <c r="V83" s="18"/>
      <c r="W83" s="18"/>
      <c r="X83" s="18"/>
      <c r="Y83" s="80"/>
      <c r="Z83" s="18" t="s">
        <v>499</v>
      </c>
      <c r="AA83" s="20">
        <v>45747</v>
      </c>
      <c r="AB83" s="18" t="s">
        <v>533</v>
      </c>
      <c r="AC83" s="18" t="s">
        <v>501</v>
      </c>
      <c r="AD83" s="18" t="s">
        <v>190</v>
      </c>
      <c r="AE83" s="18" t="s">
        <v>47</v>
      </c>
      <c r="AF83" s="18" t="s">
        <v>53</v>
      </c>
      <c r="AG83" s="14" t="str">
        <f>VLOOKUP(AF83,Tabla3[[Estado Requerimiento]:[Macro estado]],2,FALSE)</f>
        <v>03. Culminado</v>
      </c>
      <c r="AH83" s="18"/>
      <c r="AI83" s="80">
        <v>45721</v>
      </c>
      <c r="AJ83" s="80"/>
      <c r="AK83" s="80">
        <v>45804</v>
      </c>
      <c r="AL83" s="80">
        <v>46003</v>
      </c>
      <c r="AM83" s="80"/>
      <c r="AN83" s="80">
        <v>46013</v>
      </c>
      <c r="AO83" s="80">
        <v>46064</v>
      </c>
      <c r="AP83" s="81">
        <f t="shared" si="2"/>
        <v>46082.6</v>
      </c>
      <c r="AQ83" s="80">
        <v>46099</v>
      </c>
      <c r="AR83" s="80">
        <v>46104</v>
      </c>
      <c r="AS83" s="81">
        <f t="shared" si="3"/>
        <v>46089.599999999999</v>
      </c>
      <c r="AT83" s="19" t="s">
        <v>1180</v>
      </c>
      <c r="AU83" s="44" t="str">
        <f>VLOOKUP(Cartera1017[[#This Row],[Gerencia]],tbGerencia[#All],3,FALSE)</f>
        <v>RRHH</v>
      </c>
      <c r="AV83" s="44" t="str">
        <f>IFERROR(VLOOKUP(Cartera1017[[#This Row],[Subgerencia]],Definiciones!$A$90:$B$144,2,FALSE),"")</f>
        <v>AdministraciónPersonal</v>
      </c>
      <c r="AW83" s="44" t="str">
        <f>IF(OR(LEN(Cartera1017[[#This Row],[Fecha de Solicitud]])=0,(Cartera1017[[#This Row],[Fecha de Solicitud]])="No definido"),"No definido",IF(YEAR(Cartera1017[[#This Row],[Fecha de Solicitud]])&lt;2023," &lt;  2023",TEXT(Cartera1017[[#This Row],[Fecha de Solicitud]],"yyyy-mm")))</f>
        <v>2025-02</v>
      </c>
      <c r="AX83" s="44" t="str">
        <f>IF(Cartera1017[[#This Row],[Fecha de Priorización Comité]]="","No definido",TEXT(Cartera1017[[#This Row],[Fecha de Priorización Comité]],"yyyy-mm"))</f>
        <v>2025-03</v>
      </c>
      <c r="AY83" s="44" t="str">
        <f>IF(Cartera1017[[#This Row],[Fecha Fin- Desarrollo]]="","No definido",TEXT(Cartera1017[[#This Row],[Fecha Fin- Desarrollo]],"yyyy-mm"))</f>
        <v>2025-12</v>
      </c>
      <c r="AZ83" s="44" t="str">
        <f>IF(Cartera1017[[#This Row],[Fecha Fin- Producción]]="","No definido",TEXT(Cartera1017[[#This Row],[Fecha Fin- Producción]],"yyyy-mm"))</f>
        <v>2026-03</v>
      </c>
      <c r="BA83" s="44" t="str">
        <f>IF(Cartera1017[[#This Row],[Fecha Fin-Planificada]]="","No definido",TEXT(Cartera1017[[#This Row],[Fecha Fin-Planificada]],"yyyy-mm"))</f>
        <v>2026-03</v>
      </c>
      <c r="BB83" s="33"/>
      <c r="BC83" s="66"/>
      <c r="BD83" s="66"/>
      <c r="BE83" s="66"/>
      <c r="BF83" s="127"/>
      <c r="BG83" s="28" t="s">
        <v>1044</v>
      </c>
      <c r="BH8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300</v>
      </c>
      <c r="BI83" s="90">
        <f>IF(ISNUMBER(Cartera1017[[#This Row],[Duracion en Dias]]),Cartera1017[[#This Row],[Duracion en Dias]]/30, "No Aplica")</f>
        <v>10</v>
      </c>
      <c r="BJ83" s="18" t="s">
        <v>1170</v>
      </c>
      <c r="BK83" s="28" t="s">
        <v>506</v>
      </c>
      <c r="BL83" s="110" t="s">
        <v>536</v>
      </c>
      <c r="BM83" s="342">
        <v>46104.457245370373</v>
      </c>
      <c r="BN83" s="227"/>
      <c r="BO83" s="401"/>
      <c r="BP83" s="401"/>
      <c r="BQ8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3" s="14" t="str">
        <f>IFERROR(VLOOKUP(Cartera1017[[#This Row],[Aplicativo]],Tabla76[],2,FALSE),"Sin Aplicativo")</f>
        <v>BackOffice</v>
      </c>
      <c r="BS83" s="14" t="str">
        <f>IFERROR(VLOOKUP(Cartera1017[[#This Row],[Aplicativo]],Tabla76[],3,FALSE),"Sin Aplicativo")</f>
        <v>Otros Requerimientos</v>
      </c>
      <c r="BT83" s="400" t="s">
        <v>521</v>
      </c>
      <c r="BU83" s="28"/>
      <c r="BV83" s="33"/>
      <c r="BW8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8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3" s="149" t="str">
        <f ca="1">IF(Cartera1017[[#This Row],[Fecha Fin2]]="","No definido",CONCATENATE(TEXT(Cartera1017[[#This Row],[Fecha Fin2]],"mmm")," ",YEAR(Cartera1017[[#This Row],[Fecha Fin2]])))</f>
        <v>Mar 2026</v>
      </c>
      <c r="BZ83" s="28"/>
      <c r="CA83" s="48" t="str">
        <f>IF(Cartera1017[[#This Row],[Estado TI]] = "08. Producción Finalizada","Culminado",IF(Cartera1017[[#This Row],[Estado TI]]= "09. Descartado","Descartado","Activos"))</f>
        <v>Culminado</v>
      </c>
      <c r="CB83" s="28"/>
      <c r="CC8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83" s="54" t="str">
        <f>IF(
AND(
Cartera1017[[#This Row],[DEVOLVER 27]]="NO",
NOT(ISBLANK(Cartera1017[[#This Row],[ESTADO NO DEVUELTOS 27]]))
),
"PRE",
"POST"
)</f>
        <v>PRE</v>
      </c>
      <c r="CE83" s="54" t="s">
        <v>509</v>
      </c>
      <c r="CF83" s="104" t="s">
        <v>48</v>
      </c>
      <c r="CG83"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8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3" s="406">
        <f>Cartera1017[[#This Row],[Porcentaje de Avance]]</f>
        <v>1</v>
      </c>
      <c r="CK83" s="418">
        <f ca="1">IF(
   OR(
     Cartera1017[[#This Row],[Estado TI]]="09. Descartado",
     Cartera1017[[#This Row],[Comienzo Desarrollo]]="",
     Cartera1017[[#This Row],[Fin Producción]]=""
   ),
   "",
   Cartera1017[[#This Row],[% PLANIFICADO]]-Cartera1017[[#This Row],[% COMPLETADO]]
)</f>
        <v>0</v>
      </c>
      <c r="CL83" s="418">
        <f ca="1">IF(
   OR(
     Cartera1017[[#This Row],[Estado TI]]="09. Descartado",
     Cartera1017[[#This Row],[Comienzo Desarrollo]]="",
     Cartera1017[[#This Row],[Fin Producción]]="",
     Cartera1017[[#This Row],[% PLANIFICADO]]=0
   ),
   "",
   MIN(Cartera1017[[#This Row],[% COMPLETADO]]/Cartera1017[[#This Row],[% PLANIFICADO]],1.2)
)</f>
        <v>1</v>
      </c>
      <c r="CM83" s="423">
        <v>45804</v>
      </c>
      <c r="CN83" s="377">
        <v>45804</v>
      </c>
      <c r="CO83" s="377">
        <v>46003</v>
      </c>
      <c r="CP83" s="377">
        <v>46013</v>
      </c>
      <c r="CQ83" s="377">
        <v>46064</v>
      </c>
      <c r="CR83" s="377">
        <v>46072</v>
      </c>
      <c r="CS83" s="377">
        <v>46108</v>
      </c>
      <c r="CT83" s="44">
        <f>IF(Cartera1017[[#This Row],[Fin Desarrollo]]="",25,IFERROR(NETWORKDAYS(Cartera1017[[#This Row],[Comienzo Desarrollo]],Cartera1017[[#This Row],[Fin Desarrollo]],FERIADOS[Fecha]),""))</f>
        <v>140</v>
      </c>
      <c r="CU8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83" s="44">
        <f>IF(OR(Cartera1017[[#This Row],[Comienzo Desarrollo]]="",Cartera1017[[#This Row],[Fin Desarrollo]]=""),200,IFERROR(Cartera1017[[#This Row],[DURACIÓN DESARROLLO DIAS]]*VLOOKUP(Cartera1017[[#This Row],[ID Mantenimiento]],MANT_HORAS[],2,FALSE),200))</f>
        <v>200</v>
      </c>
      <c r="CW83" s="110"/>
      <c r="CX83" s="110" t="str">
        <f>VLOOKUP(Cartera1017[[#This Row],[Estado TI]],Definiciones!$A$549:$B$559,2,FALSE)</f>
        <v>4. PRODUCCIÓN</v>
      </c>
      <c r="CY83" s="28">
        <f ca="1">1-Cartera1017[[#This Row],[Porcentaje avanzado desarrollo]]</f>
        <v>0</v>
      </c>
      <c r="CZ8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140</v>
      </c>
      <c r="DA83" s="28">
        <f ca="1">MAX(0,Cartera1017[[#This Row],[DURACIÓN DESARROLLO DIAS]]-Cartera1017[[#This Row],[Dias avanzados]])</f>
        <v>0</v>
      </c>
      <c r="DB83" s="28">
        <f ca="1">Cartera1017[[#This Row],[Dias avanzados]]*IFERROR(VLOOKUP(Cartera1017[[#This Row],[ID Mantenimiento]],MANT_HORAS[],2,FALSE),8)</f>
        <v>1120</v>
      </c>
      <c r="DC83" s="28">
        <f ca="1">Cartera1017[[#This Row],[Dias faltantes]]*IFERROR(VLOOKUP(Cartera1017[[#This Row],[ID Mantenimiento]],MANT_HORAS[],2,FALSE),8)</f>
        <v>0</v>
      </c>
      <c r="DD83" s="28" t="str">
        <f>IF(Cartera1017[[#This Row],[Fin Producción]]=0,"Por definir",CONCATENATE(YEAR(Cartera1017[[#This Row],[Fin Producción]]),"-",ROUNDUP(MONTH(Cartera1017[[#This Row],[Fin Producción]]),0)))</f>
        <v>2026-3</v>
      </c>
      <c r="DE83" s="18" t="s">
        <v>510</v>
      </c>
      <c r="DF83" s="28"/>
      <c r="DG83" s="28"/>
      <c r="DH83" s="565"/>
    </row>
    <row r="84" spans="1:112" ht="44.25" hidden="1" customHeight="1">
      <c r="A84" s="229" t="s">
        <v>1181</v>
      </c>
      <c r="B84" s="18">
        <v>2656</v>
      </c>
      <c r="C84" s="18" t="s">
        <v>485</v>
      </c>
      <c r="D84" s="18" t="s">
        <v>1182</v>
      </c>
      <c r="E84" s="18" t="s">
        <v>197</v>
      </c>
      <c r="F84" s="33" t="s">
        <v>198</v>
      </c>
      <c r="G84" s="19"/>
      <c r="H84" s="18" t="s">
        <v>59</v>
      </c>
      <c r="I84" s="18" t="s">
        <v>618</v>
      </c>
      <c r="J84" s="18" t="s">
        <v>619</v>
      </c>
      <c r="K84" s="20">
        <v>45716</v>
      </c>
      <c r="L84" s="50" t="s">
        <v>1167</v>
      </c>
      <c r="M84" s="50" t="s">
        <v>684</v>
      </c>
      <c r="N84" s="50" t="s">
        <v>1168</v>
      </c>
      <c r="O84" s="18" t="s">
        <v>530</v>
      </c>
      <c r="P84" s="18" t="s">
        <v>495</v>
      </c>
      <c r="Q84" s="18" t="s">
        <v>496</v>
      </c>
      <c r="R84" s="18" t="s">
        <v>497</v>
      </c>
      <c r="S84" s="18"/>
      <c r="T84" s="18"/>
      <c r="U84" s="18"/>
      <c r="V84" s="18"/>
      <c r="W84" s="18"/>
      <c r="X84" s="18"/>
      <c r="Y84" s="80"/>
      <c r="Z84" s="18" t="s">
        <v>499</v>
      </c>
      <c r="AA84" s="20">
        <v>45747</v>
      </c>
      <c r="AB84" s="18" t="s">
        <v>533</v>
      </c>
      <c r="AC84" s="18" t="s">
        <v>501</v>
      </c>
      <c r="AD84" s="18" t="s">
        <v>190</v>
      </c>
      <c r="AE84" s="18" t="s">
        <v>47</v>
      </c>
      <c r="AF84" s="18" t="s">
        <v>53</v>
      </c>
      <c r="AG84" s="14" t="str">
        <f>VLOOKUP(AF84,Tabla3[[Estado Requerimiento]:[Macro estado]],2,FALSE)</f>
        <v>03. Culminado</v>
      </c>
      <c r="AH84" s="18"/>
      <c r="AI84" s="80">
        <v>45721</v>
      </c>
      <c r="AJ84" s="80"/>
      <c r="AK84" s="80">
        <v>45804</v>
      </c>
      <c r="AL84" s="80">
        <v>46003</v>
      </c>
      <c r="AM84" s="80"/>
      <c r="AN84" s="80">
        <v>46013</v>
      </c>
      <c r="AO84" s="80">
        <v>46064</v>
      </c>
      <c r="AP84" s="81">
        <f t="shared" si="2"/>
        <v>46082.6</v>
      </c>
      <c r="AQ84" s="80">
        <v>46099</v>
      </c>
      <c r="AR84" s="80">
        <v>46104</v>
      </c>
      <c r="AS84" s="81">
        <f t="shared" si="3"/>
        <v>46089.599999999999</v>
      </c>
      <c r="AT84" s="19" t="s">
        <v>1180</v>
      </c>
      <c r="AU84" s="44" t="str">
        <f>VLOOKUP(Cartera1017[[#This Row],[Gerencia]],tbGerencia[#All],3,FALSE)</f>
        <v>RRHH</v>
      </c>
      <c r="AV84" s="44" t="str">
        <f>IFERROR(VLOOKUP(Cartera1017[[#This Row],[Subgerencia]],Definiciones!$A$90:$B$144,2,FALSE),"")</f>
        <v>AdministraciónPersonal</v>
      </c>
      <c r="AW84" s="44" t="str">
        <f>IF(OR(LEN(Cartera1017[[#This Row],[Fecha de Solicitud]])=0,(Cartera1017[[#This Row],[Fecha de Solicitud]])="No definido"),"No definido",IF(YEAR(Cartera1017[[#This Row],[Fecha de Solicitud]])&lt;2023," &lt;  2023",TEXT(Cartera1017[[#This Row],[Fecha de Solicitud]],"yyyy-mm")))</f>
        <v>2025-02</v>
      </c>
      <c r="AX84" s="44" t="str">
        <f>IF(Cartera1017[[#This Row],[Fecha de Priorización Comité]]="","No definido",TEXT(Cartera1017[[#This Row],[Fecha de Priorización Comité]],"yyyy-mm"))</f>
        <v>2025-03</v>
      </c>
      <c r="AY84" s="44" t="str">
        <f>IF(Cartera1017[[#This Row],[Fecha Fin- Desarrollo]]="","No definido",TEXT(Cartera1017[[#This Row],[Fecha Fin- Desarrollo]],"yyyy-mm"))</f>
        <v>2025-12</v>
      </c>
      <c r="AZ84" s="44" t="str">
        <f>IF(Cartera1017[[#This Row],[Fecha Fin- Producción]]="","No definido",TEXT(Cartera1017[[#This Row],[Fecha Fin- Producción]],"yyyy-mm"))</f>
        <v>2026-03</v>
      </c>
      <c r="BA84" s="44" t="str">
        <f>IF(Cartera1017[[#This Row],[Fecha Fin-Planificada]]="","No definido",TEXT(Cartera1017[[#This Row],[Fecha Fin-Planificada]],"yyyy-mm"))</f>
        <v>2026-03</v>
      </c>
      <c r="BB84" s="33"/>
      <c r="BC84" s="66"/>
      <c r="BD84" s="66"/>
      <c r="BE84" s="66"/>
      <c r="BF84" s="127"/>
      <c r="BG84" s="28" t="s">
        <v>1044</v>
      </c>
      <c r="BH8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300</v>
      </c>
      <c r="BI84" s="90">
        <f>IF(ISNUMBER(Cartera1017[[#This Row],[Duracion en Dias]]),Cartera1017[[#This Row],[Duracion en Dias]]/30, "No Aplica")</f>
        <v>10</v>
      </c>
      <c r="BJ84" s="18" t="s">
        <v>1170</v>
      </c>
      <c r="BK84" s="28" t="s">
        <v>506</v>
      </c>
      <c r="BL84" s="110" t="s">
        <v>536</v>
      </c>
      <c r="BM84" s="342">
        <v>46104.458287037036</v>
      </c>
      <c r="BN84" s="227"/>
      <c r="BO84" s="401"/>
      <c r="BP84" s="401"/>
      <c r="BQ8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4" s="14" t="str">
        <f>IFERROR(VLOOKUP(Cartera1017[[#This Row],[Aplicativo]],Tabla76[],2,FALSE),"Sin Aplicativo")</f>
        <v>BackOffice</v>
      </c>
      <c r="BS84" s="14" t="str">
        <f>IFERROR(VLOOKUP(Cartera1017[[#This Row],[Aplicativo]],Tabla76[],3,FALSE),"Sin Aplicativo")</f>
        <v>Otros Requerimientos</v>
      </c>
      <c r="BT84" s="400" t="s">
        <v>521</v>
      </c>
      <c r="BU84" s="28"/>
      <c r="BV84" s="33"/>
      <c r="BW8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8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4" s="149" t="str">
        <f ca="1">IF(Cartera1017[[#This Row],[Fecha Fin2]]="","No definido",CONCATENATE(TEXT(Cartera1017[[#This Row],[Fecha Fin2]],"mmm")," ",YEAR(Cartera1017[[#This Row],[Fecha Fin2]])))</f>
        <v>Mar 2026</v>
      </c>
      <c r="BZ84" s="28"/>
      <c r="CA84" s="48" t="str">
        <f>IF(Cartera1017[[#This Row],[Estado TI]] = "08. Producción Finalizada","Culminado",IF(Cartera1017[[#This Row],[Estado TI]]= "09. Descartado","Descartado","Activos"))</f>
        <v>Culminado</v>
      </c>
      <c r="CB84" s="28"/>
      <c r="CC8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84" s="54" t="str">
        <f>IF(
AND(
Cartera1017[[#This Row],[DEVOLVER 27]]="NO",
NOT(ISBLANK(Cartera1017[[#This Row],[ESTADO NO DEVUELTOS 27]]))
),
"PRE",
"POST"
)</f>
        <v>PRE</v>
      </c>
      <c r="CE84" s="54" t="s">
        <v>509</v>
      </c>
      <c r="CF84" s="104" t="s">
        <v>48</v>
      </c>
      <c r="CG84"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8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4" s="406">
        <f>Cartera1017[[#This Row],[Porcentaje de Avance]]</f>
        <v>1</v>
      </c>
      <c r="CK84" s="418">
        <f ca="1">IF(
   OR(
     Cartera1017[[#This Row],[Estado TI]]="09. Descartado",
     Cartera1017[[#This Row],[Comienzo Desarrollo]]="",
     Cartera1017[[#This Row],[Fin Producción]]=""
   ),
   "",
   Cartera1017[[#This Row],[% PLANIFICADO]]-Cartera1017[[#This Row],[% COMPLETADO]]
)</f>
        <v>0</v>
      </c>
      <c r="CL84" s="418">
        <f ca="1">IF(
   OR(
     Cartera1017[[#This Row],[Estado TI]]="09. Descartado",
     Cartera1017[[#This Row],[Comienzo Desarrollo]]="",
     Cartera1017[[#This Row],[Fin Producción]]="",
     Cartera1017[[#This Row],[% PLANIFICADO]]=0
   ),
   "",
   MIN(Cartera1017[[#This Row],[% COMPLETADO]]/Cartera1017[[#This Row],[% PLANIFICADO]],1.2)
)</f>
        <v>1</v>
      </c>
      <c r="CM84" s="423">
        <v>45804</v>
      </c>
      <c r="CN84" s="377">
        <v>45804</v>
      </c>
      <c r="CO84" s="377">
        <v>46003</v>
      </c>
      <c r="CP84" s="377">
        <v>46013</v>
      </c>
      <c r="CQ84" s="377">
        <v>46064</v>
      </c>
      <c r="CR84" s="377">
        <v>46072</v>
      </c>
      <c r="CS84" s="377">
        <v>46108</v>
      </c>
      <c r="CT84" s="44">
        <f>IF(Cartera1017[[#This Row],[Fin Desarrollo]]="",25,IFERROR(NETWORKDAYS(Cartera1017[[#This Row],[Comienzo Desarrollo]],Cartera1017[[#This Row],[Fin Desarrollo]],FERIADOS[Fecha]),""))</f>
        <v>140</v>
      </c>
      <c r="CU8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84" s="44">
        <f>IF(OR(Cartera1017[[#This Row],[Comienzo Desarrollo]]="",Cartera1017[[#This Row],[Fin Desarrollo]]=""),200,IFERROR(Cartera1017[[#This Row],[DURACIÓN DESARROLLO DIAS]]*VLOOKUP(Cartera1017[[#This Row],[ID Mantenimiento]],MANT_HORAS[],2,FALSE),200))</f>
        <v>200</v>
      </c>
      <c r="CW84" s="110"/>
      <c r="CX84" s="110" t="str">
        <f>VLOOKUP(Cartera1017[[#This Row],[Estado TI]],Definiciones!$A$549:$B$559,2,FALSE)</f>
        <v>4. PRODUCCIÓN</v>
      </c>
      <c r="CY84" s="28">
        <f ca="1">1-Cartera1017[[#This Row],[Porcentaje avanzado desarrollo]]</f>
        <v>0</v>
      </c>
      <c r="CZ8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140</v>
      </c>
      <c r="DA84" s="28">
        <f ca="1">MAX(0,Cartera1017[[#This Row],[DURACIÓN DESARROLLO DIAS]]-Cartera1017[[#This Row],[Dias avanzados]])</f>
        <v>0</v>
      </c>
      <c r="DB84" s="28">
        <f ca="1">Cartera1017[[#This Row],[Dias avanzados]]*IFERROR(VLOOKUP(Cartera1017[[#This Row],[ID Mantenimiento]],MANT_HORAS[],2,FALSE),8)</f>
        <v>1120</v>
      </c>
      <c r="DC84" s="28">
        <f ca="1">Cartera1017[[#This Row],[Dias faltantes]]*IFERROR(VLOOKUP(Cartera1017[[#This Row],[ID Mantenimiento]],MANT_HORAS[],2,FALSE),8)</f>
        <v>0</v>
      </c>
      <c r="DD84" s="28" t="str">
        <f>IF(Cartera1017[[#This Row],[Fin Producción]]=0,"Por definir",CONCATENATE(YEAR(Cartera1017[[#This Row],[Fin Producción]]),"-",ROUNDUP(MONTH(Cartera1017[[#This Row],[Fin Producción]]),0)))</f>
        <v>2026-3</v>
      </c>
      <c r="DE84" s="18" t="s">
        <v>510</v>
      </c>
      <c r="DF84" s="28"/>
      <c r="DG84" s="28"/>
      <c r="DH84" s="565"/>
    </row>
    <row r="85" spans="1:112" ht="44.25" hidden="1" customHeight="1">
      <c r="A85" s="229" t="s">
        <v>1183</v>
      </c>
      <c r="B85" s="18">
        <v>2657</v>
      </c>
      <c r="C85" s="18" t="s">
        <v>485</v>
      </c>
      <c r="D85" s="18" t="s">
        <v>1184</v>
      </c>
      <c r="E85" s="18" t="s">
        <v>199</v>
      </c>
      <c r="F85" s="33" t="s">
        <v>200</v>
      </c>
      <c r="G85" s="19"/>
      <c r="H85" s="18" t="s">
        <v>59</v>
      </c>
      <c r="I85" s="18" t="s">
        <v>618</v>
      </c>
      <c r="J85" s="18" t="s">
        <v>619</v>
      </c>
      <c r="K85" s="20">
        <v>45716</v>
      </c>
      <c r="L85" s="50" t="s">
        <v>1167</v>
      </c>
      <c r="M85" s="50" t="s">
        <v>684</v>
      </c>
      <c r="N85" s="50" t="s">
        <v>1168</v>
      </c>
      <c r="O85" s="18" t="s">
        <v>530</v>
      </c>
      <c r="P85" s="18" t="s">
        <v>495</v>
      </c>
      <c r="Q85" s="18" t="s">
        <v>496</v>
      </c>
      <c r="R85" s="18" t="s">
        <v>497</v>
      </c>
      <c r="S85" s="18"/>
      <c r="T85" s="18"/>
      <c r="U85" s="18"/>
      <c r="V85" s="18"/>
      <c r="W85" s="18"/>
      <c r="X85" s="18"/>
      <c r="Y85" s="80"/>
      <c r="Z85" s="18" t="s">
        <v>499</v>
      </c>
      <c r="AA85" s="20">
        <v>45747</v>
      </c>
      <c r="AB85" s="18" t="s">
        <v>533</v>
      </c>
      <c r="AC85" s="18" t="s">
        <v>501</v>
      </c>
      <c r="AD85" s="18" t="s">
        <v>190</v>
      </c>
      <c r="AE85" s="18" t="s">
        <v>47</v>
      </c>
      <c r="AF85" s="18" t="s">
        <v>53</v>
      </c>
      <c r="AG85" s="14" t="str">
        <f>VLOOKUP(AF85,Tabla3[[Estado Requerimiento]:[Macro estado]],2,FALSE)</f>
        <v>03. Culminado</v>
      </c>
      <c r="AH85" s="18"/>
      <c r="AI85" s="80">
        <v>45721</v>
      </c>
      <c r="AJ85" s="80"/>
      <c r="AK85" s="80">
        <v>45721</v>
      </c>
      <c r="AL85" s="80">
        <v>46003</v>
      </c>
      <c r="AM85" s="80"/>
      <c r="AN85" s="80">
        <v>46013</v>
      </c>
      <c r="AO85" s="80">
        <v>46064</v>
      </c>
      <c r="AP85" s="81">
        <f t="shared" si="2"/>
        <v>46115.8</v>
      </c>
      <c r="AQ85" s="80">
        <v>46099</v>
      </c>
      <c r="AR85" s="80">
        <v>46104</v>
      </c>
      <c r="AS85" s="81">
        <f t="shared" si="3"/>
        <v>46122.8</v>
      </c>
      <c r="AT85" s="19" t="s">
        <v>1185</v>
      </c>
      <c r="AU85" s="44" t="str">
        <f>VLOOKUP(Cartera1017[[#This Row],[Gerencia]],tbGerencia[#All],3,FALSE)</f>
        <v>RRHH</v>
      </c>
      <c r="AV85" s="44" t="str">
        <f>IFERROR(VLOOKUP(Cartera1017[[#This Row],[Subgerencia]],Definiciones!$A$90:$B$144,2,FALSE),"")</f>
        <v>AdministraciónPersonal</v>
      </c>
      <c r="AW85" s="44" t="str">
        <f>IF(OR(LEN(Cartera1017[[#This Row],[Fecha de Solicitud]])=0,(Cartera1017[[#This Row],[Fecha de Solicitud]])="No definido"),"No definido",IF(YEAR(Cartera1017[[#This Row],[Fecha de Solicitud]])&lt;2023," &lt;  2023",TEXT(Cartera1017[[#This Row],[Fecha de Solicitud]],"yyyy-mm")))</f>
        <v>2025-02</v>
      </c>
      <c r="AX85" s="44" t="str">
        <f>IF(Cartera1017[[#This Row],[Fecha de Priorización Comité]]="","No definido",TEXT(Cartera1017[[#This Row],[Fecha de Priorización Comité]],"yyyy-mm"))</f>
        <v>2025-03</v>
      </c>
      <c r="AY85" s="44" t="str">
        <f>IF(Cartera1017[[#This Row],[Fecha Fin- Desarrollo]]="","No definido",TEXT(Cartera1017[[#This Row],[Fecha Fin- Desarrollo]],"yyyy-mm"))</f>
        <v>2025-12</v>
      </c>
      <c r="AZ85" s="44" t="str">
        <f>IF(Cartera1017[[#This Row],[Fecha Fin- Producción]]="","No definido",TEXT(Cartera1017[[#This Row],[Fecha Fin- Producción]],"yyyy-mm"))</f>
        <v>2026-03</v>
      </c>
      <c r="BA85" s="44" t="str">
        <f>IF(Cartera1017[[#This Row],[Fecha Fin-Planificada]]="","No definido",TEXT(Cartera1017[[#This Row],[Fecha Fin-Planificada]],"yyyy-mm"))</f>
        <v>2026-04</v>
      </c>
      <c r="BB85" s="33" t="s">
        <v>581</v>
      </c>
      <c r="BC85" s="66"/>
      <c r="BD85" s="66"/>
      <c r="BE85" s="66"/>
      <c r="BF85" s="127"/>
      <c r="BG85" s="28" t="s">
        <v>1044</v>
      </c>
      <c r="BH8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383</v>
      </c>
      <c r="BI85" s="90">
        <f>IF(ISNUMBER(Cartera1017[[#This Row],[Duracion en Dias]]),Cartera1017[[#This Row],[Duracion en Dias]]/30, "No Aplica")</f>
        <v>12.766666666666667</v>
      </c>
      <c r="BJ85" s="18" t="s">
        <v>1170</v>
      </c>
      <c r="BK85" s="28" t="s">
        <v>506</v>
      </c>
      <c r="BL85" s="110" t="s">
        <v>536</v>
      </c>
      <c r="BM85" s="342">
        <v>46104.45752314815</v>
      </c>
      <c r="BN85" s="227"/>
      <c r="BO85" s="401"/>
      <c r="BP85" s="401"/>
      <c r="BQ8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5" s="14" t="str">
        <f>IFERROR(VLOOKUP(Cartera1017[[#This Row],[Aplicativo]],Tabla76[],2,FALSE),"Sin Aplicativo")</f>
        <v>BackOffice</v>
      </c>
      <c r="BS85" s="14" t="str">
        <f>IFERROR(VLOOKUP(Cartera1017[[#This Row],[Aplicativo]],Tabla76[],3,FALSE),"Sin Aplicativo")</f>
        <v>Otros Requerimientos</v>
      </c>
      <c r="BT85" s="400" t="s">
        <v>521</v>
      </c>
      <c r="BU85" s="28"/>
      <c r="BV85" s="33"/>
      <c r="BW8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8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5" s="149" t="str">
        <f ca="1">IF(Cartera1017[[#This Row],[Fecha Fin2]]="","No definido",CONCATENATE(TEXT(Cartera1017[[#This Row],[Fecha Fin2]],"mmm")," ",YEAR(Cartera1017[[#This Row],[Fecha Fin2]])))</f>
        <v>Mar 2026</v>
      </c>
      <c r="BZ85" s="28"/>
      <c r="CA85" s="48" t="str">
        <f>IF(Cartera1017[[#This Row],[Estado TI]] = "08. Producción Finalizada","Culminado",IF(Cartera1017[[#This Row],[Estado TI]]= "09. Descartado","Descartado","Activos"))</f>
        <v>Culminado</v>
      </c>
      <c r="CB85" s="28"/>
      <c r="CC8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85" s="54" t="str">
        <f>IF(
AND(
Cartera1017[[#This Row],[DEVOLVER 27]]="NO",
NOT(ISBLANK(Cartera1017[[#This Row],[ESTADO NO DEVUELTOS 27]]))
),
"PRE",
"POST"
)</f>
        <v>PRE</v>
      </c>
      <c r="CE85" s="54" t="s">
        <v>509</v>
      </c>
      <c r="CF85" s="104" t="s">
        <v>48</v>
      </c>
      <c r="CG85"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8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5" s="406">
        <f>Cartera1017[[#This Row],[Porcentaje de Avance]]</f>
        <v>1</v>
      </c>
      <c r="CK85" s="418">
        <f ca="1">IF(
   OR(
     Cartera1017[[#This Row],[Estado TI]]="09. Descartado",
     Cartera1017[[#This Row],[Comienzo Desarrollo]]="",
     Cartera1017[[#This Row],[Fin Producción]]=""
   ),
   "",
   Cartera1017[[#This Row],[% PLANIFICADO]]-Cartera1017[[#This Row],[% COMPLETADO]]
)</f>
        <v>0</v>
      </c>
      <c r="CL85" s="418">
        <f ca="1">IF(
   OR(
     Cartera1017[[#This Row],[Estado TI]]="09. Descartado",
     Cartera1017[[#This Row],[Comienzo Desarrollo]]="",
     Cartera1017[[#This Row],[Fin Producción]]="",
     Cartera1017[[#This Row],[% PLANIFICADO]]=0
   ),
   "",
   MIN(Cartera1017[[#This Row],[% COMPLETADO]]/Cartera1017[[#This Row],[% PLANIFICADO]],1.2)
)</f>
        <v>1</v>
      </c>
      <c r="CM85" s="423">
        <v>45721</v>
      </c>
      <c r="CN85" s="377">
        <v>45721</v>
      </c>
      <c r="CO85" s="377">
        <v>46003</v>
      </c>
      <c r="CP85" s="377">
        <v>46013</v>
      </c>
      <c r="CQ85" s="377">
        <v>46064</v>
      </c>
      <c r="CR85" s="377">
        <v>46072</v>
      </c>
      <c r="CS85" s="377">
        <v>46108</v>
      </c>
      <c r="CT85" s="44">
        <f>IF(Cartera1017[[#This Row],[Fin Desarrollo]]="",25,IFERROR(NETWORKDAYS(Cartera1017[[#This Row],[Comienzo Desarrollo]],Cartera1017[[#This Row],[Fin Desarrollo]],FERIADOS[Fecha]),""))</f>
        <v>198</v>
      </c>
      <c r="CU8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85" s="44">
        <f>IF(OR(Cartera1017[[#This Row],[Comienzo Desarrollo]]="",Cartera1017[[#This Row],[Fin Desarrollo]]=""),200,IFERROR(Cartera1017[[#This Row],[DURACIÓN DESARROLLO DIAS]]*VLOOKUP(Cartera1017[[#This Row],[ID Mantenimiento]],MANT_HORAS[],2,FALSE),200))</f>
        <v>200</v>
      </c>
      <c r="CW85" s="110"/>
      <c r="CX85" s="110" t="str">
        <f>VLOOKUP(Cartera1017[[#This Row],[Estado TI]],Definiciones!$A$549:$B$559,2,FALSE)</f>
        <v>4. PRODUCCIÓN</v>
      </c>
      <c r="CY85" s="28">
        <f ca="1">1-Cartera1017[[#This Row],[Porcentaje avanzado desarrollo]]</f>
        <v>0</v>
      </c>
      <c r="CZ8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198</v>
      </c>
      <c r="DA85" s="28">
        <f ca="1">MAX(0,Cartera1017[[#This Row],[DURACIÓN DESARROLLO DIAS]]-Cartera1017[[#This Row],[Dias avanzados]])</f>
        <v>0</v>
      </c>
      <c r="DB85" s="28">
        <f ca="1">Cartera1017[[#This Row],[Dias avanzados]]*IFERROR(VLOOKUP(Cartera1017[[#This Row],[ID Mantenimiento]],MANT_HORAS[],2,FALSE),8)</f>
        <v>1584</v>
      </c>
      <c r="DC85" s="28">
        <f ca="1">Cartera1017[[#This Row],[Dias faltantes]]*IFERROR(VLOOKUP(Cartera1017[[#This Row],[ID Mantenimiento]],MANT_HORAS[],2,FALSE),8)</f>
        <v>0</v>
      </c>
      <c r="DD85" s="28" t="str">
        <f>IF(Cartera1017[[#This Row],[Fin Producción]]=0,"Por definir",CONCATENATE(YEAR(Cartera1017[[#This Row],[Fin Producción]]),"-",ROUNDUP(MONTH(Cartera1017[[#This Row],[Fin Producción]]),0)))</f>
        <v>2026-3</v>
      </c>
      <c r="DE85" s="18" t="s">
        <v>510</v>
      </c>
      <c r="DF85" s="28"/>
      <c r="DG85" s="28"/>
      <c r="DH85" s="565"/>
    </row>
    <row r="86" spans="1:112" ht="44.25" hidden="1" customHeight="1">
      <c r="A86" s="229" t="s">
        <v>1186</v>
      </c>
      <c r="B86" s="18">
        <v>2598</v>
      </c>
      <c r="C86" s="18" t="s">
        <v>485</v>
      </c>
      <c r="D86" s="18" t="s">
        <v>1187</v>
      </c>
      <c r="E86" s="18" t="s">
        <v>201</v>
      </c>
      <c r="F86" s="33" t="s">
        <v>202</v>
      </c>
      <c r="G86" s="19" t="s">
        <v>1188</v>
      </c>
      <c r="H86" s="18" t="s">
        <v>33</v>
      </c>
      <c r="I86" s="18" t="s">
        <v>1189</v>
      </c>
      <c r="J86" s="18" t="s">
        <v>1190</v>
      </c>
      <c r="K86" s="20">
        <v>45691</v>
      </c>
      <c r="L86" s="50" t="s">
        <v>1191</v>
      </c>
      <c r="M86" s="50" t="s">
        <v>1192</v>
      </c>
      <c r="N86" s="50"/>
      <c r="O86" s="18" t="s">
        <v>530</v>
      </c>
      <c r="P86" s="18" t="s">
        <v>1193</v>
      </c>
      <c r="Q86" s="18" t="s">
        <v>495</v>
      </c>
      <c r="R86" s="18" t="s">
        <v>497</v>
      </c>
      <c r="S86" s="18"/>
      <c r="T86" s="18"/>
      <c r="U86" s="18"/>
      <c r="V86" s="18"/>
      <c r="W86" s="18"/>
      <c r="X86" s="18"/>
      <c r="Y86" s="80"/>
      <c r="Z86" s="18" t="s">
        <v>499</v>
      </c>
      <c r="AA86" s="20">
        <v>45777</v>
      </c>
      <c r="AB86" s="18" t="s">
        <v>500</v>
      </c>
      <c r="AC86" s="18"/>
      <c r="AD86" s="18" t="s">
        <v>150</v>
      </c>
      <c r="AE86" s="18" t="s">
        <v>34</v>
      </c>
      <c r="AF86" s="18" t="s">
        <v>28</v>
      </c>
      <c r="AG86" s="14" t="str">
        <f>VLOOKUP(AF86,Tabla3[[Estado Requerimiento]:[Macro estado]],2,FALSE)</f>
        <v>04. Paralizado</v>
      </c>
      <c r="AH86" s="18" t="s">
        <v>559</v>
      </c>
      <c r="AI86" s="80">
        <v>45751</v>
      </c>
      <c r="AJ86" s="80"/>
      <c r="AK86" s="80">
        <v>45912</v>
      </c>
      <c r="AL86" s="80"/>
      <c r="AM86" s="80"/>
      <c r="AN86" s="80"/>
      <c r="AO86" s="80"/>
      <c r="AP86" s="81" t="str">
        <f t="shared" si="2"/>
        <v/>
      </c>
      <c r="AQ86" s="80"/>
      <c r="AR86" s="80"/>
      <c r="AS86" s="81" t="str">
        <f t="shared" si="3"/>
        <v/>
      </c>
      <c r="AT86" s="19" t="s">
        <v>1194</v>
      </c>
      <c r="AU86" s="44" t="str">
        <f>VLOOKUP(Cartera1017[[#This Row],[Gerencia]],tbGerencia[#All],3,FALSE)</f>
        <v>Productos</v>
      </c>
      <c r="AV86" s="44" t="str">
        <f>IFERROR(VLOOKUP(Cartera1017[[#This Row],[Subgerencia]],Definiciones!$A$90:$B$144,2,FALSE),"")</f>
        <v>InclusiónFinanciera</v>
      </c>
      <c r="AW86" s="44" t="str">
        <f>IF(OR(LEN(Cartera1017[[#This Row],[Fecha de Solicitud]])=0,(Cartera1017[[#This Row],[Fecha de Solicitud]])="No definido"),"No definido",IF(YEAR(Cartera1017[[#This Row],[Fecha de Solicitud]])&lt;2023," &lt;  2023",TEXT(Cartera1017[[#This Row],[Fecha de Solicitud]],"yyyy-mm")))</f>
        <v>2025-02</v>
      </c>
      <c r="AX86" s="44" t="str">
        <f>IF(Cartera1017[[#This Row],[Fecha de Priorización Comité]]="","No definido",TEXT(Cartera1017[[#This Row],[Fecha de Priorización Comité]],"yyyy-mm"))</f>
        <v>2025-04</v>
      </c>
      <c r="AY86" s="44" t="str">
        <f>IF(Cartera1017[[#This Row],[Fecha Fin- Desarrollo]]="","No definido",TEXT(Cartera1017[[#This Row],[Fecha Fin- Desarrollo]],"yyyy-mm"))</f>
        <v>No definido</v>
      </c>
      <c r="AZ86" s="44" t="str">
        <f>IF(Cartera1017[[#This Row],[Fecha Fin- Producción]]="","No definido",TEXT(Cartera1017[[#This Row],[Fecha Fin- Producción]],"yyyy-mm"))</f>
        <v>No definido</v>
      </c>
      <c r="BA86" s="44" t="str">
        <f>IF(Cartera1017[[#This Row],[Fecha Fin-Planificada]]="","No definido",TEXT(Cartera1017[[#This Row],[Fecha Fin-Planificada]],"yyyy-mm"))</f>
        <v>No definido</v>
      </c>
      <c r="BB86" s="33"/>
      <c r="BC86" s="66"/>
      <c r="BD86" s="66"/>
      <c r="BE86" s="66"/>
      <c r="BF86" s="127"/>
      <c r="BG86" s="28" t="s">
        <v>1195</v>
      </c>
      <c r="BH8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86" s="90" t="str">
        <f>IF(ISNUMBER(Cartera1017[[#This Row],[Duracion en Dias]]),Cartera1017[[#This Row],[Duracion en Dias]]/30, "No Aplica")</f>
        <v>No Aplica</v>
      </c>
      <c r="BJ86" s="18" t="s">
        <v>1196</v>
      </c>
      <c r="BK86" s="28" t="s">
        <v>754</v>
      </c>
      <c r="BL86" s="110" t="s">
        <v>562</v>
      </c>
      <c r="BM86" s="342">
        <v>46003.432604166665</v>
      </c>
      <c r="BN86" s="227"/>
      <c r="BO86" s="401"/>
      <c r="BP86" s="401"/>
      <c r="BQ8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86" s="14" t="str">
        <f>IFERROR(VLOOKUP(Cartera1017[[#This Row],[Aplicativo]],Tabla76[],2,FALSE),"Sin Aplicativo")</f>
        <v>Sin Aplicativo</v>
      </c>
      <c r="BS86" s="14" t="str">
        <f>IFERROR(VLOOKUP(Cartera1017[[#This Row],[Aplicativo]],Tabla76[],3,FALSE),"Sin Aplicativo")</f>
        <v>Sin Aplicativo</v>
      </c>
      <c r="BT86" s="400" t="s">
        <v>521</v>
      </c>
      <c r="BU86" s="28"/>
      <c r="BV86" s="33"/>
      <c r="BW8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8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86" s="149" t="str">
        <f ca="1">IF(Cartera1017[[#This Row],[Fecha Fin2]]="","No definido",CONCATENATE(TEXT(Cartera1017[[#This Row],[Fecha Fin2]],"mmm")," ",YEAR(Cartera1017[[#This Row],[Fecha Fin2]])))</f>
        <v>No definido</v>
      </c>
      <c r="BZ86" s="28"/>
      <c r="CA86" s="48" t="str">
        <f>IF(Cartera1017[[#This Row],[Estado TI]] = "08. Producción Finalizada","Culminado",IF(Cartera1017[[#This Row],[Estado TI]]= "09. Descartado","Descartado","Activos"))</f>
        <v>Activos</v>
      </c>
      <c r="CB86" s="28"/>
      <c r="CC8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86" s="54" t="str">
        <f>IF(
AND(
Cartera1017[[#This Row],[DEVOLVER 27]]="NO",
NOT(ISBLANK(Cartera1017[[#This Row],[ESTADO NO DEVUELTOS 27]]))
),
"PRE",
"POST"
)</f>
        <v>PRE</v>
      </c>
      <c r="CE86" s="54" t="s">
        <v>509</v>
      </c>
      <c r="CF86" s="28" t="s">
        <v>48</v>
      </c>
      <c r="CG8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86"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86" s="406">
        <f>Cartera1017[[#This Row],[Porcentaje de Avance]]</f>
        <v>0.12</v>
      </c>
      <c r="CK86" s="388" t="str">
        <f>IF(
   OR(
     Cartera1017[[#This Row],[Estado TI]]="09. Descartado",
     Cartera1017[[#This Row],[Comienzo Desarrollo]]="",
     Cartera1017[[#This Row],[Fin Producción]]=""
   ),
   "",
   Cartera1017[[#This Row],[% PLANIFICADO]]-Cartera1017[[#This Row],[% COMPLETADO]]
)</f>
        <v/>
      </c>
      <c r="CL86" s="388" t="str">
        <f ca="1">IF(
   OR(
     Cartera1017[[#This Row],[Estado TI]]="09. Descartado",
     Cartera1017[[#This Row],[Comienzo Desarrollo]]="",
     Cartera1017[[#This Row],[Fin Producción]]="",
     Cartera1017[[#This Row],[% PLANIFICADO]]=0
   ),
   "",
   MIN(Cartera1017[[#This Row],[% COMPLETADO]]/Cartera1017[[#This Row],[% PLANIFICADO]],1.2)
)</f>
        <v/>
      </c>
      <c r="CM86" s="377"/>
      <c r="CN86" s="377"/>
      <c r="CO86" s="377"/>
      <c r="CP86" s="377"/>
      <c r="CQ86" s="377"/>
      <c r="CR86" s="377"/>
      <c r="CS86" s="377">
        <v>46265</v>
      </c>
      <c r="CT86" s="44">
        <f>IF(Cartera1017[[#This Row],[Fin Desarrollo]]="",25,IFERROR(NETWORKDAYS(Cartera1017[[#This Row],[Comienzo Desarrollo]],Cartera1017[[#This Row],[Fin Desarrollo]],FERIADOS[Fecha]),""))</f>
        <v>25</v>
      </c>
      <c r="CU8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86" s="44">
        <f>IF(OR(Cartera1017[[#This Row],[Comienzo Desarrollo]]="",Cartera1017[[#This Row],[Fin Desarrollo]]=""),200,IFERROR(Cartera1017[[#This Row],[DURACIÓN DESARROLLO DIAS]]*VLOOKUP(Cartera1017[[#This Row],[ID Mantenimiento]],MANT_HORAS[],2,FALSE),200))</f>
        <v>200</v>
      </c>
      <c r="CW86" s="110"/>
      <c r="CX86" s="110" t="str">
        <f>VLOOKUP(Cartera1017[[#This Row],[Estado TI]],Definiciones!$A$549:$B$559,2,FALSE)</f>
        <v>6. PARALIZADO</v>
      </c>
      <c r="CY86" s="28">
        <f ca="1">1-Cartera1017[[#This Row],[Porcentaje avanzado desarrollo]]</f>
        <v>0.9</v>
      </c>
      <c r="CZ8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86" s="28">
        <f ca="1">MAX(0,Cartera1017[[#This Row],[DURACIÓN DESARROLLO DIAS]]-Cartera1017[[#This Row],[Dias avanzados]])</f>
        <v>24</v>
      </c>
      <c r="DB86" s="28">
        <f ca="1">Cartera1017[[#This Row],[Dias avanzados]]*IFERROR(VLOOKUP(Cartera1017[[#This Row],[ID Mantenimiento]],MANT_HORAS[],2,FALSE),8)</f>
        <v>8</v>
      </c>
      <c r="DC86" s="28">
        <f ca="1">Cartera1017[[#This Row],[Dias faltantes]]*IFERROR(VLOOKUP(Cartera1017[[#This Row],[ID Mantenimiento]],MANT_HORAS[],2,FALSE),8)</f>
        <v>192</v>
      </c>
      <c r="DD86" s="28" t="str">
        <f>IF(Cartera1017[[#This Row],[Fin Producción]]=0,"Por definir",CONCATENATE(YEAR(Cartera1017[[#This Row],[Fin Producción]]),"-",ROUNDUP(MONTH(Cartera1017[[#This Row],[Fin Producción]]),0)))</f>
        <v>2026-8</v>
      </c>
      <c r="DE86" s="18" t="s">
        <v>510</v>
      </c>
      <c r="DF86" s="28"/>
      <c r="DG86" s="28"/>
      <c r="DH86" s="565"/>
    </row>
    <row r="87" spans="1:112" ht="44.25" hidden="1" customHeight="1">
      <c r="A87" s="229" t="s">
        <v>1197</v>
      </c>
      <c r="B87" s="18">
        <v>2713</v>
      </c>
      <c r="C87" s="18" t="s">
        <v>485</v>
      </c>
      <c r="D87" s="18" t="s">
        <v>1198</v>
      </c>
      <c r="E87" s="18" t="s">
        <v>203</v>
      </c>
      <c r="F87" s="60" t="s">
        <v>1199</v>
      </c>
      <c r="G87" s="19" t="s">
        <v>1200</v>
      </c>
      <c r="H87" s="18" t="s">
        <v>26</v>
      </c>
      <c r="I87" s="18" t="s">
        <v>539</v>
      </c>
      <c r="J87" s="18" t="s">
        <v>540</v>
      </c>
      <c r="K87" s="20">
        <v>45741</v>
      </c>
      <c r="L87" s="50" t="s">
        <v>1201</v>
      </c>
      <c r="M87" s="50" t="s">
        <v>742</v>
      </c>
      <c r="N87" s="50"/>
      <c r="O87" s="18" t="s">
        <v>712</v>
      </c>
      <c r="P87" s="18" t="s">
        <v>495</v>
      </c>
      <c r="Q87" s="18" t="s">
        <v>951</v>
      </c>
      <c r="R87" s="18" t="s">
        <v>497</v>
      </c>
      <c r="S87" s="18"/>
      <c r="T87" s="18"/>
      <c r="U87" s="18"/>
      <c r="V87" s="18"/>
      <c r="W87" s="18"/>
      <c r="X87" s="18"/>
      <c r="Y87" s="80"/>
      <c r="Z87" s="18" t="s">
        <v>499</v>
      </c>
      <c r="AA87" s="20">
        <v>45777</v>
      </c>
      <c r="AB87" s="18" t="s">
        <v>500</v>
      </c>
      <c r="AC87" s="18" t="s">
        <v>570</v>
      </c>
      <c r="AD87" s="39" t="s">
        <v>1202</v>
      </c>
      <c r="AE87" s="18" t="s">
        <v>27</v>
      </c>
      <c r="AF87" s="563" t="s">
        <v>502</v>
      </c>
      <c r="AG87" s="395" t="str">
        <f>VLOOKUP(AF87,Tabla3[[Estado Requerimiento]:[Macro estado]],2,FALSE)</f>
        <v>05. Descartado</v>
      </c>
      <c r="AH87" s="18"/>
      <c r="AI87" s="80">
        <v>45754</v>
      </c>
      <c r="AJ87" s="80"/>
      <c r="AK87" s="80">
        <v>45763</v>
      </c>
      <c r="AL87" s="80"/>
      <c r="AM87" s="80">
        <v>45831</v>
      </c>
      <c r="AN87" s="80"/>
      <c r="AO87" s="80"/>
      <c r="AP87" s="81">
        <f t="shared" si="2"/>
        <v>45858.2</v>
      </c>
      <c r="AQ87" s="80"/>
      <c r="AR87" s="80"/>
      <c r="AS87" s="81">
        <f t="shared" si="3"/>
        <v>45865.2</v>
      </c>
      <c r="AT87" s="19" t="s">
        <v>1203</v>
      </c>
      <c r="AU87" s="44" t="str">
        <f>VLOOKUP(Cartera1017[[#This Row],[Gerencia]],tbGerencia[#All],3,FALSE)</f>
        <v>B.Digital</v>
      </c>
      <c r="AV87" s="44" t="str">
        <f>IFERROR(VLOOKUP(Cartera1017[[#This Row],[Subgerencia]],Definiciones!$A$90:$B$144,2,FALSE),"")</f>
        <v>CanalesAlternos</v>
      </c>
      <c r="AW87" s="44" t="str">
        <f>IF(OR(LEN(Cartera1017[[#This Row],[Fecha de Solicitud]])=0,(Cartera1017[[#This Row],[Fecha de Solicitud]])="No definido"),"No definido",IF(YEAR(Cartera1017[[#This Row],[Fecha de Solicitud]])&lt;2023," &lt;  2023",TEXT(Cartera1017[[#This Row],[Fecha de Solicitud]],"yyyy-mm")))</f>
        <v>2025-03</v>
      </c>
      <c r="AX87" s="44" t="str">
        <f>IF(Cartera1017[[#This Row],[Fecha de Priorización Comité]]="","No definido",TEXT(Cartera1017[[#This Row],[Fecha de Priorización Comité]],"yyyy-mm"))</f>
        <v>2025-04</v>
      </c>
      <c r="AY87" s="44" t="str">
        <f>IF(Cartera1017[[#This Row],[Fecha Fin- Desarrollo]]="","No definido",TEXT(Cartera1017[[#This Row],[Fecha Fin- Desarrollo]],"yyyy-mm"))</f>
        <v>No definido</v>
      </c>
      <c r="AZ87" s="44" t="str">
        <f>IF(Cartera1017[[#This Row],[Fecha Fin- Producción]]="","No definido",TEXT(Cartera1017[[#This Row],[Fecha Fin- Producción]],"yyyy-mm"))</f>
        <v>No definido</v>
      </c>
      <c r="BA87" s="44" t="str">
        <f>IF(Cartera1017[[#This Row],[Fecha Fin-Planificada]]="","No definido",TEXT(Cartera1017[[#This Row],[Fecha Fin-Planificada]],"yyyy-mm"))</f>
        <v>2025-07</v>
      </c>
      <c r="BB87" s="33" t="s">
        <v>604</v>
      </c>
      <c r="BC87" s="66">
        <v>45777</v>
      </c>
      <c r="BD87" s="66">
        <v>45831</v>
      </c>
      <c r="BE87" s="66">
        <v>45831</v>
      </c>
      <c r="BF87" s="127"/>
      <c r="BG87" s="28" t="s">
        <v>1195</v>
      </c>
      <c r="BH8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87" s="90" t="str">
        <f>IF(ISNUMBER(Cartera1017[[#This Row],[Duracion en Dias]]),Cartera1017[[#This Row],[Duracion en Dias]]/30, "No Aplica")</f>
        <v>No Aplica</v>
      </c>
      <c r="BJ87" s="18" t="s">
        <v>1204</v>
      </c>
      <c r="BK87" s="28" t="s">
        <v>1205</v>
      </c>
      <c r="BL87" s="110" t="s">
        <v>592</v>
      </c>
      <c r="BM87" s="342">
        <v>46083.385509259257</v>
      </c>
      <c r="BN87" s="227"/>
      <c r="BO87" s="401"/>
      <c r="BP87" s="401"/>
      <c r="BQ8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87" s="14" t="str">
        <f>IFERROR(VLOOKUP(Cartera1017[[#This Row],[Aplicativo]],Tabla76[],2,FALSE),"Sin Aplicativo")</f>
        <v>Pagalo.pe</v>
      </c>
      <c r="BS87" s="14" t="str">
        <f>IFERROR(VLOOKUP(Cartera1017[[#This Row],[Aplicativo]],Tabla76[],3,FALSE),"Sin Aplicativo")</f>
        <v>Canales Virtuales</v>
      </c>
      <c r="BT87" s="162">
        <v>45870</v>
      </c>
      <c r="BU87" s="162">
        <v>45870</v>
      </c>
      <c r="BV87" s="33"/>
      <c r="BW8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8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87" s="149" t="str">
        <f ca="1">IF(Cartera1017[[#This Row],[Fecha Fin2]]="","No definido",CONCATENATE(TEXT(Cartera1017[[#This Row],[Fecha Fin2]],"mmm")," ",YEAR(Cartera1017[[#This Row],[Fecha Fin2]])))</f>
        <v>Ago 2025</v>
      </c>
      <c r="BZ87" s="28"/>
      <c r="CA87" s="48" t="str">
        <f>IF(Cartera1017[[#This Row],[Estado TI]] = "08. Producción Finalizada","Culminado",IF(Cartera1017[[#This Row],[Estado TI]]= "09. Descartado","Descartado","Activos"))</f>
        <v>Descartado</v>
      </c>
      <c r="CB87" s="28" t="s">
        <v>747</v>
      </c>
      <c r="CC8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87" s="54" t="str">
        <f>IF(
AND(
Cartera1017[[#This Row],[DEVOLVER 27]]="NO",
NOT(ISBLANK(Cartera1017[[#This Row],[ESTADO NO DEVUELTOS 27]]))
),
"PRE",
"POST"
)</f>
        <v>PRE</v>
      </c>
      <c r="CE87" s="54" t="s">
        <v>509</v>
      </c>
      <c r="CF87" s="399" t="s">
        <v>48</v>
      </c>
      <c r="CG87"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87"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87" s="406">
        <f>Cartera1017[[#This Row],[Porcentaje de Avance]]</f>
        <v>-0.01</v>
      </c>
      <c r="CK87" s="417" t="str">
        <f>IF(
   OR(
     Cartera1017[[#This Row],[Estado TI]]="09. Descartado",
     Cartera1017[[#This Row],[Comienzo Desarrollo]]="",
     Cartera1017[[#This Row],[Fin Producción]]=""
   ),
   "",
   Cartera1017[[#This Row],[% PLANIFICADO]]-Cartera1017[[#This Row],[% COMPLETADO]]
)</f>
        <v/>
      </c>
      <c r="CL87" s="417" t="str">
        <f ca="1">IF(
   OR(
     Cartera1017[[#This Row],[Estado TI]]="09. Descartado",
     Cartera1017[[#This Row],[Comienzo Desarrollo]]="",
     Cartera1017[[#This Row],[Fin Producción]]="",
     Cartera1017[[#This Row],[% PLANIFICADO]]=0
   ),
   "",
   MIN(Cartera1017[[#This Row],[% COMPLETADO]]/Cartera1017[[#This Row],[% PLANIFICADO]],1.2)
)</f>
        <v/>
      </c>
      <c r="CM87" s="476"/>
      <c r="CN87" s="377"/>
      <c r="CO87" s="20"/>
      <c r="CP87" s="20"/>
      <c r="CQ87" s="20"/>
      <c r="CR87" s="20"/>
      <c r="CS87" s="20"/>
      <c r="CT87" s="44">
        <f>IF(Cartera1017[[#This Row],[Fin Desarrollo]]="",25,IFERROR(NETWORKDAYS(Cartera1017[[#This Row],[Comienzo Desarrollo]],Cartera1017[[#This Row],[Fin Desarrollo]],FERIADOS[Fecha]),""))</f>
        <v>25</v>
      </c>
      <c r="CU8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87" s="44">
        <f>IF(OR(Cartera1017[[#This Row],[Comienzo Desarrollo]]="",Cartera1017[[#This Row],[Fin Desarrollo]]=""),200,IFERROR(Cartera1017[[#This Row],[DURACIÓN DESARROLLO DIAS]]*VLOOKUP(Cartera1017[[#This Row],[ID Mantenimiento]],MANT_HORAS[],2,FALSE),200))</f>
        <v>200</v>
      </c>
      <c r="CW87" s="110" t="s">
        <v>544</v>
      </c>
      <c r="CX87" s="110" t="str">
        <f>VLOOKUP(Cartera1017[[#This Row],[Estado TI]],Definiciones!$A$549:$B$559,2,FALSE)</f>
        <v>5. DESCARTADO</v>
      </c>
      <c r="CY87" s="28">
        <f ca="1">1-Cartera1017[[#This Row],[Porcentaje avanzado desarrollo]]</f>
        <v>0.9</v>
      </c>
      <c r="CZ8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87" s="28">
        <f ca="1">MAX(0,Cartera1017[[#This Row],[DURACIÓN DESARROLLO DIAS]]-Cartera1017[[#This Row],[Dias avanzados]])</f>
        <v>24</v>
      </c>
      <c r="DB87" s="28">
        <f ca="1">Cartera1017[[#This Row],[Dias avanzados]]*IFERROR(VLOOKUP(Cartera1017[[#This Row],[ID Mantenimiento]],MANT_HORAS[],2,FALSE),8)</f>
        <v>12</v>
      </c>
      <c r="DC87" s="28">
        <f ca="1">Cartera1017[[#This Row],[Dias faltantes]]*IFERROR(VLOOKUP(Cartera1017[[#This Row],[ID Mantenimiento]],MANT_HORAS[],2,FALSE),8)</f>
        <v>288</v>
      </c>
      <c r="DD87" s="28" t="str">
        <f>IF(Cartera1017[[#This Row],[Fin Producción]]=0,"Por definir",CONCATENATE(YEAR(Cartera1017[[#This Row],[Fin Producción]]),"-",ROUNDUP(MONTH(Cartera1017[[#This Row],[Fin Producción]]),0)))</f>
        <v>Por definir</v>
      </c>
      <c r="DE87" s="18" t="s">
        <v>510</v>
      </c>
      <c r="DF87" s="28"/>
      <c r="DG87" s="28"/>
      <c r="DH87" s="565"/>
    </row>
    <row r="88" spans="1:112" ht="44.25" hidden="1" customHeight="1">
      <c r="A88" s="229" t="s">
        <v>1206</v>
      </c>
      <c r="B88" s="18">
        <v>2750</v>
      </c>
      <c r="C88" s="18" t="s">
        <v>485</v>
      </c>
      <c r="D88" s="18" t="s">
        <v>1207</v>
      </c>
      <c r="E88" s="18" t="s">
        <v>206</v>
      </c>
      <c r="F88" s="33" t="s">
        <v>207</v>
      </c>
      <c r="G88" s="19"/>
      <c r="H88" s="18" t="s">
        <v>40</v>
      </c>
      <c r="I88" s="18" t="s">
        <v>577</v>
      </c>
      <c r="J88" s="18" t="s">
        <v>922</v>
      </c>
      <c r="K88" s="20">
        <v>45478</v>
      </c>
      <c r="L88" s="50" t="s">
        <v>1208</v>
      </c>
      <c r="M88" s="50" t="s">
        <v>579</v>
      </c>
      <c r="N88" s="50"/>
      <c r="O88" s="18" t="s">
        <v>530</v>
      </c>
      <c r="P88" s="18" t="s">
        <v>797</v>
      </c>
      <c r="Q88" s="18" t="s">
        <v>496</v>
      </c>
      <c r="R88" s="18" t="s">
        <v>497</v>
      </c>
      <c r="S88" s="18"/>
      <c r="T88" s="18"/>
      <c r="U88" s="18"/>
      <c r="V88" s="18" t="s">
        <v>495</v>
      </c>
      <c r="W88" s="18" t="s">
        <v>495</v>
      </c>
      <c r="X88" s="18" t="s">
        <v>495</v>
      </c>
      <c r="Y88" s="80" t="s">
        <v>495</v>
      </c>
      <c r="Z88" s="18" t="s">
        <v>499</v>
      </c>
      <c r="AA88" s="20">
        <v>45777</v>
      </c>
      <c r="AB88" s="18" t="s">
        <v>500</v>
      </c>
      <c r="AC88" s="18" t="s">
        <v>570</v>
      </c>
      <c r="AD88" s="18" t="s">
        <v>153</v>
      </c>
      <c r="AE88" s="18" t="s">
        <v>41</v>
      </c>
      <c r="AF88" s="18" t="s">
        <v>48</v>
      </c>
      <c r="AG88" s="14" t="str">
        <f>VLOOKUP(AF88,Tabla3[[Estado Requerimiento]:[Macro estado]],2,FALSE)</f>
        <v>02. En Proceso</v>
      </c>
      <c r="AH88" s="18"/>
      <c r="AI88" s="80">
        <v>45763</v>
      </c>
      <c r="AJ88" s="80"/>
      <c r="AK88" s="80"/>
      <c r="AL88" s="80"/>
      <c r="AM88" s="80">
        <v>45828</v>
      </c>
      <c r="AN88" s="80"/>
      <c r="AO88" s="80"/>
      <c r="AP88" s="81" t="str">
        <f t="shared" si="2"/>
        <v/>
      </c>
      <c r="AQ88" s="80"/>
      <c r="AR88" s="80"/>
      <c r="AS88" s="81" t="str">
        <f t="shared" si="3"/>
        <v/>
      </c>
      <c r="AT88" s="19" t="s">
        <v>1209</v>
      </c>
      <c r="AU88" s="44" t="str">
        <f>VLOOKUP(Cartera1017[[#This Row],[Gerencia]],tbGerencia[#All],3,FALSE)</f>
        <v>Operac.</v>
      </c>
      <c r="AV88" s="44" t="str">
        <f>IFERROR(VLOOKUP(Cartera1017[[#This Row],[Subgerencia]],Definiciones!$A$90:$B$144,2,FALSE),"")</f>
        <v>CaptacionesPagaduría</v>
      </c>
      <c r="AW88" s="44" t="str">
        <f>IF(OR(LEN(Cartera1017[[#This Row],[Fecha de Solicitud]])=0,(Cartera1017[[#This Row],[Fecha de Solicitud]])="No definido"),"No definido",IF(YEAR(Cartera1017[[#This Row],[Fecha de Solicitud]])&lt;2023," &lt;  2023",TEXT(Cartera1017[[#This Row],[Fecha de Solicitud]],"yyyy-mm")))</f>
        <v>2024-07</v>
      </c>
      <c r="AX88" s="44" t="str">
        <f>IF(Cartera1017[[#This Row],[Fecha de Priorización Comité]]="","No definido",TEXT(Cartera1017[[#This Row],[Fecha de Priorización Comité]],"yyyy-mm"))</f>
        <v>2025-04</v>
      </c>
      <c r="AY88" s="44" t="str">
        <f>IF(Cartera1017[[#This Row],[Fecha Fin- Desarrollo]]="","No definido",TEXT(Cartera1017[[#This Row],[Fecha Fin- Desarrollo]],"yyyy-mm"))</f>
        <v>No definido</v>
      </c>
      <c r="AZ88" s="44" t="str">
        <f>IF(Cartera1017[[#This Row],[Fecha Fin- Producción]]="","No definido",TEXT(Cartera1017[[#This Row],[Fecha Fin- Producción]],"yyyy-mm"))</f>
        <v>No definido</v>
      </c>
      <c r="BA88" s="44" t="str">
        <f>IF(Cartera1017[[#This Row],[Fecha Fin-Planificada]]="","No definido",TEXT(Cartera1017[[#This Row],[Fecha Fin-Planificada]],"yyyy-mm"))</f>
        <v>No definido</v>
      </c>
      <c r="BB88" s="33" t="s">
        <v>604</v>
      </c>
      <c r="BC88" s="66">
        <v>45779</v>
      </c>
      <c r="BD88" s="66">
        <v>45828</v>
      </c>
      <c r="BE88" s="66">
        <v>45828</v>
      </c>
      <c r="BF88" s="127"/>
      <c r="BG88" s="28" t="s">
        <v>1195</v>
      </c>
      <c r="BH8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88" s="90" t="str">
        <f>IF(ISNUMBER(Cartera1017[[#This Row],[Duracion en Dias]]),Cartera1017[[#This Row],[Duracion en Dias]]/30, "No Aplica")</f>
        <v>No Aplica</v>
      </c>
      <c r="BJ88" s="109"/>
      <c r="BK88" s="28" t="s">
        <v>506</v>
      </c>
      <c r="BL88" s="110" t="s">
        <v>581</v>
      </c>
      <c r="BM88" s="342">
        <v>46101.489259259259</v>
      </c>
      <c r="BN88" s="227"/>
      <c r="BO88" s="401"/>
      <c r="BP88" s="401"/>
      <c r="BQ8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88" s="14" t="str">
        <f>IFERROR(VLOOKUP(Cartera1017[[#This Row],[Aplicativo]],Tabla76[],2,FALSE),"Sin Aplicativo")</f>
        <v>Clientes (BDUC)</v>
      </c>
      <c r="BS88" s="14" t="str">
        <f>IFERROR(VLOOKUP(Cartera1017[[#This Row],[Aplicativo]],Tabla76[],3,FALSE),"Sin Aplicativo")</f>
        <v>Canales Presenciales</v>
      </c>
      <c r="BT88" s="400" t="s">
        <v>521</v>
      </c>
      <c r="BU88" s="28"/>
      <c r="BV88" s="33"/>
      <c r="BW8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8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88" s="149" t="str">
        <f ca="1">IF(Cartera1017[[#This Row],[Fecha Fin2]]="","No definido",CONCATENATE(TEXT(Cartera1017[[#This Row],[Fecha Fin2]],"mmm")," ",YEAR(Cartera1017[[#This Row],[Fecha Fin2]])))</f>
        <v>No definido</v>
      </c>
      <c r="BZ88" s="28"/>
      <c r="CA88" s="48" t="str">
        <f>IF(Cartera1017[[#This Row],[Estado TI]] = "08. Producción Finalizada","Culminado",IF(Cartera1017[[#This Row],[Estado TI]]= "09. Descartado","Descartado","Activos"))</f>
        <v>Activos</v>
      </c>
      <c r="CB88" s="28"/>
      <c r="CC8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88" s="54" t="str">
        <f>IF(
AND(
Cartera1017[[#This Row],[DEVOLVER 27]]="NO",
NOT(ISBLANK(Cartera1017[[#This Row],[ESTADO NO DEVUELTOS 27]]))
),
"PRE",
"POST"
)</f>
        <v>PRE</v>
      </c>
      <c r="CE88" s="54" t="s">
        <v>509</v>
      </c>
      <c r="CF88" s="28" t="s">
        <v>42</v>
      </c>
      <c r="CG8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8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8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8" s="406">
        <f>Cartera1017[[#This Row],[Porcentaje de Avance]]</f>
        <v>0.45</v>
      </c>
      <c r="CK88" s="388">
        <f ca="1">IF(
   OR(
     Cartera1017[[#This Row],[Estado TI]]="09. Descartado",
     Cartera1017[[#This Row],[Comienzo Desarrollo]]="",
     Cartera1017[[#This Row],[Fin Producción]]=""
   ),
   "",
   Cartera1017[[#This Row],[% PLANIFICADO]]-Cartera1017[[#This Row],[% COMPLETADO]]
)</f>
        <v>0.55000000000000004</v>
      </c>
      <c r="CL88" s="388">
        <f ca="1">IF(
   OR(
     Cartera1017[[#This Row],[Estado TI]]="09. Descartado",
     Cartera1017[[#This Row],[Comienzo Desarrollo]]="",
     Cartera1017[[#This Row],[Fin Producción]]="",
     Cartera1017[[#This Row],[% PLANIFICADO]]=0
   ),
   "",
   MIN(Cartera1017[[#This Row],[% COMPLETADO]]/Cartera1017[[#This Row],[% PLANIFICADO]],1.2)
)</f>
        <v>0.45</v>
      </c>
      <c r="CM88" s="377">
        <v>45769</v>
      </c>
      <c r="CN88" s="377">
        <v>45769</v>
      </c>
      <c r="CO88" s="377">
        <v>45877</v>
      </c>
      <c r="CP88" s="377">
        <v>45884</v>
      </c>
      <c r="CQ88" s="377">
        <v>45889</v>
      </c>
      <c r="CR88" s="377">
        <v>46036</v>
      </c>
      <c r="CS88" s="377">
        <v>46139</v>
      </c>
      <c r="CT88" s="44">
        <f>IF(Cartera1017[[#This Row],[Fin Desarrollo]]="",25,IFERROR(NETWORKDAYS(Cartera1017[[#This Row],[Comienzo Desarrollo]],Cartera1017[[#This Row],[Fin Desarrollo]],FERIADOS[Fecha]),""))</f>
        <v>76</v>
      </c>
      <c r="CU8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88" s="44">
        <f>IF(OR(Cartera1017[[#This Row],[Comienzo Desarrollo]]="",Cartera1017[[#This Row],[Fin Desarrollo]]=""),200,IFERROR(Cartera1017[[#This Row],[DURACIÓN DESARROLLO DIAS]]*VLOOKUP(Cartera1017[[#This Row],[ID Mantenimiento]],MANT_HORAS[],2,FALSE),200))</f>
        <v>152</v>
      </c>
      <c r="CW88" s="110"/>
      <c r="CX88" s="110" t="str">
        <f>VLOOKUP(Cartera1017[[#This Row],[Estado TI]],Definiciones!$A$549:$B$559,2,FALSE)</f>
        <v>1. DESARROLLO</v>
      </c>
      <c r="CY88" s="28">
        <f ca="1">1-Cartera1017[[#This Row],[Porcentaje avanzado desarrollo]]</f>
        <v>0</v>
      </c>
      <c r="CZ8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76</v>
      </c>
      <c r="DA88" s="28">
        <f ca="1">MAX(0,Cartera1017[[#This Row],[DURACIÓN DESARROLLO DIAS]]-Cartera1017[[#This Row],[Dias avanzados]])</f>
        <v>0</v>
      </c>
      <c r="DB88" s="28">
        <f ca="1">Cartera1017[[#This Row],[Dias avanzados]]*IFERROR(VLOOKUP(Cartera1017[[#This Row],[ID Mantenimiento]],MANT_HORAS[],2,FALSE),8)</f>
        <v>152</v>
      </c>
      <c r="DC88" s="28">
        <f ca="1">Cartera1017[[#This Row],[Dias faltantes]]*IFERROR(VLOOKUP(Cartera1017[[#This Row],[ID Mantenimiento]],MANT_HORAS[],2,FALSE),8)</f>
        <v>0</v>
      </c>
      <c r="DD88" s="28" t="str">
        <f>IF(Cartera1017[[#This Row],[Fin Producción]]=0,"Por definir",CONCATENATE(YEAR(Cartera1017[[#This Row],[Fin Producción]]),"-",ROUNDUP(MONTH(Cartera1017[[#This Row],[Fin Producción]]),0)))</f>
        <v>2026-4</v>
      </c>
      <c r="DE88" s="18" t="s">
        <v>510</v>
      </c>
      <c r="DF88" s="28"/>
      <c r="DG88" s="28"/>
      <c r="DH88" s="565"/>
    </row>
    <row r="89" spans="1:112" ht="44.25" hidden="1" customHeight="1">
      <c r="A89" s="229" t="s">
        <v>1210</v>
      </c>
      <c r="B89" s="18">
        <v>2726</v>
      </c>
      <c r="C89" s="18" t="s">
        <v>485</v>
      </c>
      <c r="D89" s="18" t="s">
        <v>1211</v>
      </c>
      <c r="E89" s="18" t="s">
        <v>208</v>
      </c>
      <c r="F89" s="33" t="s">
        <v>1212</v>
      </c>
      <c r="G89" s="19"/>
      <c r="H89" s="18" t="s">
        <v>40</v>
      </c>
      <c r="I89" s="18" t="s">
        <v>577</v>
      </c>
      <c r="J89" s="18" t="s">
        <v>578</v>
      </c>
      <c r="K89" s="20">
        <v>45555</v>
      </c>
      <c r="L89" s="50" t="s">
        <v>1213</v>
      </c>
      <c r="M89" s="50" t="s">
        <v>1214</v>
      </c>
      <c r="N89" s="50"/>
      <c r="O89" s="18" t="s">
        <v>1215</v>
      </c>
      <c r="P89" s="18" t="s">
        <v>797</v>
      </c>
      <c r="Q89" s="18" t="s">
        <v>496</v>
      </c>
      <c r="R89" s="18" t="s">
        <v>497</v>
      </c>
      <c r="S89" s="18"/>
      <c r="T89" s="18" t="s">
        <v>495</v>
      </c>
      <c r="U89" s="18" t="s">
        <v>495</v>
      </c>
      <c r="V89" s="18" t="s">
        <v>495</v>
      </c>
      <c r="W89" s="18" t="s">
        <v>495</v>
      </c>
      <c r="X89" s="18" t="s">
        <v>495</v>
      </c>
      <c r="Y89" s="80" t="s">
        <v>495</v>
      </c>
      <c r="Z89" s="18" t="s">
        <v>499</v>
      </c>
      <c r="AA89" s="20">
        <v>45777</v>
      </c>
      <c r="AB89" s="18" t="s">
        <v>500</v>
      </c>
      <c r="AC89" s="18" t="s">
        <v>501</v>
      </c>
      <c r="AD89" s="18" t="s">
        <v>210</v>
      </c>
      <c r="AE89" s="18" t="s">
        <v>41</v>
      </c>
      <c r="AF89" s="18" t="s">
        <v>48</v>
      </c>
      <c r="AG89" s="14" t="str">
        <f>VLOOKUP(AF89,Tabla3[[Estado Requerimiento]:[Macro estado]],2,FALSE)</f>
        <v>02. En Proceso</v>
      </c>
      <c r="AH89" s="18"/>
      <c r="AI89" s="80">
        <v>45748</v>
      </c>
      <c r="AJ89" s="80">
        <v>45964</v>
      </c>
      <c r="AK89" s="80">
        <v>45930</v>
      </c>
      <c r="AL89" s="80">
        <v>46013</v>
      </c>
      <c r="AM89" s="80">
        <v>46022</v>
      </c>
      <c r="AN89" s="80">
        <v>46041</v>
      </c>
      <c r="AO89" s="80">
        <v>46049</v>
      </c>
      <c r="AP89" s="81">
        <f t="shared" si="2"/>
        <v>46058.8</v>
      </c>
      <c r="AQ89" s="80">
        <v>46050</v>
      </c>
      <c r="AR89" s="80"/>
      <c r="AS89" s="81">
        <f t="shared" si="3"/>
        <v>46065.8</v>
      </c>
      <c r="AT89" s="19" t="s">
        <v>1216</v>
      </c>
      <c r="AU89" s="44" t="str">
        <f>VLOOKUP(Cartera1017[[#This Row],[Gerencia]],tbGerencia[#All],3,FALSE)</f>
        <v>Operac.</v>
      </c>
      <c r="AV89" s="44" t="str">
        <f>IFERROR(VLOOKUP(Cartera1017[[#This Row],[Subgerencia]],Definiciones!$A$90:$B$144,2,FALSE),"")</f>
        <v>CaptacionesPagaduría</v>
      </c>
      <c r="AW89" s="44" t="str">
        <f>IF(OR(LEN(Cartera1017[[#This Row],[Fecha de Solicitud]])=0,(Cartera1017[[#This Row],[Fecha de Solicitud]])="No definido"),"No definido",IF(YEAR(Cartera1017[[#This Row],[Fecha de Solicitud]])&lt;2023," &lt;  2023",TEXT(Cartera1017[[#This Row],[Fecha de Solicitud]],"yyyy-mm")))</f>
        <v>2024-09</v>
      </c>
      <c r="AX89" s="44" t="str">
        <f>IF(Cartera1017[[#This Row],[Fecha de Priorización Comité]]="","No definido",TEXT(Cartera1017[[#This Row],[Fecha de Priorización Comité]],"yyyy-mm"))</f>
        <v>2025-04</v>
      </c>
      <c r="AY89" s="44" t="str">
        <f>IF(Cartera1017[[#This Row],[Fecha Fin- Desarrollo]]="","No definido",TEXT(Cartera1017[[#This Row],[Fecha Fin- Desarrollo]],"yyyy-mm"))</f>
        <v>2025-12</v>
      </c>
      <c r="AZ89" s="44" t="str">
        <f>IF(Cartera1017[[#This Row],[Fecha Fin- Producción]]="","No definido",TEXT(Cartera1017[[#This Row],[Fecha Fin- Producción]],"yyyy-mm"))</f>
        <v>No definido</v>
      </c>
      <c r="BA89" s="44" t="str">
        <f>IF(Cartera1017[[#This Row],[Fecha Fin-Planificada]]="","No definido",TEXT(Cartera1017[[#This Row],[Fecha Fin-Planificada]],"yyyy-mm"))</f>
        <v>2026-02</v>
      </c>
      <c r="BB89" s="33"/>
      <c r="BC89" s="66"/>
      <c r="BD89" s="66"/>
      <c r="BE89" s="66"/>
      <c r="BF89" s="127"/>
      <c r="BG89" s="28" t="s">
        <v>1195</v>
      </c>
      <c r="BH8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89" s="90" t="str">
        <f>IF(ISNUMBER(Cartera1017[[#This Row],[Duracion en Dias]]),Cartera1017[[#This Row],[Duracion en Dias]]/30, "No Aplica")</f>
        <v>No Aplica</v>
      </c>
      <c r="BJ89" s="18" t="s">
        <v>1217</v>
      </c>
      <c r="BK89" s="28" t="s">
        <v>506</v>
      </c>
      <c r="BL89" s="110" t="s">
        <v>592</v>
      </c>
      <c r="BM89" s="342">
        <v>46126.457858796297</v>
      </c>
      <c r="BN89" s="227"/>
      <c r="BO89" s="401"/>
      <c r="BP89" s="401"/>
      <c r="BQ8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89" s="14" t="str">
        <f>IFERROR(VLOOKUP(Cartera1017[[#This Row],[Aplicativo]],Tabla76[],2,FALSE),"Sin Aplicativo")</f>
        <v>Sin Aplicativo</v>
      </c>
      <c r="BS89" s="14" t="str">
        <f>IFERROR(VLOOKUP(Cartera1017[[#This Row],[Aplicativo]],Tabla76[],3,FALSE),"Sin Aplicativo")</f>
        <v>Sin Aplicativo</v>
      </c>
      <c r="BT89" s="400" t="s">
        <v>521</v>
      </c>
      <c r="BU89" s="28"/>
      <c r="BV89" s="33"/>
      <c r="BW8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8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89" s="149" t="str">
        <f ca="1">IF(Cartera1017[[#This Row],[Fecha Fin2]]="","No definido",CONCATENATE(TEXT(Cartera1017[[#This Row],[Fecha Fin2]],"mmm")," ",YEAR(Cartera1017[[#This Row],[Fecha Fin2]])))</f>
        <v>No definido</v>
      </c>
      <c r="BZ89" s="28"/>
      <c r="CA89" s="48" t="str">
        <f>IF(Cartera1017[[#This Row],[Estado TI]] = "08. Producción Finalizada","Culminado",IF(Cartera1017[[#This Row],[Estado TI]]= "09. Descartado","Descartado","Activos"))</f>
        <v>Activos</v>
      </c>
      <c r="CB89" s="28"/>
      <c r="CC8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89" s="54" t="str">
        <f>IF(
AND(
Cartera1017[[#This Row],[DEVOLVER 27]]="NO",
NOT(ISBLANK(Cartera1017[[#This Row],[ESTADO NO DEVUELTOS 27]]))
),
"PRE",
"POST"
)</f>
        <v>PRE</v>
      </c>
      <c r="CE89" s="54" t="s">
        <v>509</v>
      </c>
      <c r="CF89" s="28" t="s">
        <v>48</v>
      </c>
      <c r="CG8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8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89" s="389">
        <v>0.15</v>
      </c>
      <c r="CJ89" s="406">
        <f>Cartera1017[[#This Row],[Porcentaje de Avance]]</f>
        <v>0.15</v>
      </c>
      <c r="CK89" s="388">
        <f>IF(
   OR(
     Cartera1017[[#This Row],[Estado TI]]="09. Descartado",
     Cartera1017[[#This Row],[Comienzo Desarrollo]]="",
     Cartera1017[[#This Row],[Fin Producción]]=""
   ),
   "",
   Cartera1017[[#This Row],[% PLANIFICADO]]-Cartera1017[[#This Row],[% COMPLETADO]]
)</f>
        <v>0</v>
      </c>
      <c r="CL89" s="388">
        <f>IF(
   OR(
     Cartera1017[[#This Row],[Estado TI]]="09. Descartado",
     Cartera1017[[#This Row],[Comienzo Desarrollo]]="",
     Cartera1017[[#This Row],[Fin Producción]]="",
     Cartera1017[[#This Row],[% PLANIFICADO]]=0
   ),
   "",
   MIN(Cartera1017[[#This Row],[% COMPLETADO]]/Cartera1017[[#This Row],[% PLANIFICADO]],1.2)
)</f>
        <v>1</v>
      </c>
      <c r="CM89" s="377">
        <v>45930</v>
      </c>
      <c r="CN89" s="377">
        <v>46083</v>
      </c>
      <c r="CO89" s="377">
        <v>46203</v>
      </c>
      <c r="CP89" s="377">
        <v>46204</v>
      </c>
      <c r="CQ89" s="377">
        <v>46234</v>
      </c>
      <c r="CR89" s="377">
        <v>46237</v>
      </c>
      <c r="CS89" s="377">
        <v>46241</v>
      </c>
      <c r="CT89" s="44">
        <f>IF(Cartera1017[[#This Row],[Fin Desarrollo]]="",25,IFERROR(NETWORKDAYS(Cartera1017[[#This Row],[Comienzo Desarrollo]],Cartera1017[[#This Row],[Fin Desarrollo]],FERIADOS[Fecha]),""))</f>
        <v>85</v>
      </c>
      <c r="CU8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0.65517241379310343</v>
      </c>
      <c r="CV89" s="44">
        <f>IF(OR(Cartera1017[[#This Row],[Comienzo Desarrollo]]="",Cartera1017[[#This Row],[Fin Desarrollo]]=""),200,IFERROR(Cartera1017[[#This Row],[DURACIÓN DESARROLLO DIAS]]*VLOOKUP(Cartera1017[[#This Row],[ID Mantenimiento]],MANT_HORAS[],2,FALSE),200))</f>
        <v>170</v>
      </c>
      <c r="CW89" s="110"/>
      <c r="CX89" s="110" t="str">
        <f>VLOOKUP(Cartera1017[[#This Row],[Estado TI]],Definiciones!$A$549:$B$559,2,FALSE)</f>
        <v>1. DESARROLLO</v>
      </c>
      <c r="CY89" s="28">
        <f ca="1">1-Cartera1017[[#This Row],[Porcentaje avanzado desarrollo]]</f>
        <v>0.34482758620689657</v>
      </c>
      <c r="CZ8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56</v>
      </c>
      <c r="DA89" s="28">
        <f ca="1">MAX(0,Cartera1017[[#This Row],[DURACIÓN DESARROLLO DIAS]]-Cartera1017[[#This Row],[Dias avanzados]])</f>
        <v>29</v>
      </c>
      <c r="DB89" s="28">
        <f ca="1">Cartera1017[[#This Row],[Dias avanzados]]*IFERROR(VLOOKUP(Cartera1017[[#This Row],[ID Mantenimiento]],MANT_HORAS[],2,FALSE),8)</f>
        <v>112</v>
      </c>
      <c r="DC89" s="28">
        <f ca="1">Cartera1017[[#This Row],[Dias faltantes]]*IFERROR(VLOOKUP(Cartera1017[[#This Row],[ID Mantenimiento]],MANT_HORAS[],2,FALSE),8)</f>
        <v>58</v>
      </c>
      <c r="DD89" s="28" t="str">
        <f>IF(Cartera1017[[#This Row],[Fin Producción]]=0,"Por definir",CONCATENATE(YEAR(Cartera1017[[#This Row],[Fin Producción]]),"-",ROUNDUP(MONTH(Cartera1017[[#This Row],[Fin Producción]]),0)))</f>
        <v>2026-8</v>
      </c>
      <c r="DE89" s="18" t="s">
        <v>510</v>
      </c>
      <c r="DF89" s="28"/>
      <c r="DG89" s="28"/>
      <c r="DH89" s="565"/>
    </row>
    <row r="90" spans="1:112" ht="44.25" hidden="1" customHeight="1">
      <c r="A90" s="229" t="s">
        <v>1218</v>
      </c>
      <c r="B90" s="18">
        <v>2746</v>
      </c>
      <c r="C90" s="18" t="s">
        <v>485</v>
      </c>
      <c r="D90" s="18" t="s">
        <v>1219</v>
      </c>
      <c r="E90" s="18" t="s">
        <v>1220</v>
      </c>
      <c r="F90" s="33" t="s">
        <v>1221</v>
      </c>
      <c r="G90" s="19" t="s">
        <v>1222</v>
      </c>
      <c r="H90" s="18" t="s">
        <v>26</v>
      </c>
      <c r="I90" s="18" t="s">
        <v>539</v>
      </c>
      <c r="J90" s="18" t="s">
        <v>540</v>
      </c>
      <c r="K90" s="20">
        <v>45757</v>
      </c>
      <c r="L90" s="50" t="s">
        <v>1223</v>
      </c>
      <c r="M90" s="50" t="s">
        <v>1224</v>
      </c>
      <c r="N90" s="50"/>
      <c r="O90" s="18" t="s">
        <v>530</v>
      </c>
      <c r="P90" s="18" t="s">
        <v>495</v>
      </c>
      <c r="Q90" s="18" t="s">
        <v>496</v>
      </c>
      <c r="R90" s="18" t="s">
        <v>497</v>
      </c>
      <c r="S90" s="18"/>
      <c r="T90" s="18"/>
      <c r="U90" s="18"/>
      <c r="V90" s="18"/>
      <c r="W90" s="18"/>
      <c r="X90" s="18"/>
      <c r="Y90" s="80"/>
      <c r="Z90" s="18" t="s">
        <v>499</v>
      </c>
      <c r="AA90" s="20">
        <v>45777</v>
      </c>
      <c r="AB90" s="18" t="s">
        <v>500</v>
      </c>
      <c r="AC90" s="18" t="s">
        <v>558</v>
      </c>
      <c r="AD90" s="18" t="s">
        <v>153</v>
      </c>
      <c r="AE90" s="18" t="s">
        <v>27</v>
      </c>
      <c r="AF90" s="18" t="s">
        <v>53</v>
      </c>
      <c r="AG90" s="14" t="str">
        <f>VLOOKUP(AF90,Tabla3[[Estado Requerimiento]:[Macro estado]],2,FALSE)</f>
        <v>03. Culminado</v>
      </c>
      <c r="AH90" s="18"/>
      <c r="AI90" s="80">
        <v>45757</v>
      </c>
      <c r="AJ90" s="80"/>
      <c r="AK90" s="80">
        <v>45757</v>
      </c>
      <c r="AL90" s="80"/>
      <c r="AM90" s="80"/>
      <c r="AN90" s="80"/>
      <c r="AO90" s="80"/>
      <c r="AP90" s="81" t="str">
        <f t="shared" si="2"/>
        <v/>
      </c>
      <c r="AQ90" s="80">
        <v>45763</v>
      </c>
      <c r="AR90" s="80">
        <v>46035</v>
      </c>
      <c r="AS90" s="81" t="str">
        <f t="shared" si="3"/>
        <v/>
      </c>
      <c r="AT90" s="19" t="s">
        <v>1225</v>
      </c>
      <c r="AU90" s="44" t="str">
        <f>VLOOKUP(Cartera1017[[#This Row],[Gerencia]],tbGerencia[#All],3,FALSE)</f>
        <v>B.Digital</v>
      </c>
      <c r="AV90" s="44" t="str">
        <f>IFERROR(VLOOKUP(Cartera1017[[#This Row],[Subgerencia]],Definiciones!$A$90:$B$144,2,FALSE),"")</f>
        <v>CanalesAlternos</v>
      </c>
      <c r="AW90" s="44" t="str">
        <f>IF(OR(LEN(Cartera1017[[#This Row],[Fecha de Solicitud]])=0,(Cartera1017[[#This Row],[Fecha de Solicitud]])="No definido"),"No definido",IF(YEAR(Cartera1017[[#This Row],[Fecha de Solicitud]])&lt;2023," &lt;  2023",TEXT(Cartera1017[[#This Row],[Fecha de Solicitud]],"yyyy-mm")))</f>
        <v>2025-04</v>
      </c>
      <c r="AX90" s="44" t="str">
        <f>IF(Cartera1017[[#This Row],[Fecha de Priorización Comité]]="","No definido",TEXT(Cartera1017[[#This Row],[Fecha de Priorización Comité]],"yyyy-mm"))</f>
        <v>2025-04</v>
      </c>
      <c r="AY90" s="44" t="str">
        <f>IF(Cartera1017[[#This Row],[Fecha Fin- Desarrollo]]="","No definido",TEXT(Cartera1017[[#This Row],[Fecha Fin- Desarrollo]],"yyyy-mm"))</f>
        <v>No definido</v>
      </c>
      <c r="AZ90" s="44" t="str">
        <f>IF(Cartera1017[[#This Row],[Fecha Fin- Producción]]="","No definido",TEXT(Cartera1017[[#This Row],[Fecha Fin- Producción]],"yyyy-mm"))</f>
        <v>2026-01</v>
      </c>
      <c r="BA90" s="44" t="str">
        <f>IF(Cartera1017[[#This Row],[Fecha Fin-Planificada]]="","No definido",TEXT(Cartera1017[[#This Row],[Fecha Fin-Planificada]],"yyyy-mm"))</f>
        <v>No definido</v>
      </c>
      <c r="BB90" s="33"/>
      <c r="BC90" s="66"/>
      <c r="BD90" s="66"/>
      <c r="BE90" s="66"/>
      <c r="BF90" s="127"/>
      <c r="BG90" s="28" t="s">
        <v>1195</v>
      </c>
      <c r="BH9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278</v>
      </c>
      <c r="BI90" s="90">
        <f>IF(ISNUMBER(Cartera1017[[#This Row],[Duracion en Dias]]),Cartera1017[[#This Row],[Duracion en Dias]]/30, "No Aplica")</f>
        <v>9.2666666666666675</v>
      </c>
      <c r="BJ90" s="18" t="s">
        <v>1226</v>
      </c>
      <c r="BK90" s="28" t="s">
        <v>506</v>
      </c>
      <c r="BL90" s="110" t="s">
        <v>636</v>
      </c>
      <c r="BM90" s="342">
        <v>46035.690960648149</v>
      </c>
      <c r="BN90" s="227"/>
      <c r="BO90" s="401"/>
      <c r="BP90" s="401"/>
      <c r="BQ9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0" s="14" t="str">
        <f>IFERROR(VLOOKUP(Cartera1017[[#This Row],[Aplicativo]],Tabla76[],2,FALSE),"Sin Aplicativo")</f>
        <v>Cuenta DNI</v>
      </c>
      <c r="BS90" s="14" t="str">
        <f>IFERROR(VLOOKUP(Cartera1017[[#This Row],[Aplicativo]],Tabla76[],3,FALSE),"Sin Aplicativo")</f>
        <v>Canales Virtuales</v>
      </c>
      <c r="BT90" s="400" t="s">
        <v>521</v>
      </c>
      <c r="BU90" s="28"/>
      <c r="BV90" s="33"/>
      <c r="BW9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9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0" s="149" t="str">
        <f ca="1">IF(Cartera1017[[#This Row],[Fecha Fin2]]="","No definido",CONCATENATE(TEXT(Cartera1017[[#This Row],[Fecha Fin2]],"mmm")," ",YEAR(Cartera1017[[#This Row],[Fecha Fin2]])))</f>
        <v>Ene 2026</v>
      </c>
      <c r="BZ90" s="28"/>
      <c r="CA90" s="48" t="str">
        <f>IF(Cartera1017[[#This Row],[Estado TI]] = "08. Producción Finalizada","Culminado",IF(Cartera1017[[#This Row],[Estado TI]]= "09. Descartado","Descartado","Activos"))</f>
        <v>Culminado</v>
      </c>
      <c r="CB90" s="28"/>
      <c r="CC9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90" s="54" t="str">
        <f>IF(
AND(
Cartera1017[[#This Row],[DEVOLVER 27]]="NO",
NOT(ISBLANK(Cartera1017[[#This Row],[ESTADO NO DEVUELTOS 27]]))
),
"PRE",
"POST"
)</f>
        <v>PRE</v>
      </c>
      <c r="CE90" s="54" t="s">
        <v>509</v>
      </c>
      <c r="CF90" s="28" t="s">
        <v>35</v>
      </c>
      <c r="CG9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9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9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0" s="406">
        <f>Cartera1017[[#This Row],[Porcentaje de Avance]]</f>
        <v>1</v>
      </c>
      <c r="CK90" s="388">
        <f ca="1">IF(
   OR(
     Cartera1017[[#This Row],[Estado TI]]="09. Descartado",
     Cartera1017[[#This Row],[Comienzo Desarrollo]]="",
     Cartera1017[[#This Row],[Fin Producción]]=""
   ),
   "",
   Cartera1017[[#This Row],[% PLANIFICADO]]-Cartera1017[[#This Row],[% COMPLETADO]]
)</f>
        <v>0</v>
      </c>
      <c r="CL90" s="388">
        <f ca="1">IF(
   OR(
     Cartera1017[[#This Row],[Estado TI]]="09. Descartado",
     Cartera1017[[#This Row],[Comienzo Desarrollo]]="",
     Cartera1017[[#This Row],[Fin Producción]]="",
     Cartera1017[[#This Row],[% PLANIFICADO]]=0
   ),
   "",
   MIN(Cartera1017[[#This Row],[% COMPLETADO]]/Cartera1017[[#This Row],[% PLANIFICADO]],1.2)
)</f>
        <v>1</v>
      </c>
      <c r="CM90" s="377">
        <v>45757</v>
      </c>
      <c r="CN90" s="377">
        <v>45757</v>
      </c>
      <c r="CO90" s="377" t="s">
        <v>1143</v>
      </c>
      <c r="CP90" s="377" t="s">
        <v>1143</v>
      </c>
      <c r="CQ90" s="377" t="s">
        <v>1143</v>
      </c>
      <c r="CR90" s="377">
        <v>45763</v>
      </c>
      <c r="CS90" s="377">
        <v>46035</v>
      </c>
      <c r="CT90" s="44">
        <f>IF(Cartera1017[[#This Row],[Fin Desarrollo]]="",25,IFERROR(NETWORKDAYS(Cartera1017[[#This Row],[Comienzo Desarrollo]],Cartera1017[[#This Row],[Fin Desarrollo]],FERIADOS[Fecha]),""))</f>
        <v>25</v>
      </c>
      <c r="CU9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90" s="44">
        <f>IF(OR(Cartera1017[[#This Row],[Comienzo Desarrollo]]="",Cartera1017[[#This Row],[Fin Desarrollo]]=""),200,IFERROR(Cartera1017[[#This Row],[DURACIÓN DESARROLLO DIAS]]*VLOOKUP(Cartera1017[[#This Row],[ID Mantenimiento]],MANT_HORAS[],2,FALSE),200))</f>
        <v>200</v>
      </c>
      <c r="CW90" s="110"/>
      <c r="CX90" s="110" t="str">
        <f>VLOOKUP(Cartera1017[[#This Row],[Estado TI]],Definiciones!$A$549:$B$559,2,FALSE)</f>
        <v>4. PRODUCCIÓN</v>
      </c>
      <c r="CY90" s="28">
        <f ca="1">1-Cartera1017[[#This Row],[Porcentaje avanzado desarrollo]]</f>
        <v>0.9</v>
      </c>
      <c r="CZ9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90" s="28">
        <f ca="1">MAX(0,Cartera1017[[#This Row],[DURACIÓN DESARROLLO DIAS]]-Cartera1017[[#This Row],[Dias avanzados]])</f>
        <v>24</v>
      </c>
      <c r="DB90" s="28">
        <f ca="1">Cartera1017[[#This Row],[Dias avanzados]]*IFERROR(VLOOKUP(Cartera1017[[#This Row],[ID Mantenimiento]],MANT_HORAS[],2,FALSE),8)</f>
        <v>8</v>
      </c>
      <c r="DC90" s="28">
        <f ca="1">Cartera1017[[#This Row],[Dias faltantes]]*IFERROR(VLOOKUP(Cartera1017[[#This Row],[ID Mantenimiento]],MANT_HORAS[],2,FALSE),8)</f>
        <v>192</v>
      </c>
      <c r="DD90" s="28" t="str">
        <f>IF(Cartera1017[[#This Row],[Fin Producción]]=0,"Por definir",CONCATENATE(YEAR(Cartera1017[[#This Row],[Fin Producción]]),"-",ROUNDUP(MONTH(Cartera1017[[#This Row],[Fin Producción]]),0)))</f>
        <v>2026-1</v>
      </c>
      <c r="DE90" s="18" t="s">
        <v>510</v>
      </c>
      <c r="DF90" s="28"/>
      <c r="DG90" s="28"/>
      <c r="DH90" s="565"/>
    </row>
    <row r="91" spans="1:112" ht="44.25" hidden="1" customHeight="1">
      <c r="A91" s="229" t="s">
        <v>1227</v>
      </c>
      <c r="B91" s="18">
        <v>2768</v>
      </c>
      <c r="C91" s="18" t="s">
        <v>485</v>
      </c>
      <c r="D91" s="18" t="s">
        <v>1228</v>
      </c>
      <c r="E91" s="18" t="s">
        <v>211</v>
      </c>
      <c r="F91" s="33" t="s">
        <v>212</v>
      </c>
      <c r="G91" s="18"/>
      <c r="H91" s="18" t="s">
        <v>40</v>
      </c>
      <c r="I91" s="18" t="s">
        <v>577</v>
      </c>
      <c r="J91" s="18" t="s">
        <v>578</v>
      </c>
      <c r="K91" s="20"/>
      <c r="L91" s="20" t="s">
        <v>528</v>
      </c>
      <c r="M91" s="50" t="s">
        <v>579</v>
      </c>
      <c r="N91" s="50"/>
      <c r="O91" s="18" t="s">
        <v>530</v>
      </c>
      <c r="P91" s="18" t="s">
        <v>495</v>
      </c>
      <c r="Q91" s="18" t="s">
        <v>496</v>
      </c>
      <c r="R91" s="18" t="s">
        <v>531</v>
      </c>
      <c r="S91" s="18"/>
      <c r="T91" s="18"/>
      <c r="U91" s="18"/>
      <c r="V91" s="18"/>
      <c r="W91" s="18"/>
      <c r="X91" s="18"/>
      <c r="Y91" s="80"/>
      <c r="Z91" s="18" t="s">
        <v>532</v>
      </c>
      <c r="AA91" s="20">
        <v>45777</v>
      </c>
      <c r="AB91" s="18" t="s">
        <v>500</v>
      </c>
      <c r="AC91" s="18" t="s">
        <v>570</v>
      </c>
      <c r="AD91" s="18" t="s">
        <v>43</v>
      </c>
      <c r="AE91" s="18" t="s">
        <v>41</v>
      </c>
      <c r="AF91" s="18" t="s">
        <v>53</v>
      </c>
      <c r="AG91" s="14" t="str">
        <f>VLOOKUP(AF91,Tabla3[[Estado Requerimiento]:[Macro estado]],2,FALSE)</f>
        <v>03. Culminado</v>
      </c>
      <c r="AH91" s="18"/>
      <c r="AI91" s="80">
        <v>45743</v>
      </c>
      <c r="AJ91" s="80"/>
      <c r="AK91" s="80">
        <v>45743</v>
      </c>
      <c r="AL91" s="80">
        <v>45863</v>
      </c>
      <c r="AM91" s="80">
        <v>45869</v>
      </c>
      <c r="AN91" s="80">
        <v>45866</v>
      </c>
      <c r="AO91" s="80">
        <v>45877</v>
      </c>
      <c r="AP91" s="81">
        <f t="shared" si="2"/>
        <v>45919.4</v>
      </c>
      <c r="AQ91" s="80">
        <v>45905</v>
      </c>
      <c r="AR91" s="80">
        <v>46091</v>
      </c>
      <c r="AS91" s="81">
        <f t="shared" si="3"/>
        <v>45926.400000000001</v>
      </c>
      <c r="AT91" s="19" t="s">
        <v>1229</v>
      </c>
      <c r="AU91" s="44" t="str">
        <f>VLOOKUP(Cartera1017[[#This Row],[Gerencia]],tbGerencia[#All],3,FALSE)</f>
        <v>Operac.</v>
      </c>
      <c r="AV91" s="44" t="str">
        <f>IFERROR(VLOOKUP(Cartera1017[[#This Row],[Subgerencia]],Definiciones!$A$90:$B$144,2,FALSE),"")</f>
        <v>CaptacionesPagaduría</v>
      </c>
      <c r="AW91" s="44" t="str">
        <f>IF(OR(LEN(Cartera1017[[#This Row],[Fecha de Solicitud]])=0,(Cartera1017[[#This Row],[Fecha de Solicitud]])="No definido"),"No definido",IF(YEAR(Cartera1017[[#This Row],[Fecha de Solicitud]])&lt;2023," &lt;  2023",TEXT(Cartera1017[[#This Row],[Fecha de Solicitud]],"yyyy-mm")))</f>
        <v>No definido</v>
      </c>
      <c r="AX91" s="44" t="str">
        <f>IF(Cartera1017[[#This Row],[Fecha de Priorización Comité]]="","No definido",TEXT(Cartera1017[[#This Row],[Fecha de Priorización Comité]],"yyyy-mm"))</f>
        <v>2025-04</v>
      </c>
      <c r="AY91" s="44" t="str">
        <f>IF(Cartera1017[[#This Row],[Fecha Fin- Desarrollo]]="","No definido",TEXT(Cartera1017[[#This Row],[Fecha Fin- Desarrollo]],"yyyy-mm"))</f>
        <v>2025-07</v>
      </c>
      <c r="AZ91" s="44" t="str">
        <f>IF(Cartera1017[[#This Row],[Fecha Fin- Producción]]="","No definido",TEXT(Cartera1017[[#This Row],[Fecha Fin- Producción]],"yyyy-mm"))</f>
        <v>2026-03</v>
      </c>
      <c r="BA91" s="44" t="str">
        <f>IF(Cartera1017[[#This Row],[Fecha Fin-Planificada]]="","No definido",TEXT(Cartera1017[[#This Row],[Fecha Fin-Planificada]],"yyyy-mm"))</f>
        <v>2025-09</v>
      </c>
      <c r="BB91" s="33" t="s">
        <v>604</v>
      </c>
      <c r="BC91" s="66">
        <v>45762</v>
      </c>
      <c r="BD91" s="66">
        <v>45869</v>
      </c>
      <c r="BE91" s="66">
        <v>45869</v>
      </c>
      <c r="BF91" s="127"/>
      <c r="BG91" s="28" t="s">
        <v>1195</v>
      </c>
      <c r="BH91"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348</v>
      </c>
      <c r="BI91" s="90">
        <f>IF(ISNUMBER(Cartera1017[[#This Row],[Duracion en Dias]]),Cartera1017[[#This Row],[Duracion en Dias]]/30, "No Aplica")</f>
        <v>11.6</v>
      </c>
      <c r="BJ91" s="109"/>
      <c r="BK91" s="28" t="s">
        <v>506</v>
      </c>
      <c r="BL91" s="110" t="s">
        <v>636</v>
      </c>
      <c r="BM91" s="342">
        <v>46091.738078703704</v>
      </c>
      <c r="BN91" s="227"/>
      <c r="BO91" s="401"/>
      <c r="BP91" s="401"/>
      <c r="BQ9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1" s="14" t="str">
        <f>IFERROR(VLOOKUP(Cartera1017[[#This Row],[Aplicativo]],Tabla76[],2,FALSE),"Sin Aplicativo")</f>
        <v>Clientes (BDUC)</v>
      </c>
      <c r="BS91" s="14" t="str">
        <f>IFERROR(VLOOKUP(Cartera1017[[#This Row],[Aplicativo]],Tabla76[],3,FALSE),"Sin Aplicativo")</f>
        <v>Canales Presenciales</v>
      </c>
      <c r="BT91" s="400" t="s">
        <v>521</v>
      </c>
      <c r="BU91" s="28"/>
      <c r="BV91" s="33"/>
      <c r="BW91"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9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1" s="149" t="str">
        <f ca="1">IF(Cartera1017[[#This Row],[Fecha Fin2]]="","No definido",CONCATENATE(TEXT(Cartera1017[[#This Row],[Fecha Fin2]],"mmm")," ",YEAR(Cartera1017[[#This Row],[Fecha Fin2]])))</f>
        <v>Mar 2026</v>
      </c>
      <c r="BZ91" s="28"/>
      <c r="CA91" s="48" t="str">
        <f>IF(Cartera1017[[#This Row],[Estado TI]] = "08. Producción Finalizada","Culminado",IF(Cartera1017[[#This Row],[Estado TI]]= "09. Descartado","Descartado","Activos"))</f>
        <v>Culminado</v>
      </c>
      <c r="CB91" s="28"/>
      <c r="CC9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91" s="54" t="str">
        <f>IF(
AND(
Cartera1017[[#This Row],[DEVOLVER 27]]="NO",
NOT(ISBLANK(Cartera1017[[#This Row],[ESTADO NO DEVUELTOS 27]]))
),
"PRE",
"POST"
)</f>
        <v>PRE</v>
      </c>
      <c r="CE91" s="54" t="s">
        <v>509</v>
      </c>
      <c r="CF91" s="28" t="s">
        <v>35</v>
      </c>
      <c r="CG9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9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9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1" s="406">
        <f>Cartera1017[[#This Row],[Porcentaje de Avance]]</f>
        <v>1</v>
      </c>
      <c r="CK91" s="388">
        <f ca="1">IF(
   OR(
     Cartera1017[[#This Row],[Estado TI]]="09. Descartado",
     Cartera1017[[#This Row],[Comienzo Desarrollo]]="",
     Cartera1017[[#This Row],[Fin Producción]]=""
   ),
   "",
   Cartera1017[[#This Row],[% PLANIFICADO]]-Cartera1017[[#This Row],[% COMPLETADO]]
)</f>
        <v>0</v>
      </c>
      <c r="CL91" s="388">
        <f ca="1">IF(
   OR(
     Cartera1017[[#This Row],[Estado TI]]="09. Descartado",
     Cartera1017[[#This Row],[Comienzo Desarrollo]]="",
     Cartera1017[[#This Row],[Fin Producción]]="",
     Cartera1017[[#This Row],[% PLANIFICADO]]=0
   ),
   "",
   MIN(Cartera1017[[#This Row],[% COMPLETADO]]/Cartera1017[[#This Row],[% PLANIFICADO]],1.2)
)</f>
        <v>1</v>
      </c>
      <c r="CM91" s="377">
        <v>45743</v>
      </c>
      <c r="CN91" s="377">
        <v>45743</v>
      </c>
      <c r="CO91" s="377">
        <v>45863</v>
      </c>
      <c r="CP91" s="377">
        <v>45866</v>
      </c>
      <c r="CQ91" s="377">
        <v>45877</v>
      </c>
      <c r="CR91" s="377">
        <v>45905</v>
      </c>
      <c r="CS91" s="377">
        <v>46108</v>
      </c>
      <c r="CT91" s="44">
        <f>IF(Cartera1017[[#This Row],[Fin Desarrollo]]="",25,IFERROR(NETWORKDAYS(Cartera1017[[#This Row],[Comienzo Desarrollo]],Cartera1017[[#This Row],[Fin Desarrollo]],FERIADOS[Fecha]),""))</f>
        <v>86</v>
      </c>
      <c r="CU9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91" s="44">
        <f>IF(OR(Cartera1017[[#This Row],[Comienzo Desarrollo]]="",Cartera1017[[#This Row],[Fin Desarrollo]]=""),200,IFERROR(Cartera1017[[#This Row],[DURACIÓN DESARROLLO DIAS]]*VLOOKUP(Cartera1017[[#This Row],[ID Mantenimiento]],MANT_HORAS[],2,FALSE),200))</f>
        <v>200</v>
      </c>
      <c r="CW91" s="110"/>
      <c r="CX91" s="110" t="str">
        <f>VLOOKUP(Cartera1017[[#This Row],[Estado TI]],Definiciones!$A$549:$B$559,2,FALSE)</f>
        <v>4. PRODUCCIÓN</v>
      </c>
      <c r="CY91" s="28">
        <f ca="1">1-Cartera1017[[#This Row],[Porcentaje avanzado desarrollo]]</f>
        <v>0</v>
      </c>
      <c r="CZ9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86</v>
      </c>
      <c r="DA91" s="28">
        <f ca="1">MAX(0,Cartera1017[[#This Row],[DURACIÓN DESARROLLO DIAS]]-Cartera1017[[#This Row],[Dias avanzados]])</f>
        <v>0</v>
      </c>
      <c r="DB91" s="28">
        <f ca="1">Cartera1017[[#This Row],[Dias avanzados]]*IFERROR(VLOOKUP(Cartera1017[[#This Row],[ID Mantenimiento]],MANT_HORAS[],2,FALSE),8)</f>
        <v>688</v>
      </c>
      <c r="DC91" s="28">
        <f ca="1">Cartera1017[[#This Row],[Dias faltantes]]*IFERROR(VLOOKUP(Cartera1017[[#This Row],[ID Mantenimiento]],MANT_HORAS[],2,FALSE),8)</f>
        <v>0</v>
      </c>
      <c r="DD91" s="28" t="str">
        <f>IF(Cartera1017[[#This Row],[Fin Producción]]=0,"Por definir",CONCATENATE(YEAR(Cartera1017[[#This Row],[Fin Producción]]),"-",ROUNDUP(MONTH(Cartera1017[[#This Row],[Fin Producción]]),0)))</f>
        <v>2026-3</v>
      </c>
      <c r="DE91" s="18" t="s">
        <v>510</v>
      </c>
      <c r="DF91" s="28"/>
      <c r="DG91" s="28"/>
      <c r="DH91" s="565"/>
    </row>
    <row r="92" spans="1:112" ht="44.25" hidden="1" customHeight="1">
      <c r="A92" s="229" t="s">
        <v>1230</v>
      </c>
      <c r="B92" s="18">
        <v>2770</v>
      </c>
      <c r="C92" s="18" t="s">
        <v>485</v>
      </c>
      <c r="D92" s="18" t="s">
        <v>1231</v>
      </c>
      <c r="E92" s="18" t="s">
        <v>213</v>
      </c>
      <c r="F92" s="124" t="s">
        <v>214</v>
      </c>
      <c r="G92" s="18"/>
      <c r="H92" s="18" t="s">
        <v>40</v>
      </c>
      <c r="I92" s="18" t="s">
        <v>842</v>
      </c>
      <c r="J92" s="18" t="s">
        <v>1232</v>
      </c>
      <c r="K92" s="20"/>
      <c r="L92" s="20"/>
      <c r="M92" s="50" t="s">
        <v>556</v>
      </c>
      <c r="N92" s="50"/>
      <c r="O92" s="18" t="s">
        <v>530</v>
      </c>
      <c r="P92" s="18" t="s">
        <v>495</v>
      </c>
      <c r="Q92" s="18" t="s">
        <v>496</v>
      </c>
      <c r="R92" s="18" t="s">
        <v>497</v>
      </c>
      <c r="S92" s="18"/>
      <c r="T92" s="18" t="s">
        <v>495</v>
      </c>
      <c r="U92" s="18" t="s">
        <v>495</v>
      </c>
      <c r="V92" s="18" t="s">
        <v>495</v>
      </c>
      <c r="W92" s="18" t="s">
        <v>495</v>
      </c>
      <c r="X92" s="18" t="s">
        <v>495</v>
      </c>
      <c r="Y92" s="80" t="s">
        <v>495</v>
      </c>
      <c r="Z92" s="18" t="s">
        <v>532</v>
      </c>
      <c r="AA92" s="20">
        <v>45777</v>
      </c>
      <c r="AB92" s="18" t="s">
        <v>500</v>
      </c>
      <c r="AC92" s="18" t="s">
        <v>558</v>
      </c>
      <c r="AD92" s="18" t="s">
        <v>54</v>
      </c>
      <c r="AE92" s="18" t="s">
        <v>41</v>
      </c>
      <c r="AF92" s="18" t="s">
        <v>35</v>
      </c>
      <c r="AG92" s="14" t="str">
        <f>VLOOKUP(AF92,Tabla3[[Estado Requerimiento]:[Macro estado]],2,FALSE)</f>
        <v>02. En Proceso</v>
      </c>
      <c r="AH92" s="18"/>
      <c r="AI92" s="80">
        <v>45741</v>
      </c>
      <c r="AJ92" s="80">
        <v>45964</v>
      </c>
      <c r="AK92" s="80">
        <v>45741</v>
      </c>
      <c r="AL92" s="424"/>
      <c r="AM92" s="80">
        <v>46052</v>
      </c>
      <c r="AN92" s="80"/>
      <c r="AO92" s="80"/>
      <c r="AP92" s="81">
        <f t="shared" si="2"/>
        <v>46176.4</v>
      </c>
      <c r="AQ92" s="80">
        <v>46126</v>
      </c>
      <c r="AR92" s="80"/>
      <c r="AS92" s="201">
        <f t="shared" si="3"/>
        <v>46183.4</v>
      </c>
      <c r="AT92" s="19" t="s">
        <v>1233</v>
      </c>
      <c r="AU92" s="44" t="str">
        <f>VLOOKUP(Cartera1017[[#This Row],[Gerencia]],tbGerencia[#All],3,FALSE)</f>
        <v>Operac.</v>
      </c>
      <c r="AV92" s="44" t="str">
        <f>IFERROR(VLOOKUP(Cartera1017[[#This Row],[Subgerencia]],Definiciones!$A$90:$B$144,2,FALSE),"")</f>
        <v>CajaValores</v>
      </c>
      <c r="AW92" s="44" t="str">
        <f>IF(OR(LEN(Cartera1017[[#This Row],[Fecha de Solicitud]])=0,(Cartera1017[[#This Row],[Fecha de Solicitud]])="No definido"),"No definido",IF(YEAR(Cartera1017[[#This Row],[Fecha de Solicitud]])&lt;2023," &lt;  2023",TEXT(Cartera1017[[#This Row],[Fecha de Solicitud]],"yyyy-mm")))</f>
        <v>No definido</v>
      </c>
      <c r="AX92" s="44" t="str">
        <f>IF(Cartera1017[[#This Row],[Fecha de Priorización Comité]]="","No definido",TEXT(Cartera1017[[#This Row],[Fecha de Priorización Comité]],"yyyy-mm"))</f>
        <v>2025-04</v>
      </c>
      <c r="AY92" s="44" t="str">
        <f>IF(Cartera1017[[#This Row],[Fecha Fin- Desarrollo]]="","No definido",TEXT(Cartera1017[[#This Row],[Fecha Fin- Desarrollo]],"yyyy-mm"))</f>
        <v>No definido</v>
      </c>
      <c r="AZ92" s="44" t="str">
        <f>IF(Cartera1017[[#This Row],[Fecha Fin- Producción]]="","No definido",TEXT(Cartera1017[[#This Row],[Fecha Fin- Producción]],"yyyy-mm"))</f>
        <v>No definido</v>
      </c>
      <c r="BA92" s="44" t="str">
        <f>IF(Cartera1017[[#This Row],[Fecha Fin-Planificada]]="","No definido",TEXT(Cartera1017[[#This Row],[Fecha Fin-Planificada]],"yyyy-mm"))</f>
        <v>2026-06</v>
      </c>
      <c r="BB92" s="33"/>
      <c r="BC92" s="66"/>
      <c r="BD92" s="66"/>
      <c r="BE92" s="66"/>
      <c r="BF92" s="127"/>
      <c r="BG92" s="28" t="s">
        <v>1195</v>
      </c>
      <c r="BH9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2" s="90" t="str">
        <f>IF(ISNUMBER(Cartera1017[[#This Row],[Duracion en Dias]]),Cartera1017[[#This Row],[Duracion en Dias]]/30, "No Aplica")</f>
        <v>No Aplica</v>
      </c>
      <c r="BJ92" s="109"/>
      <c r="BK92" s="28" t="s">
        <v>506</v>
      </c>
      <c r="BL92" s="110" t="s">
        <v>734</v>
      </c>
      <c r="BM92" s="342">
        <v>46126.625648148147</v>
      </c>
      <c r="BN92" s="227"/>
      <c r="BO92" s="401"/>
      <c r="BP92" s="401"/>
      <c r="BQ9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2026-Q2</v>
      </c>
      <c r="BR92" s="14" t="str">
        <f>IFERROR(VLOOKUP(Cartera1017[[#This Row],[Aplicativo]],Tabla76[],2,FALSE),"Sin Aplicativo")</f>
        <v>ATM-Agentes-VISA</v>
      </c>
      <c r="BS92" s="14" t="str">
        <f>IFERROR(VLOOKUP(Cartera1017[[#This Row],[Aplicativo]],Tabla76[],3,FALSE),"Sin Aplicativo")</f>
        <v>Canales Presenciales</v>
      </c>
      <c r="BT92" s="400" t="s">
        <v>521</v>
      </c>
      <c r="BU92" s="28"/>
      <c r="BV92" s="33"/>
      <c r="BW9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46183.4</v>
      </c>
      <c r="BX9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2026-2</v>
      </c>
      <c r="BY92" s="149" t="str">
        <f ca="1">IF(Cartera1017[[#This Row],[Fecha Fin2]]="","No definido",CONCATENATE(TEXT(Cartera1017[[#This Row],[Fecha Fin2]],"mmm")," ",YEAR(Cartera1017[[#This Row],[Fecha Fin2]])))</f>
        <v>Jun 2026</v>
      </c>
      <c r="BZ92" s="28"/>
      <c r="CA92" s="48" t="str">
        <f>IF(Cartera1017[[#This Row],[Estado TI]] = "08. Producción Finalizada","Culminado",IF(Cartera1017[[#This Row],[Estado TI]]= "09. Descartado","Descartado","Activos"))</f>
        <v>Activos</v>
      </c>
      <c r="CB92" s="28"/>
      <c r="CC9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92" s="54" t="str">
        <f>IF(
AND(
Cartera1017[[#This Row],[DEVOLVER 27]]="NO",
NOT(ISBLANK(Cartera1017[[#This Row],[ESTADO NO DEVUELTOS 27]]))
),
"PRE",
"POST"
)</f>
        <v>PRE</v>
      </c>
      <c r="CE92" s="54" t="s">
        <v>509</v>
      </c>
      <c r="CF92" s="28" t="s">
        <v>48</v>
      </c>
      <c r="CG9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9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2" s="406">
        <f>Cartera1017[[#This Row],[Porcentaje de Avance]]</f>
        <v>0.9</v>
      </c>
      <c r="CK92" s="388">
        <f ca="1">IF(
   OR(
     Cartera1017[[#This Row],[Estado TI]]="09. Descartado",
     Cartera1017[[#This Row],[Comienzo Desarrollo]]="",
     Cartera1017[[#This Row],[Fin Producción]]=""
   ),
   "",
   Cartera1017[[#This Row],[% PLANIFICADO]]-Cartera1017[[#This Row],[% COMPLETADO]]
)</f>
        <v>9.9999999999999978E-2</v>
      </c>
      <c r="CL92" s="388">
        <f ca="1">IF(
   OR(
     Cartera1017[[#This Row],[Estado TI]]="09. Descartado",
     Cartera1017[[#This Row],[Comienzo Desarrollo]]="",
     Cartera1017[[#This Row],[Fin Producción]]="",
     Cartera1017[[#This Row],[% PLANIFICADO]]=0
   ),
   "",
   MIN(Cartera1017[[#This Row],[% COMPLETADO]]/Cartera1017[[#This Row],[% PLANIFICADO]],1.2)
)</f>
        <v>0.9</v>
      </c>
      <c r="CM92" s="377">
        <v>45964</v>
      </c>
      <c r="CN92" s="377">
        <v>46083</v>
      </c>
      <c r="CO92" s="377">
        <v>46090</v>
      </c>
      <c r="CP92" s="377">
        <v>46092</v>
      </c>
      <c r="CQ92" s="377">
        <v>46118</v>
      </c>
      <c r="CR92" s="377">
        <v>46119</v>
      </c>
      <c r="CS92" s="377">
        <v>46125</v>
      </c>
      <c r="CT92" s="44">
        <f>IF(Cartera1017[[#This Row],[Fin Desarrollo]]="",25,IFERROR(NETWORKDAYS(Cartera1017[[#This Row],[Comienzo Desarrollo]],Cartera1017[[#This Row],[Fin Desarrollo]],FERIADOS[Fecha]),""))</f>
        <v>6</v>
      </c>
      <c r="CU9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92" s="44">
        <f>IF(OR(Cartera1017[[#This Row],[Comienzo Desarrollo]]="",Cartera1017[[#This Row],[Fin Desarrollo]]=""),200,IFERROR(Cartera1017[[#This Row],[DURACIÓN DESARROLLO DIAS]]*VLOOKUP(Cartera1017[[#This Row],[ID Mantenimiento]],MANT_HORAS[],2,FALSE),200))</f>
        <v>200</v>
      </c>
      <c r="CW92" s="110"/>
      <c r="CX92" s="110" t="str">
        <f>VLOOKUP(Cartera1017[[#This Row],[Estado TI]],Definiciones!$A$549:$B$559,2,FALSE)</f>
        <v>3. DESPLIEGUE</v>
      </c>
      <c r="CY92" s="28">
        <f ca="1">1-Cartera1017[[#This Row],[Porcentaje avanzado desarrollo]]</f>
        <v>0</v>
      </c>
      <c r="CZ9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v>
      </c>
      <c r="DA92" s="28">
        <f ca="1">MAX(0,Cartera1017[[#This Row],[DURACIÓN DESARROLLO DIAS]]-Cartera1017[[#This Row],[Dias avanzados]])</f>
        <v>0</v>
      </c>
      <c r="DB92" s="28">
        <f ca="1">Cartera1017[[#This Row],[Dias avanzados]]*IFERROR(VLOOKUP(Cartera1017[[#This Row],[ID Mantenimiento]],MANT_HORAS[],2,FALSE),8)</f>
        <v>48</v>
      </c>
      <c r="DC92" s="28">
        <f ca="1">Cartera1017[[#This Row],[Dias faltantes]]*IFERROR(VLOOKUP(Cartera1017[[#This Row],[ID Mantenimiento]],MANT_HORAS[],2,FALSE),8)</f>
        <v>0</v>
      </c>
      <c r="DD92" s="28" t="str">
        <f>IF(Cartera1017[[#This Row],[Fin Producción]]=0,"Por definir",CONCATENATE(YEAR(Cartera1017[[#This Row],[Fin Producción]]),"-",ROUNDUP(MONTH(Cartera1017[[#This Row],[Fin Producción]]),0)))</f>
        <v>2026-4</v>
      </c>
      <c r="DE92" s="18" t="s">
        <v>510</v>
      </c>
      <c r="DF92" s="28"/>
      <c r="DG92" s="28" t="s">
        <v>659</v>
      </c>
      <c r="DH92" s="565"/>
    </row>
    <row r="93" spans="1:112" ht="44.25" hidden="1" customHeight="1">
      <c r="A93" s="229" t="s">
        <v>1234</v>
      </c>
      <c r="B93" s="18">
        <v>2772</v>
      </c>
      <c r="C93" s="18" t="s">
        <v>485</v>
      </c>
      <c r="D93" s="18" t="s">
        <v>1235</v>
      </c>
      <c r="E93" s="18" t="s">
        <v>1236</v>
      </c>
      <c r="F93" s="33" t="s">
        <v>1237</v>
      </c>
      <c r="G93" s="18"/>
      <c r="H93" s="18" t="s">
        <v>40</v>
      </c>
      <c r="I93" s="18" t="s">
        <v>490</v>
      </c>
      <c r="J93" s="18" t="s">
        <v>662</v>
      </c>
      <c r="K93" s="20"/>
      <c r="L93" s="20"/>
      <c r="M93" s="50" t="s">
        <v>820</v>
      </c>
      <c r="N93" s="50"/>
      <c r="O93" s="18" t="s">
        <v>548</v>
      </c>
      <c r="P93" s="18" t="s">
        <v>495</v>
      </c>
      <c r="Q93" s="18" t="s">
        <v>822</v>
      </c>
      <c r="R93" s="18" t="s">
        <v>497</v>
      </c>
      <c r="S93" s="18"/>
      <c r="T93" s="18"/>
      <c r="U93" s="18"/>
      <c r="V93" s="18"/>
      <c r="W93" s="18"/>
      <c r="X93" s="18"/>
      <c r="Y93" s="80"/>
      <c r="Z93" s="18" t="s">
        <v>532</v>
      </c>
      <c r="AA93" s="20">
        <v>45777</v>
      </c>
      <c r="AB93" s="18" t="s">
        <v>500</v>
      </c>
      <c r="AC93" s="18" t="s">
        <v>558</v>
      </c>
      <c r="AD93" s="18" t="s">
        <v>139</v>
      </c>
      <c r="AE93" s="18" t="s">
        <v>41</v>
      </c>
      <c r="AF93" s="18" t="s">
        <v>53</v>
      </c>
      <c r="AG93" s="14" t="str">
        <f>VLOOKUP(AF93,Tabla3[[Estado Requerimiento]:[Macro estado]],2,FALSE)</f>
        <v>03. Culminado</v>
      </c>
      <c r="AH93" s="18"/>
      <c r="AI93" s="80">
        <v>45755</v>
      </c>
      <c r="AJ93" s="80"/>
      <c r="AK93" s="80">
        <v>45756</v>
      </c>
      <c r="AL93" s="424">
        <v>45757</v>
      </c>
      <c r="AM93" s="80"/>
      <c r="AN93" s="80"/>
      <c r="AO93" s="80"/>
      <c r="AP93" s="81">
        <f t="shared" si="2"/>
        <v>45757.4</v>
      </c>
      <c r="AQ93" s="80">
        <v>45757</v>
      </c>
      <c r="AR93" s="80">
        <v>46035</v>
      </c>
      <c r="AS93" s="81">
        <f t="shared" si="3"/>
        <v>45764.4</v>
      </c>
      <c r="AT93" s="19" t="s">
        <v>1238</v>
      </c>
      <c r="AU93" s="44" t="str">
        <f>VLOOKUP(Cartera1017[[#This Row],[Gerencia]],tbGerencia[#All],3,FALSE)</f>
        <v>Operac.</v>
      </c>
      <c r="AV93" s="44" t="str">
        <f>IFERROR(VLOOKUP(Cartera1017[[#This Row],[Subgerencia]],Definiciones!$A$90:$B$144,2,FALSE),"")</f>
        <v>BancariosRecaudación</v>
      </c>
      <c r="AW93" s="44" t="str">
        <f>IF(OR(LEN(Cartera1017[[#This Row],[Fecha de Solicitud]])=0,(Cartera1017[[#This Row],[Fecha de Solicitud]])="No definido"),"No definido",IF(YEAR(Cartera1017[[#This Row],[Fecha de Solicitud]])&lt;2023," &lt;  2023",TEXT(Cartera1017[[#This Row],[Fecha de Solicitud]],"yyyy-mm")))</f>
        <v>No definido</v>
      </c>
      <c r="AX93" s="44" t="str">
        <f>IF(Cartera1017[[#This Row],[Fecha de Priorización Comité]]="","No definido",TEXT(Cartera1017[[#This Row],[Fecha de Priorización Comité]],"yyyy-mm"))</f>
        <v>2025-04</v>
      </c>
      <c r="AY93" s="44" t="str">
        <f>IF(Cartera1017[[#This Row],[Fecha Fin- Desarrollo]]="","No definido",TEXT(Cartera1017[[#This Row],[Fecha Fin- Desarrollo]],"yyyy-mm"))</f>
        <v>2025-04</v>
      </c>
      <c r="AZ93" s="44" t="str">
        <f>IF(Cartera1017[[#This Row],[Fecha Fin- Producción]]="","No definido",TEXT(Cartera1017[[#This Row],[Fecha Fin- Producción]],"yyyy-mm"))</f>
        <v>2026-01</v>
      </c>
      <c r="BA93" s="44" t="str">
        <f>IF(Cartera1017[[#This Row],[Fecha Fin-Planificada]]="","No definido",TEXT(Cartera1017[[#This Row],[Fecha Fin-Planificada]],"yyyy-mm"))</f>
        <v>2025-04</v>
      </c>
      <c r="BB93" s="33"/>
      <c r="BC93" s="66"/>
      <c r="BD93" s="66"/>
      <c r="BE93" s="66"/>
      <c r="BF93" s="127"/>
      <c r="BG93" s="28" t="s">
        <v>1195</v>
      </c>
      <c r="BH9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279</v>
      </c>
      <c r="BI93" s="90">
        <f>IF(ISNUMBER(Cartera1017[[#This Row],[Duracion en Dias]]),Cartera1017[[#This Row],[Duracion en Dias]]/30, "No Aplica")</f>
        <v>9.3000000000000007</v>
      </c>
      <c r="BJ93" s="109"/>
      <c r="BK93" s="28" t="s">
        <v>506</v>
      </c>
      <c r="BL93" s="110" t="s">
        <v>636</v>
      </c>
      <c r="BM93" s="342">
        <v>46035.720543981479</v>
      </c>
      <c r="BN93" s="227"/>
      <c r="BO93" s="401"/>
      <c r="BP93" s="401"/>
      <c r="BQ9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3" s="14" t="str">
        <f>IFERROR(VLOOKUP(Cartera1017[[#This Row],[Aplicativo]],Tabla76[],2,FALSE),"Sin Aplicativo")</f>
        <v>BackOffice</v>
      </c>
      <c r="BS93" s="14" t="str">
        <f>IFERROR(VLOOKUP(Cartera1017[[#This Row],[Aplicativo]],Tabla76[],3,FALSE),"Sin Aplicativo")</f>
        <v>Otros Requerimientos</v>
      </c>
      <c r="BT93" s="400" t="s">
        <v>521</v>
      </c>
      <c r="BU93" s="28"/>
      <c r="BV93" s="33"/>
      <c r="BW9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9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3" s="149" t="str">
        <f ca="1">IF(Cartera1017[[#This Row],[Fecha Fin2]]="","No definido",CONCATENATE(TEXT(Cartera1017[[#This Row],[Fecha Fin2]],"mmm")," ",YEAR(Cartera1017[[#This Row],[Fecha Fin2]])))</f>
        <v>Ene 2026</v>
      </c>
      <c r="BZ93" s="28"/>
      <c r="CA93" s="48" t="str">
        <f>IF(Cartera1017[[#This Row],[Estado TI]] = "08. Producción Finalizada","Culminado",IF(Cartera1017[[#This Row],[Estado TI]]= "09. Descartado","Descartado","Activos"))</f>
        <v>Culminado</v>
      </c>
      <c r="CB93" s="28"/>
      <c r="CC9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93" s="54" t="str">
        <f>IF(
AND(
Cartera1017[[#This Row],[DEVOLVER 27]]="NO",
NOT(ISBLANK(Cartera1017[[#This Row],[ESTADO NO DEVUELTOS 27]]))
),
"PRE",
"POST"
)</f>
        <v>PRE</v>
      </c>
      <c r="CE93" s="54" t="s">
        <v>509</v>
      </c>
      <c r="CF93" s="28" t="s">
        <v>35</v>
      </c>
      <c r="CG9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9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9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3" s="406">
        <f>Cartera1017[[#This Row],[Porcentaje de Avance]]</f>
        <v>1</v>
      </c>
      <c r="CK93" s="388">
        <f ca="1">IF(
   OR(
     Cartera1017[[#This Row],[Estado TI]]="09. Descartado",
     Cartera1017[[#This Row],[Comienzo Desarrollo]]="",
     Cartera1017[[#This Row],[Fin Producción]]=""
   ),
   "",
   Cartera1017[[#This Row],[% PLANIFICADO]]-Cartera1017[[#This Row],[% COMPLETADO]]
)</f>
        <v>0</v>
      </c>
      <c r="CL93" s="388">
        <f ca="1">IF(
   OR(
     Cartera1017[[#This Row],[Estado TI]]="09. Descartado",
     Cartera1017[[#This Row],[Comienzo Desarrollo]]="",
     Cartera1017[[#This Row],[Fin Producción]]="",
     Cartera1017[[#This Row],[% PLANIFICADO]]=0
   ),
   "",
   MIN(Cartera1017[[#This Row],[% COMPLETADO]]/Cartera1017[[#This Row],[% PLANIFICADO]],1.2)
)</f>
        <v>1</v>
      </c>
      <c r="CM93" s="377">
        <v>45756</v>
      </c>
      <c r="CN93" s="377">
        <v>45756</v>
      </c>
      <c r="CO93" s="377">
        <v>45877</v>
      </c>
      <c r="CP93" s="377" t="s">
        <v>1143</v>
      </c>
      <c r="CQ93" s="377" t="s">
        <v>1143</v>
      </c>
      <c r="CR93" s="377">
        <v>45757</v>
      </c>
      <c r="CS93" s="377">
        <v>46035</v>
      </c>
      <c r="CT93" s="44">
        <f>IF(Cartera1017[[#This Row],[Fin Desarrollo]]="",25,IFERROR(NETWORKDAYS(Cartera1017[[#This Row],[Comienzo Desarrollo]],Cartera1017[[#This Row],[Fin Desarrollo]],FERIADOS[Fecha]),""))</f>
        <v>85</v>
      </c>
      <c r="CU9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93" s="44">
        <f>IF(OR(Cartera1017[[#This Row],[Comienzo Desarrollo]]="",Cartera1017[[#This Row],[Fin Desarrollo]]=""),200,IFERROR(Cartera1017[[#This Row],[DURACIÓN DESARROLLO DIAS]]*VLOOKUP(Cartera1017[[#This Row],[ID Mantenimiento]],MANT_HORAS[],2,FALSE),200))</f>
        <v>200</v>
      </c>
      <c r="CW93" s="110"/>
      <c r="CX93" s="110" t="str">
        <f>VLOOKUP(Cartera1017[[#This Row],[Estado TI]],Definiciones!$A$549:$B$559,2,FALSE)</f>
        <v>4. PRODUCCIÓN</v>
      </c>
      <c r="CY93" s="28">
        <f ca="1">1-Cartera1017[[#This Row],[Porcentaje avanzado desarrollo]]</f>
        <v>0</v>
      </c>
      <c r="CZ9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85</v>
      </c>
      <c r="DA93" s="28">
        <f ca="1">MAX(0,Cartera1017[[#This Row],[DURACIÓN DESARROLLO DIAS]]-Cartera1017[[#This Row],[Dias avanzados]])</f>
        <v>0</v>
      </c>
      <c r="DB93" s="28">
        <f ca="1">Cartera1017[[#This Row],[Dias avanzados]]*IFERROR(VLOOKUP(Cartera1017[[#This Row],[ID Mantenimiento]],MANT_HORAS[],2,FALSE),8)</f>
        <v>680</v>
      </c>
      <c r="DC93" s="28">
        <f ca="1">Cartera1017[[#This Row],[Dias faltantes]]*IFERROR(VLOOKUP(Cartera1017[[#This Row],[ID Mantenimiento]],MANT_HORAS[],2,FALSE),8)</f>
        <v>0</v>
      </c>
      <c r="DD93" s="28" t="str">
        <f>IF(Cartera1017[[#This Row],[Fin Producción]]=0,"Por definir",CONCATENATE(YEAR(Cartera1017[[#This Row],[Fin Producción]]),"-",ROUNDUP(MONTH(Cartera1017[[#This Row],[Fin Producción]]),0)))</f>
        <v>2026-1</v>
      </c>
      <c r="DE93" s="18" t="s">
        <v>510</v>
      </c>
      <c r="DF93" s="28"/>
      <c r="DG93" s="28"/>
      <c r="DH93" s="565"/>
    </row>
    <row r="94" spans="1:112" ht="44.25" hidden="1" customHeight="1">
      <c r="A94" s="229" t="s">
        <v>1239</v>
      </c>
      <c r="B94" s="18">
        <v>2774</v>
      </c>
      <c r="C94" s="18" t="s">
        <v>485</v>
      </c>
      <c r="D94" s="18" t="s">
        <v>1240</v>
      </c>
      <c r="E94" s="18" t="s">
        <v>215</v>
      </c>
      <c r="F94" s="60" t="s">
        <v>216</v>
      </c>
      <c r="G94" s="18"/>
      <c r="H94" s="18" t="s">
        <v>59</v>
      </c>
      <c r="I94" s="18" t="s">
        <v>854</v>
      </c>
      <c r="J94" s="18" t="s">
        <v>1241</v>
      </c>
      <c r="K94" s="20"/>
      <c r="L94" s="20" t="s">
        <v>528</v>
      </c>
      <c r="M94" s="50" t="s">
        <v>1242</v>
      </c>
      <c r="N94" s="50"/>
      <c r="O94" s="18" t="s">
        <v>530</v>
      </c>
      <c r="P94" s="18" t="s">
        <v>495</v>
      </c>
      <c r="Q94" s="18" t="s">
        <v>496</v>
      </c>
      <c r="R94" s="18" t="s">
        <v>497</v>
      </c>
      <c r="S94" s="18"/>
      <c r="T94" s="18"/>
      <c r="U94" s="18"/>
      <c r="V94" s="18"/>
      <c r="W94" s="18"/>
      <c r="X94" s="18"/>
      <c r="Y94" s="80"/>
      <c r="Z94" s="18" t="s">
        <v>532</v>
      </c>
      <c r="AA94" s="20">
        <v>45777</v>
      </c>
      <c r="AB94" s="18" t="s">
        <v>533</v>
      </c>
      <c r="AC94" s="18" t="s">
        <v>558</v>
      </c>
      <c r="AD94" s="39" t="s">
        <v>217</v>
      </c>
      <c r="AE94" s="18" t="s">
        <v>47</v>
      </c>
      <c r="AF94" s="39" t="s">
        <v>48</v>
      </c>
      <c r="AG94" s="395" t="str">
        <f>VLOOKUP(AF94,Tabla3[[Estado Requerimiento]:[Macro estado]],2,FALSE)</f>
        <v>02. En Proceso</v>
      </c>
      <c r="AH94" s="18" t="s">
        <v>559</v>
      </c>
      <c r="AI94" s="80">
        <v>45757</v>
      </c>
      <c r="AJ94" s="80"/>
      <c r="AK94" s="80">
        <v>46146</v>
      </c>
      <c r="AL94" s="80">
        <v>45982</v>
      </c>
      <c r="AM94" s="80"/>
      <c r="AN94" s="80">
        <v>45986</v>
      </c>
      <c r="AO94" s="80"/>
      <c r="AP94" s="81">
        <f t="shared" si="2"/>
        <v>45916.4</v>
      </c>
      <c r="AQ94" s="80"/>
      <c r="AR94" s="80"/>
      <c r="AS94" s="81">
        <f t="shared" si="3"/>
        <v>45923.4</v>
      </c>
      <c r="AT94" s="19" t="s">
        <v>1243</v>
      </c>
      <c r="AU94" s="44" t="str">
        <f>VLOOKUP(Cartera1017[[#This Row],[Gerencia]],tbGerencia[#All],3,FALSE)</f>
        <v>RRHH</v>
      </c>
      <c r="AV94" s="44" t="str">
        <f>IFERROR(VLOOKUP(Cartera1017[[#This Row],[Subgerencia]],Definiciones!$A$90:$B$144,2,FALSE),"")</f>
        <v>Compensaciones</v>
      </c>
      <c r="AW94" s="44" t="str">
        <f>IF(OR(LEN(Cartera1017[[#This Row],[Fecha de Solicitud]])=0,(Cartera1017[[#This Row],[Fecha de Solicitud]])="No definido"),"No definido",IF(YEAR(Cartera1017[[#This Row],[Fecha de Solicitud]])&lt;2023," &lt;  2023",TEXT(Cartera1017[[#This Row],[Fecha de Solicitud]],"yyyy-mm")))</f>
        <v>No definido</v>
      </c>
      <c r="AX94" s="44" t="str">
        <f>IF(Cartera1017[[#This Row],[Fecha de Priorización Comité]]="","No definido",TEXT(Cartera1017[[#This Row],[Fecha de Priorización Comité]],"yyyy-mm"))</f>
        <v>2025-04</v>
      </c>
      <c r="AY94" s="44" t="str">
        <f>IF(Cartera1017[[#This Row],[Fecha Fin- Desarrollo]]="","No definido",TEXT(Cartera1017[[#This Row],[Fecha Fin- Desarrollo]],"yyyy-mm"))</f>
        <v>2025-11</v>
      </c>
      <c r="AZ94" s="44" t="str">
        <f>IF(Cartera1017[[#This Row],[Fecha Fin- Producción]]="","No definido",TEXT(Cartera1017[[#This Row],[Fecha Fin- Producción]],"yyyy-mm"))</f>
        <v>No definido</v>
      </c>
      <c r="BA94" s="44" t="str">
        <f>IF(Cartera1017[[#This Row],[Fecha Fin-Planificada]]="","No definido",TEXT(Cartera1017[[#This Row],[Fecha Fin-Planificada]],"yyyy-mm"))</f>
        <v>2025-09</v>
      </c>
      <c r="BB94" s="33"/>
      <c r="BC94" s="66"/>
      <c r="BD94" s="66"/>
      <c r="BE94" s="66"/>
      <c r="BF94" s="127"/>
      <c r="BG94" s="28" t="s">
        <v>1195</v>
      </c>
      <c r="BH9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4" s="90" t="str">
        <f>IF(ISNUMBER(Cartera1017[[#This Row],[Duracion en Dias]]),Cartera1017[[#This Row],[Duracion en Dias]]/30, "No Aplica")</f>
        <v>No Aplica</v>
      </c>
      <c r="BJ94" s="109"/>
      <c r="BK94" s="28" t="s">
        <v>506</v>
      </c>
      <c r="BL94" s="110" t="s">
        <v>592</v>
      </c>
      <c r="BM94" s="342">
        <v>46146.612685185188</v>
      </c>
      <c r="BN94" s="227"/>
      <c r="BO94" s="401"/>
      <c r="BP94" s="401"/>
      <c r="BQ9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94" s="14" t="str">
        <f>IFERROR(VLOOKUP(Cartera1017[[#This Row],[Aplicativo]],Tabla76[],2,FALSE),"Sin Aplicativo")</f>
        <v>BackOffice</v>
      </c>
      <c r="BS94" s="14" t="str">
        <f>IFERROR(VLOOKUP(Cartera1017[[#This Row],[Aplicativo]],Tabla76[],3,FALSE),"Sin Aplicativo")</f>
        <v>Otros Requerimientos</v>
      </c>
      <c r="BT94" s="400" t="s">
        <v>521</v>
      </c>
      <c r="BU94" s="28"/>
      <c r="BV94" s="33"/>
      <c r="BW9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4" s="149" t="str">
        <f ca="1">IF(Cartera1017[[#This Row],[Fecha Fin2]]="","No definido",CONCATENATE(TEXT(Cartera1017[[#This Row],[Fecha Fin2]],"mmm")," ",YEAR(Cartera1017[[#This Row],[Fecha Fin2]])))</f>
        <v>No definido</v>
      </c>
      <c r="BZ94" s="28"/>
      <c r="CA94" s="48" t="str">
        <f>IF(Cartera1017[[#This Row],[Estado TI]] = "08. Producción Finalizada","Culminado",IF(Cartera1017[[#This Row],[Estado TI]]= "09. Descartado","Descartado","Activos"))</f>
        <v>Activos</v>
      </c>
      <c r="CB94" s="28"/>
      <c r="CC9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94" s="54" t="str">
        <f>IF(
AND(
Cartera1017[[#This Row],[DEVOLVER 27]]="NO",
NOT(ISBLANK(Cartera1017[[#This Row],[ESTADO NO DEVUELTOS 27]]))
),
"PRE",
"POST"
)</f>
        <v>PRE</v>
      </c>
      <c r="CE94" s="54" t="s">
        <v>509</v>
      </c>
      <c r="CF94" s="28" t="s">
        <v>48</v>
      </c>
      <c r="CG9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9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0.77922077922077926</v>
      </c>
      <c r="CJ94" s="406">
        <f>Cartera1017[[#This Row],[Porcentaje de Avance]]</f>
        <v>0.15</v>
      </c>
      <c r="CK94" s="388">
        <f ca="1">IF(
   OR(
     Cartera1017[[#This Row],[Estado TI]]="09. Descartado",
     Cartera1017[[#This Row],[Comienzo Desarrollo]]="",
     Cartera1017[[#This Row],[Fin Producción]]=""
   ),
   "",
   Cartera1017[[#This Row],[% PLANIFICADO]]-Cartera1017[[#This Row],[% COMPLETADO]]
)</f>
        <v>0.62922077922077924</v>
      </c>
      <c r="CL94" s="388">
        <f ca="1">IF(
   OR(
     Cartera1017[[#This Row],[Estado TI]]="09. Descartado",
     Cartera1017[[#This Row],[Comienzo Desarrollo]]="",
     Cartera1017[[#This Row],[Fin Producción]]="",
     Cartera1017[[#This Row],[% PLANIFICADO]]=0
   ),
   "",
   MIN(Cartera1017[[#This Row],[% COMPLETADO]]/Cartera1017[[#This Row],[% PLANIFICADO]],1.2)
)</f>
        <v>0.19249999999999998</v>
      </c>
      <c r="CM94" s="377"/>
      <c r="CN94" s="377">
        <v>46078</v>
      </c>
      <c r="CO94" s="377">
        <v>46150</v>
      </c>
      <c r="CP94" s="377">
        <v>46151</v>
      </c>
      <c r="CQ94" s="377">
        <v>46178</v>
      </c>
      <c r="CR94" s="377">
        <v>46179</v>
      </c>
      <c r="CS94" s="377">
        <v>46185</v>
      </c>
      <c r="CT94" s="44">
        <f>IF(Cartera1017[[#This Row],[Fin Desarrollo]]="",25,IFERROR(NETWORKDAYS(Cartera1017[[#This Row],[Comienzo Desarrollo]],Cartera1017[[#This Row],[Fin Desarrollo]],FERIADOS[Fecha]),""))</f>
        <v>52</v>
      </c>
      <c r="CU9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94" s="44">
        <f>IF(OR(Cartera1017[[#This Row],[Comienzo Desarrollo]]="",Cartera1017[[#This Row],[Fin Desarrollo]]=""),200,IFERROR(Cartera1017[[#This Row],[DURACIÓN DESARROLLO DIAS]]*VLOOKUP(Cartera1017[[#This Row],[ID Mantenimiento]],MANT_HORAS[],2,FALSE),200))</f>
        <v>416</v>
      </c>
      <c r="CW94" s="110"/>
      <c r="CX94" s="110" t="str">
        <f>VLOOKUP(Cartera1017[[#This Row],[Estado TI]],Definiciones!$A$549:$B$559,2,FALSE)</f>
        <v>1. DESARROLLO</v>
      </c>
      <c r="CY94" s="28">
        <f ca="1">1-Cartera1017[[#This Row],[Porcentaje avanzado desarrollo]]</f>
        <v>0</v>
      </c>
      <c r="CZ9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52</v>
      </c>
      <c r="DA94" s="28">
        <f ca="1">MAX(0,Cartera1017[[#This Row],[DURACIÓN DESARROLLO DIAS]]-Cartera1017[[#This Row],[Dias avanzados]])</f>
        <v>0</v>
      </c>
      <c r="DB94" s="28">
        <f ca="1">Cartera1017[[#This Row],[Dias avanzados]]*IFERROR(VLOOKUP(Cartera1017[[#This Row],[ID Mantenimiento]],MANT_HORAS[],2,FALSE),8)</f>
        <v>416</v>
      </c>
      <c r="DC94" s="28">
        <f ca="1">Cartera1017[[#This Row],[Dias faltantes]]*IFERROR(VLOOKUP(Cartera1017[[#This Row],[ID Mantenimiento]],MANT_HORAS[],2,FALSE),8)</f>
        <v>0</v>
      </c>
      <c r="DD94" s="28" t="str">
        <f>IF(Cartera1017[[#This Row],[Fin Producción]]=0,"Por definir",CONCATENATE(YEAR(Cartera1017[[#This Row],[Fin Producción]]),"-",ROUNDUP(MONTH(Cartera1017[[#This Row],[Fin Producción]]),0)))</f>
        <v>2026-6</v>
      </c>
      <c r="DE94" s="18" t="s">
        <v>510</v>
      </c>
      <c r="DF94" s="28"/>
      <c r="DG94" s="28"/>
      <c r="DH94" s="565"/>
    </row>
    <row r="95" spans="1:112" ht="44.25" hidden="1" customHeight="1">
      <c r="A95" s="229" t="s">
        <v>1244</v>
      </c>
      <c r="B95" s="18">
        <v>2775</v>
      </c>
      <c r="C95" s="18" t="s">
        <v>485</v>
      </c>
      <c r="D95" s="18" t="s">
        <v>1245</v>
      </c>
      <c r="E95" s="18" t="s">
        <v>218</v>
      </c>
      <c r="F95" s="124" t="s">
        <v>219</v>
      </c>
      <c r="G95" s="18"/>
      <c r="H95" s="18" t="s">
        <v>40</v>
      </c>
      <c r="I95" s="18" t="s">
        <v>577</v>
      </c>
      <c r="J95" s="18" t="s">
        <v>578</v>
      </c>
      <c r="K95" s="20"/>
      <c r="L95" s="20" t="s">
        <v>528</v>
      </c>
      <c r="M95" s="50" t="s">
        <v>664</v>
      </c>
      <c r="N95" s="50"/>
      <c r="O95" s="18" t="s">
        <v>530</v>
      </c>
      <c r="P95" s="18" t="s">
        <v>797</v>
      </c>
      <c r="Q95" s="18" t="s">
        <v>496</v>
      </c>
      <c r="R95" s="18" t="s">
        <v>531</v>
      </c>
      <c r="S95" s="18"/>
      <c r="T95" s="18" t="s">
        <v>495</v>
      </c>
      <c r="U95" s="18" t="s">
        <v>495</v>
      </c>
      <c r="V95" s="18" t="s">
        <v>495</v>
      </c>
      <c r="W95" s="18" t="s">
        <v>495</v>
      </c>
      <c r="X95" s="18" t="s">
        <v>495</v>
      </c>
      <c r="Y95" s="80" t="s">
        <v>495</v>
      </c>
      <c r="Z95" s="18" t="s">
        <v>532</v>
      </c>
      <c r="AA95" s="20">
        <v>45777</v>
      </c>
      <c r="AB95" s="18" t="s">
        <v>500</v>
      </c>
      <c r="AC95" s="18" t="s">
        <v>501</v>
      </c>
      <c r="AD95" s="18" t="s">
        <v>54</v>
      </c>
      <c r="AE95" s="18" t="s">
        <v>41</v>
      </c>
      <c r="AF95" s="18" t="s">
        <v>48</v>
      </c>
      <c r="AG95" s="14" t="str">
        <f>VLOOKUP(AF95,Tabla3[[Estado Requerimiento]:[Macro estado]],2,FALSE)</f>
        <v>02. En Proceso</v>
      </c>
      <c r="AH95" s="18"/>
      <c r="AI95" s="80">
        <v>45750</v>
      </c>
      <c r="AJ95" s="80">
        <v>45964</v>
      </c>
      <c r="AK95" s="80">
        <v>45750</v>
      </c>
      <c r="AL95" s="80"/>
      <c r="AM95" s="80">
        <v>46022</v>
      </c>
      <c r="AN95" s="80"/>
      <c r="AO95" s="80"/>
      <c r="AP95" s="81">
        <f t="shared" si="2"/>
        <v>46130.8</v>
      </c>
      <c r="AQ95" s="80"/>
      <c r="AR95" s="80"/>
      <c r="AS95" s="81">
        <f t="shared" si="3"/>
        <v>46137.8</v>
      </c>
      <c r="AT95" s="19" t="s">
        <v>1246</v>
      </c>
      <c r="AU95" s="44" t="str">
        <f>VLOOKUP(Cartera1017[[#This Row],[Gerencia]],tbGerencia[#All],3,FALSE)</f>
        <v>Operac.</v>
      </c>
      <c r="AV95" s="44" t="str">
        <f>IFERROR(VLOOKUP(Cartera1017[[#This Row],[Subgerencia]],Definiciones!$A$90:$B$144,2,FALSE),"")</f>
        <v>CaptacionesPagaduría</v>
      </c>
      <c r="AW95" s="44" t="str">
        <f>IF(OR(LEN(Cartera1017[[#This Row],[Fecha de Solicitud]])=0,(Cartera1017[[#This Row],[Fecha de Solicitud]])="No definido"),"No definido",IF(YEAR(Cartera1017[[#This Row],[Fecha de Solicitud]])&lt;2023," &lt;  2023",TEXT(Cartera1017[[#This Row],[Fecha de Solicitud]],"yyyy-mm")))</f>
        <v>No definido</v>
      </c>
      <c r="AX95" s="44" t="str">
        <f>IF(Cartera1017[[#This Row],[Fecha de Priorización Comité]]="","No definido",TEXT(Cartera1017[[#This Row],[Fecha de Priorización Comité]],"yyyy-mm"))</f>
        <v>2025-04</v>
      </c>
      <c r="AY95" s="44" t="str">
        <f>IF(Cartera1017[[#This Row],[Fecha Fin- Desarrollo]]="","No definido",TEXT(Cartera1017[[#This Row],[Fecha Fin- Desarrollo]],"yyyy-mm"))</f>
        <v>No definido</v>
      </c>
      <c r="AZ95" s="44" t="str">
        <f>IF(Cartera1017[[#This Row],[Fecha Fin- Producción]]="","No definido",TEXT(Cartera1017[[#This Row],[Fecha Fin- Producción]],"yyyy-mm"))</f>
        <v>No definido</v>
      </c>
      <c r="BA95" s="44" t="str">
        <f>IF(Cartera1017[[#This Row],[Fecha Fin-Planificada]]="","No definido",TEXT(Cartera1017[[#This Row],[Fecha Fin-Planificada]],"yyyy-mm"))</f>
        <v>2026-04</v>
      </c>
      <c r="BB95" s="33"/>
      <c r="BC95" s="66"/>
      <c r="BD95" s="66"/>
      <c r="BE95" s="66"/>
      <c r="BF95" s="127"/>
      <c r="BG95" s="28" t="s">
        <v>1195</v>
      </c>
      <c r="BH9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5" s="90" t="str">
        <f>IF(ISNUMBER(Cartera1017[[#This Row],[Duracion en Dias]]),Cartera1017[[#This Row],[Duracion en Dias]]/30, "No Aplica")</f>
        <v>No Aplica</v>
      </c>
      <c r="BJ95" s="18" t="s">
        <v>1247</v>
      </c>
      <c r="BK95" s="28" t="s">
        <v>506</v>
      </c>
      <c r="BL95" s="110" t="s">
        <v>592</v>
      </c>
      <c r="BM95" s="342">
        <v>46105.641898148147</v>
      </c>
      <c r="BN95" s="227"/>
      <c r="BO95" s="401"/>
      <c r="BP95" s="401"/>
      <c r="BQ9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95" s="14" t="str">
        <f>IFERROR(VLOOKUP(Cartera1017[[#This Row],[Aplicativo]],Tabla76[],2,FALSE),"Sin Aplicativo")</f>
        <v>BackOffice</v>
      </c>
      <c r="BS95" s="14" t="str">
        <f>IFERROR(VLOOKUP(Cartera1017[[#This Row],[Aplicativo]],Tabla76[],3,FALSE),"Sin Aplicativo")</f>
        <v>Otros Requerimientos</v>
      </c>
      <c r="BT95" s="400" t="s">
        <v>521</v>
      </c>
      <c r="BU95" s="28"/>
      <c r="BV95" s="33"/>
      <c r="BW9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5" s="149" t="str">
        <f ca="1">IF(Cartera1017[[#This Row],[Fecha Fin2]]="","No definido",CONCATENATE(TEXT(Cartera1017[[#This Row],[Fecha Fin2]],"mmm")," ",YEAR(Cartera1017[[#This Row],[Fecha Fin2]])))</f>
        <v>No definido</v>
      </c>
      <c r="BZ95" s="28"/>
      <c r="CA95" s="48" t="str">
        <f>IF(Cartera1017[[#This Row],[Estado TI]] = "08. Producción Finalizada","Culminado",IF(Cartera1017[[#This Row],[Estado TI]]= "09. Descartado","Descartado","Activos"))</f>
        <v>Activos</v>
      </c>
      <c r="CB95" s="28"/>
      <c r="CC9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95" s="54" t="str">
        <f>IF(
AND(
Cartera1017[[#This Row],[DEVOLVER 27]]="NO",
NOT(ISBLANK(Cartera1017[[#This Row],[ESTADO NO DEVUELTOS 27]]))
),
"PRE",
"POST"
)</f>
        <v>PRE</v>
      </c>
      <c r="CE95" s="54" t="s">
        <v>509</v>
      </c>
      <c r="CF95" s="28" t="s">
        <v>48</v>
      </c>
      <c r="CG9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9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5" s="406">
        <f>Cartera1017[[#This Row],[Porcentaje de Avance]]</f>
        <v>0.15</v>
      </c>
      <c r="CK95" s="388">
        <f ca="1">IF(
   OR(
     Cartera1017[[#This Row],[Estado TI]]="09. Descartado",
     Cartera1017[[#This Row],[Comienzo Desarrollo]]="",
     Cartera1017[[#This Row],[Fin Producción]]=""
   ),
   "",
   Cartera1017[[#This Row],[% PLANIFICADO]]-Cartera1017[[#This Row],[% COMPLETADO]]
)</f>
        <v>0.85</v>
      </c>
      <c r="CL95" s="388">
        <f ca="1">IF(
   OR(
     Cartera1017[[#This Row],[Estado TI]]="09. Descartado",
     Cartera1017[[#This Row],[Comienzo Desarrollo]]="",
     Cartera1017[[#This Row],[Fin Producción]]="",
     Cartera1017[[#This Row],[% PLANIFICADO]]=0
   ),
   "",
   MIN(Cartera1017[[#This Row],[% COMPLETADO]]/Cartera1017[[#This Row],[% PLANIFICADO]],1.2)
)</f>
        <v>0.15</v>
      </c>
      <c r="CM95" s="377">
        <v>45964</v>
      </c>
      <c r="CN95" s="377">
        <v>46083</v>
      </c>
      <c r="CO95" s="377">
        <v>46090</v>
      </c>
      <c r="CP95" s="377">
        <v>46092</v>
      </c>
      <c r="CQ95" s="377">
        <v>46122</v>
      </c>
      <c r="CR95" s="377">
        <v>46125</v>
      </c>
      <c r="CS95" s="377">
        <v>46129</v>
      </c>
      <c r="CT95" s="44">
        <f>IF(Cartera1017[[#This Row],[Fin Desarrollo]]="",25,IFERROR(NETWORKDAYS(Cartera1017[[#This Row],[Comienzo Desarrollo]],Cartera1017[[#This Row],[Fin Desarrollo]],FERIADOS[Fecha]),""))</f>
        <v>6</v>
      </c>
      <c r="CU9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95" s="44">
        <f>IF(OR(Cartera1017[[#This Row],[Comienzo Desarrollo]]="",Cartera1017[[#This Row],[Fin Desarrollo]]=""),200,IFERROR(Cartera1017[[#This Row],[DURACIÓN DESARROLLO DIAS]]*VLOOKUP(Cartera1017[[#This Row],[ID Mantenimiento]],MANT_HORAS[],2,FALSE),200))</f>
        <v>6.8571428571428568</v>
      </c>
      <c r="CW95" s="110"/>
      <c r="CX95" s="110" t="str">
        <f>VLOOKUP(Cartera1017[[#This Row],[Estado TI]],Definiciones!$A$549:$B$559,2,FALSE)</f>
        <v>1. DESARROLLO</v>
      </c>
      <c r="CY95" s="28">
        <f ca="1">1-Cartera1017[[#This Row],[Porcentaje avanzado desarrollo]]</f>
        <v>0</v>
      </c>
      <c r="CZ9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v>
      </c>
      <c r="DA95" s="28">
        <f ca="1">MAX(0,Cartera1017[[#This Row],[DURACIÓN DESARROLLO DIAS]]-Cartera1017[[#This Row],[Dias avanzados]])</f>
        <v>0</v>
      </c>
      <c r="DB95" s="28">
        <f ca="1">Cartera1017[[#This Row],[Dias avanzados]]*IFERROR(VLOOKUP(Cartera1017[[#This Row],[ID Mantenimiento]],MANT_HORAS[],2,FALSE),8)</f>
        <v>6.8571428571428568</v>
      </c>
      <c r="DC95" s="28">
        <f ca="1">Cartera1017[[#This Row],[Dias faltantes]]*IFERROR(VLOOKUP(Cartera1017[[#This Row],[ID Mantenimiento]],MANT_HORAS[],2,FALSE),8)</f>
        <v>0</v>
      </c>
      <c r="DD95" s="28" t="str">
        <f>IF(Cartera1017[[#This Row],[Fin Producción]]=0,"Por definir",CONCATENATE(YEAR(Cartera1017[[#This Row],[Fin Producción]]),"-",ROUNDUP(MONTH(Cartera1017[[#This Row],[Fin Producción]]),0)))</f>
        <v>2026-4</v>
      </c>
      <c r="DE95" s="18" t="s">
        <v>510</v>
      </c>
      <c r="DF95" s="28"/>
      <c r="DG95" s="28"/>
      <c r="DH95" s="565"/>
    </row>
    <row r="96" spans="1:112" ht="44.25" hidden="1" customHeight="1">
      <c r="A96" s="229" t="s">
        <v>1248</v>
      </c>
      <c r="B96" s="18">
        <v>2776</v>
      </c>
      <c r="C96" s="18" t="s">
        <v>485</v>
      </c>
      <c r="D96" s="18" t="s">
        <v>1249</v>
      </c>
      <c r="E96" s="18" t="s">
        <v>220</v>
      </c>
      <c r="F96" s="33" t="s">
        <v>221</v>
      </c>
      <c r="G96" s="18"/>
      <c r="H96" s="18" t="s">
        <v>108</v>
      </c>
      <c r="I96" s="18" t="s">
        <v>811</v>
      </c>
      <c r="J96" s="18" t="s">
        <v>500</v>
      </c>
      <c r="K96" s="20"/>
      <c r="L96" s="20"/>
      <c r="M96" s="50" t="s">
        <v>1224</v>
      </c>
      <c r="N96" s="50"/>
      <c r="O96" s="18" t="s">
        <v>530</v>
      </c>
      <c r="P96" s="18" t="s">
        <v>495</v>
      </c>
      <c r="Q96" s="18" t="s">
        <v>496</v>
      </c>
      <c r="R96" s="18" t="s">
        <v>497</v>
      </c>
      <c r="S96" s="18"/>
      <c r="T96" s="18"/>
      <c r="U96" s="18"/>
      <c r="V96" s="18"/>
      <c r="W96" s="18"/>
      <c r="X96" s="18"/>
      <c r="Y96" s="80"/>
      <c r="Z96" s="18" t="s">
        <v>532</v>
      </c>
      <c r="AA96" s="20">
        <v>45777</v>
      </c>
      <c r="AB96" s="18" t="s">
        <v>500</v>
      </c>
      <c r="AC96" s="18" t="s">
        <v>558</v>
      </c>
      <c r="AD96" s="18" t="s">
        <v>153</v>
      </c>
      <c r="AE96" s="18" t="s">
        <v>109</v>
      </c>
      <c r="AF96" s="18" t="s">
        <v>35</v>
      </c>
      <c r="AG96" s="14" t="str">
        <f>VLOOKUP(AF96,Tabla3[[Estado Requerimiento]:[Macro estado]],2,FALSE)</f>
        <v>02. En Proceso</v>
      </c>
      <c r="AH96" s="18"/>
      <c r="AI96" s="80">
        <v>45757</v>
      </c>
      <c r="AJ96" s="80"/>
      <c r="AK96" s="80">
        <v>45757</v>
      </c>
      <c r="AL96" s="80">
        <v>45760</v>
      </c>
      <c r="AM96" s="80"/>
      <c r="AN96" s="80">
        <v>45761</v>
      </c>
      <c r="AO96" s="80">
        <v>45762</v>
      </c>
      <c r="AP96" s="81">
        <f t="shared" si="2"/>
        <v>45761.2</v>
      </c>
      <c r="AQ96" s="80">
        <v>45763</v>
      </c>
      <c r="AR96" s="80"/>
      <c r="AS96" s="81">
        <f t="shared" si="3"/>
        <v>45768.2</v>
      </c>
      <c r="AT96" s="19" t="s">
        <v>1250</v>
      </c>
      <c r="AU96" s="44" t="str">
        <f>VLOOKUP(Cartera1017[[#This Row],[Gerencia]],tbGerencia[#All],3,FALSE)</f>
        <v>TI</v>
      </c>
      <c r="AV96" s="44" t="str">
        <f>IFERROR(VLOOKUP(Cartera1017[[#This Row],[Subgerencia]],Definiciones!$A$90:$B$144,2,FALSE),"")</f>
        <v>ConstrucciónAplicaciones</v>
      </c>
      <c r="AW96" s="44" t="str">
        <f>IF(OR(LEN(Cartera1017[[#This Row],[Fecha de Solicitud]])=0,(Cartera1017[[#This Row],[Fecha de Solicitud]])="No definido"),"No definido",IF(YEAR(Cartera1017[[#This Row],[Fecha de Solicitud]])&lt;2023," &lt;  2023",TEXT(Cartera1017[[#This Row],[Fecha de Solicitud]],"yyyy-mm")))</f>
        <v>No definido</v>
      </c>
      <c r="AX96" s="44" t="str">
        <f>IF(Cartera1017[[#This Row],[Fecha de Priorización Comité]]="","No definido",TEXT(Cartera1017[[#This Row],[Fecha de Priorización Comité]],"yyyy-mm"))</f>
        <v>2025-04</v>
      </c>
      <c r="AY96" s="44" t="str">
        <f>IF(Cartera1017[[#This Row],[Fecha Fin- Desarrollo]]="","No definido",TEXT(Cartera1017[[#This Row],[Fecha Fin- Desarrollo]],"yyyy-mm"))</f>
        <v>2025-04</v>
      </c>
      <c r="AZ96" s="44" t="str">
        <f>IF(Cartera1017[[#This Row],[Fecha Fin- Producción]]="","No definido",TEXT(Cartera1017[[#This Row],[Fecha Fin- Producción]],"yyyy-mm"))</f>
        <v>No definido</v>
      </c>
      <c r="BA96" s="44" t="str">
        <f>IF(Cartera1017[[#This Row],[Fecha Fin-Planificada]]="","No definido",TEXT(Cartera1017[[#This Row],[Fecha Fin-Planificada]],"yyyy-mm"))</f>
        <v>2025-04</v>
      </c>
      <c r="BB96" s="33"/>
      <c r="BC96" s="66"/>
      <c r="BD96" s="66"/>
      <c r="BE96" s="66"/>
      <c r="BF96" s="127"/>
      <c r="BG96" s="28" t="s">
        <v>1195</v>
      </c>
      <c r="BH9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6" s="90" t="str">
        <f>IF(ISNUMBER(Cartera1017[[#This Row],[Duracion en Dias]]),Cartera1017[[#This Row],[Duracion en Dias]]/30, "No Aplica")</f>
        <v>No Aplica</v>
      </c>
      <c r="BJ96" s="109"/>
      <c r="BK96" s="28" t="s">
        <v>506</v>
      </c>
      <c r="BL96" s="110" t="s">
        <v>734</v>
      </c>
      <c r="BM96" s="342">
        <v>45763.348761574074</v>
      </c>
      <c r="BN96" s="227"/>
      <c r="BO96" s="401"/>
      <c r="BP96" s="401"/>
      <c r="BQ9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96" s="14" t="str">
        <f>IFERROR(VLOOKUP(Cartera1017[[#This Row],[Aplicativo]],Tabla76[],2,FALSE),"Sin Aplicativo")</f>
        <v>Cuenta DNI</v>
      </c>
      <c r="BS96" s="14" t="str">
        <f>IFERROR(VLOOKUP(Cartera1017[[#This Row],[Aplicativo]],Tabla76[],3,FALSE),"Sin Aplicativo")</f>
        <v>Canales Virtuales</v>
      </c>
      <c r="BT96" s="400" t="s">
        <v>521</v>
      </c>
      <c r="BU96" s="28"/>
      <c r="BV96" s="33"/>
      <c r="BW9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6" s="149" t="str">
        <f ca="1">IF(Cartera1017[[#This Row],[Fecha Fin2]]="","No definido",CONCATENATE(TEXT(Cartera1017[[#This Row],[Fecha Fin2]],"mmm")," ",YEAR(Cartera1017[[#This Row],[Fecha Fin2]])))</f>
        <v>No definido</v>
      </c>
      <c r="BZ96" s="28"/>
      <c r="CA96" s="48" t="str">
        <f>IF(Cartera1017[[#This Row],[Estado TI]] = "08. Producción Finalizada","Culminado",IF(Cartera1017[[#This Row],[Estado TI]]= "09. Descartado","Descartado","Activos"))</f>
        <v>Activos</v>
      </c>
      <c r="CB96" s="28"/>
      <c r="CC9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96" s="54" t="str">
        <f>IF(
AND(
Cartera1017[[#This Row],[DEVOLVER 27]]="NO",
NOT(ISBLANK(Cartera1017[[#This Row],[ESTADO NO DEVUELTOS 27]]))
),
"PRE",
"POST"
)</f>
        <v>PRE</v>
      </c>
      <c r="CE96" s="54" t="s">
        <v>509</v>
      </c>
      <c r="CF96" s="28" t="s">
        <v>35</v>
      </c>
      <c r="CG9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9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6" s="406">
        <f>Cartera1017[[#This Row],[Porcentaje de Avance]]</f>
        <v>0.9</v>
      </c>
      <c r="CK96" s="388">
        <f ca="1">IF(
   OR(
     Cartera1017[[#This Row],[Estado TI]]="09. Descartado",
     Cartera1017[[#This Row],[Comienzo Desarrollo]]="",
     Cartera1017[[#This Row],[Fin Producción]]=""
   ),
   "",
   Cartera1017[[#This Row],[% PLANIFICADO]]-Cartera1017[[#This Row],[% COMPLETADO]]
)</f>
        <v>9.9999999999999978E-2</v>
      </c>
      <c r="CL96" s="388">
        <f ca="1">IF(
   OR(
     Cartera1017[[#This Row],[Estado TI]]="09. Descartado",
     Cartera1017[[#This Row],[Comienzo Desarrollo]]="",
     Cartera1017[[#This Row],[Fin Producción]]="",
     Cartera1017[[#This Row],[% PLANIFICADO]]=0
   ),
   "",
   MIN(Cartera1017[[#This Row],[% COMPLETADO]]/Cartera1017[[#This Row],[% PLANIFICADO]],1.2)
)</f>
        <v>0.9</v>
      </c>
      <c r="CM96" s="377">
        <v>45757</v>
      </c>
      <c r="CN96" s="377">
        <v>45757</v>
      </c>
      <c r="CO96" s="377">
        <v>45760</v>
      </c>
      <c r="CP96" s="377">
        <v>45761</v>
      </c>
      <c r="CQ96" s="377">
        <v>45762</v>
      </c>
      <c r="CR96" s="377">
        <v>45763</v>
      </c>
      <c r="CS96" s="377">
        <v>46108</v>
      </c>
      <c r="CT96" s="44">
        <f>IF(Cartera1017[[#This Row],[Fin Desarrollo]]="",25,IFERROR(NETWORKDAYS(Cartera1017[[#This Row],[Comienzo Desarrollo]],Cartera1017[[#This Row],[Fin Desarrollo]],FERIADOS[Fecha]),""))</f>
        <v>2</v>
      </c>
      <c r="CU9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96" s="44">
        <f>IF(OR(Cartera1017[[#This Row],[Comienzo Desarrollo]]="",Cartera1017[[#This Row],[Fin Desarrollo]]=""),200,IFERROR(Cartera1017[[#This Row],[DURACIÓN DESARROLLO DIAS]]*VLOOKUP(Cartera1017[[#This Row],[ID Mantenimiento]],MANT_HORAS[],2,FALSE),200))</f>
        <v>200</v>
      </c>
      <c r="CW96" s="110"/>
      <c r="CX96" s="110" t="str">
        <f>VLOOKUP(Cartera1017[[#This Row],[Estado TI]],Definiciones!$A$549:$B$559,2,FALSE)</f>
        <v>3. DESPLIEGUE</v>
      </c>
      <c r="CY96" s="28">
        <f ca="1">1-Cartera1017[[#This Row],[Porcentaje avanzado desarrollo]]</f>
        <v>0</v>
      </c>
      <c r="CZ9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DA96" s="28">
        <f ca="1">MAX(0,Cartera1017[[#This Row],[DURACIÓN DESARROLLO DIAS]]-Cartera1017[[#This Row],[Dias avanzados]])</f>
        <v>0</v>
      </c>
      <c r="DB96" s="28">
        <f ca="1">Cartera1017[[#This Row],[Dias avanzados]]*IFERROR(VLOOKUP(Cartera1017[[#This Row],[ID Mantenimiento]],MANT_HORAS[],2,FALSE),8)</f>
        <v>16</v>
      </c>
      <c r="DC96" s="28">
        <f ca="1">Cartera1017[[#This Row],[Dias faltantes]]*IFERROR(VLOOKUP(Cartera1017[[#This Row],[ID Mantenimiento]],MANT_HORAS[],2,FALSE),8)</f>
        <v>0</v>
      </c>
      <c r="DD96" s="28" t="str">
        <f>IF(Cartera1017[[#This Row],[Fin Producción]]=0,"Por definir",CONCATENATE(YEAR(Cartera1017[[#This Row],[Fin Producción]]),"-",ROUNDUP(MONTH(Cartera1017[[#This Row],[Fin Producción]]),0)))</f>
        <v>2026-3</v>
      </c>
      <c r="DE96" s="18" t="s">
        <v>510</v>
      </c>
      <c r="DF96" s="28" t="s">
        <v>1251</v>
      </c>
      <c r="DG96" s="28" t="s">
        <v>659</v>
      </c>
      <c r="DH96" s="565"/>
    </row>
    <row r="97" spans="1:112" ht="44.25" hidden="1" customHeight="1">
      <c r="A97" s="229" t="s">
        <v>1252</v>
      </c>
      <c r="B97" s="18">
        <v>2782</v>
      </c>
      <c r="C97" s="18" t="s">
        <v>485</v>
      </c>
      <c r="D97" s="18" t="s">
        <v>1253</v>
      </c>
      <c r="E97" s="18" t="s">
        <v>222</v>
      </c>
      <c r="F97" s="33" t="s">
        <v>223</v>
      </c>
      <c r="G97" s="18"/>
      <c r="H97" s="18" t="s">
        <v>59</v>
      </c>
      <c r="I97" s="18" t="s">
        <v>759</v>
      </c>
      <c r="J97" s="18" t="s">
        <v>1254</v>
      </c>
      <c r="K97" s="20"/>
      <c r="L97" s="20" t="s">
        <v>528</v>
      </c>
      <c r="M97" s="50" t="s">
        <v>620</v>
      </c>
      <c r="N97" s="50"/>
      <c r="O97" s="18" t="s">
        <v>530</v>
      </c>
      <c r="P97" s="18" t="s">
        <v>495</v>
      </c>
      <c r="Q97" s="18" t="s">
        <v>1255</v>
      </c>
      <c r="R97" s="18" t="s">
        <v>531</v>
      </c>
      <c r="S97" s="18"/>
      <c r="T97" s="18"/>
      <c r="U97" s="18"/>
      <c r="V97" s="18"/>
      <c r="W97" s="18"/>
      <c r="X97" s="18"/>
      <c r="Y97" s="80"/>
      <c r="Z97" s="18" t="s">
        <v>532</v>
      </c>
      <c r="AA97" s="20">
        <v>45777</v>
      </c>
      <c r="AB97" s="18" t="s">
        <v>533</v>
      </c>
      <c r="AC97" s="18"/>
      <c r="AD97" s="18" t="s">
        <v>49</v>
      </c>
      <c r="AE97" s="18" t="s">
        <v>47</v>
      </c>
      <c r="AF97" s="18" t="s">
        <v>48</v>
      </c>
      <c r="AG97" s="14" t="str">
        <f>VLOOKUP(AF97,Tabla3[[Estado Requerimiento]:[Macro estado]],2,FALSE)</f>
        <v>02. En Proceso</v>
      </c>
      <c r="AH97" s="18"/>
      <c r="AI97" s="80">
        <v>45771</v>
      </c>
      <c r="AJ97" s="80"/>
      <c r="AK97" s="80">
        <v>45987</v>
      </c>
      <c r="AL97" s="80">
        <v>45891</v>
      </c>
      <c r="AM97" s="80"/>
      <c r="AN97" s="80">
        <v>45932</v>
      </c>
      <c r="AO97" s="80"/>
      <c r="AP97" s="81">
        <f t="shared" si="2"/>
        <v>45852.6</v>
      </c>
      <c r="AQ97" s="80"/>
      <c r="AR97" s="80"/>
      <c r="AS97" s="81">
        <f t="shared" si="3"/>
        <v>45859.6</v>
      </c>
      <c r="AT97" s="19" t="s">
        <v>1256</v>
      </c>
      <c r="AU97" s="44" t="str">
        <f>VLOOKUP(Cartera1017[[#This Row],[Gerencia]],tbGerencia[#All],3,FALSE)</f>
        <v>RRHH</v>
      </c>
      <c r="AV97" s="44" t="str">
        <f>IFERROR(VLOOKUP(Cartera1017[[#This Row],[Subgerencia]],Definiciones!$A$90:$B$144,2,FALSE),"")</f>
        <v>DesarrolloTalento</v>
      </c>
      <c r="AW97" s="44" t="str">
        <f>IF(OR(LEN(Cartera1017[[#This Row],[Fecha de Solicitud]])=0,(Cartera1017[[#This Row],[Fecha de Solicitud]])="No definido"),"No definido",IF(YEAR(Cartera1017[[#This Row],[Fecha de Solicitud]])&lt;2023," &lt;  2023",TEXT(Cartera1017[[#This Row],[Fecha de Solicitud]],"yyyy-mm")))</f>
        <v>No definido</v>
      </c>
      <c r="AX97" s="44" t="str">
        <f>IF(Cartera1017[[#This Row],[Fecha de Priorización Comité]]="","No definido",TEXT(Cartera1017[[#This Row],[Fecha de Priorización Comité]],"yyyy-mm"))</f>
        <v>2025-04</v>
      </c>
      <c r="AY97" s="44" t="str">
        <f>IF(Cartera1017[[#This Row],[Fecha Fin- Desarrollo]]="","No definido",TEXT(Cartera1017[[#This Row],[Fecha Fin- Desarrollo]],"yyyy-mm"))</f>
        <v>2025-08</v>
      </c>
      <c r="AZ97" s="44" t="str">
        <f>IF(Cartera1017[[#This Row],[Fecha Fin- Producción]]="","No definido",TEXT(Cartera1017[[#This Row],[Fecha Fin- Producción]],"yyyy-mm"))</f>
        <v>No definido</v>
      </c>
      <c r="BA97" s="44" t="str">
        <f>IF(Cartera1017[[#This Row],[Fecha Fin-Planificada]]="","No definido",TEXT(Cartera1017[[#This Row],[Fecha Fin-Planificada]],"yyyy-mm"))</f>
        <v>2025-07</v>
      </c>
      <c r="BB97" s="33"/>
      <c r="BC97" s="66"/>
      <c r="BD97" s="66"/>
      <c r="BE97" s="66"/>
      <c r="BF97" s="127"/>
      <c r="BG97" s="28" t="s">
        <v>1195</v>
      </c>
      <c r="BH9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7" s="90" t="str">
        <f>IF(ISNUMBER(Cartera1017[[#This Row],[Duracion en Dias]]),Cartera1017[[#This Row],[Duracion en Dias]]/30, "No Aplica")</f>
        <v>No Aplica</v>
      </c>
      <c r="BJ97" s="109"/>
      <c r="BK97" s="28" t="s">
        <v>506</v>
      </c>
      <c r="BL97" s="110" t="s">
        <v>592</v>
      </c>
      <c r="BM97" s="342">
        <v>46014.447962962964</v>
      </c>
      <c r="BN97" s="227"/>
      <c r="BO97" s="401"/>
      <c r="BP97" s="401"/>
      <c r="BQ9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97" s="14" t="str">
        <f>IFERROR(VLOOKUP(Cartera1017[[#This Row],[Aplicativo]],Tabla76[],2,FALSE),"Sin Aplicativo")</f>
        <v>BackOffice</v>
      </c>
      <c r="BS97" s="14" t="str">
        <f>IFERROR(VLOOKUP(Cartera1017[[#This Row],[Aplicativo]],Tabla76[],3,FALSE),"Sin Aplicativo")</f>
        <v>Otros Requerimientos</v>
      </c>
      <c r="BT97" s="400" t="s">
        <v>521</v>
      </c>
      <c r="BU97" s="28"/>
      <c r="BV97" s="33"/>
      <c r="BW9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7" s="149" t="str">
        <f ca="1">IF(Cartera1017[[#This Row],[Fecha Fin2]]="","No definido",CONCATENATE(TEXT(Cartera1017[[#This Row],[Fecha Fin2]],"mmm")," ",YEAR(Cartera1017[[#This Row],[Fecha Fin2]])))</f>
        <v>No definido</v>
      </c>
      <c r="BZ97" s="28"/>
      <c r="CA97" s="48" t="str">
        <f>IF(Cartera1017[[#This Row],[Estado TI]] = "08. Producción Finalizada","Culminado",IF(Cartera1017[[#This Row],[Estado TI]]= "09. Descartado","Descartado","Activos"))</f>
        <v>Activos</v>
      </c>
      <c r="CB97" s="28"/>
      <c r="CC9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97" s="54" t="str">
        <f>IF(
AND(
Cartera1017[[#This Row],[DEVOLVER 27]]="NO",
NOT(ISBLANK(Cartera1017[[#This Row],[ESTADO NO DEVUELTOS 27]]))
),
"PRE",
"POST"
)</f>
        <v>PRE</v>
      </c>
      <c r="CE97" s="54" t="s">
        <v>509</v>
      </c>
      <c r="CF97" s="399" t="s">
        <v>48</v>
      </c>
      <c r="CG97"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9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3.8461538461538464E-2</v>
      </c>
      <c r="CJ97" s="406">
        <f>Cartera1017[[#This Row],[Porcentaje de Avance]]</f>
        <v>0.15</v>
      </c>
      <c r="CK97" s="417">
        <f ca="1">IF(
   OR(
     Cartera1017[[#This Row],[Estado TI]]="09. Descartado",
     Cartera1017[[#This Row],[Comienzo Desarrollo]]="",
     Cartera1017[[#This Row],[Fin Producción]]=""
   ),
   "",
   Cartera1017[[#This Row],[% PLANIFICADO]]-Cartera1017[[#This Row],[% COMPLETADO]]
)</f>
        <v>-0.11153846153846153</v>
      </c>
      <c r="CL97" s="417">
        <f ca="1">IF(
   OR(
     Cartera1017[[#This Row],[Estado TI]]="09. Descartado",
     Cartera1017[[#This Row],[Comienzo Desarrollo]]="",
     Cartera1017[[#This Row],[Fin Producción]]="",
     Cartera1017[[#This Row],[% PLANIFICADO]]=0
   ),
   "",
   MIN(Cartera1017[[#This Row],[% COMPLETADO]]/Cartera1017[[#This Row],[% PLANIFICADO]],1.2)
)</f>
        <v>1.2</v>
      </c>
      <c r="CM97" s="476">
        <v>46160</v>
      </c>
      <c r="CN97" s="377">
        <v>46160</v>
      </c>
      <c r="CO97" s="377">
        <v>46234</v>
      </c>
      <c r="CP97" s="377">
        <v>46235</v>
      </c>
      <c r="CQ97" s="377">
        <v>46254</v>
      </c>
      <c r="CR97" s="377">
        <v>46266</v>
      </c>
      <c r="CS97" s="377">
        <v>46272</v>
      </c>
      <c r="CT97" s="44">
        <f>IF(Cartera1017[[#This Row],[Fin Desarrollo]]="",25,IFERROR(NETWORKDAYS(Cartera1017[[#This Row],[Comienzo Desarrollo]],Cartera1017[[#This Row],[Fin Desarrollo]],FERIADOS[Fecha]),""))</f>
        <v>52</v>
      </c>
      <c r="CU9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3.6363636363636362E-2</v>
      </c>
      <c r="CV97" s="44">
        <f>IF(OR(Cartera1017[[#This Row],[Comienzo Desarrollo]]="",Cartera1017[[#This Row],[Fin Desarrollo]]=""),200,IFERROR(Cartera1017[[#This Row],[DURACIÓN DESARROLLO DIAS]]*VLOOKUP(Cartera1017[[#This Row],[ID Mantenimiento]],MANT_HORAS[],2,FALSE),200))</f>
        <v>83.2</v>
      </c>
      <c r="CW97" s="110"/>
      <c r="CX97" s="110" t="str">
        <f>VLOOKUP(Cartera1017[[#This Row],[Estado TI]],Definiciones!$A$549:$B$559,2,FALSE)</f>
        <v>1. DESARROLLO</v>
      </c>
      <c r="CY97" s="28">
        <f ca="1">1-Cartera1017[[#This Row],[Porcentaje avanzado desarrollo]]</f>
        <v>0.96363636363636362</v>
      </c>
      <c r="CZ9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DA97" s="28">
        <f ca="1">MAX(0,Cartera1017[[#This Row],[DURACIÓN DESARROLLO DIAS]]-Cartera1017[[#This Row],[Dias avanzados]])</f>
        <v>50</v>
      </c>
      <c r="DB97" s="28">
        <f ca="1">Cartera1017[[#This Row],[Dias avanzados]]*IFERROR(VLOOKUP(Cartera1017[[#This Row],[ID Mantenimiento]],MANT_HORAS[],2,FALSE),8)</f>
        <v>3.2</v>
      </c>
      <c r="DC97" s="28">
        <f ca="1">Cartera1017[[#This Row],[Dias faltantes]]*IFERROR(VLOOKUP(Cartera1017[[#This Row],[ID Mantenimiento]],MANT_HORAS[],2,FALSE),8)</f>
        <v>80</v>
      </c>
      <c r="DD97" s="28" t="str">
        <f>IF(Cartera1017[[#This Row],[Fin Producción]]=0,"Por definir",CONCATENATE(YEAR(Cartera1017[[#This Row],[Fin Producción]]),"-",ROUNDUP(MONTH(Cartera1017[[#This Row],[Fin Producción]]),0)))</f>
        <v>2026-9</v>
      </c>
      <c r="DE97" s="18" t="s">
        <v>510</v>
      </c>
      <c r="DF97" s="28"/>
      <c r="DG97" s="28"/>
      <c r="DH97" s="565"/>
    </row>
    <row r="98" spans="1:112" ht="44.25" hidden="1" customHeight="1">
      <c r="A98" s="229" t="s">
        <v>1257</v>
      </c>
      <c r="B98" s="18">
        <v>2783</v>
      </c>
      <c r="C98" s="18" t="s">
        <v>485</v>
      </c>
      <c r="D98" s="18" t="s">
        <v>1258</v>
      </c>
      <c r="E98" s="18" t="s">
        <v>224</v>
      </c>
      <c r="F98" s="33" t="s">
        <v>225</v>
      </c>
      <c r="G98" s="18"/>
      <c r="H98" s="18" t="s">
        <v>108</v>
      </c>
      <c r="I98" s="18" t="s">
        <v>811</v>
      </c>
      <c r="J98" s="18" t="s">
        <v>500</v>
      </c>
      <c r="K98" s="20"/>
      <c r="L98" s="20"/>
      <c r="M98" s="50" t="s">
        <v>742</v>
      </c>
      <c r="N98" s="50"/>
      <c r="O98" s="18" t="s">
        <v>712</v>
      </c>
      <c r="P98" s="18" t="s">
        <v>495</v>
      </c>
      <c r="Q98" s="18" t="s">
        <v>942</v>
      </c>
      <c r="R98" s="18" t="s">
        <v>497</v>
      </c>
      <c r="S98" s="18"/>
      <c r="T98" s="18"/>
      <c r="U98" s="18"/>
      <c r="V98" s="18"/>
      <c r="W98" s="18"/>
      <c r="X98" s="18"/>
      <c r="Y98" s="80"/>
      <c r="Z98" s="18" t="s">
        <v>532</v>
      </c>
      <c r="AA98" s="20">
        <v>45777</v>
      </c>
      <c r="AB98" s="18" t="s">
        <v>500</v>
      </c>
      <c r="AC98" s="18" t="s">
        <v>501</v>
      </c>
      <c r="AD98" s="18" t="s">
        <v>94</v>
      </c>
      <c r="AE98" s="18" t="s">
        <v>109</v>
      </c>
      <c r="AF98" s="18" t="s">
        <v>87</v>
      </c>
      <c r="AG98" s="14" t="str">
        <f>VLOOKUP(AF98,Tabla3[[Estado Requerimiento]:[Macro estado]],2,FALSE)</f>
        <v>02. En Proceso</v>
      </c>
      <c r="AH98" s="18"/>
      <c r="AI98" s="80">
        <v>45742</v>
      </c>
      <c r="AJ98" s="80"/>
      <c r="AK98" s="80">
        <v>46135</v>
      </c>
      <c r="AL98" s="80">
        <v>46141</v>
      </c>
      <c r="AM98" s="80"/>
      <c r="AN98" s="80">
        <v>46150</v>
      </c>
      <c r="AO98" s="80"/>
      <c r="AP98" s="81">
        <f t="shared" si="2"/>
        <v>46143.4</v>
      </c>
      <c r="AQ98" s="80"/>
      <c r="AR98" s="80"/>
      <c r="AS98" s="81">
        <f t="shared" si="3"/>
        <v>46150.400000000001</v>
      </c>
      <c r="AT98" s="19" t="s">
        <v>1259</v>
      </c>
      <c r="AU98" s="44" t="str">
        <f>VLOOKUP(Cartera1017[[#This Row],[Gerencia]],tbGerencia[#All],3,FALSE)</f>
        <v>TI</v>
      </c>
      <c r="AV98" s="44" t="str">
        <f>IFERROR(VLOOKUP(Cartera1017[[#This Row],[Subgerencia]],Definiciones!$A$90:$B$144,2,FALSE),"")</f>
        <v>ConstrucciónAplicaciones</v>
      </c>
      <c r="AW98" s="44" t="str">
        <f>IF(OR(LEN(Cartera1017[[#This Row],[Fecha de Solicitud]])=0,(Cartera1017[[#This Row],[Fecha de Solicitud]])="No definido"),"No definido",IF(YEAR(Cartera1017[[#This Row],[Fecha de Solicitud]])&lt;2023," &lt;  2023",TEXT(Cartera1017[[#This Row],[Fecha de Solicitud]],"yyyy-mm")))</f>
        <v>No definido</v>
      </c>
      <c r="AX98" s="44" t="str">
        <f>IF(Cartera1017[[#This Row],[Fecha de Priorización Comité]]="","No definido",TEXT(Cartera1017[[#This Row],[Fecha de Priorización Comité]],"yyyy-mm"))</f>
        <v>2025-04</v>
      </c>
      <c r="AY98" s="44" t="str">
        <f>IF(Cartera1017[[#This Row],[Fecha Fin- Desarrollo]]="","No definido",TEXT(Cartera1017[[#This Row],[Fecha Fin- Desarrollo]],"yyyy-mm"))</f>
        <v>2026-04</v>
      </c>
      <c r="AZ98" s="44" t="str">
        <f>IF(Cartera1017[[#This Row],[Fecha Fin- Producción]]="","No definido",TEXT(Cartera1017[[#This Row],[Fecha Fin- Producción]],"yyyy-mm"))</f>
        <v>No definido</v>
      </c>
      <c r="BA98" s="44" t="str">
        <f>IF(Cartera1017[[#This Row],[Fecha Fin-Planificada]]="","No definido",TEXT(Cartera1017[[#This Row],[Fecha Fin-Planificada]],"yyyy-mm"))</f>
        <v>2026-05</v>
      </c>
      <c r="BB98" s="33"/>
      <c r="BC98" s="66"/>
      <c r="BD98" s="66"/>
      <c r="BE98" s="66"/>
      <c r="BF98" s="127"/>
      <c r="BG98" s="28" t="s">
        <v>1195</v>
      </c>
      <c r="BH9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8" s="90" t="str">
        <f>IF(ISNUMBER(Cartera1017[[#This Row],[Duracion en Dias]]),Cartera1017[[#This Row],[Duracion en Dias]]/30, "No Aplica")</f>
        <v>No Aplica</v>
      </c>
      <c r="BJ98" s="109"/>
      <c r="BK98" s="28" t="s">
        <v>582</v>
      </c>
      <c r="BL98" s="110" t="s">
        <v>1260</v>
      </c>
      <c r="BM98" s="342">
        <v>46150.730995370373</v>
      </c>
      <c r="BN98" s="227"/>
      <c r="BO98" s="401"/>
      <c r="BP98" s="401"/>
      <c r="BQ9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98" s="14" t="str">
        <f>IFERROR(VLOOKUP(Cartera1017[[#This Row],[Aplicativo]],Tabla76[],2,FALSE),"Sin Aplicativo")</f>
        <v>Pagalo.pe</v>
      </c>
      <c r="BS98" s="14" t="str">
        <f>IFERROR(VLOOKUP(Cartera1017[[#This Row],[Aplicativo]],Tabla76[],3,FALSE),"Sin Aplicativo")</f>
        <v>Canales Virtuales</v>
      </c>
      <c r="BT98" s="400" t="s">
        <v>521</v>
      </c>
      <c r="BU98" s="28"/>
      <c r="BV98" s="33"/>
      <c r="BW9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8" s="149" t="str">
        <f ca="1">IF(Cartera1017[[#This Row],[Fecha Fin2]]="","No definido",CONCATENATE(TEXT(Cartera1017[[#This Row],[Fecha Fin2]],"mmm")," ",YEAR(Cartera1017[[#This Row],[Fecha Fin2]])))</f>
        <v>No definido</v>
      </c>
      <c r="BZ98" s="28"/>
      <c r="CA98" s="48" t="str">
        <f>IF(Cartera1017[[#This Row],[Estado TI]] = "08. Producción Finalizada","Culminado",IF(Cartera1017[[#This Row],[Estado TI]]= "09. Descartado","Descartado","Activos"))</f>
        <v>Activos</v>
      </c>
      <c r="CB98" s="191" t="s">
        <v>747</v>
      </c>
      <c r="CC9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98" s="54" t="str">
        <f>IF(
AND(
Cartera1017[[#This Row],[DEVOLVER 27]]="NO",
NOT(ISBLANK(Cartera1017[[#This Row],[ESTADO NO DEVUELTOS 27]]))
),
"PRE",
"POST"
)</f>
        <v>PRE</v>
      </c>
      <c r="CE98" s="54" t="s">
        <v>509</v>
      </c>
      <c r="CF98" s="104" t="s">
        <v>48</v>
      </c>
      <c r="CG98"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9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8" s="406">
        <f>Cartera1017[[#This Row],[Porcentaje de Avance]]</f>
        <v>0.7</v>
      </c>
      <c r="CK98" s="418">
        <f ca="1">IF(
   OR(
     Cartera1017[[#This Row],[Estado TI]]="09. Descartado",
     Cartera1017[[#This Row],[Comienzo Desarrollo]]="",
     Cartera1017[[#This Row],[Fin Producción]]=""
   ),
   "",
   Cartera1017[[#This Row],[% PLANIFICADO]]-Cartera1017[[#This Row],[% COMPLETADO]]
)</f>
        <v>0.30000000000000004</v>
      </c>
      <c r="CL98" s="418">
        <f ca="1">IF(
   OR(
     Cartera1017[[#This Row],[Estado TI]]="09. Descartado",
     Cartera1017[[#This Row],[Comienzo Desarrollo]]="",
     Cartera1017[[#This Row],[Fin Producción]]="",
     Cartera1017[[#This Row],[% PLANIFICADO]]=0
   ),
   "",
   MIN(Cartera1017[[#This Row],[% COMPLETADO]]/Cartera1017[[#This Row],[% PLANIFICADO]],1.2)
)</f>
        <v>0.7</v>
      </c>
      <c r="CM98" s="423">
        <v>46030</v>
      </c>
      <c r="CN98" s="377">
        <v>46030</v>
      </c>
      <c r="CO98" s="377">
        <v>46031</v>
      </c>
      <c r="CP98" s="377">
        <v>46051</v>
      </c>
      <c r="CQ98" s="377">
        <v>46080</v>
      </c>
      <c r="CR98" s="377">
        <v>46083</v>
      </c>
      <c r="CS98" s="377">
        <v>46139</v>
      </c>
      <c r="CT98" s="44">
        <f>IF(Cartera1017[[#This Row],[Fin Desarrollo]]="",25,IFERROR(NETWORKDAYS(Cartera1017[[#This Row],[Comienzo Desarrollo]],Cartera1017[[#This Row],[Fin Desarrollo]],FERIADOS[Fecha]),""))</f>
        <v>2</v>
      </c>
      <c r="CU9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98" s="44">
        <f>IF(OR(Cartera1017[[#This Row],[Comienzo Desarrollo]]="",Cartera1017[[#This Row],[Fin Desarrollo]]=""),200,IFERROR(Cartera1017[[#This Row],[DURACIÓN DESARROLLO DIAS]]*VLOOKUP(Cartera1017[[#This Row],[ID Mantenimiento]],MANT_HORAS[],2,FALSE),200))</f>
        <v>200</v>
      </c>
      <c r="CW98" s="110"/>
      <c r="CX98" s="110" t="str">
        <f>VLOOKUP(Cartera1017[[#This Row],[Estado TI]],Definiciones!$A$549:$B$559,2,FALSE)</f>
        <v>2. CALIDAD</v>
      </c>
      <c r="CY98" s="28">
        <f ca="1">1-Cartera1017[[#This Row],[Porcentaje avanzado desarrollo]]</f>
        <v>0</v>
      </c>
      <c r="CZ9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DA98" s="28">
        <f ca="1">MAX(0,Cartera1017[[#This Row],[DURACIÓN DESARROLLO DIAS]]-Cartera1017[[#This Row],[Dias avanzados]])</f>
        <v>0</v>
      </c>
      <c r="DB98" s="28">
        <f ca="1">Cartera1017[[#This Row],[Dias avanzados]]*IFERROR(VLOOKUP(Cartera1017[[#This Row],[ID Mantenimiento]],MANT_HORAS[],2,FALSE),8)</f>
        <v>16</v>
      </c>
      <c r="DC98" s="28">
        <f ca="1">Cartera1017[[#This Row],[Dias faltantes]]*IFERROR(VLOOKUP(Cartera1017[[#This Row],[ID Mantenimiento]],MANT_HORAS[],2,FALSE),8)</f>
        <v>0</v>
      </c>
      <c r="DD98" s="28" t="str">
        <f>IF(Cartera1017[[#This Row],[Fin Producción]]=0,"Por definir",CONCATENATE(YEAR(Cartera1017[[#This Row],[Fin Producción]]),"-",ROUNDUP(MONTH(Cartera1017[[#This Row],[Fin Producción]]),0)))</f>
        <v>2026-4</v>
      </c>
      <c r="DE98" s="18" t="s">
        <v>510</v>
      </c>
      <c r="DF98" s="28"/>
      <c r="DG98" s="28"/>
      <c r="DH98" s="565"/>
    </row>
    <row r="99" spans="1:112" ht="44.25" hidden="1" customHeight="1">
      <c r="A99" s="229" t="s">
        <v>1261</v>
      </c>
      <c r="B99" s="18">
        <v>2793</v>
      </c>
      <c r="C99" s="18" t="s">
        <v>485</v>
      </c>
      <c r="D99" s="18" t="s">
        <v>1262</v>
      </c>
      <c r="E99" s="18" t="s">
        <v>226</v>
      </c>
      <c r="F99" s="33" t="s">
        <v>227</v>
      </c>
      <c r="G99" s="19"/>
      <c r="H99" s="18" t="s">
        <v>40</v>
      </c>
      <c r="I99" s="18" t="s">
        <v>577</v>
      </c>
      <c r="J99" s="18" t="s">
        <v>1118</v>
      </c>
      <c r="K99" s="20">
        <v>45628</v>
      </c>
      <c r="L99" s="20" t="s">
        <v>1263</v>
      </c>
      <c r="M99" s="50" t="s">
        <v>710</v>
      </c>
      <c r="N99" s="50"/>
      <c r="O99" s="18" t="s">
        <v>1264</v>
      </c>
      <c r="P99" s="18" t="s">
        <v>495</v>
      </c>
      <c r="Q99" s="18" t="s">
        <v>496</v>
      </c>
      <c r="R99" s="18" t="s">
        <v>497</v>
      </c>
      <c r="S99" s="18"/>
      <c r="T99" s="18" t="s">
        <v>495</v>
      </c>
      <c r="U99" s="18" t="s">
        <v>495</v>
      </c>
      <c r="V99" s="18" t="s">
        <v>495</v>
      </c>
      <c r="W99" s="18" t="s">
        <v>495</v>
      </c>
      <c r="X99" s="18" t="s">
        <v>495</v>
      </c>
      <c r="Y99" s="80" t="s">
        <v>495</v>
      </c>
      <c r="Z99" s="18" t="s">
        <v>499</v>
      </c>
      <c r="AA99" s="20">
        <v>45806</v>
      </c>
      <c r="AB99" s="18" t="s">
        <v>713</v>
      </c>
      <c r="AC99" s="18" t="s">
        <v>558</v>
      </c>
      <c r="AD99" s="18" t="s">
        <v>88</v>
      </c>
      <c r="AE99" s="18" t="s">
        <v>41</v>
      </c>
      <c r="AF99" s="18" t="s">
        <v>28</v>
      </c>
      <c r="AG99" s="14" t="str">
        <f>VLOOKUP(AF99,Tabla3[[Estado Requerimiento]:[Macro estado]],2,FALSE)</f>
        <v>04. Paralizado</v>
      </c>
      <c r="AH99" s="18" t="s">
        <v>837</v>
      </c>
      <c r="AI99" s="80">
        <v>45785</v>
      </c>
      <c r="AJ99" s="80">
        <v>45964</v>
      </c>
      <c r="AK99" s="533">
        <v>45785</v>
      </c>
      <c r="AL99" s="80"/>
      <c r="AM99" s="80"/>
      <c r="AN99" s="80"/>
      <c r="AO99" s="80"/>
      <c r="AP99" s="81" t="str">
        <f t="shared" si="2"/>
        <v/>
      </c>
      <c r="AQ99" s="80"/>
      <c r="AR99" s="80"/>
      <c r="AS99" s="81" t="str">
        <f t="shared" si="3"/>
        <v/>
      </c>
      <c r="AT99" s="19" t="s">
        <v>1265</v>
      </c>
      <c r="AU99" s="44" t="str">
        <f>VLOOKUP(Cartera1017[[#This Row],[Gerencia]],tbGerencia[#All],3,FALSE)</f>
        <v>Operac.</v>
      </c>
      <c r="AV99" s="44" t="str">
        <f>IFERROR(VLOOKUP(Cartera1017[[#This Row],[Subgerencia]],Definiciones!$A$90:$B$144,2,FALSE),"")</f>
        <v>CaptacionesPagaduría</v>
      </c>
      <c r="AW99" s="44" t="str">
        <f>IF(OR(LEN(Cartera1017[[#This Row],[Fecha de Solicitud]])=0,(Cartera1017[[#This Row],[Fecha de Solicitud]])="No definido"),"No definido",IF(YEAR(Cartera1017[[#This Row],[Fecha de Solicitud]])&lt;2023," &lt;  2023",TEXT(Cartera1017[[#This Row],[Fecha de Solicitud]],"yyyy-mm")))</f>
        <v>2024-12</v>
      </c>
      <c r="AX99" s="44" t="str">
        <f>IF(Cartera1017[[#This Row],[Fecha de Priorización Comité]]="","No definido",TEXT(Cartera1017[[#This Row],[Fecha de Priorización Comité]],"yyyy-mm"))</f>
        <v>2025-05</v>
      </c>
      <c r="AY99" s="44" t="str">
        <f>IF(Cartera1017[[#This Row],[Fecha Fin- Desarrollo]]="","No definido",TEXT(Cartera1017[[#This Row],[Fecha Fin- Desarrollo]],"yyyy-mm"))</f>
        <v>No definido</v>
      </c>
      <c r="AZ99" s="44" t="str">
        <f>IF(Cartera1017[[#This Row],[Fecha Fin- Producción]]="","No definido",TEXT(Cartera1017[[#This Row],[Fecha Fin- Producción]],"yyyy-mm"))</f>
        <v>No definido</v>
      </c>
      <c r="BA99" s="44" t="str">
        <f>IF(Cartera1017[[#This Row],[Fecha Fin-Planificada]]="","No definido",TEXT(Cartera1017[[#This Row],[Fecha Fin-Planificada]],"yyyy-mm"))</f>
        <v>No definido</v>
      </c>
      <c r="BB99" s="33"/>
      <c r="BC99" s="66"/>
      <c r="BD99" s="66"/>
      <c r="BE99" s="66"/>
      <c r="BF99" s="127"/>
      <c r="BG99" s="28" t="s">
        <v>1195</v>
      </c>
      <c r="BH9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9" s="90" t="str">
        <f>IF(ISNUMBER(Cartera1017[[#This Row],[Duracion en Dias]]),Cartera1017[[#This Row],[Duracion en Dias]]/30, "No Aplica")</f>
        <v>No Aplica</v>
      </c>
      <c r="BJ99" s="18" t="s">
        <v>1266</v>
      </c>
      <c r="BK99" s="28" t="s">
        <v>613</v>
      </c>
      <c r="BL99" s="110" t="s">
        <v>562</v>
      </c>
      <c r="BM99" s="342">
        <v>45995.738287037035</v>
      </c>
      <c r="BN99" s="227"/>
      <c r="BO99" s="401"/>
      <c r="BP99" s="401"/>
      <c r="BQ9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99" s="14" t="str">
        <f>IFERROR(VLOOKUP(Cartera1017[[#This Row],[Aplicativo]],Tabla76[],2,FALSE),"Sin Aplicativo")</f>
        <v>Banca Movil</v>
      </c>
      <c r="BS99" s="14" t="str">
        <f>IFERROR(VLOOKUP(Cartera1017[[#This Row],[Aplicativo]],Tabla76[],3,FALSE),"Sin Aplicativo")</f>
        <v>Canales Virtuales</v>
      </c>
      <c r="BT99" s="400" t="s">
        <v>521</v>
      </c>
      <c r="BU99" s="28"/>
      <c r="BV99" s="33"/>
      <c r="BW9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9" s="149" t="str">
        <f ca="1">IF(Cartera1017[[#This Row],[Fecha Fin2]]="","No definido",CONCATENATE(TEXT(Cartera1017[[#This Row],[Fecha Fin2]],"mmm")," ",YEAR(Cartera1017[[#This Row],[Fecha Fin2]])))</f>
        <v>No definido</v>
      </c>
      <c r="BZ99" s="28"/>
      <c r="CA99" s="48" t="str">
        <f>IF(Cartera1017[[#This Row],[Estado TI]] = "08. Producción Finalizada","Culminado",IF(Cartera1017[[#This Row],[Estado TI]]= "09. Descartado","Descartado","Activos"))</f>
        <v>Activos</v>
      </c>
      <c r="CB99" s="199" t="s">
        <v>1267</v>
      </c>
      <c r="CC9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99" s="54" t="str">
        <f>IF(
AND(
Cartera1017[[#This Row],[DEVOLVER 27]]="NO",
NOT(ISBLANK(Cartera1017[[#This Row],[ESTADO NO DEVUELTOS 27]]))
),
"PRE",
"POST"
)</f>
        <v>PRE</v>
      </c>
      <c r="CE99" s="54" t="s">
        <v>509</v>
      </c>
      <c r="CF99" s="28" t="s">
        <v>48</v>
      </c>
      <c r="CG9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9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99"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99" s="406">
        <f>Cartera1017[[#This Row],[Porcentaje de Avance]]</f>
        <v>0.12</v>
      </c>
      <c r="CK99" s="388" t="str">
        <f>IF(
   OR(
     Cartera1017[[#This Row],[Estado TI]]="09. Descartado",
     Cartera1017[[#This Row],[Comienzo Desarrollo]]="",
     Cartera1017[[#This Row],[Fin Producción]]=""
   ),
   "",
   Cartera1017[[#This Row],[% PLANIFICADO]]-Cartera1017[[#This Row],[% COMPLETADO]]
)</f>
        <v/>
      </c>
      <c r="CL99" s="388" t="str">
        <f ca="1">IF(
   OR(
     Cartera1017[[#This Row],[Estado TI]]="09. Descartado",
     Cartera1017[[#This Row],[Comienzo Desarrollo]]="",
     Cartera1017[[#This Row],[Fin Producción]]="",
     Cartera1017[[#This Row],[% PLANIFICADO]]=0
   ),
   "",
   MIN(Cartera1017[[#This Row],[% COMPLETADO]]/Cartera1017[[#This Row],[% PLANIFICADO]],1.2)
)</f>
        <v/>
      </c>
      <c r="CM99" s="377"/>
      <c r="CN99" s="377"/>
      <c r="CO99" s="377"/>
      <c r="CP99" s="377"/>
      <c r="CQ99" s="377"/>
      <c r="CR99" s="377"/>
      <c r="CS99" s="377"/>
      <c r="CT99" s="44">
        <f>IF(Cartera1017[[#This Row],[Fin Desarrollo]]="",25,IFERROR(NETWORKDAYS(Cartera1017[[#This Row],[Comienzo Desarrollo]],Cartera1017[[#This Row],[Fin Desarrollo]],FERIADOS[Fecha]),""))</f>
        <v>25</v>
      </c>
      <c r="CU9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99" s="44">
        <f>IF(OR(Cartera1017[[#This Row],[Comienzo Desarrollo]]="",Cartera1017[[#This Row],[Fin Desarrollo]]=""),200,IFERROR(Cartera1017[[#This Row],[DURACIÓN DESARROLLO DIAS]]*VLOOKUP(Cartera1017[[#This Row],[ID Mantenimiento]],MANT_HORAS[],2,FALSE),200))</f>
        <v>200</v>
      </c>
      <c r="CW99" s="110"/>
      <c r="CX99" s="110" t="str">
        <f>VLOOKUP(Cartera1017[[#This Row],[Estado TI]],Definiciones!$A$549:$B$559,2,FALSE)</f>
        <v>6. PARALIZADO</v>
      </c>
      <c r="CY99" s="28">
        <f ca="1">1-Cartera1017[[#This Row],[Porcentaje avanzado desarrollo]]</f>
        <v>0.9</v>
      </c>
      <c r="CZ9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99" s="28">
        <f ca="1">MAX(0,Cartera1017[[#This Row],[DURACIÓN DESARROLLO DIAS]]-Cartera1017[[#This Row],[Dias avanzados]])</f>
        <v>24</v>
      </c>
      <c r="DB99" s="28">
        <f ca="1">Cartera1017[[#This Row],[Dias avanzados]]*IFERROR(VLOOKUP(Cartera1017[[#This Row],[ID Mantenimiento]],MANT_HORAS[],2,FALSE),8)</f>
        <v>8</v>
      </c>
      <c r="DC99" s="28">
        <f ca="1">Cartera1017[[#This Row],[Dias faltantes]]*IFERROR(VLOOKUP(Cartera1017[[#This Row],[ID Mantenimiento]],MANT_HORAS[],2,FALSE),8)</f>
        <v>192</v>
      </c>
      <c r="DD99" s="28" t="str">
        <f>IF(Cartera1017[[#This Row],[Fin Producción]]=0,"Por definir",CONCATENATE(YEAR(Cartera1017[[#This Row],[Fin Producción]]),"-",ROUNDUP(MONTH(Cartera1017[[#This Row],[Fin Producción]]),0)))</f>
        <v>Por definir</v>
      </c>
      <c r="DE99" s="18" t="s">
        <v>510</v>
      </c>
      <c r="DF99" s="28"/>
      <c r="DG99" s="28"/>
      <c r="DH99" s="565"/>
    </row>
    <row r="100" spans="1:112" ht="44.25" hidden="1" customHeight="1">
      <c r="A100" s="229" t="s">
        <v>1268</v>
      </c>
      <c r="B100" s="18">
        <v>2794</v>
      </c>
      <c r="C100" s="18" t="s">
        <v>485</v>
      </c>
      <c r="D100" s="18" t="s">
        <v>1269</v>
      </c>
      <c r="E100" s="18" t="s">
        <v>228</v>
      </c>
      <c r="F100" s="33" t="s">
        <v>229</v>
      </c>
      <c r="G100" s="19"/>
      <c r="H100" s="18" t="s">
        <v>40</v>
      </c>
      <c r="I100" s="18" t="s">
        <v>577</v>
      </c>
      <c r="J100" s="18" t="s">
        <v>1118</v>
      </c>
      <c r="K100" s="20">
        <v>45628</v>
      </c>
      <c r="L100" s="20" t="s">
        <v>1263</v>
      </c>
      <c r="M100" s="50" t="s">
        <v>710</v>
      </c>
      <c r="N100" s="50"/>
      <c r="O100" s="18" t="s">
        <v>1264</v>
      </c>
      <c r="P100" s="18" t="s">
        <v>495</v>
      </c>
      <c r="Q100" s="18" t="s">
        <v>496</v>
      </c>
      <c r="R100" s="18" t="s">
        <v>497</v>
      </c>
      <c r="S100" s="18"/>
      <c r="T100" s="18" t="s">
        <v>495</v>
      </c>
      <c r="U100" s="18" t="s">
        <v>495</v>
      </c>
      <c r="V100" s="18" t="s">
        <v>495</v>
      </c>
      <c r="W100" s="18" t="s">
        <v>495</v>
      </c>
      <c r="X100" s="18" t="s">
        <v>495</v>
      </c>
      <c r="Y100" s="80" t="s">
        <v>495</v>
      </c>
      <c r="Z100" s="18" t="s">
        <v>499</v>
      </c>
      <c r="AA100" s="20">
        <v>45806</v>
      </c>
      <c r="AB100" s="18" t="s">
        <v>713</v>
      </c>
      <c r="AC100" s="18" t="s">
        <v>558</v>
      </c>
      <c r="AD100" s="18" t="s">
        <v>88</v>
      </c>
      <c r="AE100" s="18" t="s">
        <v>41</v>
      </c>
      <c r="AF100" s="18" t="s">
        <v>28</v>
      </c>
      <c r="AG100" s="14" t="str">
        <f>VLOOKUP(AF100,Tabla3[[Estado Requerimiento]:[Macro estado]],2,FALSE)</f>
        <v>04. Paralizado</v>
      </c>
      <c r="AH100" s="18" t="s">
        <v>837</v>
      </c>
      <c r="AI100" s="80">
        <v>45785</v>
      </c>
      <c r="AJ100" s="80">
        <v>45964</v>
      </c>
      <c r="AK100" s="533">
        <v>45785</v>
      </c>
      <c r="AL100" s="80"/>
      <c r="AM100" s="80"/>
      <c r="AN100" s="80"/>
      <c r="AO100" s="80"/>
      <c r="AP100" s="81" t="str">
        <f t="shared" si="2"/>
        <v/>
      </c>
      <c r="AQ100" s="80"/>
      <c r="AR100" s="80"/>
      <c r="AS100" s="81" t="str">
        <f t="shared" si="3"/>
        <v/>
      </c>
      <c r="AT100" s="19" t="s">
        <v>1265</v>
      </c>
      <c r="AU100" s="44" t="str">
        <f>VLOOKUP(Cartera1017[[#This Row],[Gerencia]],tbGerencia[#All],3,FALSE)</f>
        <v>Operac.</v>
      </c>
      <c r="AV100" s="44" t="str">
        <f>IFERROR(VLOOKUP(Cartera1017[[#This Row],[Subgerencia]],Definiciones!$A$90:$B$144,2,FALSE),"")</f>
        <v>CaptacionesPagaduría</v>
      </c>
      <c r="AW100" s="44" t="str">
        <f>IF(OR(LEN(Cartera1017[[#This Row],[Fecha de Solicitud]])=0,(Cartera1017[[#This Row],[Fecha de Solicitud]])="No definido"),"No definido",IF(YEAR(Cartera1017[[#This Row],[Fecha de Solicitud]])&lt;2023," &lt;  2023",TEXT(Cartera1017[[#This Row],[Fecha de Solicitud]],"yyyy-mm")))</f>
        <v>2024-12</v>
      </c>
      <c r="AX100" s="44" t="str">
        <f>IF(Cartera1017[[#This Row],[Fecha de Priorización Comité]]="","No definido",TEXT(Cartera1017[[#This Row],[Fecha de Priorización Comité]],"yyyy-mm"))</f>
        <v>2025-05</v>
      </c>
      <c r="AY100" s="44" t="str">
        <f>IF(Cartera1017[[#This Row],[Fecha Fin- Desarrollo]]="","No definido",TEXT(Cartera1017[[#This Row],[Fecha Fin- Desarrollo]],"yyyy-mm"))</f>
        <v>No definido</v>
      </c>
      <c r="AZ100" s="44" t="str">
        <f>IF(Cartera1017[[#This Row],[Fecha Fin- Producción]]="","No definido",TEXT(Cartera1017[[#This Row],[Fecha Fin- Producción]],"yyyy-mm"))</f>
        <v>No definido</v>
      </c>
      <c r="BA100" s="44" t="str">
        <f>IF(Cartera1017[[#This Row],[Fecha Fin-Planificada]]="","No definido",TEXT(Cartera1017[[#This Row],[Fecha Fin-Planificada]],"yyyy-mm"))</f>
        <v>No definido</v>
      </c>
      <c r="BB100" s="33"/>
      <c r="BC100" s="66"/>
      <c r="BD100" s="66"/>
      <c r="BE100" s="66"/>
      <c r="BF100" s="127"/>
      <c r="BG100" s="28" t="s">
        <v>1195</v>
      </c>
      <c r="BH10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0" s="90" t="str">
        <f>IF(ISNUMBER(Cartera1017[[#This Row],[Duracion en Dias]]),Cartera1017[[#This Row],[Duracion en Dias]]/30, "No Aplica")</f>
        <v>No Aplica</v>
      </c>
      <c r="BJ100" s="18" t="s">
        <v>1266</v>
      </c>
      <c r="BK100" s="28" t="s">
        <v>613</v>
      </c>
      <c r="BL100" s="110" t="s">
        <v>562</v>
      </c>
      <c r="BM100" s="342">
        <v>45995.738564814812</v>
      </c>
      <c r="BN100" s="227"/>
      <c r="BO100" s="401"/>
      <c r="BP100" s="401"/>
      <c r="BQ10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00" s="14" t="str">
        <f>IFERROR(VLOOKUP(Cartera1017[[#This Row],[Aplicativo]],Tabla76[],2,FALSE),"Sin Aplicativo")</f>
        <v>Banca Movil</v>
      </c>
      <c r="BS100" s="14" t="str">
        <f>IFERROR(VLOOKUP(Cartera1017[[#This Row],[Aplicativo]],Tabla76[],3,FALSE),"Sin Aplicativo")</f>
        <v>Canales Virtuales</v>
      </c>
      <c r="BT100" s="400" t="s">
        <v>521</v>
      </c>
      <c r="BU100" s="28"/>
      <c r="BV100" s="33"/>
      <c r="BW10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0" s="149" t="str">
        <f ca="1">IF(Cartera1017[[#This Row],[Fecha Fin2]]="","No definido",CONCATENATE(TEXT(Cartera1017[[#This Row],[Fecha Fin2]],"mmm")," ",YEAR(Cartera1017[[#This Row],[Fecha Fin2]])))</f>
        <v>No definido</v>
      </c>
      <c r="BZ100" s="28"/>
      <c r="CA100" s="48" t="str">
        <f>IF(Cartera1017[[#This Row],[Estado TI]] = "08. Producción Finalizada","Culminado",IF(Cartera1017[[#This Row],[Estado TI]]= "09. Descartado","Descartado","Activos"))</f>
        <v>Activos</v>
      </c>
      <c r="CB100" s="199" t="s">
        <v>1267</v>
      </c>
      <c r="CC10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00" s="54" t="str">
        <f>IF(
AND(
Cartera1017[[#This Row],[DEVOLVER 27]]="NO",
NOT(ISBLANK(Cartera1017[[#This Row],[ESTADO NO DEVUELTOS 27]]))
),
"PRE",
"POST"
)</f>
        <v>PRE</v>
      </c>
      <c r="CE100" s="54" t="s">
        <v>509</v>
      </c>
      <c r="CF100" s="28" t="s">
        <v>48</v>
      </c>
      <c r="CG10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0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00"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00" s="406">
        <f>Cartera1017[[#This Row],[Porcentaje de Avance]]</f>
        <v>0.12</v>
      </c>
      <c r="CK100" s="388" t="str">
        <f>IF(
   OR(
     Cartera1017[[#This Row],[Estado TI]]="09. Descartado",
     Cartera1017[[#This Row],[Comienzo Desarrollo]]="",
     Cartera1017[[#This Row],[Fin Producción]]=""
   ),
   "",
   Cartera1017[[#This Row],[% PLANIFICADO]]-Cartera1017[[#This Row],[% COMPLETADO]]
)</f>
        <v/>
      </c>
      <c r="CL100" s="388" t="str">
        <f ca="1">IF(
   OR(
     Cartera1017[[#This Row],[Estado TI]]="09. Descartado",
     Cartera1017[[#This Row],[Comienzo Desarrollo]]="",
     Cartera1017[[#This Row],[Fin Producción]]="",
     Cartera1017[[#This Row],[% PLANIFICADO]]=0
   ),
   "",
   MIN(Cartera1017[[#This Row],[% COMPLETADO]]/Cartera1017[[#This Row],[% PLANIFICADO]],1.2)
)</f>
        <v/>
      </c>
      <c r="CM100" s="377"/>
      <c r="CN100" s="377"/>
      <c r="CO100" s="377"/>
      <c r="CP100" s="377"/>
      <c r="CQ100" s="377"/>
      <c r="CR100" s="377"/>
      <c r="CS100" s="377"/>
      <c r="CT100" s="44">
        <f>IF(Cartera1017[[#This Row],[Fin Desarrollo]]="",25,IFERROR(NETWORKDAYS(Cartera1017[[#This Row],[Comienzo Desarrollo]],Cartera1017[[#This Row],[Fin Desarrollo]],FERIADOS[Fecha]),""))</f>
        <v>25</v>
      </c>
      <c r="CU10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00" s="44">
        <f>IF(OR(Cartera1017[[#This Row],[Comienzo Desarrollo]]="",Cartera1017[[#This Row],[Fin Desarrollo]]=""),200,IFERROR(Cartera1017[[#This Row],[DURACIÓN DESARROLLO DIAS]]*VLOOKUP(Cartera1017[[#This Row],[ID Mantenimiento]],MANT_HORAS[],2,FALSE),200))</f>
        <v>200</v>
      </c>
      <c r="CW100" s="110"/>
      <c r="CX100" s="110" t="str">
        <f>VLOOKUP(Cartera1017[[#This Row],[Estado TI]],Definiciones!$A$549:$B$559,2,FALSE)</f>
        <v>6. PARALIZADO</v>
      </c>
      <c r="CY100" s="28">
        <f ca="1">1-Cartera1017[[#This Row],[Porcentaje avanzado desarrollo]]</f>
        <v>0.9</v>
      </c>
      <c r="CZ10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00" s="28">
        <f ca="1">MAX(0,Cartera1017[[#This Row],[DURACIÓN DESARROLLO DIAS]]-Cartera1017[[#This Row],[Dias avanzados]])</f>
        <v>24</v>
      </c>
      <c r="DB100" s="28">
        <f ca="1">Cartera1017[[#This Row],[Dias avanzados]]*IFERROR(VLOOKUP(Cartera1017[[#This Row],[ID Mantenimiento]],MANT_HORAS[],2,FALSE),8)</f>
        <v>8</v>
      </c>
      <c r="DC100" s="28">
        <f ca="1">Cartera1017[[#This Row],[Dias faltantes]]*IFERROR(VLOOKUP(Cartera1017[[#This Row],[ID Mantenimiento]],MANT_HORAS[],2,FALSE),8)</f>
        <v>192</v>
      </c>
      <c r="DD100" s="28" t="str">
        <f>IF(Cartera1017[[#This Row],[Fin Producción]]=0,"Por definir",CONCATENATE(YEAR(Cartera1017[[#This Row],[Fin Producción]]),"-",ROUNDUP(MONTH(Cartera1017[[#This Row],[Fin Producción]]),0)))</f>
        <v>Por definir</v>
      </c>
      <c r="DE100" s="18" t="s">
        <v>510</v>
      </c>
      <c r="DF100" s="28"/>
      <c r="DG100" s="28"/>
      <c r="DH100" s="565"/>
    </row>
    <row r="101" spans="1:112" ht="44.25" hidden="1" customHeight="1">
      <c r="A101" s="229" t="s">
        <v>1270</v>
      </c>
      <c r="B101" s="18">
        <v>2802</v>
      </c>
      <c r="C101" s="18" t="s">
        <v>485</v>
      </c>
      <c r="D101" s="18" t="s">
        <v>1271</v>
      </c>
      <c r="E101" s="18" t="s">
        <v>230</v>
      </c>
      <c r="F101" s="33" t="s">
        <v>231</v>
      </c>
      <c r="G101" s="19"/>
      <c r="H101" s="18" t="s">
        <v>40</v>
      </c>
      <c r="I101" s="18" t="s">
        <v>577</v>
      </c>
      <c r="J101" s="18" t="s">
        <v>578</v>
      </c>
      <c r="K101" s="20">
        <v>45793</v>
      </c>
      <c r="L101" s="50" t="s">
        <v>1272</v>
      </c>
      <c r="M101" s="50" t="s">
        <v>1214</v>
      </c>
      <c r="N101" s="50"/>
      <c r="O101" s="18" t="s">
        <v>548</v>
      </c>
      <c r="P101" s="18" t="s">
        <v>797</v>
      </c>
      <c r="Q101" s="18" t="s">
        <v>496</v>
      </c>
      <c r="R101" s="18" t="s">
        <v>497</v>
      </c>
      <c r="S101" s="18"/>
      <c r="T101" s="18"/>
      <c r="U101" s="18"/>
      <c r="V101" s="18"/>
      <c r="W101" s="18"/>
      <c r="X101" s="18"/>
      <c r="Y101" s="80"/>
      <c r="Z101" s="18" t="s">
        <v>499</v>
      </c>
      <c r="AA101" s="20">
        <v>45806</v>
      </c>
      <c r="AB101" s="18" t="s">
        <v>500</v>
      </c>
      <c r="AC101" s="18" t="s">
        <v>558</v>
      </c>
      <c r="AD101" s="18" t="s">
        <v>210</v>
      </c>
      <c r="AE101" s="18" t="s">
        <v>41</v>
      </c>
      <c r="AF101" s="18" t="s">
        <v>35</v>
      </c>
      <c r="AG101" s="14" t="str">
        <f>VLOOKUP(AF101,Tabla3[[Estado Requerimiento]:[Macro estado]],2,FALSE)</f>
        <v>02. En Proceso</v>
      </c>
      <c r="AH101" s="18"/>
      <c r="AI101" s="80">
        <v>45796</v>
      </c>
      <c r="AJ101" s="80"/>
      <c r="AK101" s="80">
        <v>45796</v>
      </c>
      <c r="AL101" s="80">
        <v>45801</v>
      </c>
      <c r="AM101" s="80"/>
      <c r="AN101" s="80">
        <v>45802</v>
      </c>
      <c r="AO101" s="80">
        <v>45805</v>
      </c>
      <c r="AP101" s="81">
        <f t="shared" si="2"/>
        <v>45803</v>
      </c>
      <c r="AQ101" s="80">
        <v>45807</v>
      </c>
      <c r="AR101" s="80"/>
      <c r="AS101" s="81">
        <f t="shared" si="3"/>
        <v>45810</v>
      </c>
      <c r="AT101" s="19" t="s">
        <v>1273</v>
      </c>
      <c r="AU101" s="44" t="str">
        <f>VLOOKUP(Cartera1017[[#This Row],[Gerencia]],tbGerencia[#All],3,FALSE)</f>
        <v>Operac.</v>
      </c>
      <c r="AV101" s="44" t="str">
        <f>IFERROR(VLOOKUP(Cartera1017[[#This Row],[Subgerencia]],Definiciones!$A$90:$B$144,2,FALSE),"")</f>
        <v>CaptacionesPagaduría</v>
      </c>
      <c r="AW101" s="44" t="str">
        <f>IF(OR(LEN(Cartera1017[[#This Row],[Fecha de Solicitud]])=0,(Cartera1017[[#This Row],[Fecha de Solicitud]])="No definido"),"No definido",IF(YEAR(Cartera1017[[#This Row],[Fecha de Solicitud]])&lt;2023," &lt;  2023",TEXT(Cartera1017[[#This Row],[Fecha de Solicitud]],"yyyy-mm")))</f>
        <v>2025-05</v>
      </c>
      <c r="AX101" s="44" t="str">
        <f>IF(Cartera1017[[#This Row],[Fecha de Priorización Comité]]="","No definido",TEXT(Cartera1017[[#This Row],[Fecha de Priorización Comité]],"yyyy-mm"))</f>
        <v>2025-05</v>
      </c>
      <c r="AY101" s="44" t="str">
        <f>IF(Cartera1017[[#This Row],[Fecha Fin- Desarrollo]]="","No definido",TEXT(Cartera1017[[#This Row],[Fecha Fin- Desarrollo]],"yyyy-mm"))</f>
        <v>2025-05</v>
      </c>
      <c r="AZ101" s="44" t="str">
        <f>IF(Cartera1017[[#This Row],[Fecha Fin- Producción]]="","No definido",TEXT(Cartera1017[[#This Row],[Fecha Fin- Producción]],"yyyy-mm"))</f>
        <v>No definido</v>
      </c>
      <c r="BA101" s="44" t="str">
        <f>IF(Cartera1017[[#This Row],[Fecha Fin-Planificada]]="","No definido",TEXT(Cartera1017[[#This Row],[Fecha Fin-Planificada]],"yyyy-mm"))</f>
        <v>2025-06</v>
      </c>
      <c r="BB101" s="33"/>
      <c r="BC101" s="66"/>
      <c r="BD101" s="66"/>
      <c r="BE101" s="66"/>
      <c r="BF101" s="127"/>
      <c r="BG101" s="28" t="s">
        <v>1195</v>
      </c>
      <c r="BH10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1" s="90" t="str">
        <f>IF(ISNUMBER(Cartera1017[[#This Row],[Duracion en Dias]]),Cartera1017[[#This Row],[Duracion en Dias]]/30, "No Aplica")</f>
        <v>No Aplica</v>
      </c>
      <c r="BJ101" s="109" t="s">
        <v>1274</v>
      </c>
      <c r="BK101" s="28" t="s">
        <v>506</v>
      </c>
      <c r="BL101" s="110" t="s">
        <v>734</v>
      </c>
      <c r="BM101" s="342">
        <v>45807.707708333335</v>
      </c>
      <c r="BN101" s="227"/>
      <c r="BO101" s="401"/>
      <c r="BP101" s="401"/>
      <c r="BQ10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1" s="14" t="str">
        <f>IFERROR(VLOOKUP(Cartera1017[[#This Row],[Aplicativo]],Tabla76[],2,FALSE),"Sin Aplicativo")</f>
        <v>Sin Aplicativo</v>
      </c>
      <c r="BS101" s="14" t="str">
        <f>IFERROR(VLOOKUP(Cartera1017[[#This Row],[Aplicativo]],Tabla76[],3,FALSE),"Sin Aplicativo")</f>
        <v>Sin Aplicativo</v>
      </c>
      <c r="BT101" s="400" t="s">
        <v>521</v>
      </c>
      <c r="BU101" s="33"/>
      <c r="BV101" s="28"/>
      <c r="BW10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1" s="149" t="str">
        <f ca="1">IF(Cartera1017[[#This Row],[Fecha Fin2]]="","No definido",CONCATENATE(TEXT(Cartera1017[[#This Row],[Fecha Fin2]],"mmm")," ",YEAR(Cartera1017[[#This Row],[Fecha Fin2]])))</f>
        <v>No definido</v>
      </c>
      <c r="BZ101" s="28"/>
      <c r="CA101" s="48" t="str">
        <f>IF(Cartera1017[[#This Row],[Estado TI]] = "08. Producción Finalizada","Culminado",IF(Cartera1017[[#This Row],[Estado TI]]= "09. Descartado","Descartado","Activos"))</f>
        <v>Activos</v>
      </c>
      <c r="CB101" s="28"/>
      <c r="CC10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01" s="54" t="str">
        <f>IF(
AND(
Cartera1017[[#This Row],[DEVOLVER 27]]="NO",
NOT(ISBLANK(Cartera1017[[#This Row],[ESTADO NO DEVUELTOS 27]]))
),
"PRE",
"POST"
)</f>
        <v>PRE</v>
      </c>
      <c r="CE101" s="54" t="s">
        <v>509</v>
      </c>
      <c r="CF101" s="28" t="s">
        <v>35</v>
      </c>
      <c r="CG10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0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1" s="406">
        <f>Cartera1017[[#This Row],[Porcentaje de Avance]]</f>
        <v>0.9</v>
      </c>
      <c r="CK101" s="388">
        <f ca="1">IF(
   OR(
     Cartera1017[[#This Row],[Estado TI]]="09. Descartado",
     Cartera1017[[#This Row],[Comienzo Desarrollo]]="",
     Cartera1017[[#This Row],[Fin Producción]]=""
   ),
   "",
   Cartera1017[[#This Row],[% PLANIFICADO]]-Cartera1017[[#This Row],[% COMPLETADO]]
)</f>
        <v>9.9999999999999978E-2</v>
      </c>
      <c r="CL101" s="388">
        <f ca="1">IF(
   OR(
     Cartera1017[[#This Row],[Estado TI]]="09. Descartado",
     Cartera1017[[#This Row],[Comienzo Desarrollo]]="",
     Cartera1017[[#This Row],[Fin Producción]]="",
     Cartera1017[[#This Row],[% PLANIFICADO]]=0
   ),
   "",
   MIN(Cartera1017[[#This Row],[% COMPLETADO]]/Cartera1017[[#This Row],[% PLANIFICADO]],1.2)
)</f>
        <v>0.9</v>
      </c>
      <c r="CM101" s="377">
        <v>45796</v>
      </c>
      <c r="CN101" s="377">
        <v>45796</v>
      </c>
      <c r="CO101" s="377">
        <v>45801</v>
      </c>
      <c r="CP101" s="377">
        <v>45802</v>
      </c>
      <c r="CQ101" s="377">
        <v>45805</v>
      </c>
      <c r="CR101" s="377">
        <v>45807</v>
      </c>
      <c r="CS101" s="377">
        <v>46108</v>
      </c>
      <c r="CT101" s="44">
        <f>IF(Cartera1017[[#This Row],[Fin Desarrollo]]="",25,IFERROR(NETWORKDAYS(Cartera1017[[#This Row],[Comienzo Desarrollo]],Cartera1017[[#This Row],[Fin Desarrollo]],FERIADOS[Fecha]),""))</f>
        <v>5</v>
      </c>
      <c r="CU10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01" s="44">
        <f>IF(OR(Cartera1017[[#This Row],[Comienzo Desarrollo]]="",Cartera1017[[#This Row],[Fin Desarrollo]]=""),200,IFERROR(Cartera1017[[#This Row],[DURACIÓN DESARROLLO DIAS]]*VLOOKUP(Cartera1017[[#This Row],[ID Mantenimiento]],MANT_HORAS[],2,FALSE),200))</f>
        <v>200</v>
      </c>
      <c r="CW101" s="110"/>
      <c r="CX101" s="110" t="str">
        <f>VLOOKUP(Cartera1017[[#This Row],[Estado TI]],Definiciones!$A$549:$B$559,2,FALSE)</f>
        <v>3. DESPLIEGUE</v>
      </c>
      <c r="CY101" s="28">
        <f ca="1">1-Cartera1017[[#This Row],[Porcentaje avanzado desarrollo]]</f>
        <v>0</v>
      </c>
      <c r="CZ10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DA101" s="28">
        <f ca="1">MAX(0,Cartera1017[[#This Row],[DURACIÓN DESARROLLO DIAS]]-Cartera1017[[#This Row],[Dias avanzados]])</f>
        <v>0</v>
      </c>
      <c r="DB101" s="28">
        <f ca="1">Cartera1017[[#This Row],[Dias avanzados]]*IFERROR(VLOOKUP(Cartera1017[[#This Row],[ID Mantenimiento]],MANT_HORAS[],2,FALSE),8)</f>
        <v>40</v>
      </c>
      <c r="DC101" s="28">
        <f ca="1">Cartera1017[[#This Row],[Dias faltantes]]*IFERROR(VLOOKUP(Cartera1017[[#This Row],[ID Mantenimiento]],MANT_HORAS[],2,FALSE),8)</f>
        <v>0</v>
      </c>
      <c r="DD101" s="28" t="str">
        <f>IF(Cartera1017[[#This Row],[Fin Producción]]=0,"Por definir",CONCATENATE(YEAR(Cartera1017[[#This Row],[Fin Producción]]),"-",ROUNDUP(MONTH(Cartera1017[[#This Row],[Fin Producción]]),0)))</f>
        <v>2026-3</v>
      </c>
      <c r="DE101" s="18" t="s">
        <v>510</v>
      </c>
      <c r="DF101" s="28"/>
      <c r="DG101" s="28" t="s">
        <v>659</v>
      </c>
      <c r="DH101" s="565"/>
    </row>
    <row r="102" spans="1:112" ht="44.25" hidden="1" customHeight="1">
      <c r="A102" s="229" t="s">
        <v>1275</v>
      </c>
      <c r="B102" s="18">
        <v>2809</v>
      </c>
      <c r="C102" s="18" t="s">
        <v>485</v>
      </c>
      <c r="D102" s="18" t="s">
        <v>1276</v>
      </c>
      <c r="E102" s="18" t="s">
        <v>232</v>
      </c>
      <c r="F102" s="60" t="s">
        <v>233</v>
      </c>
      <c r="G102" s="19"/>
      <c r="H102" s="18" t="s">
        <v>40</v>
      </c>
      <c r="I102" s="18" t="s">
        <v>577</v>
      </c>
      <c r="J102" s="18" t="s">
        <v>922</v>
      </c>
      <c r="K102" s="20">
        <v>45758</v>
      </c>
      <c r="L102" s="50" t="s">
        <v>1277</v>
      </c>
      <c r="M102" s="50" t="s">
        <v>664</v>
      </c>
      <c r="N102" s="50"/>
      <c r="O102" s="18" t="s">
        <v>1278</v>
      </c>
      <c r="P102" s="18" t="s">
        <v>797</v>
      </c>
      <c r="Q102" s="18" t="s">
        <v>496</v>
      </c>
      <c r="R102" s="18" t="s">
        <v>497</v>
      </c>
      <c r="S102" s="18"/>
      <c r="T102" s="18" t="s">
        <v>495</v>
      </c>
      <c r="U102" s="18" t="s">
        <v>495</v>
      </c>
      <c r="V102" s="18" t="s">
        <v>495</v>
      </c>
      <c r="W102" s="18" t="s">
        <v>495</v>
      </c>
      <c r="X102" s="18" t="s">
        <v>495</v>
      </c>
      <c r="Y102" s="80" t="s">
        <v>495</v>
      </c>
      <c r="Z102" s="18" t="s">
        <v>499</v>
      </c>
      <c r="AA102" s="20"/>
      <c r="AB102" s="18" t="s">
        <v>500</v>
      </c>
      <c r="AC102" s="18" t="s">
        <v>558</v>
      </c>
      <c r="AD102" s="18" t="s">
        <v>54</v>
      </c>
      <c r="AE102" s="18" t="s">
        <v>41</v>
      </c>
      <c r="AF102" s="517" t="s">
        <v>178</v>
      </c>
      <c r="AG102" s="14" t="str">
        <f>VLOOKUP(AF102,Tabla3[[Estado Requerimiento]:[Macro estado]],2,FALSE)</f>
        <v>02. En Proceso</v>
      </c>
      <c r="AH102" s="18"/>
      <c r="AI102" s="80">
        <v>45799</v>
      </c>
      <c r="AJ102" s="80">
        <v>45964</v>
      </c>
      <c r="AK102" s="80">
        <v>46150</v>
      </c>
      <c r="AL102" s="80">
        <v>45838</v>
      </c>
      <c r="AM102" s="80"/>
      <c r="AN102" s="80">
        <v>45846</v>
      </c>
      <c r="AO102" s="80"/>
      <c r="AP102" s="81">
        <f t="shared" si="2"/>
        <v>45713.2</v>
      </c>
      <c r="AQ102" s="80"/>
      <c r="AR102" s="80"/>
      <c r="AS102" s="81">
        <f t="shared" si="3"/>
        <v>45720.2</v>
      </c>
      <c r="AT102" s="19" t="s">
        <v>1279</v>
      </c>
      <c r="AU102" s="44" t="str">
        <f>VLOOKUP(Cartera1017[[#This Row],[Gerencia]],tbGerencia[#All],3,FALSE)</f>
        <v>Operac.</v>
      </c>
      <c r="AV102" s="44" t="str">
        <f>IFERROR(VLOOKUP(Cartera1017[[#This Row],[Subgerencia]],Definiciones!$A$90:$B$144,2,FALSE),"")</f>
        <v>CaptacionesPagaduría</v>
      </c>
      <c r="AW102" s="44" t="str">
        <f>IF(OR(LEN(Cartera1017[[#This Row],[Fecha de Solicitud]])=0,(Cartera1017[[#This Row],[Fecha de Solicitud]])="No definido"),"No definido",IF(YEAR(Cartera1017[[#This Row],[Fecha de Solicitud]])&lt;2023," &lt;  2023",TEXT(Cartera1017[[#This Row],[Fecha de Solicitud]],"yyyy-mm")))</f>
        <v>2025-04</v>
      </c>
      <c r="AX102" s="44" t="str">
        <f>IF(Cartera1017[[#This Row],[Fecha de Priorización Comité]]="","No definido",TEXT(Cartera1017[[#This Row],[Fecha de Priorización Comité]],"yyyy-mm"))</f>
        <v>No definido</v>
      </c>
      <c r="AY102" s="44" t="str">
        <f>IF(Cartera1017[[#This Row],[Fecha Fin- Desarrollo]]="","No definido",TEXT(Cartera1017[[#This Row],[Fecha Fin- Desarrollo]],"yyyy-mm"))</f>
        <v>2025-06</v>
      </c>
      <c r="AZ102" s="44" t="str">
        <f>IF(Cartera1017[[#This Row],[Fecha Fin- Producción]]="","No definido",TEXT(Cartera1017[[#This Row],[Fecha Fin- Producción]],"yyyy-mm"))</f>
        <v>No definido</v>
      </c>
      <c r="BA102" s="44" t="str">
        <f>IF(Cartera1017[[#This Row],[Fecha Fin-Planificada]]="","No definido",TEXT(Cartera1017[[#This Row],[Fecha Fin-Planificada]],"yyyy-mm"))</f>
        <v>2025-03</v>
      </c>
      <c r="BB102" s="33"/>
      <c r="BC102" s="66"/>
      <c r="BD102" s="66"/>
      <c r="BE102" s="66"/>
      <c r="BF102" s="127"/>
      <c r="BG102" s="28" t="s">
        <v>1195</v>
      </c>
      <c r="BH10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2" s="90" t="str">
        <f>IF(ISNUMBER(Cartera1017[[#This Row],[Duracion en Dias]]),Cartera1017[[#This Row],[Duracion en Dias]]/30, "No Aplica")</f>
        <v>No Aplica</v>
      </c>
      <c r="BJ102" s="109" t="s">
        <v>1280</v>
      </c>
      <c r="BK102" s="28" t="s">
        <v>506</v>
      </c>
      <c r="BL102" s="110" t="s">
        <v>1281</v>
      </c>
      <c r="BM102" s="342">
        <v>46161.352199074077</v>
      </c>
      <c r="BN102" s="227"/>
      <c r="BO102" s="401"/>
      <c r="BP102" s="401"/>
      <c r="BQ10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2" s="14" t="str">
        <f>IFERROR(VLOOKUP(Cartera1017[[#This Row],[Aplicativo]],Tabla76[],2,FALSE),"Sin Aplicativo")</f>
        <v>BackOffice</v>
      </c>
      <c r="BS102" s="14" t="str">
        <f>IFERROR(VLOOKUP(Cartera1017[[#This Row],[Aplicativo]],Tabla76[],3,FALSE),"Sin Aplicativo")</f>
        <v>Otros Requerimientos</v>
      </c>
      <c r="BT102" s="400" t="s">
        <v>521</v>
      </c>
      <c r="BU102" s="33"/>
      <c r="BV102" s="28"/>
      <c r="BW10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2" s="149" t="str">
        <f ca="1">IF(Cartera1017[[#This Row],[Fecha Fin2]]="","No definido",CONCATENATE(TEXT(Cartera1017[[#This Row],[Fecha Fin2]],"mmm")," ",YEAR(Cartera1017[[#This Row],[Fecha Fin2]])))</f>
        <v>No definido</v>
      </c>
      <c r="BZ102" s="28"/>
      <c r="CA102" s="48" t="str">
        <f>IF(Cartera1017[[#This Row],[Estado TI]] = "08. Producción Finalizada","Culminado",IF(Cartera1017[[#This Row],[Estado TI]]= "09. Descartado","Descartado","Activos"))</f>
        <v>Activos</v>
      </c>
      <c r="CB102" s="28"/>
      <c r="CC10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0.5</v>
      </c>
      <c r="CD102" s="54" t="str">
        <f>IF(
AND(
Cartera1017[[#This Row],[DEVOLVER 27]]="NO",
NOT(ISBLANK(Cartera1017[[#This Row],[ESTADO NO DEVUELTOS 27]]))
),
"PRE",
"POST"
)</f>
        <v>PRE</v>
      </c>
      <c r="CE102" s="54" t="s">
        <v>509</v>
      </c>
      <c r="CF102" s="28" t="s">
        <v>48</v>
      </c>
      <c r="CG10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0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2" s="406">
        <f>Cartera1017[[#This Row],[Porcentaje de Avance]]</f>
        <v>0.5</v>
      </c>
      <c r="CK102" s="416">
        <f ca="1">IF(
   OR(
     Cartera1017[[#This Row],[Estado TI]]="09. Descartado",
     Cartera1017[[#This Row],[Comienzo Desarrollo]]="",
     Cartera1017[[#This Row],[Fin Producción]]=""
   ),
   "",
   Cartera1017[[#This Row],[% PLANIFICADO]]-Cartera1017[[#This Row],[% COMPLETADO]]
)</f>
        <v>0.5</v>
      </c>
      <c r="CL102" s="416">
        <f ca="1">IF(
   OR(
     Cartera1017[[#This Row],[Estado TI]]="09. Descartado",
     Cartera1017[[#This Row],[Comienzo Desarrollo]]="",
     Cartera1017[[#This Row],[Fin Producción]]="",
     Cartera1017[[#This Row],[% PLANIFICADO]]=0
   ),
   "",
   MIN(Cartera1017[[#This Row],[% COMPLETADO]]/Cartera1017[[#This Row],[% PLANIFICADO]],1.2)
)</f>
        <v>0.5</v>
      </c>
      <c r="CM102" s="475">
        <v>45964</v>
      </c>
      <c r="CN102" s="377">
        <v>46083</v>
      </c>
      <c r="CO102" s="377">
        <v>46111</v>
      </c>
      <c r="CP102" s="377">
        <v>46113</v>
      </c>
      <c r="CQ102" s="377">
        <v>46142</v>
      </c>
      <c r="CR102" s="377">
        <v>46148</v>
      </c>
      <c r="CS102" s="377">
        <v>46152</v>
      </c>
      <c r="CT102" s="44">
        <f>IF(Cartera1017[[#This Row],[Fin Desarrollo]]="",25,IFERROR(NETWORKDAYS(Cartera1017[[#This Row],[Comienzo Desarrollo]],Cartera1017[[#This Row],[Fin Desarrollo]],FERIADOS[Fecha]),""))</f>
        <v>21</v>
      </c>
      <c r="CU10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02" s="44">
        <f>IF(OR(Cartera1017[[#This Row],[Comienzo Desarrollo]]="",Cartera1017[[#This Row],[Fin Desarrollo]]=""),200,IFERROR(Cartera1017[[#This Row],[DURACIÓN DESARROLLO DIAS]]*VLOOKUP(Cartera1017[[#This Row],[ID Mantenimiento]],MANT_HORAS[],2,FALSE),200))</f>
        <v>24</v>
      </c>
      <c r="CW102" s="110"/>
      <c r="CX102" s="110" t="str">
        <f>VLOOKUP(Cartera1017[[#This Row],[Estado TI]],Definiciones!$A$549:$B$559,2,FALSE)</f>
        <v>2. CALIDAD</v>
      </c>
      <c r="CY102" s="28">
        <f ca="1">1-Cartera1017[[#This Row],[Porcentaje avanzado desarrollo]]</f>
        <v>0</v>
      </c>
      <c r="CZ10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21</v>
      </c>
      <c r="DA102" s="28">
        <f ca="1">MAX(0,Cartera1017[[#This Row],[DURACIÓN DESARROLLO DIAS]]-Cartera1017[[#This Row],[Dias avanzados]])</f>
        <v>0</v>
      </c>
      <c r="DB102" s="28">
        <f ca="1">Cartera1017[[#This Row],[Dias avanzados]]*IFERROR(VLOOKUP(Cartera1017[[#This Row],[ID Mantenimiento]],MANT_HORAS[],2,FALSE),8)</f>
        <v>24</v>
      </c>
      <c r="DC102" s="28">
        <f ca="1">Cartera1017[[#This Row],[Dias faltantes]]*IFERROR(VLOOKUP(Cartera1017[[#This Row],[ID Mantenimiento]],MANT_HORAS[],2,FALSE),8)</f>
        <v>0</v>
      </c>
      <c r="DD102" s="28" t="str">
        <f>IF(Cartera1017[[#This Row],[Fin Producción]]=0,"Por definir",CONCATENATE(YEAR(Cartera1017[[#This Row],[Fin Producción]]),"-",ROUNDUP(MONTH(Cartera1017[[#This Row],[Fin Producción]]),0)))</f>
        <v>2026-5</v>
      </c>
      <c r="DE102" s="18" t="s">
        <v>510</v>
      </c>
      <c r="DF102" s="28"/>
      <c r="DG102" s="28"/>
      <c r="DH102" s="565"/>
    </row>
    <row r="103" spans="1:112" ht="44.25" hidden="1" customHeight="1">
      <c r="A103" s="229" t="s">
        <v>1282</v>
      </c>
      <c r="B103" s="18">
        <v>2806</v>
      </c>
      <c r="C103" s="18" t="s">
        <v>485</v>
      </c>
      <c r="D103" s="18" t="s">
        <v>1283</v>
      </c>
      <c r="E103" s="18" t="s">
        <v>234</v>
      </c>
      <c r="F103" s="33" t="s">
        <v>235</v>
      </c>
      <c r="G103" s="19" t="s">
        <v>1284</v>
      </c>
      <c r="H103" s="18" t="s">
        <v>52</v>
      </c>
      <c r="I103" s="18" t="s">
        <v>1285</v>
      </c>
      <c r="J103" s="18" t="s">
        <v>1286</v>
      </c>
      <c r="K103" s="20">
        <v>45783</v>
      </c>
      <c r="L103" s="50" t="s">
        <v>1287</v>
      </c>
      <c r="M103" s="50" t="s">
        <v>1288</v>
      </c>
      <c r="N103" s="50"/>
      <c r="O103" s="18" t="s">
        <v>530</v>
      </c>
      <c r="P103" s="18" t="s">
        <v>495</v>
      </c>
      <c r="Q103" s="18" t="s">
        <v>496</v>
      </c>
      <c r="R103" s="18" t="s">
        <v>497</v>
      </c>
      <c r="S103" s="18"/>
      <c r="T103" s="18"/>
      <c r="U103" s="18"/>
      <c r="V103" s="18"/>
      <c r="W103" s="18"/>
      <c r="X103" s="18"/>
      <c r="Y103" s="80"/>
      <c r="Z103" s="18" t="s">
        <v>499</v>
      </c>
      <c r="AA103" s="20">
        <v>45806</v>
      </c>
      <c r="AB103" s="18" t="s">
        <v>533</v>
      </c>
      <c r="AC103" s="18"/>
      <c r="AD103" s="18" t="s">
        <v>236</v>
      </c>
      <c r="AE103" s="18" t="s">
        <v>47</v>
      </c>
      <c r="AF103" s="18" t="s">
        <v>53</v>
      </c>
      <c r="AG103" s="14" t="str">
        <f>VLOOKUP(AF103,Tabla3[[Estado Requerimiento]:[Macro estado]],2,FALSE)</f>
        <v>03. Culminado</v>
      </c>
      <c r="AH103" s="18"/>
      <c r="AI103" s="80">
        <v>45803</v>
      </c>
      <c r="AJ103" s="80"/>
      <c r="AK103" s="80">
        <v>45932</v>
      </c>
      <c r="AL103" s="80">
        <v>45988</v>
      </c>
      <c r="AM103" s="80"/>
      <c r="AN103" s="80">
        <v>45996</v>
      </c>
      <c r="AO103" s="80">
        <v>46035</v>
      </c>
      <c r="AP103" s="81">
        <f t="shared" si="2"/>
        <v>46010.400000000001</v>
      </c>
      <c r="AQ103" s="80">
        <v>46045</v>
      </c>
      <c r="AR103" s="80">
        <v>46050</v>
      </c>
      <c r="AS103" s="81">
        <f t="shared" si="3"/>
        <v>46017.4</v>
      </c>
      <c r="AT103" s="19" t="s">
        <v>1289</v>
      </c>
      <c r="AU103" s="44" t="str">
        <f>VLOOKUP(Cartera1017[[#This Row],[Gerencia]],tbGerencia[#All],3,FALSE)</f>
        <v>Finanzas</v>
      </c>
      <c r="AV103" s="44" t="str">
        <f>IFERROR(VLOOKUP(Cartera1017[[#This Row],[Subgerencia]],Definiciones!$A$90:$B$144,2,FALSE),"")</f>
        <v>EconómicosFinancieros</v>
      </c>
      <c r="AW103" s="44" t="str">
        <f>IF(OR(LEN(Cartera1017[[#This Row],[Fecha de Solicitud]])=0,(Cartera1017[[#This Row],[Fecha de Solicitud]])="No definido"),"No definido",IF(YEAR(Cartera1017[[#This Row],[Fecha de Solicitud]])&lt;2023," &lt;  2023",TEXT(Cartera1017[[#This Row],[Fecha de Solicitud]],"yyyy-mm")))</f>
        <v>2025-05</v>
      </c>
      <c r="AX103" s="44" t="str">
        <f>IF(Cartera1017[[#This Row],[Fecha de Priorización Comité]]="","No definido",TEXT(Cartera1017[[#This Row],[Fecha de Priorización Comité]],"yyyy-mm"))</f>
        <v>2025-05</v>
      </c>
      <c r="AY103" s="44" t="str">
        <f>IF(Cartera1017[[#This Row],[Fecha Fin- Desarrollo]]="","No definido",TEXT(Cartera1017[[#This Row],[Fecha Fin- Desarrollo]],"yyyy-mm"))</f>
        <v>2025-11</v>
      </c>
      <c r="AZ103" s="44" t="str">
        <f>IF(Cartera1017[[#This Row],[Fecha Fin- Producción]]="","No definido",TEXT(Cartera1017[[#This Row],[Fecha Fin- Producción]],"yyyy-mm"))</f>
        <v>2026-01</v>
      </c>
      <c r="BA103" s="44" t="str">
        <f>IF(Cartera1017[[#This Row],[Fecha Fin-Planificada]]="","No definido",TEXT(Cartera1017[[#This Row],[Fecha Fin-Planificada]],"yyyy-mm"))</f>
        <v>2025-12</v>
      </c>
      <c r="BB103" s="33"/>
      <c r="BC103" s="66"/>
      <c r="BD103" s="66"/>
      <c r="BE103" s="66"/>
      <c r="BF103" s="127"/>
      <c r="BG103" s="28" t="s">
        <v>1195</v>
      </c>
      <c r="BH10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118</v>
      </c>
      <c r="BI103" s="90">
        <f>IF(ISNUMBER(Cartera1017[[#This Row],[Duracion en Dias]]),Cartera1017[[#This Row],[Duracion en Dias]]/30, "No Aplica")</f>
        <v>3.9333333333333331</v>
      </c>
      <c r="BJ103" s="109" t="s">
        <v>1290</v>
      </c>
      <c r="BK103" s="28" t="s">
        <v>506</v>
      </c>
      <c r="BL103" s="110" t="s">
        <v>536</v>
      </c>
      <c r="BM103" s="342">
        <v>46073.41920138889</v>
      </c>
      <c r="BN103" s="227"/>
      <c r="BO103" s="401"/>
      <c r="BP103" s="401"/>
      <c r="BQ10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03" s="14" t="str">
        <f>IFERROR(VLOOKUP(Cartera1017[[#This Row],[Aplicativo]],Tabla76[],2,FALSE),"Sin Aplicativo")</f>
        <v>Sin Aplicativo</v>
      </c>
      <c r="BS103" s="14" t="str">
        <f>IFERROR(VLOOKUP(Cartera1017[[#This Row],[Aplicativo]],Tabla76[],3,FALSE),"Sin Aplicativo")</f>
        <v>Sin Aplicativo</v>
      </c>
      <c r="BT103" s="400" t="s">
        <v>521</v>
      </c>
      <c r="BU103" s="33"/>
      <c r="BV103" s="28"/>
      <c r="BW10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46050</v>
      </c>
      <c r="BX10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03" s="149" t="str">
        <f ca="1">IF(Cartera1017[[#This Row],[Fecha Fin2]]="","No definido",CONCATENATE(TEXT(Cartera1017[[#This Row],[Fecha Fin2]],"mmm")," ",YEAR(Cartera1017[[#This Row],[Fecha Fin2]])))</f>
        <v>Ene 2026</v>
      </c>
      <c r="BZ103" s="28"/>
      <c r="CA103" s="48" t="str">
        <f>IF(Cartera1017[[#This Row],[Estado TI]] = "08. Producción Finalizada","Culminado",IF(Cartera1017[[#This Row],[Estado TI]]= "09. Descartado","Descartado","Activos"))</f>
        <v>Culminado</v>
      </c>
      <c r="CB103" s="28"/>
      <c r="CC10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03" s="54" t="str">
        <f>IF(
AND(
Cartera1017[[#This Row],[DEVOLVER 27]]="NO",
NOT(ISBLANK(Cartera1017[[#This Row],[ESTADO NO DEVUELTOS 27]]))
),
"PRE",
"POST"
)</f>
        <v>PRE</v>
      </c>
      <c r="CE103" s="54" t="s">
        <v>509</v>
      </c>
      <c r="CF103" s="28" t="s">
        <v>48</v>
      </c>
      <c r="CG10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0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0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3" s="406">
        <f>Cartera1017[[#This Row],[Porcentaje de Avance]]</f>
        <v>1</v>
      </c>
      <c r="CK103" s="388">
        <f ca="1">IF(
   OR(
     Cartera1017[[#This Row],[Estado TI]]="09. Descartado",
     Cartera1017[[#This Row],[Comienzo Desarrollo]]="",
     Cartera1017[[#This Row],[Fin Producción]]=""
   ),
   "",
   Cartera1017[[#This Row],[% PLANIFICADO]]-Cartera1017[[#This Row],[% COMPLETADO]]
)</f>
        <v>0</v>
      </c>
      <c r="CL103" s="388">
        <f ca="1">IF(
   OR(
     Cartera1017[[#This Row],[Estado TI]]="09. Descartado",
     Cartera1017[[#This Row],[Comienzo Desarrollo]]="",
     Cartera1017[[#This Row],[Fin Producción]]="",
     Cartera1017[[#This Row],[% PLANIFICADO]]=0
   ),
   "",
   MIN(Cartera1017[[#This Row],[% COMPLETADO]]/Cartera1017[[#This Row],[% PLANIFICADO]],1.2)
)</f>
        <v>1</v>
      </c>
      <c r="CM103" s="377">
        <v>45932</v>
      </c>
      <c r="CN103" s="377">
        <v>45932</v>
      </c>
      <c r="CO103" s="377">
        <v>45988</v>
      </c>
      <c r="CP103" s="377">
        <v>45996</v>
      </c>
      <c r="CQ103" s="377">
        <v>46035</v>
      </c>
      <c r="CR103" s="377">
        <v>46045</v>
      </c>
      <c r="CS103" s="377">
        <v>46058</v>
      </c>
      <c r="CT103" s="44">
        <f>IF(Cartera1017[[#This Row],[Fin Desarrollo]]="",25,IFERROR(NETWORKDAYS(Cartera1017[[#This Row],[Comienzo Desarrollo]],Cartera1017[[#This Row],[Fin Desarrollo]],FERIADOS[Fecha]),""))</f>
        <v>40</v>
      </c>
      <c r="CU10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03" s="44">
        <f>IF(OR(Cartera1017[[#This Row],[Comienzo Desarrollo]]="",Cartera1017[[#This Row],[Fin Desarrollo]]=""),200,IFERROR(Cartera1017[[#This Row],[DURACIÓN DESARROLLO DIAS]]*VLOOKUP(Cartera1017[[#This Row],[ID Mantenimiento]],MANT_HORAS[],2,FALSE),200))</f>
        <v>200</v>
      </c>
      <c r="CW103" s="110"/>
      <c r="CX103" s="110" t="str">
        <f>VLOOKUP(Cartera1017[[#This Row],[Estado TI]],Definiciones!$A$549:$B$559,2,FALSE)</f>
        <v>4. PRODUCCIÓN</v>
      </c>
      <c r="CY103" s="28">
        <f ca="1">1-Cartera1017[[#This Row],[Porcentaje avanzado desarrollo]]</f>
        <v>0</v>
      </c>
      <c r="CZ10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40</v>
      </c>
      <c r="DA103" s="28">
        <f ca="1">MAX(0,Cartera1017[[#This Row],[DURACIÓN DESARROLLO DIAS]]-Cartera1017[[#This Row],[Dias avanzados]])</f>
        <v>0</v>
      </c>
      <c r="DB103" s="28">
        <f ca="1">Cartera1017[[#This Row],[Dias avanzados]]*IFERROR(VLOOKUP(Cartera1017[[#This Row],[ID Mantenimiento]],MANT_HORAS[],2,FALSE),8)</f>
        <v>320</v>
      </c>
      <c r="DC103" s="28">
        <f ca="1">Cartera1017[[#This Row],[Dias faltantes]]*IFERROR(VLOOKUP(Cartera1017[[#This Row],[ID Mantenimiento]],MANT_HORAS[],2,FALSE),8)</f>
        <v>0</v>
      </c>
      <c r="DD103" s="28" t="str">
        <f>IF(Cartera1017[[#This Row],[Fin Producción]]=0,"Por definir",CONCATENATE(YEAR(Cartera1017[[#This Row],[Fin Producción]]),"-",ROUNDUP(MONTH(Cartera1017[[#This Row],[Fin Producción]]),0)))</f>
        <v>2026-2</v>
      </c>
      <c r="DE103" s="18" t="s">
        <v>510</v>
      </c>
      <c r="DF103" s="28"/>
      <c r="DG103" s="28"/>
      <c r="DH103" s="565"/>
    </row>
    <row r="104" spans="1:112" ht="44.25" hidden="1" customHeight="1">
      <c r="A104" s="229" t="s">
        <v>1291</v>
      </c>
      <c r="B104" s="18">
        <v>2836</v>
      </c>
      <c r="C104" s="18" t="s">
        <v>485</v>
      </c>
      <c r="D104" s="18" t="s">
        <v>1292</v>
      </c>
      <c r="E104" s="18" t="s">
        <v>237</v>
      </c>
      <c r="F104" s="33" t="s">
        <v>238</v>
      </c>
      <c r="G104" s="19"/>
      <c r="H104" s="18" t="s">
        <v>40</v>
      </c>
      <c r="I104" s="18" t="s">
        <v>577</v>
      </c>
      <c r="J104" s="18" t="s">
        <v>1118</v>
      </c>
      <c r="K104" s="20">
        <v>45802</v>
      </c>
      <c r="L104" s="50" t="s">
        <v>1293</v>
      </c>
      <c r="M104" s="50" t="s">
        <v>890</v>
      </c>
      <c r="N104" s="50" t="s">
        <v>1294</v>
      </c>
      <c r="O104" s="18" t="s">
        <v>1295</v>
      </c>
      <c r="P104" s="18" t="s">
        <v>495</v>
      </c>
      <c r="Q104" s="18" t="s">
        <v>496</v>
      </c>
      <c r="R104" s="18" t="s">
        <v>497</v>
      </c>
      <c r="S104" s="18"/>
      <c r="T104" s="18" t="s">
        <v>495</v>
      </c>
      <c r="U104" s="18" t="s">
        <v>495</v>
      </c>
      <c r="V104" s="18" t="s">
        <v>495</v>
      </c>
      <c r="W104" s="18" t="s">
        <v>495</v>
      </c>
      <c r="X104" s="18" t="s">
        <v>495</v>
      </c>
      <c r="Y104" s="80" t="s">
        <v>495</v>
      </c>
      <c r="Z104" s="18" t="s">
        <v>499</v>
      </c>
      <c r="AA104" s="20">
        <v>45806</v>
      </c>
      <c r="AB104" s="18" t="s">
        <v>500</v>
      </c>
      <c r="AC104" s="18" t="s">
        <v>501</v>
      </c>
      <c r="AD104" s="18" t="s">
        <v>123</v>
      </c>
      <c r="AE104" s="18" t="s">
        <v>41</v>
      </c>
      <c r="AF104" s="18" t="s">
        <v>48</v>
      </c>
      <c r="AG104" s="14" t="str">
        <f>VLOOKUP(AF104,Tabla3[[Estado Requerimiento]:[Macro estado]],2,FALSE)</f>
        <v>02. En Proceso</v>
      </c>
      <c r="AH104" s="18"/>
      <c r="AI104" s="80"/>
      <c r="AJ104" s="80">
        <v>45964</v>
      </c>
      <c r="AK104" s="80">
        <v>45812</v>
      </c>
      <c r="AL104" s="80"/>
      <c r="AM104" s="80">
        <v>46022</v>
      </c>
      <c r="AN104" s="80"/>
      <c r="AO104" s="80"/>
      <c r="AP104" s="81">
        <f t="shared" si="2"/>
        <v>46106</v>
      </c>
      <c r="AQ104" s="80"/>
      <c r="AR104" s="80"/>
      <c r="AS104" s="81">
        <f t="shared" si="3"/>
        <v>46113</v>
      </c>
      <c r="AT104" s="19" t="s">
        <v>1296</v>
      </c>
      <c r="AU104" s="44" t="str">
        <f>VLOOKUP(Cartera1017[[#This Row],[Gerencia]],tbGerencia[#All],3,FALSE)</f>
        <v>Operac.</v>
      </c>
      <c r="AV104" s="44" t="str">
        <f>IFERROR(VLOOKUP(Cartera1017[[#This Row],[Subgerencia]],Definiciones!$A$90:$B$144,2,FALSE),"")</f>
        <v>CaptacionesPagaduría</v>
      </c>
      <c r="AW104" s="44" t="str">
        <f>IF(OR(LEN(Cartera1017[[#This Row],[Fecha de Solicitud]])=0,(Cartera1017[[#This Row],[Fecha de Solicitud]])="No definido"),"No definido",IF(YEAR(Cartera1017[[#This Row],[Fecha de Solicitud]])&lt;2023," &lt;  2023",TEXT(Cartera1017[[#This Row],[Fecha de Solicitud]],"yyyy-mm")))</f>
        <v>2025-05</v>
      </c>
      <c r="AX104" s="44" t="str">
        <f>IF(Cartera1017[[#This Row],[Fecha de Priorización Comité]]="","No definido",TEXT(Cartera1017[[#This Row],[Fecha de Priorización Comité]],"yyyy-mm"))</f>
        <v>2025-05</v>
      </c>
      <c r="AY104" s="44" t="str">
        <f>IF(Cartera1017[[#This Row],[Fecha Fin- Desarrollo]]="","No definido",TEXT(Cartera1017[[#This Row],[Fecha Fin- Desarrollo]],"yyyy-mm"))</f>
        <v>No definido</v>
      </c>
      <c r="AZ104" s="44" t="str">
        <f>IF(Cartera1017[[#This Row],[Fecha Fin- Producción]]="","No definido",TEXT(Cartera1017[[#This Row],[Fecha Fin- Producción]],"yyyy-mm"))</f>
        <v>No definido</v>
      </c>
      <c r="BA104" s="44" t="str">
        <f>IF(Cartera1017[[#This Row],[Fecha Fin-Planificada]]="","No definido",TEXT(Cartera1017[[#This Row],[Fecha Fin-Planificada]],"yyyy-mm"))</f>
        <v>2026-04</v>
      </c>
      <c r="BB104" s="33"/>
      <c r="BC104" s="66"/>
      <c r="BD104" s="66"/>
      <c r="BE104" s="66"/>
      <c r="BF104" s="127"/>
      <c r="BG104" s="28" t="s">
        <v>1195</v>
      </c>
      <c r="BH10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4" s="90" t="str">
        <f>IF(ISNUMBER(Cartera1017[[#This Row],[Duracion en Dias]]),Cartera1017[[#This Row],[Duracion en Dias]]/30, "No Aplica")</f>
        <v>No Aplica</v>
      </c>
      <c r="BJ104" s="109"/>
      <c r="BK104" s="28" t="s">
        <v>613</v>
      </c>
      <c r="BL104" s="110" t="s">
        <v>592</v>
      </c>
      <c r="BM104" s="342">
        <v>45812.634351851855</v>
      </c>
      <c r="BN104" s="227"/>
      <c r="BO104" s="401"/>
      <c r="BP104" s="401"/>
      <c r="BQ10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4" s="14" t="str">
        <f>IFERROR(VLOOKUP(Cartera1017[[#This Row],[Aplicativo]],Tabla76[],2,FALSE),"Sin Aplicativo")</f>
        <v>BackOffice</v>
      </c>
      <c r="BS104" s="14" t="str">
        <f>IFERROR(VLOOKUP(Cartera1017[[#This Row],[Aplicativo]],Tabla76[],3,FALSE),"Sin Aplicativo")</f>
        <v>Otros Requerimientos</v>
      </c>
      <c r="BT104" s="400" t="s">
        <v>521</v>
      </c>
      <c r="BU104" s="33"/>
      <c r="BV104" s="28"/>
      <c r="BW10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4" s="149" t="str">
        <f ca="1">IF(Cartera1017[[#This Row],[Fecha Fin2]]="","No definido",CONCATENATE(TEXT(Cartera1017[[#This Row],[Fecha Fin2]],"mmm")," ",YEAR(Cartera1017[[#This Row],[Fecha Fin2]])))</f>
        <v>No definido</v>
      </c>
      <c r="BZ104" s="28"/>
      <c r="CA104" s="48" t="str">
        <f>IF(Cartera1017[[#This Row],[Estado TI]] = "08. Producción Finalizada","Culminado",IF(Cartera1017[[#This Row],[Estado TI]]= "09. Descartado","Descartado","Activos"))</f>
        <v>Activos</v>
      </c>
      <c r="CB104" s="28"/>
      <c r="CC10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04" s="54" t="str">
        <f>IF(
AND(
Cartera1017[[#This Row],[DEVOLVER 27]]="NO",
NOT(ISBLANK(Cartera1017[[#This Row],[ESTADO NO DEVUELTOS 27]]))
),
"PRE",
"POST"
)</f>
        <v>PRE</v>
      </c>
      <c r="CE104" s="54" t="s">
        <v>509</v>
      </c>
      <c r="CF104" s="28" t="s">
        <v>48</v>
      </c>
      <c r="CG10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0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4" s="406">
        <f>Cartera1017[[#This Row],[Porcentaje de Avance]]</f>
        <v>0.25</v>
      </c>
      <c r="CK104" s="388">
        <f ca="1">IF(
   OR(
     Cartera1017[[#This Row],[Estado TI]]="09. Descartado",
     Cartera1017[[#This Row],[Comienzo Desarrollo]]="",
     Cartera1017[[#This Row],[Fin Producción]]=""
   ),
   "",
   Cartera1017[[#This Row],[% PLANIFICADO]]-Cartera1017[[#This Row],[% COMPLETADO]]
)</f>
        <v>0.75</v>
      </c>
      <c r="CL104" s="388">
        <f ca="1">IF(
   OR(
     Cartera1017[[#This Row],[Estado TI]]="09. Descartado",
     Cartera1017[[#This Row],[Comienzo Desarrollo]]="",
     Cartera1017[[#This Row],[Fin Producción]]="",
     Cartera1017[[#This Row],[% PLANIFICADO]]=0
   ),
   "",
   MIN(Cartera1017[[#This Row],[% COMPLETADO]]/Cartera1017[[#This Row],[% PLANIFICADO]],1.2)
)</f>
        <v>0.25</v>
      </c>
      <c r="CM104" s="377">
        <v>45964</v>
      </c>
      <c r="CN104" s="377">
        <v>46083</v>
      </c>
      <c r="CO104" s="377">
        <v>46111</v>
      </c>
      <c r="CP104" s="377">
        <v>46113</v>
      </c>
      <c r="CQ104" s="377">
        <v>46142</v>
      </c>
      <c r="CR104" s="377">
        <v>46146</v>
      </c>
      <c r="CS104" s="377">
        <v>46150</v>
      </c>
      <c r="CT104" s="44">
        <f>IF(Cartera1017[[#This Row],[Fin Desarrollo]]="",25,IFERROR(NETWORKDAYS(Cartera1017[[#This Row],[Comienzo Desarrollo]],Cartera1017[[#This Row],[Fin Desarrollo]],FERIADOS[Fecha]),""))</f>
        <v>21</v>
      </c>
      <c r="CU10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04" s="44">
        <f>IF(OR(Cartera1017[[#This Row],[Comienzo Desarrollo]]="",Cartera1017[[#This Row],[Fin Desarrollo]]=""),200,IFERROR(Cartera1017[[#This Row],[DURACIÓN DESARROLLO DIAS]]*VLOOKUP(Cartera1017[[#This Row],[ID Mantenimiento]],MANT_HORAS[],2,FALSE),200))</f>
        <v>56</v>
      </c>
      <c r="CW104" s="110"/>
      <c r="CX104" s="110" t="str">
        <f>VLOOKUP(Cartera1017[[#This Row],[Estado TI]],Definiciones!$A$549:$B$559,2,FALSE)</f>
        <v>1. DESARROLLO</v>
      </c>
      <c r="CY104" s="28">
        <f ca="1">1-Cartera1017[[#This Row],[Porcentaje avanzado desarrollo]]</f>
        <v>0</v>
      </c>
      <c r="CZ10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21</v>
      </c>
      <c r="DA104" s="28">
        <f ca="1">MAX(0,Cartera1017[[#This Row],[DURACIÓN DESARROLLO DIAS]]-Cartera1017[[#This Row],[Dias avanzados]])</f>
        <v>0</v>
      </c>
      <c r="DB104" s="28">
        <f ca="1">Cartera1017[[#This Row],[Dias avanzados]]*IFERROR(VLOOKUP(Cartera1017[[#This Row],[ID Mantenimiento]],MANT_HORAS[],2,FALSE),8)</f>
        <v>56</v>
      </c>
      <c r="DC104" s="28">
        <f ca="1">Cartera1017[[#This Row],[Dias faltantes]]*IFERROR(VLOOKUP(Cartera1017[[#This Row],[ID Mantenimiento]],MANT_HORAS[],2,FALSE),8)</f>
        <v>0</v>
      </c>
      <c r="DD104" s="28" t="str">
        <f>IF(Cartera1017[[#This Row],[Fin Producción]]=0,"Por definir",CONCATENATE(YEAR(Cartera1017[[#This Row],[Fin Producción]]),"-",ROUNDUP(MONTH(Cartera1017[[#This Row],[Fin Producción]]),0)))</f>
        <v>2026-5</v>
      </c>
      <c r="DE104" s="18" t="s">
        <v>510</v>
      </c>
      <c r="DF104" s="28"/>
      <c r="DG104" s="28"/>
      <c r="DH104" s="565"/>
    </row>
    <row r="105" spans="1:112" ht="44.25" hidden="1" customHeight="1">
      <c r="A105" s="229" t="s">
        <v>1297</v>
      </c>
      <c r="B105" s="18">
        <v>2812</v>
      </c>
      <c r="C105" s="18" t="s">
        <v>485</v>
      </c>
      <c r="D105" s="18" t="s">
        <v>1298</v>
      </c>
      <c r="E105" s="18" t="s">
        <v>239</v>
      </c>
      <c r="F105" s="33" t="s">
        <v>240</v>
      </c>
      <c r="G105" s="19"/>
      <c r="H105" s="18" t="s">
        <v>46</v>
      </c>
      <c r="I105" s="18" t="s">
        <v>1002</v>
      </c>
      <c r="J105" s="18" t="s">
        <v>1002</v>
      </c>
      <c r="K105" s="20">
        <v>45795</v>
      </c>
      <c r="L105" s="50" t="s">
        <v>1299</v>
      </c>
      <c r="M105" s="50" t="s">
        <v>579</v>
      </c>
      <c r="N105" s="50"/>
      <c r="O105" s="18" t="s">
        <v>548</v>
      </c>
      <c r="P105" s="18" t="s">
        <v>549</v>
      </c>
      <c r="Q105" s="18" t="s">
        <v>496</v>
      </c>
      <c r="R105" s="18" t="s">
        <v>497</v>
      </c>
      <c r="S105" s="18"/>
      <c r="T105" s="18"/>
      <c r="U105" s="18"/>
      <c r="V105" s="18"/>
      <c r="W105" s="18"/>
      <c r="X105" s="18"/>
      <c r="Y105" s="80"/>
      <c r="Z105" s="18" t="s">
        <v>499</v>
      </c>
      <c r="AA105" s="20">
        <v>45806</v>
      </c>
      <c r="AB105" s="18" t="s">
        <v>500</v>
      </c>
      <c r="AC105" s="18" t="s">
        <v>501</v>
      </c>
      <c r="AD105" s="18" t="s">
        <v>150</v>
      </c>
      <c r="AE105" s="18" t="s">
        <v>47</v>
      </c>
      <c r="AF105" s="18" t="s">
        <v>35</v>
      </c>
      <c r="AG105" s="14" t="str">
        <f>VLOOKUP(AF105,Tabla3[[Estado Requerimiento]:[Macro estado]],2,FALSE)</f>
        <v>02. En Proceso</v>
      </c>
      <c r="AH105" s="18"/>
      <c r="AI105" s="80">
        <v>45805</v>
      </c>
      <c r="AJ105" s="80"/>
      <c r="AK105" s="80">
        <v>45806</v>
      </c>
      <c r="AL105" s="80">
        <v>45915</v>
      </c>
      <c r="AM105" s="80"/>
      <c r="AN105" s="80">
        <v>45918</v>
      </c>
      <c r="AO105" s="80">
        <v>45940</v>
      </c>
      <c r="AP105" s="81">
        <f t="shared" si="2"/>
        <v>45958.6</v>
      </c>
      <c r="AQ105" s="80">
        <v>45967</v>
      </c>
      <c r="AR105" s="80"/>
      <c r="AS105" s="81">
        <f t="shared" si="3"/>
        <v>45965.599999999999</v>
      </c>
      <c r="AT105" s="19" t="s">
        <v>1300</v>
      </c>
      <c r="AU105" s="44" t="str">
        <f>VLOOKUP(Cartera1017[[#This Row],[Gerencia]],tbGerencia[#All],3,FALSE)</f>
        <v>PLAFT</v>
      </c>
      <c r="AV105" s="44" t="str">
        <f>IFERROR(VLOOKUP(Cartera1017[[#This Row],[Subgerencia]],Definiciones!$A$90:$B$144,2,FALSE),"")</f>
        <v>Prevención</v>
      </c>
      <c r="AW105" s="44" t="str">
        <f>IF(OR(LEN(Cartera1017[[#This Row],[Fecha de Solicitud]])=0,(Cartera1017[[#This Row],[Fecha de Solicitud]])="No definido"),"No definido",IF(YEAR(Cartera1017[[#This Row],[Fecha de Solicitud]])&lt;2023," &lt;  2023",TEXT(Cartera1017[[#This Row],[Fecha de Solicitud]],"yyyy-mm")))</f>
        <v>2025-05</v>
      </c>
      <c r="AX105" s="44" t="str">
        <f>IF(Cartera1017[[#This Row],[Fecha de Priorización Comité]]="","No definido",TEXT(Cartera1017[[#This Row],[Fecha de Priorización Comité]],"yyyy-mm"))</f>
        <v>2025-05</v>
      </c>
      <c r="AY105" s="44" t="str">
        <f>IF(Cartera1017[[#This Row],[Fecha Fin- Desarrollo]]="","No definido",TEXT(Cartera1017[[#This Row],[Fecha Fin- Desarrollo]],"yyyy-mm"))</f>
        <v>2025-09</v>
      </c>
      <c r="AZ105" s="44" t="str">
        <f>IF(Cartera1017[[#This Row],[Fecha Fin- Producción]]="","No definido",TEXT(Cartera1017[[#This Row],[Fecha Fin- Producción]],"yyyy-mm"))</f>
        <v>No definido</v>
      </c>
      <c r="BA105" s="44" t="str">
        <f>IF(Cartera1017[[#This Row],[Fecha Fin-Planificada]]="","No definido",TEXT(Cartera1017[[#This Row],[Fecha Fin-Planificada]],"yyyy-mm"))</f>
        <v>2025-11</v>
      </c>
      <c r="BB105" s="33"/>
      <c r="BC105" s="66"/>
      <c r="BD105" s="66"/>
      <c r="BE105" s="66"/>
      <c r="BF105" s="127"/>
      <c r="BG105" s="28" t="s">
        <v>1195</v>
      </c>
      <c r="BH10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5" s="90" t="str">
        <f>IF(ISNUMBER(Cartera1017[[#This Row],[Duracion en Dias]]),Cartera1017[[#This Row],[Duracion en Dias]]/30, "No Aplica")</f>
        <v>No Aplica</v>
      </c>
      <c r="BJ105" s="109" t="s">
        <v>1301</v>
      </c>
      <c r="BK105" s="28" t="s">
        <v>506</v>
      </c>
      <c r="BL105" s="110" t="s">
        <v>734</v>
      </c>
      <c r="BM105" s="342">
        <v>45967.71570601852</v>
      </c>
      <c r="BN105" s="227"/>
      <c r="BO105" s="401"/>
      <c r="BP105" s="401"/>
      <c r="BQ10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5" s="14" t="str">
        <f>IFERROR(VLOOKUP(Cartera1017[[#This Row],[Aplicativo]],Tabla76[],2,FALSE),"Sin Aplicativo")</f>
        <v>Clientes (BDUC)</v>
      </c>
      <c r="BS105" s="14" t="str">
        <f>IFERROR(VLOOKUP(Cartera1017[[#This Row],[Aplicativo]],Tabla76[],3,FALSE),"Sin Aplicativo")</f>
        <v>Canales Presenciales</v>
      </c>
      <c r="BT105" s="400" t="s">
        <v>521</v>
      </c>
      <c r="BU105" s="33"/>
      <c r="BV105" s="28"/>
      <c r="BW10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5" s="149" t="str">
        <f ca="1">IF(Cartera1017[[#This Row],[Fecha Fin2]]="","No definido",CONCATENATE(TEXT(Cartera1017[[#This Row],[Fecha Fin2]],"mmm")," ",YEAR(Cartera1017[[#This Row],[Fecha Fin2]])))</f>
        <v>No definido</v>
      </c>
      <c r="BZ105" s="28"/>
      <c r="CA105" s="48" t="str">
        <f>IF(Cartera1017[[#This Row],[Estado TI]] = "08. Producción Finalizada","Culminado",IF(Cartera1017[[#This Row],[Estado TI]]= "09. Descartado","Descartado","Activos"))</f>
        <v>Activos</v>
      </c>
      <c r="CB105" s="28"/>
      <c r="CC10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05" s="54" t="str">
        <f>IF(
AND(
Cartera1017[[#This Row],[DEVOLVER 27]]="NO",
NOT(ISBLANK(Cartera1017[[#This Row],[ESTADO NO DEVUELTOS 27]]))
),
"PRE",
"POST"
)</f>
        <v>PRE</v>
      </c>
      <c r="CE105" s="54" t="s">
        <v>509</v>
      </c>
      <c r="CF105" s="28" t="s">
        <v>87</v>
      </c>
      <c r="CG10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0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5" s="406">
        <f>Cartera1017[[#This Row],[Porcentaje de Avance]]</f>
        <v>0.9</v>
      </c>
      <c r="CK105" s="388">
        <f ca="1">IF(
   OR(
     Cartera1017[[#This Row],[Estado TI]]="09. Descartado",
     Cartera1017[[#This Row],[Comienzo Desarrollo]]="",
     Cartera1017[[#This Row],[Fin Producción]]=""
   ),
   "",
   Cartera1017[[#This Row],[% PLANIFICADO]]-Cartera1017[[#This Row],[% COMPLETADO]]
)</f>
        <v>9.9999999999999978E-2</v>
      </c>
      <c r="CL105" s="388">
        <f ca="1">IF(
   OR(
     Cartera1017[[#This Row],[Estado TI]]="09. Descartado",
     Cartera1017[[#This Row],[Comienzo Desarrollo]]="",
     Cartera1017[[#This Row],[Fin Producción]]="",
     Cartera1017[[#This Row],[% PLANIFICADO]]=0
   ),
   "",
   MIN(Cartera1017[[#This Row],[% COMPLETADO]]/Cartera1017[[#This Row],[% PLANIFICADO]],1.2)
)</f>
        <v>0.9</v>
      </c>
      <c r="CM105" s="377">
        <v>45806</v>
      </c>
      <c r="CN105" s="377">
        <v>45806</v>
      </c>
      <c r="CO105" s="377">
        <v>45915</v>
      </c>
      <c r="CP105" s="377">
        <v>45918</v>
      </c>
      <c r="CQ105" s="377">
        <v>45940</v>
      </c>
      <c r="CR105" s="377">
        <v>45967</v>
      </c>
      <c r="CS105" s="377">
        <v>46108</v>
      </c>
      <c r="CT105" s="44">
        <f>IF(Cartera1017[[#This Row],[Fin Desarrollo]]="",25,IFERROR(NETWORKDAYS(Cartera1017[[#This Row],[Comienzo Desarrollo]],Cartera1017[[#This Row],[Fin Desarrollo]],FERIADOS[Fecha]),""))</f>
        <v>76</v>
      </c>
      <c r="CU10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05" s="44">
        <f>IF(OR(Cartera1017[[#This Row],[Comienzo Desarrollo]]="",Cartera1017[[#This Row],[Fin Desarrollo]]=""),200,IFERROR(Cartera1017[[#This Row],[DURACIÓN DESARROLLO DIAS]]*VLOOKUP(Cartera1017[[#This Row],[ID Mantenimiento]],MANT_HORAS[],2,FALSE),200))</f>
        <v>200</v>
      </c>
      <c r="CW105" s="110"/>
      <c r="CX105" s="110" t="str">
        <f>VLOOKUP(Cartera1017[[#This Row],[Estado TI]],Definiciones!$A$549:$B$559,2,FALSE)</f>
        <v>3. DESPLIEGUE</v>
      </c>
      <c r="CY105" s="28">
        <f ca="1">1-Cartera1017[[#This Row],[Porcentaje avanzado desarrollo]]</f>
        <v>0</v>
      </c>
      <c r="CZ10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76</v>
      </c>
      <c r="DA105" s="28">
        <f ca="1">MAX(0,Cartera1017[[#This Row],[DURACIÓN DESARROLLO DIAS]]-Cartera1017[[#This Row],[Dias avanzados]])</f>
        <v>0</v>
      </c>
      <c r="DB105" s="28">
        <f ca="1">Cartera1017[[#This Row],[Dias avanzados]]*IFERROR(VLOOKUP(Cartera1017[[#This Row],[ID Mantenimiento]],MANT_HORAS[],2,FALSE),8)</f>
        <v>608</v>
      </c>
      <c r="DC105" s="28">
        <f ca="1">Cartera1017[[#This Row],[Dias faltantes]]*IFERROR(VLOOKUP(Cartera1017[[#This Row],[ID Mantenimiento]],MANT_HORAS[],2,FALSE),8)</f>
        <v>0</v>
      </c>
      <c r="DD105" s="28" t="str">
        <f>IF(Cartera1017[[#This Row],[Fin Producción]]=0,"Por definir",CONCATENATE(YEAR(Cartera1017[[#This Row],[Fin Producción]]),"-",ROUNDUP(MONTH(Cartera1017[[#This Row],[Fin Producción]]),0)))</f>
        <v>2026-3</v>
      </c>
      <c r="DE105" s="18" t="s">
        <v>510</v>
      </c>
      <c r="DF105" s="28"/>
      <c r="DG105" s="28" t="s">
        <v>659</v>
      </c>
      <c r="DH105" s="565"/>
    </row>
    <row r="106" spans="1:112" ht="44.25" hidden="1" customHeight="1">
      <c r="A106" s="229" t="s">
        <v>1302</v>
      </c>
      <c r="B106" s="18">
        <v>2497</v>
      </c>
      <c r="C106" s="18" t="s">
        <v>485</v>
      </c>
      <c r="D106" s="18" t="s">
        <v>1303</v>
      </c>
      <c r="E106" s="18" t="s">
        <v>241</v>
      </c>
      <c r="F106" s="112" t="s">
        <v>242</v>
      </c>
      <c r="G106" s="19"/>
      <c r="H106" s="18" t="s">
        <v>26</v>
      </c>
      <c r="I106" s="18" t="s">
        <v>539</v>
      </c>
      <c r="J106" s="18" t="s">
        <v>554</v>
      </c>
      <c r="K106" s="20">
        <v>45616</v>
      </c>
      <c r="L106" s="18" t="s">
        <v>1304</v>
      </c>
      <c r="M106" s="50" t="s">
        <v>556</v>
      </c>
      <c r="N106" s="50"/>
      <c r="O106" s="18" t="s">
        <v>530</v>
      </c>
      <c r="P106" s="18" t="s">
        <v>495</v>
      </c>
      <c r="Q106" s="18" t="s">
        <v>496</v>
      </c>
      <c r="R106" s="18" t="s">
        <v>497</v>
      </c>
      <c r="S106" s="18"/>
      <c r="T106" s="18"/>
      <c r="U106" s="18"/>
      <c r="V106" s="18"/>
      <c r="W106" s="18"/>
      <c r="X106" s="18"/>
      <c r="Y106" s="80"/>
      <c r="Z106" s="18" t="s">
        <v>499</v>
      </c>
      <c r="AA106" s="20">
        <v>45806</v>
      </c>
      <c r="AB106" s="18" t="s">
        <v>500</v>
      </c>
      <c r="AC106" s="18" t="s">
        <v>558</v>
      </c>
      <c r="AD106" s="18" t="s">
        <v>30</v>
      </c>
      <c r="AE106" s="18" t="s">
        <v>27</v>
      </c>
      <c r="AF106" s="18" t="s">
        <v>48</v>
      </c>
      <c r="AG106" s="14" t="str">
        <f>VLOOKUP(AF106,Tabla3[[Estado Requerimiento]:[Macro estado]],2,FALSE)</f>
        <v>02. En Proceso</v>
      </c>
      <c r="AH106" s="18"/>
      <c r="AI106" s="80"/>
      <c r="AJ106" s="80"/>
      <c r="AK106" s="80">
        <v>45813</v>
      </c>
      <c r="AL106" s="80"/>
      <c r="AM106" s="80"/>
      <c r="AN106" s="80"/>
      <c r="AO106" s="80"/>
      <c r="AP106" s="81" t="str">
        <f t="shared" si="2"/>
        <v/>
      </c>
      <c r="AQ106" s="80"/>
      <c r="AR106" s="80"/>
      <c r="AS106" s="81" t="str">
        <f t="shared" si="3"/>
        <v/>
      </c>
      <c r="AT106" s="19" t="s">
        <v>1305</v>
      </c>
      <c r="AU106" s="44" t="str">
        <f>VLOOKUP(Cartera1017[[#This Row],[Gerencia]],tbGerencia[#All],3,FALSE)</f>
        <v>B.Digital</v>
      </c>
      <c r="AV106" s="44" t="str">
        <f>IFERROR(VLOOKUP(Cartera1017[[#This Row],[Subgerencia]],Definiciones!$A$90:$B$144,2,FALSE),"")</f>
        <v>CanalesAlternos</v>
      </c>
      <c r="AW106" s="44" t="str">
        <f>IF(OR(LEN(Cartera1017[[#This Row],[Fecha de Solicitud]])=0,(Cartera1017[[#This Row],[Fecha de Solicitud]])="No definido"),"No definido",IF(YEAR(Cartera1017[[#This Row],[Fecha de Solicitud]])&lt;2023," &lt;  2023",TEXT(Cartera1017[[#This Row],[Fecha de Solicitud]],"yyyy-mm")))</f>
        <v>2024-11</v>
      </c>
      <c r="AX106" s="44" t="str">
        <f>IF(Cartera1017[[#This Row],[Fecha de Priorización Comité]]="","No definido",TEXT(Cartera1017[[#This Row],[Fecha de Priorización Comité]],"yyyy-mm"))</f>
        <v>2025-05</v>
      </c>
      <c r="AY106" s="44" t="str">
        <f>IF(Cartera1017[[#This Row],[Fecha Fin- Desarrollo]]="","No definido",TEXT(Cartera1017[[#This Row],[Fecha Fin- Desarrollo]],"yyyy-mm"))</f>
        <v>No definido</v>
      </c>
      <c r="AZ106" s="44" t="str">
        <f>IF(Cartera1017[[#This Row],[Fecha Fin- Producción]]="","No definido",TEXT(Cartera1017[[#This Row],[Fecha Fin- Producción]],"yyyy-mm"))</f>
        <v>No definido</v>
      </c>
      <c r="BA106" s="44" t="str">
        <f>IF(Cartera1017[[#This Row],[Fecha Fin-Planificada]]="","No definido",TEXT(Cartera1017[[#This Row],[Fecha Fin-Planificada]],"yyyy-mm"))</f>
        <v>No definido</v>
      </c>
      <c r="BB106" s="33"/>
      <c r="BC106" s="66"/>
      <c r="BD106" s="66"/>
      <c r="BE106" s="66"/>
      <c r="BF106" s="127"/>
      <c r="BG106" s="28" t="s">
        <v>1195</v>
      </c>
      <c r="BH10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6" s="90" t="str">
        <f>IF(ISNUMBER(Cartera1017[[#This Row],[Duracion en Dias]]),Cartera1017[[#This Row],[Duracion en Dias]]/30, "No Aplica")</f>
        <v>No Aplica</v>
      </c>
      <c r="BJ106" s="109"/>
      <c r="BK106" s="28" t="s">
        <v>613</v>
      </c>
      <c r="BL106" s="110" t="s">
        <v>592</v>
      </c>
      <c r="BM106" s="342">
        <v>45813.666886574072</v>
      </c>
      <c r="BN106" s="227"/>
      <c r="BO106" s="401"/>
      <c r="BP106" s="401"/>
      <c r="BQ10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06" s="14" t="str">
        <f>IFERROR(VLOOKUP(Cartera1017[[#This Row],[Aplicativo]],Tabla76[],2,FALSE),"Sin Aplicativo")</f>
        <v>ATM-Agentes-VISA</v>
      </c>
      <c r="BS106" s="14" t="str">
        <f>IFERROR(VLOOKUP(Cartera1017[[#This Row],[Aplicativo]],Tabla76[],3,FALSE),"Sin Aplicativo")</f>
        <v>Canales Presenciales</v>
      </c>
      <c r="BT106" s="400" t="s">
        <v>521</v>
      </c>
      <c r="BU106" s="33"/>
      <c r="BV106" s="28"/>
      <c r="BW10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6" s="149" t="str">
        <f ca="1">IF(Cartera1017[[#This Row],[Fecha Fin2]]="","No definido",CONCATENATE(TEXT(Cartera1017[[#This Row],[Fecha Fin2]],"mmm")," ",YEAR(Cartera1017[[#This Row],[Fecha Fin2]])))</f>
        <v>No definido</v>
      </c>
      <c r="BZ106" s="28"/>
      <c r="CA106" s="48" t="str">
        <f>IF(Cartera1017[[#This Row],[Estado TI]] = "08. Producción Finalizada","Culminado",IF(Cartera1017[[#This Row],[Estado TI]]= "09. Descartado","Descartado","Activos"))</f>
        <v>Activos</v>
      </c>
      <c r="CB106" s="28"/>
      <c r="CC10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06" s="54" t="str">
        <f>IF(
AND(
Cartera1017[[#This Row],[DEVOLVER 27]]="NO",
NOT(ISBLANK(Cartera1017[[#This Row],[ESTADO NO DEVUELTOS 27]]))
),
"PRE",
"POST"
)</f>
        <v>PRE</v>
      </c>
      <c r="CE106" s="54" t="s">
        <v>509</v>
      </c>
      <c r="CF106" s="28" t="s">
        <v>48</v>
      </c>
      <c r="CG10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RIESGO 🟡</v>
      </c>
      <c r="CI10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0.4351145038167939</v>
      </c>
      <c r="CJ106" s="406">
        <f>Cartera1017[[#This Row],[Porcentaje de Avance]]</f>
        <v>0.25</v>
      </c>
      <c r="CK106" s="388">
        <f ca="1">IF(
   OR(
     Cartera1017[[#This Row],[Estado TI]]="09. Descartado",
     Cartera1017[[#This Row],[Comienzo Desarrollo]]="",
     Cartera1017[[#This Row],[Fin Producción]]=""
   ),
   "",
   Cartera1017[[#This Row],[% PLANIFICADO]]-Cartera1017[[#This Row],[% COMPLETADO]]
)</f>
        <v>0.1851145038167939</v>
      </c>
      <c r="CL106" s="388">
        <f ca="1">IF(
   OR(
     Cartera1017[[#This Row],[Estado TI]]="09. Descartado",
     Cartera1017[[#This Row],[Comienzo Desarrollo]]="",
     Cartera1017[[#This Row],[Fin Producción]]="",
     Cartera1017[[#This Row],[% PLANIFICADO]]=0
   ),
   "",
   MIN(Cartera1017[[#This Row],[% COMPLETADO]]/Cartera1017[[#This Row],[% PLANIFICADO]],1.2)
)</f>
        <v>0.57456140350877194</v>
      </c>
      <c r="CM106" s="377">
        <v>45971</v>
      </c>
      <c r="CN106" s="377">
        <v>46083</v>
      </c>
      <c r="CO106" s="377">
        <v>46233</v>
      </c>
      <c r="CP106" s="377">
        <v>46237</v>
      </c>
      <c r="CQ106" s="377">
        <v>46265</v>
      </c>
      <c r="CR106" s="377">
        <v>46266</v>
      </c>
      <c r="CS106" s="377">
        <v>46269</v>
      </c>
      <c r="CT106" s="44">
        <f>IF(Cartera1017[[#This Row],[Fin Desarrollo]]="",25,IFERROR(NETWORKDAYS(Cartera1017[[#This Row],[Comienzo Desarrollo]],Cartera1017[[#This Row],[Fin Desarrollo]],FERIADOS[Fecha]),""))</f>
        <v>105</v>
      </c>
      <c r="CU10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0.52293577981651373</v>
      </c>
      <c r="CV106" s="44">
        <f>IF(OR(Cartera1017[[#This Row],[Comienzo Desarrollo]]="",Cartera1017[[#This Row],[Fin Desarrollo]]=""),200,IFERROR(Cartera1017[[#This Row],[DURACIÓN DESARROLLO DIAS]]*VLOOKUP(Cartera1017[[#This Row],[ID Mantenimiento]],MANT_HORAS[],2,FALSE),200))</f>
        <v>76.36363636363636</v>
      </c>
      <c r="CW106" s="110" t="s">
        <v>544</v>
      </c>
      <c r="CX106" s="110" t="str">
        <f>VLOOKUP(Cartera1017[[#This Row],[Estado TI]],Definiciones!$A$549:$B$559,2,FALSE)</f>
        <v>1. DESARROLLO</v>
      </c>
      <c r="CY106" s="28">
        <f ca="1">1-Cartera1017[[#This Row],[Porcentaje avanzado desarrollo]]</f>
        <v>0.47706422018348627</v>
      </c>
      <c r="CZ10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56</v>
      </c>
      <c r="DA106" s="28">
        <f ca="1">MAX(0,Cartera1017[[#This Row],[DURACIÓN DESARROLLO DIAS]]-Cartera1017[[#This Row],[Dias avanzados]])</f>
        <v>49</v>
      </c>
      <c r="DB106" s="28">
        <f ca="1">Cartera1017[[#This Row],[Dias avanzados]]*IFERROR(VLOOKUP(Cartera1017[[#This Row],[ID Mantenimiento]],MANT_HORAS[],2,FALSE),8)</f>
        <v>40.727272727272727</v>
      </c>
      <c r="DC106" s="28">
        <f ca="1">Cartera1017[[#This Row],[Dias faltantes]]*IFERROR(VLOOKUP(Cartera1017[[#This Row],[ID Mantenimiento]],MANT_HORAS[],2,FALSE),8)</f>
        <v>35.63636363636364</v>
      </c>
      <c r="DD106" s="28" t="str">
        <f>IF(Cartera1017[[#This Row],[Fin Producción]]=0,"Por definir",CONCATENATE(YEAR(Cartera1017[[#This Row],[Fin Producción]]),"-",ROUNDUP(MONTH(Cartera1017[[#This Row],[Fin Producción]]),0)))</f>
        <v>2026-9</v>
      </c>
      <c r="DE106" s="18" t="s">
        <v>510</v>
      </c>
      <c r="DF106" s="28"/>
      <c r="DG106" s="28"/>
      <c r="DH106" s="565"/>
    </row>
    <row r="107" spans="1:112" ht="44.25" hidden="1" customHeight="1">
      <c r="A107" s="229" t="s">
        <v>1306</v>
      </c>
      <c r="B107" s="18">
        <v>2834</v>
      </c>
      <c r="C107" s="18" t="s">
        <v>485</v>
      </c>
      <c r="D107" s="18" t="s">
        <v>1307</v>
      </c>
      <c r="E107" s="18" t="s">
        <v>243</v>
      </c>
      <c r="F107" s="33" t="s">
        <v>244</v>
      </c>
      <c r="G107" s="19"/>
      <c r="H107" s="18" t="s">
        <v>33</v>
      </c>
      <c r="I107" s="18" t="s">
        <v>727</v>
      </c>
      <c r="J107" s="18" t="s">
        <v>728</v>
      </c>
      <c r="K107" s="20"/>
      <c r="L107" s="18"/>
      <c r="M107" s="50" t="s">
        <v>730</v>
      </c>
      <c r="N107" s="50"/>
      <c r="O107" s="18" t="s">
        <v>530</v>
      </c>
      <c r="P107" s="18" t="s">
        <v>731</v>
      </c>
      <c r="Q107" s="18" t="s">
        <v>496</v>
      </c>
      <c r="R107" s="18" t="s">
        <v>780</v>
      </c>
      <c r="S107" s="18" t="s">
        <v>780</v>
      </c>
      <c r="T107" s="18" t="s">
        <v>781</v>
      </c>
      <c r="U107" s="18" t="s">
        <v>1308</v>
      </c>
      <c r="V107" s="18" t="s">
        <v>1309</v>
      </c>
      <c r="W107" s="18">
        <v>4</v>
      </c>
      <c r="X107" s="18" t="s">
        <v>1310</v>
      </c>
      <c r="Y107" s="80">
        <v>45367</v>
      </c>
      <c r="Z107" s="18" t="s">
        <v>532</v>
      </c>
      <c r="AA107" s="20">
        <v>45806</v>
      </c>
      <c r="AB107" s="18" t="s">
        <v>500</v>
      </c>
      <c r="AC107" s="18" t="s">
        <v>558</v>
      </c>
      <c r="AD107" s="18" t="s">
        <v>133</v>
      </c>
      <c r="AE107" s="18" t="s">
        <v>34</v>
      </c>
      <c r="AF107" s="18" t="s">
        <v>35</v>
      </c>
      <c r="AG107" s="14" t="str">
        <f>VLOOKUP(AF107,Tabla3[[Estado Requerimiento]:[Macro estado]],2,FALSE)</f>
        <v>02. En Proceso</v>
      </c>
      <c r="AH107" s="18"/>
      <c r="AI107" s="80"/>
      <c r="AJ107" s="80"/>
      <c r="AK107" s="80">
        <v>45789</v>
      </c>
      <c r="AL107" s="80">
        <v>45801</v>
      </c>
      <c r="AM107" s="80"/>
      <c r="AN107" s="80">
        <v>45803</v>
      </c>
      <c r="AO107" s="80">
        <v>45810</v>
      </c>
      <c r="AP107" s="81">
        <f t="shared" si="2"/>
        <v>45805.8</v>
      </c>
      <c r="AQ107" s="80">
        <v>45813</v>
      </c>
      <c r="AR107" s="80"/>
      <c r="AS107" s="81">
        <f t="shared" si="3"/>
        <v>45812.800000000003</v>
      </c>
      <c r="AT107" s="19" t="s">
        <v>1311</v>
      </c>
      <c r="AU107" s="44" t="str">
        <f>VLOOKUP(Cartera1017[[#This Row],[Gerencia]],tbGerencia[#All],3,FALSE)</f>
        <v>Productos</v>
      </c>
      <c r="AV107" s="44" t="str">
        <f>IFERROR(VLOOKUP(Cartera1017[[#This Row],[Subgerencia]],Definiciones!$A$90:$B$144,2,FALSE),"")</f>
        <v>BancaPersonal</v>
      </c>
      <c r="AW107" s="44" t="str">
        <f>IF(OR(LEN(Cartera1017[[#This Row],[Fecha de Solicitud]])=0,(Cartera1017[[#This Row],[Fecha de Solicitud]])="No definido"),"No definido",IF(YEAR(Cartera1017[[#This Row],[Fecha de Solicitud]])&lt;2023," &lt;  2023",TEXT(Cartera1017[[#This Row],[Fecha de Solicitud]],"yyyy-mm")))</f>
        <v>No definido</v>
      </c>
      <c r="AX107" s="44" t="str">
        <f>IF(Cartera1017[[#This Row],[Fecha de Priorización Comité]]="","No definido",TEXT(Cartera1017[[#This Row],[Fecha de Priorización Comité]],"yyyy-mm"))</f>
        <v>2025-05</v>
      </c>
      <c r="AY107" s="44" t="str">
        <f>IF(Cartera1017[[#This Row],[Fecha Fin- Desarrollo]]="","No definido",TEXT(Cartera1017[[#This Row],[Fecha Fin- Desarrollo]],"yyyy-mm"))</f>
        <v>2025-05</v>
      </c>
      <c r="AZ107" s="44" t="str">
        <f>IF(Cartera1017[[#This Row],[Fecha Fin- Producción]]="","No definido",TEXT(Cartera1017[[#This Row],[Fecha Fin- Producción]],"yyyy-mm"))</f>
        <v>No definido</v>
      </c>
      <c r="BA107" s="44" t="str">
        <f>IF(Cartera1017[[#This Row],[Fecha Fin-Planificada]]="","No definido",TEXT(Cartera1017[[#This Row],[Fecha Fin-Planificada]],"yyyy-mm"))</f>
        <v>2025-06</v>
      </c>
      <c r="BB107" s="33"/>
      <c r="BC107" s="66"/>
      <c r="BD107" s="66"/>
      <c r="BE107" s="66"/>
      <c r="BF107" s="127"/>
      <c r="BG107" s="28" t="s">
        <v>1195</v>
      </c>
      <c r="BH10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7" s="90" t="str">
        <f>IF(ISNUMBER(Cartera1017[[#This Row],[Duracion en Dias]]),Cartera1017[[#This Row],[Duracion en Dias]]/30, "No Aplica")</f>
        <v>No Aplica</v>
      </c>
      <c r="BJ107" s="109"/>
      <c r="BK107" s="28" t="s">
        <v>506</v>
      </c>
      <c r="BL107" s="110" t="s">
        <v>734</v>
      </c>
      <c r="BM107" s="342">
        <v>45814.619988425926</v>
      </c>
      <c r="BN107" s="227" t="s">
        <v>786</v>
      </c>
      <c r="BO107" s="401" t="s">
        <v>1312</v>
      </c>
      <c r="BP107" s="401"/>
      <c r="BQ10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7" s="14" t="str">
        <f>IFERROR(VLOOKUP(Cartera1017[[#This Row],[Aplicativo]],Tabla76[],2,FALSE),"Sin Aplicativo")</f>
        <v>Tarjeta Tesoro</v>
      </c>
      <c r="BS107" s="14" t="str">
        <f>IFERROR(VLOOKUP(Cartera1017[[#This Row],[Aplicativo]],Tabla76[],3,FALSE),"Sin Aplicativo")</f>
        <v>Productos</v>
      </c>
      <c r="BT107" s="400" t="s">
        <v>521</v>
      </c>
      <c r="BU107" s="33"/>
      <c r="BV107" s="28"/>
      <c r="BW10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7" s="149" t="str">
        <f ca="1">IF(Cartera1017[[#This Row],[Fecha Fin2]]="","No definido",CONCATENATE(TEXT(Cartera1017[[#This Row],[Fecha Fin2]],"mmm")," ",YEAR(Cartera1017[[#This Row],[Fecha Fin2]])))</f>
        <v>No definido</v>
      </c>
      <c r="BZ107" s="28"/>
      <c r="CA107" s="48" t="str">
        <f>IF(Cartera1017[[#This Row],[Estado TI]] = "08. Producción Finalizada","Culminado",IF(Cartera1017[[#This Row],[Estado TI]]= "09. Descartado","Descartado","Activos"))</f>
        <v>Activos</v>
      </c>
      <c r="CB107" s="28"/>
      <c r="CC10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07" s="54" t="str">
        <f>IF(
AND(
Cartera1017[[#This Row],[DEVOLVER 27]]="NO",
NOT(ISBLANK(Cartera1017[[#This Row],[ESTADO NO DEVUELTOS 27]]))
),
"PRE",
"POST"
)</f>
        <v>PRE</v>
      </c>
      <c r="CE107" s="54" t="s">
        <v>509</v>
      </c>
      <c r="CF107" s="28" t="s">
        <v>35</v>
      </c>
      <c r="CG10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0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7" s="406">
        <f>Cartera1017[[#This Row],[Porcentaje de Avance]]</f>
        <v>0.9</v>
      </c>
      <c r="CK107" s="388">
        <f ca="1">IF(
   OR(
     Cartera1017[[#This Row],[Estado TI]]="09. Descartado",
     Cartera1017[[#This Row],[Comienzo Desarrollo]]="",
     Cartera1017[[#This Row],[Fin Producción]]=""
   ),
   "",
   Cartera1017[[#This Row],[% PLANIFICADO]]-Cartera1017[[#This Row],[% COMPLETADO]]
)</f>
        <v>9.9999999999999978E-2</v>
      </c>
      <c r="CL107" s="388">
        <f ca="1">IF(
   OR(
     Cartera1017[[#This Row],[Estado TI]]="09. Descartado",
     Cartera1017[[#This Row],[Comienzo Desarrollo]]="",
     Cartera1017[[#This Row],[Fin Producción]]="",
     Cartera1017[[#This Row],[% PLANIFICADO]]=0
   ),
   "",
   MIN(Cartera1017[[#This Row],[% COMPLETADO]]/Cartera1017[[#This Row],[% PLANIFICADO]],1.2)
)</f>
        <v>0.9</v>
      </c>
      <c r="CM107" s="377">
        <v>45789</v>
      </c>
      <c r="CN107" s="377">
        <v>45789</v>
      </c>
      <c r="CO107" s="377">
        <v>45801</v>
      </c>
      <c r="CP107" s="377">
        <v>45803</v>
      </c>
      <c r="CQ107" s="377">
        <v>45810</v>
      </c>
      <c r="CR107" s="377">
        <v>45813</v>
      </c>
      <c r="CS107" s="377">
        <v>46108</v>
      </c>
      <c r="CT107" s="44">
        <f>IF(Cartera1017[[#This Row],[Fin Desarrollo]]="",25,IFERROR(NETWORKDAYS(Cartera1017[[#This Row],[Comienzo Desarrollo]],Cartera1017[[#This Row],[Fin Desarrollo]],FERIADOS[Fecha]),""))</f>
        <v>10</v>
      </c>
      <c r="CU10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07" s="44">
        <f>IF(OR(Cartera1017[[#This Row],[Comienzo Desarrollo]]="",Cartera1017[[#This Row],[Fin Desarrollo]]=""),200,IFERROR(Cartera1017[[#This Row],[DURACIÓN DESARROLLO DIAS]]*VLOOKUP(Cartera1017[[#This Row],[ID Mantenimiento]],MANT_HORAS[],2,FALSE),200))</f>
        <v>200</v>
      </c>
      <c r="CW107" s="110"/>
      <c r="CX107" s="110" t="str">
        <f>VLOOKUP(Cartera1017[[#This Row],[Estado TI]],Definiciones!$A$549:$B$559,2,FALSE)</f>
        <v>3. DESPLIEGUE</v>
      </c>
      <c r="CY107" s="28">
        <f ca="1">1-Cartera1017[[#This Row],[Porcentaje avanzado desarrollo]]</f>
        <v>0</v>
      </c>
      <c r="CZ10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DA107" s="28">
        <f ca="1">MAX(0,Cartera1017[[#This Row],[DURACIÓN DESARROLLO DIAS]]-Cartera1017[[#This Row],[Dias avanzados]])</f>
        <v>0</v>
      </c>
      <c r="DB107" s="28">
        <f ca="1">Cartera1017[[#This Row],[Dias avanzados]]*IFERROR(VLOOKUP(Cartera1017[[#This Row],[ID Mantenimiento]],MANT_HORAS[],2,FALSE),8)</f>
        <v>80</v>
      </c>
      <c r="DC107" s="28">
        <f ca="1">Cartera1017[[#This Row],[Dias faltantes]]*IFERROR(VLOOKUP(Cartera1017[[#This Row],[ID Mantenimiento]],MANT_HORAS[],2,FALSE),8)</f>
        <v>0</v>
      </c>
      <c r="DD107" s="28" t="str">
        <f>IF(Cartera1017[[#This Row],[Fin Producción]]=0,"Por definir",CONCATENATE(YEAR(Cartera1017[[#This Row],[Fin Producción]]),"-",ROUNDUP(MONTH(Cartera1017[[#This Row],[Fin Producción]]),0)))</f>
        <v>2026-3</v>
      </c>
      <c r="DE107" s="18" t="s">
        <v>510</v>
      </c>
      <c r="DF107" s="28"/>
      <c r="DG107" s="28" t="s">
        <v>659</v>
      </c>
      <c r="DH107" s="565"/>
    </row>
    <row r="108" spans="1:112" ht="44.25" hidden="1" customHeight="1">
      <c r="A108" s="229" t="s">
        <v>1313</v>
      </c>
      <c r="B108" s="18">
        <v>2835</v>
      </c>
      <c r="C108" s="18" t="s">
        <v>485</v>
      </c>
      <c r="D108" s="18" t="s">
        <v>1314</v>
      </c>
      <c r="E108" s="18" t="s">
        <v>1315</v>
      </c>
      <c r="F108" s="33" t="s">
        <v>1316</v>
      </c>
      <c r="G108" s="19"/>
      <c r="H108" s="18" t="s">
        <v>62</v>
      </c>
      <c r="I108" s="18" t="s">
        <v>628</v>
      </c>
      <c r="J108" s="18" t="s">
        <v>1317</v>
      </c>
      <c r="K108" s="20"/>
      <c r="L108" s="18"/>
      <c r="M108" s="50" t="s">
        <v>1318</v>
      </c>
      <c r="N108" s="50"/>
      <c r="O108" s="18" t="s">
        <v>530</v>
      </c>
      <c r="P108" s="18" t="s">
        <v>797</v>
      </c>
      <c r="Q108" s="18" t="s">
        <v>496</v>
      </c>
      <c r="R108" s="18" t="s">
        <v>497</v>
      </c>
      <c r="S108" s="18"/>
      <c r="T108" s="18"/>
      <c r="U108" s="18"/>
      <c r="V108" s="18"/>
      <c r="W108" s="18"/>
      <c r="X108" s="18"/>
      <c r="Y108" s="80"/>
      <c r="Z108" s="18" t="s">
        <v>532</v>
      </c>
      <c r="AA108" s="20">
        <v>45806</v>
      </c>
      <c r="AB108" s="18" t="s">
        <v>533</v>
      </c>
      <c r="AC108" s="18" t="s">
        <v>558</v>
      </c>
      <c r="AD108" s="18" t="s">
        <v>37</v>
      </c>
      <c r="AE108" s="18" t="s">
        <v>27</v>
      </c>
      <c r="AF108" s="18" t="s">
        <v>53</v>
      </c>
      <c r="AG108" s="14" t="str">
        <f>VLOOKUP(AF108,Tabla3[[Estado Requerimiento]:[Macro estado]],2,FALSE)</f>
        <v>03. Culminado</v>
      </c>
      <c r="AH108" s="18"/>
      <c r="AI108" s="80"/>
      <c r="AJ108" s="80"/>
      <c r="AK108" s="80">
        <v>45859</v>
      </c>
      <c r="AL108" s="80">
        <v>45869</v>
      </c>
      <c r="AM108" s="80"/>
      <c r="AN108" s="80">
        <v>45908</v>
      </c>
      <c r="AO108" s="80">
        <v>45925</v>
      </c>
      <c r="AP108" s="81">
        <f t="shared" si="2"/>
        <v>45873</v>
      </c>
      <c r="AQ108" s="80">
        <v>45974</v>
      </c>
      <c r="AR108" s="80">
        <v>46037</v>
      </c>
      <c r="AS108" s="81">
        <f t="shared" si="3"/>
        <v>45880</v>
      </c>
      <c r="AT108" s="19" t="s">
        <v>1319</v>
      </c>
      <c r="AU108" s="44" t="str">
        <f>VLOOKUP(Cartera1017[[#This Row],[Gerencia]],tbGerencia[#All],3,FALSE)</f>
        <v>Logística</v>
      </c>
      <c r="AV108" s="44" t="str">
        <f>IFERROR(VLOOKUP(Cartera1017[[#This Row],[Subgerencia]],Definiciones!$A$90:$B$144,2,FALSE),"")</f>
        <v>Servicios</v>
      </c>
      <c r="AW108" s="44" t="str">
        <f>IF(OR(LEN(Cartera1017[[#This Row],[Fecha de Solicitud]])=0,(Cartera1017[[#This Row],[Fecha de Solicitud]])="No definido"),"No definido",IF(YEAR(Cartera1017[[#This Row],[Fecha de Solicitud]])&lt;2023," &lt;  2023",TEXT(Cartera1017[[#This Row],[Fecha de Solicitud]],"yyyy-mm")))</f>
        <v>No definido</v>
      </c>
      <c r="AX108" s="44" t="str">
        <f>IF(Cartera1017[[#This Row],[Fecha de Priorización Comité]]="","No definido",TEXT(Cartera1017[[#This Row],[Fecha de Priorización Comité]],"yyyy-mm"))</f>
        <v>2025-05</v>
      </c>
      <c r="AY108" s="44" t="str">
        <f>IF(Cartera1017[[#This Row],[Fecha Fin- Desarrollo]]="","No definido",TEXT(Cartera1017[[#This Row],[Fecha Fin- Desarrollo]],"yyyy-mm"))</f>
        <v>2025-07</v>
      </c>
      <c r="AZ108" s="44" t="str">
        <f>IF(Cartera1017[[#This Row],[Fecha Fin- Producción]]="","No definido",TEXT(Cartera1017[[#This Row],[Fecha Fin- Producción]],"yyyy-mm"))</f>
        <v>2026-01</v>
      </c>
      <c r="BA108" s="44" t="str">
        <f>IF(Cartera1017[[#This Row],[Fecha Fin-Planificada]]="","No definido",TEXT(Cartera1017[[#This Row],[Fecha Fin-Planificada]],"yyyy-mm"))</f>
        <v>2025-08</v>
      </c>
      <c r="BB108" s="33"/>
      <c r="BC108" s="66"/>
      <c r="BD108" s="66"/>
      <c r="BE108" s="66"/>
      <c r="BF108" s="127"/>
      <c r="BG108" s="28" t="s">
        <v>1195</v>
      </c>
      <c r="BH10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178</v>
      </c>
      <c r="BI108" s="90">
        <f>IF(ISNUMBER(Cartera1017[[#This Row],[Duracion en Dias]]),Cartera1017[[#This Row],[Duracion en Dias]]/30, "No Aplica")</f>
        <v>5.9333333333333336</v>
      </c>
      <c r="BJ108" s="109"/>
      <c r="BK108" s="28" t="s">
        <v>506</v>
      </c>
      <c r="BL108" s="110" t="s">
        <v>536</v>
      </c>
      <c r="BM108" s="342">
        <v>46037.650150462963</v>
      </c>
      <c r="BN108" s="227"/>
      <c r="BO108" s="401"/>
      <c r="BP108" s="401"/>
      <c r="BQ10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08" s="14" t="str">
        <f>IFERROR(VLOOKUP(Cartera1017[[#This Row],[Aplicativo]],Tabla76[],2,FALSE),"Sin Aplicativo")</f>
        <v>BackOffice</v>
      </c>
      <c r="BS108" s="14" t="str">
        <f>IFERROR(VLOOKUP(Cartera1017[[#This Row],[Aplicativo]],Tabla76[],3,FALSE),"Sin Aplicativo")</f>
        <v>Otros Requerimientos</v>
      </c>
      <c r="BT108" s="400" t="s">
        <v>521</v>
      </c>
      <c r="BU108" s="33"/>
      <c r="BV108" s="28"/>
      <c r="BW10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46037</v>
      </c>
      <c r="BX10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08" s="149" t="str">
        <f ca="1">IF(Cartera1017[[#This Row],[Fecha Fin2]]="","No definido",CONCATENATE(TEXT(Cartera1017[[#This Row],[Fecha Fin2]],"mmm")," ",YEAR(Cartera1017[[#This Row],[Fecha Fin2]])))</f>
        <v>Ene 2026</v>
      </c>
      <c r="BZ108" s="28"/>
      <c r="CA108" s="48" t="str">
        <f>IF(Cartera1017[[#This Row],[Estado TI]] = "08. Producción Finalizada","Culminado",IF(Cartera1017[[#This Row],[Estado TI]]= "09. Descartado","Descartado","Activos"))</f>
        <v>Culminado</v>
      </c>
      <c r="CB108" s="28"/>
      <c r="CC10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08" s="54" t="str">
        <f>IF(
AND(
Cartera1017[[#This Row],[DEVOLVER 27]]="NO",
NOT(ISBLANK(Cartera1017[[#This Row],[ESTADO NO DEVUELTOS 27]]))
),
"PRE",
"POST"
)</f>
        <v>PRE</v>
      </c>
      <c r="CE108" s="54" t="s">
        <v>509</v>
      </c>
      <c r="CF108" s="28" t="s">
        <v>42</v>
      </c>
      <c r="CG10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0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0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8" s="406">
        <f>Cartera1017[[#This Row],[Porcentaje de Avance]]</f>
        <v>1</v>
      </c>
      <c r="CK108" s="388">
        <f ca="1">IF(
   OR(
     Cartera1017[[#This Row],[Estado TI]]="09. Descartado",
     Cartera1017[[#This Row],[Comienzo Desarrollo]]="",
     Cartera1017[[#This Row],[Fin Producción]]=""
   ),
   "",
   Cartera1017[[#This Row],[% PLANIFICADO]]-Cartera1017[[#This Row],[% COMPLETADO]]
)</f>
        <v>0</v>
      </c>
      <c r="CL108" s="388">
        <f ca="1">IF(
   OR(
     Cartera1017[[#This Row],[Estado TI]]="09. Descartado",
     Cartera1017[[#This Row],[Comienzo Desarrollo]]="",
     Cartera1017[[#This Row],[Fin Producción]]="",
     Cartera1017[[#This Row],[% PLANIFICADO]]=0
   ),
   "",
   MIN(Cartera1017[[#This Row],[% COMPLETADO]]/Cartera1017[[#This Row],[% PLANIFICADO]],1.2)
)</f>
        <v>1</v>
      </c>
      <c r="CM108" s="377">
        <v>45859</v>
      </c>
      <c r="CN108" s="377">
        <v>45859</v>
      </c>
      <c r="CO108" s="377">
        <v>45869</v>
      </c>
      <c r="CP108" s="377">
        <v>45908</v>
      </c>
      <c r="CQ108" s="377">
        <v>45925</v>
      </c>
      <c r="CR108" s="377">
        <v>45974</v>
      </c>
      <c r="CS108" s="377">
        <v>46037</v>
      </c>
      <c r="CT108" s="44">
        <f>IF(Cartera1017[[#This Row],[Fin Desarrollo]]="",25,IFERROR(NETWORKDAYS(Cartera1017[[#This Row],[Comienzo Desarrollo]],Cartera1017[[#This Row],[Fin Desarrollo]],FERIADOS[Fecha]),""))</f>
        <v>7</v>
      </c>
      <c r="CU10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08" s="44">
        <f>IF(OR(Cartera1017[[#This Row],[Comienzo Desarrollo]]="",Cartera1017[[#This Row],[Fin Desarrollo]]=""),200,IFERROR(Cartera1017[[#This Row],[DURACIÓN DESARROLLO DIAS]]*VLOOKUP(Cartera1017[[#This Row],[ID Mantenimiento]],MANT_HORAS[],2,FALSE),200))</f>
        <v>200</v>
      </c>
      <c r="CW108" s="110"/>
      <c r="CX108" s="110" t="str">
        <f>VLOOKUP(Cartera1017[[#This Row],[Estado TI]],Definiciones!$A$549:$B$559,2,FALSE)</f>
        <v>4. PRODUCCIÓN</v>
      </c>
      <c r="CY108" s="28">
        <f ca="1">1-Cartera1017[[#This Row],[Porcentaje avanzado desarrollo]]</f>
        <v>0</v>
      </c>
      <c r="CZ10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DA108" s="28">
        <f ca="1">MAX(0,Cartera1017[[#This Row],[DURACIÓN DESARROLLO DIAS]]-Cartera1017[[#This Row],[Dias avanzados]])</f>
        <v>0</v>
      </c>
      <c r="DB108" s="28">
        <f ca="1">Cartera1017[[#This Row],[Dias avanzados]]*IFERROR(VLOOKUP(Cartera1017[[#This Row],[ID Mantenimiento]],MANT_HORAS[],2,FALSE),8)</f>
        <v>56</v>
      </c>
      <c r="DC108" s="28">
        <f ca="1">Cartera1017[[#This Row],[Dias faltantes]]*IFERROR(VLOOKUP(Cartera1017[[#This Row],[ID Mantenimiento]],MANT_HORAS[],2,FALSE),8)</f>
        <v>0</v>
      </c>
      <c r="DD108" s="28" t="str">
        <f>IF(Cartera1017[[#This Row],[Fin Producción]]=0,"Por definir",CONCATENATE(YEAR(Cartera1017[[#This Row],[Fin Producción]]),"-",ROUNDUP(MONTH(Cartera1017[[#This Row],[Fin Producción]]),0)))</f>
        <v>2026-1</v>
      </c>
      <c r="DE108" s="18" t="s">
        <v>510</v>
      </c>
      <c r="DF108" s="28"/>
      <c r="DG108" s="28"/>
      <c r="DH108" s="565"/>
    </row>
    <row r="109" spans="1:112" ht="44.25" hidden="1" customHeight="1">
      <c r="A109" s="229" t="s">
        <v>1320</v>
      </c>
      <c r="B109" s="18">
        <v>2846</v>
      </c>
      <c r="C109" s="18" t="s">
        <v>485</v>
      </c>
      <c r="D109" s="18" t="s">
        <v>1321</v>
      </c>
      <c r="E109" s="18" t="s">
        <v>245</v>
      </c>
      <c r="F109" s="33" t="s">
        <v>1322</v>
      </c>
      <c r="G109" s="19"/>
      <c r="H109" s="18" t="s">
        <v>40</v>
      </c>
      <c r="I109" s="18" t="s">
        <v>490</v>
      </c>
      <c r="J109" s="18" t="s">
        <v>662</v>
      </c>
      <c r="K109" s="20"/>
      <c r="L109" s="18"/>
      <c r="M109" s="50" t="s">
        <v>1323</v>
      </c>
      <c r="N109" s="50"/>
      <c r="O109" s="18" t="s">
        <v>548</v>
      </c>
      <c r="P109" s="18" t="s">
        <v>495</v>
      </c>
      <c r="Q109" s="18" t="s">
        <v>822</v>
      </c>
      <c r="R109" s="18" t="s">
        <v>497</v>
      </c>
      <c r="S109" s="18"/>
      <c r="T109" s="18"/>
      <c r="U109" s="18"/>
      <c r="V109" s="18"/>
      <c r="W109" s="18"/>
      <c r="X109" s="18"/>
      <c r="Y109" s="80"/>
      <c r="Z109" s="18" t="s">
        <v>532</v>
      </c>
      <c r="AA109" s="20">
        <v>45806</v>
      </c>
      <c r="AB109" s="18" t="s">
        <v>500</v>
      </c>
      <c r="AC109" s="18" t="s">
        <v>501</v>
      </c>
      <c r="AD109" s="18" t="s">
        <v>165</v>
      </c>
      <c r="AE109" s="18" t="s">
        <v>41</v>
      </c>
      <c r="AF109" s="18" t="s">
        <v>53</v>
      </c>
      <c r="AG109" s="14" t="str">
        <f>VLOOKUP(AF109,Tabla3[[Estado Requerimiento]:[Macro estado]],2,FALSE)</f>
        <v>03. Culminado</v>
      </c>
      <c r="AH109" s="18"/>
      <c r="AI109" s="80"/>
      <c r="AJ109" s="80"/>
      <c r="AK109" s="80">
        <v>45804</v>
      </c>
      <c r="AL109" s="80">
        <v>45873</v>
      </c>
      <c r="AM109" s="80"/>
      <c r="AN109" s="80">
        <v>45947</v>
      </c>
      <c r="AO109" s="80">
        <v>45961</v>
      </c>
      <c r="AP109" s="81">
        <f t="shared" si="2"/>
        <v>45900.6</v>
      </c>
      <c r="AQ109" s="80">
        <v>45974</v>
      </c>
      <c r="AR109" s="80">
        <v>46091</v>
      </c>
      <c r="AS109" s="81">
        <f t="shared" si="3"/>
        <v>45907.6</v>
      </c>
      <c r="AT109" s="19" t="s">
        <v>1324</v>
      </c>
      <c r="AU109" s="44" t="str">
        <f>VLOOKUP(Cartera1017[[#This Row],[Gerencia]],tbGerencia[#All],3,FALSE)</f>
        <v>Operac.</v>
      </c>
      <c r="AV109" s="44" t="str">
        <f>IFERROR(VLOOKUP(Cartera1017[[#This Row],[Subgerencia]],Definiciones!$A$90:$B$144,2,FALSE),"")</f>
        <v>BancariosRecaudación</v>
      </c>
      <c r="AW109" s="44" t="str">
        <f>IF(OR(LEN(Cartera1017[[#This Row],[Fecha de Solicitud]])=0,(Cartera1017[[#This Row],[Fecha de Solicitud]])="No definido"),"No definido",IF(YEAR(Cartera1017[[#This Row],[Fecha de Solicitud]])&lt;2023," &lt;  2023",TEXT(Cartera1017[[#This Row],[Fecha de Solicitud]],"yyyy-mm")))</f>
        <v>No definido</v>
      </c>
      <c r="AX109" s="44" t="str">
        <f>IF(Cartera1017[[#This Row],[Fecha de Priorización Comité]]="","No definido",TEXT(Cartera1017[[#This Row],[Fecha de Priorización Comité]],"yyyy-mm"))</f>
        <v>2025-05</v>
      </c>
      <c r="AY109" s="44" t="str">
        <f>IF(Cartera1017[[#This Row],[Fecha Fin- Desarrollo]]="","No definido",TEXT(Cartera1017[[#This Row],[Fecha Fin- Desarrollo]],"yyyy-mm"))</f>
        <v>2025-08</v>
      </c>
      <c r="AZ109" s="44" t="str">
        <f>IF(Cartera1017[[#This Row],[Fecha Fin- Producción]]="","No definido",TEXT(Cartera1017[[#This Row],[Fecha Fin- Producción]],"yyyy-mm"))</f>
        <v>2026-03</v>
      </c>
      <c r="BA109" s="44" t="str">
        <f>IF(Cartera1017[[#This Row],[Fecha Fin-Planificada]]="","No definido",TEXT(Cartera1017[[#This Row],[Fecha Fin-Planificada]],"yyyy-mm"))</f>
        <v>2025-09</v>
      </c>
      <c r="BB109" s="33"/>
      <c r="BC109" s="66"/>
      <c r="BD109" s="66"/>
      <c r="BE109" s="66"/>
      <c r="BF109" s="127"/>
      <c r="BG109" s="28" t="s">
        <v>1195</v>
      </c>
      <c r="BH10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287</v>
      </c>
      <c r="BI109" s="90">
        <f>IF(ISNUMBER(Cartera1017[[#This Row],[Duracion en Dias]]),Cartera1017[[#This Row],[Duracion en Dias]]/30, "No Aplica")</f>
        <v>9.5666666666666664</v>
      </c>
      <c r="BJ109" s="109"/>
      <c r="BK109" s="28" t="s">
        <v>506</v>
      </c>
      <c r="BL109" s="110" t="s">
        <v>536</v>
      </c>
      <c r="BM109" s="342">
        <v>46091.670069444444</v>
      </c>
      <c r="BN109" s="227"/>
      <c r="BO109" s="401"/>
      <c r="BP109" s="401"/>
      <c r="BQ10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09" s="14" t="str">
        <f>IFERROR(VLOOKUP(Cartera1017[[#This Row],[Aplicativo]],Tabla76[],2,FALSE),"Sin Aplicativo")</f>
        <v>BackOffice</v>
      </c>
      <c r="BS109" s="14" t="str">
        <f>IFERROR(VLOOKUP(Cartera1017[[#This Row],[Aplicativo]],Tabla76[],3,FALSE),"Sin Aplicativo")</f>
        <v>Otros Requerimientos</v>
      </c>
      <c r="BT109" s="400" t="s">
        <v>521</v>
      </c>
      <c r="BU109" s="33"/>
      <c r="BV109" s="28"/>
      <c r="BW10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10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09" s="149" t="str">
        <f ca="1">IF(Cartera1017[[#This Row],[Fecha Fin2]]="","No definido",CONCATENATE(TEXT(Cartera1017[[#This Row],[Fecha Fin2]],"mmm")," ",YEAR(Cartera1017[[#This Row],[Fecha Fin2]])))</f>
        <v>Mar 2026</v>
      </c>
      <c r="BZ109" s="28"/>
      <c r="CA109" s="48" t="str">
        <f>IF(Cartera1017[[#This Row],[Estado TI]] = "08. Producción Finalizada","Culminado",IF(Cartera1017[[#This Row],[Estado TI]]= "09. Descartado","Descartado","Activos"))</f>
        <v>Culminado</v>
      </c>
      <c r="CB109" s="28"/>
      <c r="CC10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09" s="54" t="str">
        <f>IF(
AND(
Cartera1017[[#This Row],[DEVOLVER 27]]="NO",
NOT(ISBLANK(Cartera1017[[#This Row],[ESTADO NO DEVUELTOS 27]]))
),
"PRE",
"POST"
)</f>
        <v>PRE</v>
      </c>
      <c r="CE109" s="54" t="s">
        <v>509</v>
      </c>
      <c r="CF109" s="28" t="s">
        <v>87</v>
      </c>
      <c r="CG10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0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0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9" s="406">
        <f>Cartera1017[[#This Row],[Porcentaje de Avance]]</f>
        <v>1</v>
      </c>
      <c r="CK109" s="388">
        <f ca="1">IF(
   OR(
     Cartera1017[[#This Row],[Estado TI]]="09. Descartado",
     Cartera1017[[#This Row],[Comienzo Desarrollo]]="",
     Cartera1017[[#This Row],[Fin Producción]]=""
   ),
   "",
   Cartera1017[[#This Row],[% PLANIFICADO]]-Cartera1017[[#This Row],[% COMPLETADO]]
)</f>
        <v>0</v>
      </c>
      <c r="CL109" s="388">
        <f ca="1">IF(
   OR(
     Cartera1017[[#This Row],[Estado TI]]="09. Descartado",
     Cartera1017[[#This Row],[Comienzo Desarrollo]]="",
     Cartera1017[[#This Row],[Fin Producción]]="",
     Cartera1017[[#This Row],[% PLANIFICADO]]=0
   ),
   "",
   MIN(Cartera1017[[#This Row],[% COMPLETADO]]/Cartera1017[[#This Row],[% PLANIFICADO]],1.2)
)</f>
        <v>1</v>
      </c>
      <c r="CM109" s="377">
        <v>45804</v>
      </c>
      <c r="CN109" s="377">
        <v>45804</v>
      </c>
      <c r="CO109" s="377">
        <v>45873</v>
      </c>
      <c r="CP109" s="377">
        <v>45947</v>
      </c>
      <c r="CQ109" s="377">
        <v>45961</v>
      </c>
      <c r="CR109" s="377">
        <v>45974</v>
      </c>
      <c r="CS109" s="377">
        <v>46108</v>
      </c>
      <c r="CT109" s="44">
        <f>IF(Cartera1017[[#This Row],[Fin Desarrollo]]="",25,IFERROR(NETWORKDAYS(Cartera1017[[#This Row],[Comienzo Desarrollo]],Cartera1017[[#This Row],[Fin Desarrollo]],FERIADOS[Fecha]),""))</f>
        <v>48</v>
      </c>
      <c r="CU10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09" s="44">
        <f>IF(OR(Cartera1017[[#This Row],[Comienzo Desarrollo]]="",Cartera1017[[#This Row],[Fin Desarrollo]]=""),200,IFERROR(Cartera1017[[#This Row],[DURACIÓN DESARROLLO DIAS]]*VLOOKUP(Cartera1017[[#This Row],[ID Mantenimiento]],MANT_HORAS[],2,FALSE),200))</f>
        <v>200</v>
      </c>
      <c r="CW109" s="110"/>
      <c r="CX109" s="110" t="str">
        <f>VLOOKUP(Cartera1017[[#This Row],[Estado TI]],Definiciones!$A$549:$B$559,2,FALSE)</f>
        <v>4. PRODUCCIÓN</v>
      </c>
      <c r="CY109" s="28">
        <f ca="1">1-Cartera1017[[#This Row],[Porcentaje avanzado desarrollo]]</f>
        <v>0</v>
      </c>
      <c r="CZ10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48</v>
      </c>
      <c r="DA109" s="28">
        <f ca="1">MAX(0,Cartera1017[[#This Row],[DURACIÓN DESARROLLO DIAS]]-Cartera1017[[#This Row],[Dias avanzados]])</f>
        <v>0</v>
      </c>
      <c r="DB109" s="28">
        <f ca="1">Cartera1017[[#This Row],[Dias avanzados]]*IFERROR(VLOOKUP(Cartera1017[[#This Row],[ID Mantenimiento]],MANT_HORAS[],2,FALSE),8)</f>
        <v>384</v>
      </c>
      <c r="DC109" s="28">
        <f ca="1">Cartera1017[[#This Row],[Dias faltantes]]*IFERROR(VLOOKUP(Cartera1017[[#This Row],[ID Mantenimiento]],MANT_HORAS[],2,FALSE),8)</f>
        <v>0</v>
      </c>
      <c r="DD109" s="28" t="str">
        <f>IF(Cartera1017[[#This Row],[Fin Producción]]=0,"Por definir",CONCATENATE(YEAR(Cartera1017[[#This Row],[Fin Producción]]),"-",ROUNDUP(MONTH(Cartera1017[[#This Row],[Fin Producción]]),0)))</f>
        <v>2026-3</v>
      </c>
      <c r="DE109" s="18" t="s">
        <v>510</v>
      </c>
      <c r="DF109" s="28"/>
      <c r="DG109" s="28"/>
      <c r="DH109" s="565"/>
    </row>
    <row r="110" spans="1:112" ht="44.25" hidden="1" customHeight="1">
      <c r="A110" s="229" t="s">
        <v>1325</v>
      </c>
      <c r="B110" s="18">
        <v>2854</v>
      </c>
      <c r="C110" s="18" t="s">
        <v>485</v>
      </c>
      <c r="D110" s="18" t="s">
        <v>1326</v>
      </c>
      <c r="E110" s="18" t="s">
        <v>247</v>
      </c>
      <c r="F110" s="519" t="s">
        <v>248</v>
      </c>
      <c r="G110" s="33"/>
      <c r="H110" s="18" t="s">
        <v>26</v>
      </c>
      <c r="I110" s="18" t="s">
        <v>539</v>
      </c>
      <c r="J110" s="18" t="s">
        <v>554</v>
      </c>
      <c r="K110" s="20">
        <v>45309</v>
      </c>
      <c r="L110" s="18" t="s">
        <v>1327</v>
      </c>
      <c r="M110" s="50" t="s">
        <v>710</v>
      </c>
      <c r="N110" s="50"/>
      <c r="O110" s="18" t="s">
        <v>712</v>
      </c>
      <c r="P110" s="18" t="s">
        <v>549</v>
      </c>
      <c r="Q110" s="18" t="s">
        <v>496</v>
      </c>
      <c r="R110" s="18" t="s">
        <v>497</v>
      </c>
      <c r="S110" s="18"/>
      <c r="T110" s="18"/>
      <c r="U110" s="18"/>
      <c r="V110" s="18"/>
      <c r="W110" s="18"/>
      <c r="X110" s="18"/>
      <c r="Y110" s="80"/>
      <c r="Z110" s="18" t="s">
        <v>499</v>
      </c>
      <c r="AA110" s="20">
        <v>45835</v>
      </c>
      <c r="AB110" s="18" t="s">
        <v>713</v>
      </c>
      <c r="AC110" s="18" t="s">
        <v>558</v>
      </c>
      <c r="AD110" s="18" t="s">
        <v>88</v>
      </c>
      <c r="AE110" s="18" t="s">
        <v>27</v>
      </c>
      <c r="AF110" s="18" t="s">
        <v>42</v>
      </c>
      <c r="AG110" s="14" t="str">
        <f>VLOOKUP(AF110,Tabla3[[Estado Requerimiento]:[Macro estado]],2,FALSE)</f>
        <v>02. En Proceso</v>
      </c>
      <c r="AH110" s="18"/>
      <c r="AI110" s="80"/>
      <c r="AJ110" s="80"/>
      <c r="AK110" s="80">
        <v>45812</v>
      </c>
      <c r="AL110" s="80">
        <v>45883</v>
      </c>
      <c r="AM110" s="80"/>
      <c r="AN110" s="80">
        <v>45888</v>
      </c>
      <c r="AO110" s="80">
        <v>45958</v>
      </c>
      <c r="AP110" s="81">
        <f t="shared" si="2"/>
        <v>45911.4</v>
      </c>
      <c r="AQ110" s="80"/>
      <c r="AR110" s="80"/>
      <c r="AS110" s="81">
        <f t="shared" si="3"/>
        <v>45918.400000000001</v>
      </c>
      <c r="AT110" s="19" t="s">
        <v>1328</v>
      </c>
      <c r="AU110" s="44" t="str">
        <f>VLOOKUP(Cartera1017[[#This Row],[Gerencia]],tbGerencia[#All],3,FALSE)</f>
        <v>B.Digital</v>
      </c>
      <c r="AV110" s="44" t="str">
        <f>IFERROR(VLOOKUP(Cartera1017[[#This Row],[Subgerencia]],Definiciones!$A$90:$B$144,2,FALSE),"")</f>
        <v>CanalesAlternos</v>
      </c>
      <c r="AW110" s="44" t="str">
        <f>IF(OR(LEN(Cartera1017[[#This Row],[Fecha de Solicitud]])=0,(Cartera1017[[#This Row],[Fecha de Solicitud]])="No definido"),"No definido",IF(YEAR(Cartera1017[[#This Row],[Fecha de Solicitud]])&lt;2023," &lt;  2023",TEXT(Cartera1017[[#This Row],[Fecha de Solicitud]],"yyyy-mm")))</f>
        <v>2024-01</v>
      </c>
      <c r="AX110" s="44" t="str">
        <f>IF(Cartera1017[[#This Row],[Fecha de Priorización Comité]]="","No definido",TEXT(Cartera1017[[#This Row],[Fecha de Priorización Comité]],"yyyy-mm"))</f>
        <v>2025-06</v>
      </c>
      <c r="AY110" s="44" t="str">
        <f>IF(Cartera1017[[#This Row],[Fecha Fin- Desarrollo]]="","No definido",TEXT(Cartera1017[[#This Row],[Fecha Fin- Desarrollo]],"yyyy-mm"))</f>
        <v>2025-08</v>
      </c>
      <c r="AZ110" s="44" t="str">
        <f>IF(Cartera1017[[#This Row],[Fecha Fin- Producción]]="","No definido",TEXT(Cartera1017[[#This Row],[Fecha Fin- Producción]],"yyyy-mm"))</f>
        <v>No definido</v>
      </c>
      <c r="BA110" s="44" t="str">
        <f>IF(Cartera1017[[#This Row],[Fecha Fin-Planificada]]="","No definido",TEXT(Cartera1017[[#This Row],[Fecha Fin-Planificada]],"yyyy-mm"))</f>
        <v>2025-09</v>
      </c>
      <c r="BB110" s="33"/>
      <c r="BC110" s="66"/>
      <c r="BD110" s="108"/>
      <c r="BE110" s="108"/>
      <c r="BF110" s="127"/>
      <c r="BG110" s="28" t="s">
        <v>1195</v>
      </c>
      <c r="BH11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0" s="90" t="str">
        <f>IF(ISNUMBER(Cartera1017[[#This Row],[Duracion en Dias]]),Cartera1017[[#This Row],[Duracion en Dias]]/30, "No Aplica")</f>
        <v>No Aplica</v>
      </c>
      <c r="BJ110" s="109"/>
      <c r="BK110" s="28" t="s">
        <v>506</v>
      </c>
      <c r="BL110" s="110" t="s">
        <v>655</v>
      </c>
      <c r="BM110" s="342">
        <v>46098.752766203703</v>
      </c>
      <c r="BN110" s="227"/>
      <c r="BO110" s="401"/>
      <c r="BP110" s="401"/>
      <c r="BQ11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0" s="14" t="str">
        <f>IFERROR(VLOOKUP(Cartera1017[[#This Row],[Aplicativo]],Tabla76[],2,FALSE),"Sin Aplicativo")</f>
        <v>Banca Movil</v>
      </c>
      <c r="BS110" s="14" t="str">
        <f>IFERROR(VLOOKUP(Cartera1017[[#This Row],[Aplicativo]],Tabla76[],3,FALSE),"Sin Aplicativo")</f>
        <v>Canales Virtuales</v>
      </c>
      <c r="BT110" s="400" t="s">
        <v>521</v>
      </c>
      <c r="BU110" s="33"/>
      <c r="BV110" s="28"/>
      <c r="BW11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0" s="149" t="str">
        <f ca="1">IF(Cartera1017[[#This Row],[Fecha Fin2]]="","No definido",CONCATENATE(TEXT(Cartera1017[[#This Row],[Fecha Fin2]],"mmm")," ",YEAR(Cartera1017[[#This Row],[Fecha Fin2]])))</f>
        <v>No definido</v>
      </c>
      <c r="BZ110" s="28"/>
      <c r="CA110" s="48" t="str">
        <f>IF(Cartera1017[[#This Row],[Estado TI]] = "08. Producción Finalizada","Culminado",IF(Cartera1017[[#This Row],[Estado TI]]= "09. Descartado","Descartado","Activos"))</f>
        <v>Activos</v>
      </c>
      <c r="CB110" s="199" t="s">
        <v>1267</v>
      </c>
      <c r="CC11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110" s="54" t="str">
        <f>IF(
AND(
Cartera1017[[#This Row],[DEVOLVER 27]]="NO",
NOT(ISBLANK(Cartera1017[[#This Row],[ESTADO NO DEVUELTOS 27]]))
),
"PRE",
"POST"
)</f>
        <v>PRE</v>
      </c>
      <c r="CE110" s="54" t="s">
        <v>509</v>
      </c>
      <c r="CF110" s="28" t="s">
        <v>87</v>
      </c>
      <c r="CG11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1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10" s="406">
        <f>Cartera1017[[#This Row],[Porcentaje de Avance]]</f>
        <v>0.85</v>
      </c>
      <c r="CK110" s="388">
        <f ca="1">IF(
   OR(
     Cartera1017[[#This Row],[Estado TI]]="09. Descartado",
     Cartera1017[[#This Row],[Comienzo Desarrollo]]="",
     Cartera1017[[#This Row],[Fin Producción]]=""
   ),
   "",
   Cartera1017[[#This Row],[% PLANIFICADO]]-Cartera1017[[#This Row],[% COMPLETADO]]
)</f>
        <v>0.15000000000000002</v>
      </c>
      <c r="CL110" s="388">
        <f ca="1">IF(
   OR(
     Cartera1017[[#This Row],[Estado TI]]="09. Descartado",
     Cartera1017[[#This Row],[Comienzo Desarrollo]]="",
     Cartera1017[[#This Row],[Fin Producción]]="",
     Cartera1017[[#This Row],[% PLANIFICADO]]=0
   ),
   "",
   MIN(Cartera1017[[#This Row],[% COMPLETADO]]/Cartera1017[[#This Row],[% PLANIFICADO]],1.2)
)</f>
        <v>0.85</v>
      </c>
      <c r="CM110" s="377">
        <v>45812</v>
      </c>
      <c r="CN110" s="377">
        <v>45812</v>
      </c>
      <c r="CO110" s="377">
        <v>45883</v>
      </c>
      <c r="CP110" s="377">
        <v>45888</v>
      </c>
      <c r="CQ110" s="377">
        <v>46094</v>
      </c>
      <c r="CR110" s="377">
        <v>46097</v>
      </c>
      <c r="CS110" s="377">
        <v>46108</v>
      </c>
      <c r="CT110" s="44">
        <f>IF(Cartera1017[[#This Row],[Fin Desarrollo]]="",25,IFERROR(NETWORKDAYS(Cartera1017[[#This Row],[Comienzo Desarrollo]],Cartera1017[[#This Row],[Fin Desarrollo]],FERIADOS[Fecha]),""))</f>
        <v>50</v>
      </c>
      <c r="CU11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10" s="44">
        <f>IF(OR(Cartera1017[[#This Row],[Comienzo Desarrollo]]="",Cartera1017[[#This Row],[Fin Desarrollo]]=""),200,IFERROR(Cartera1017[[#This Row],[DURACIÓN DESARROLLO DIAS]]*VLOOKUP(Cartera1017[[#This Row],[ID Mantenimiento]],MANT_HORAS[],2,FALSE),200))</f>
        <v>200</v>
      </c>
      <c r="CW110" s="110" t="s">
        <v>544</v>
      </c>
      <c r="CX110" s="110" t="str">
        <f>VLOOKUP(Cartera1017[[#This Row],[Estado TI]],Definiciones!$A$549:$B$559,2,FALSE)</f>
        <v>2. CALIDAD</v>
      </c>
      <c r="CY110" s="28">
        <f ca="1">1-Cartera1017[[#This Row],[Porcentaje avanzado desarrollo]]</f>
        <v>0</v>
      </c>
      <c r="CZ11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50</v>
      </c>
      <c r="DA110" s="28">
        <f ca="1">MAX(0,Cartera1017[[#This Row],[DURACIÓN DESARROLLO DIAS]]-Cartera1017[[#This Row],[Dias avanzados]])</f>
        <v>0</v>
      </c>
      <c r="DB110" s="28">
        <f ca="1">Cartera1017[[#This Row],[Dias avanzados]]*IFERROR(VLOOKUP(Cartera1017[[#This Row],[ID Mantenimiento]],MANT_HORAS[],2,FALSE),8)</f>
        <v>400</v>
      </c>
      <c r="DC110" s="28">
        <f ca="1">Cartera1017[[#This Row],[Dias faltantes]]*IFERROR(VLOOKUP(Cartera1017[[#This Row],[ID Mantenimiento]],MANT_HORAS[],2,FALSE),8)</f>
        <v>0</v>
      </c>
      <c r="DD110" s="28" t="str">
        <f>IF(Cartera1017[[#This Row],[Fin Producción]]=0,"Por definir",CONCATENATE(YEAR(Cartera1017[[#This Row],[Fin Producción]]),"-",ROUNDUP(MONTH(Cartera1017[[#This Row],[Fin Producción]]),0)))</f>
        <v>2026-3</v>
      </c>
      <c r="DE110" s="18" t="s">
        <v>510</v>
      </c>
      <c r="DF110" s="28" t="s">
        <v>1329</v>
      </c>
      <c r="DG110" s="28" t="s">
        <v>585</v>
      </c>
      <c r="DH110" s="565"/>
    </row>
    <row r="111" spans="1:112" ht="44.25" hidden="1" customHeight="1">
      <c r="A111" s="229" t="s">
        <v>1330</v>
      </c>
      <c r="B111" s="18">
        <v>2855</v>
      </c>
      <c r="C111" s="18" t="s">
        <v>485</v>
      </c>
      <c r="D111" s="18" t="s">
        <v>1331</v>
      </c>
      <c r="E111" s="18" t="s">
        <v>249</v>
      </c>
      <c r="F111" s="519" t="s">
        <v>250</v>
      </c>
      <c r="G111" s="33"/>
      <c r="H111" s="18" t="s">
        <v>26</v>
      </c>
      <c r="I111" s="18" t="s">
        <v>539</v>
      </c>
      <c r="J111" s="18" t="s">
        <v>540</v>
      </c>
      <c r="K111" s="20">
        <v>45309</v>
      </c>
      <c r="L111" s="18" t="s">
        <v>1327</v>
      </c>
      <c r="M111" s="50" t="s">
        <v>710</v>
      </c>
      <c r="N111" s="50"/>
      <c r="O111" s="18" t="s">
        <v>712</v>
      </c>
      <c r="P111" s="18" t="s">
        <v>549</v>
      </c>
      <c r="Q111" s="18" t="s">
        <v>496</v>
      </c>
      <c r="R111" s="18" t="s">
        <v>497</v>
      </c>
      <c r="S111" s="18"/>
      <c r="T111" s="18"/>
      <c r="U111" s="18"/>
      <c r="V111" s="18"/>
      <c r="W111" s="18"/>
      <c r="X111" s="18"/>
      <c r="Y111" s="80"/>
      <c r="Z111" s="18" t="s">
        <v>499</v>
      </c>
      <c r="AA111" s="20">
        <v>45835</v>
      </c>
      <c r="AB111" s="18" t="s">
        <v>713</v>
      </c>
      <c r="AC111" s="18" t="s">
        <v>558</v>
      </c>
      <c r="AD111" s="18" t="s">
        <v>88</v>
      </c>
      <c r="AE111" s="18" t="s">
        <v>27</v>
      </c>
      <c r="AF111" s="18" t="s">
        <v>42</v>
      </c>
      <c r="AG111" s="14" t="str">
        <f>VLOOKUP(AF111,Tabla3[[Estado Requerimiento]:[Macro estado]],2,FALSE)</f>
        <v>02. En Proceso</v>
      </c>
      <c r="AH111" s="18"/>
      <c r="AI111" s="80"/>
      <c r="AJ111" s="80"/>
      <c r="AK111" s="80">
        <v>45812</v>
      </c>
      <c r="AL111" s="80">
        <v>45883</v>
      </c>
      <c r="AM111" s="80"/>
      <c r="AN111" s="80">
        <v>45888</v>
      </c>
      <c r="AO111" s="80">
        <v>45958</v>
      </c>
      <c r="AP111" s="81">
        <f t="shared" si="2"/>
        <v>45911.4</v>
      </c>
      <c r="AQ111" s="80"/>
      <c r="AR111" s="80"/>
      <c r="AS111" s="81">
        <f t="shared" si="3"/>
        <v>45918.400000000001</v>
      </c>
      <c r="AT111" s="19" t="s">
        <v>1332</v>
      </c>
      <c r="AU111" s="44" t="str">
        <f>VLOOKUP(Cartera1017[[#This Row],[Gerencia]],tbGerencia[#All],3,FALSE)</f>
        <v>B.Digital</v>
      </c>
      <c r="AV111" s="44" t="str">
        <f>IFERROR(VLOOKUP(Cartera1017[[#This Row],[Subgerencia]],Definiciones!$A$90:$B$144,2,FALSE),"")</f>
        <v>CanalesAlternos</v>
      </c>
      <c r="AW111" s="44" t="str">
        <f>IF(OR(LEN(Cartera1017[[#This Row],[Fecha de Solicitud]])=0,(Cartera1017[[#This Row],[Fecha de Solicitud]])="No definido"),"No definido",IF(YEAR(Cartera1017[[#This Row],[Fecha de Solicitud]])&lt;2023," &lt;  2023",TEXT(Cartera1017[[#This Row],[Fecha de Solicitud]],"yyyy-mm")))</f>
        <v>2024-01</v>
      </c>
      <c r="AX111" s="44" t="str">
        <f>IF(Cartera1017[[#This Row],[Fecha de Priorización Comité]]="","No definido",TEXT(Cartera1017[[#This Row],[Fecha de Priorización Comité]],"yyyy-mm"))</f>
        <v>2025-06</v>
      </c>
      <c r="AY111" s="44" t="str">
        <f>IF(Cartera1017[[#This Row],[Fecha Fin- Desarrollo]]="","No definido",TEXT(Cartera1017[[#This Row],[Fecha Fin- Desarrollo]],"yyyy-mm"))</f>
        <v>2025-08</v>
      </c>
      <c r="AZ111" s="44" t="str">
        <f>IF(Cartera1017[[#This Row],[Fecha Fin- Producción]]="","No definido",TEXT(Cartera1017[[#This Row],[Fecha Fin- Producción]],"yyyy-mm"))</f>
        <v>No definido</v>
      </c>
      <c r="BA111" s="44" t="str">
        <f>IF(Cartera1017[[#This Row],[Fecha Fin-Planificada]]="","No definido",TEXT(Cartera1017[[#This Row],[Fecha Fin-Planificada]],"yyyy-mm"))</f>
        <v>2025-09</v>
      </c>
      <c r="BB111" s="33"/>
      <c r="BC111" s="66"/>
      <c r="BD111" s="108"/>
      <c r="BE111" s="108"/>
      <c r="BF111" s="127"/>
      <c r="BG111" s="28" t="s">
        <v>1195</v>
      </c>
      <c r="BH11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1" s="90" t="str">
        <f>IF(ISNUMBER(Cartera1017[[#This Row],[Duracion en Dias]]),Cartera1017[[#This Row],[Duracion en Dias]]/30, "No Aplica")</f>
        <v>No Aplica</v>
      </c>
      <c r="BJ111" s="109"/>
      <c r="BK111" s="28" t="s">
        <v>506</v>
      </c>
      <c r="BL111" s="110" t="s">
        <v>655</v>
      </c>
      <c r="BM111" s="342">
        <v>46098.763668981483</v>
      </c>
      <c r="BN111" s="227"/>
      <c r="BO111" s="401"/>
      <c r="BP111" s="401"/>
      <c r="BQ11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1" s="14" t="str">
        <f>IFERROR(VLOOKUP(Cartera1017[[#This Row],[Aplicativo]],Tabla76[],2,FALSE),"Sin Aplicativo")</f>
        <v>Banca Movil</v>
      </c>
      <c r="BS111" s="14" t="str">
        <f>IFERROR(VLOOKUP(Cartera1017[[#This Row],[Aplicativo]],Tabla76[],3,FALSE),"Sin Aplicativo")</f>
        <v>Canales Virtuales</v>
      </c>
      <c r="BT111" s="400" t="s">
        <v>521</v>
      </c>
      <c r="BU111" s="33"/>
      <c r="BV111" s="28"/>
      <c r="BW11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1" s="149" t="str">
        <f ca="1">IF(Cartera1017[[#This Row],[Fecha Fin2]]="","No definido",CONCATENATE(TEXT(Cartera1017[[#This Row],[Fecha Fin2]],"mmm")," ",YEAR(Cartera1017[[#This Row],[Fecha Fin2]])))</f>
        <v>No definido</v>
      </c>
      <c r="BZ111" s="28"/>
      <c r="CA111" s="48" t="str">
        <f>IF(Cartera1017[[#This Row],[Estado TI]] = "08. Producción Finalizada","Culminado",IF(Cartera1017[[#This Row],[Estado TI]]= "09. Descartado","Descartado","Activos"))</f>
        <v>Activos</v>
      </c>
      <c r="CB111" s="199" t="s">
        <v>1267</v>
      </c>
      <c r="CC11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111" s="54" t="str">
        <f>IF(
AND(
Cartera1017[[#This Row],[DEVOLVER 27]]="NO",
NOT(ISBLANK(Cartera1017[[#This Row],[ESTADO NO DEVUELTOS 27]]))
),
"PRE",
"POST"
)</f>
        <v>PRE</v>
      </c>
      <c r="CE111" s="54" t="s">
        <v>509</v>
      </c>
      <c r="CF111" s="28" t="s">
        <v>87</v>
      </c>
      <c r="CG11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1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11" s="406">
        <f>Cartera1017[[#This Row],[Porcentaje de Avance]]</f>
        <v>0.85</v>
      </c>
      <c r="CK111" s="388">
        <f ca="1">IF(
   OR(
     Cartera1017[[#This Row],[Estado TI]]="09. Descartado",
     Cartera1017[[#This Row],[Comienzo Desarrollo]]="",
     Cartera1017[[#This Row],[Fin Producción]]=""
   ),
   "",
   Cartera1017[[#This Row],[% PLANIFICADO]]-Cartera1017[[#This Row],[% COMPLETADO]]
)</f>
        <v>0.15000000000000002</v>
      </c>
      <c r="CL111" s="388">
        <f ca="1">IF(
   OR(
     Cartera1017[[#This Row],[Estado TI]]="09. Descartado",
     Cartera1017[[#This Row],[Comienzo Desarrollo]]="",
     Cartera1017[[#This Row],[Fin Producción]]="",
     Cartera1017[[#This Row],[% PLANIFICADO]]=0
   ),
   "",
   MIN(Cartera1017[[#This Row],[% COMPLETADO]]/Cartera1017[[#This Row],[% PLANIFICADO]],1.2)
)</f>
        <v>0.85</v>
      </c>
      <c r="CM111" s="377">
        <v>45812</v>
      </c>
      <c r="CN111" s="377">
        <v>45812</v>
      </c>
      <c r="CO111" s="377">
        <v>45883</v>
      </c>
      <c r="CP111" s="377">
        <v>45888</v>
      </c>
      <c r="CQ111" s="377">
        <v>46098</v>
      </c>
      <c r="CR111" s="377">
        <v>46099</v>
      </c>
      <c r="CS111" s="377">
        <v>46111</v>
      </c>
      <c r="CT111" s="44">
        <f>IF(Cartera1017[[#This Row],[Fin Desarrollo]]="",25,IFERROR(NETWORKDAYS(Cartera1017[[#This Row],[Comienzo Desarrollo]],Cartera1017[[#This Row],[Fin Desarrollo]],FERIADOS[Fecha]),""))</f>
        <v>50</v>
      </c>
      <c r="CU11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11" s="44">
        <f>IF(OR(Cartera1017[[#This Row],[Comienzo Desarrollo]]="",Cartera1017[[#This Row],[Fin Desarrollo]]=""),200,IFERROR(Cartera1017[[#This Row],[DURACIÓN DESARROLLO DIAS]]*VLOOKUP(Cartera1017[[#This Row],[ID Mantenimiento]],MANT_HORAS[],2,FALSE),200))</f>
        <v>200</v>
      </c>
      <c r="CW111" s="110" t="s">
        <v>544</v>
      </c>
      <c r="CX111" s="110" t="str">
        <f>VLOOKUP(Cartera1017[[#This Row],[Estado TI]],Definiciones!$A$549:$B$559,2,FALSE)</f>
        <v>2. CALIDAD</v>
      </c>
      <c r="CY111" s="28">
        <f ca="1">1-Cartera1017[[#This Row],[Porcentaje avanzado desarrollo]]</f>
        <v>0</v>
      </c>
      <c r="CZ11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50</v>
      </c>
      <c r="DA111" s="28">
        <f ca="1">MAX(0,Cartera1017[[#This Row],[DURACIÓN DESARROLLO DIAS]]-Cartera1017[[#This Row],[Dias avanzados]])</f>
        <v>0</v>
      </c>
      <c r="DB111" s="28">
        <f ca="1">Cartera1017[[#This Row],[Dias avanzados]]*IFERROR(VLOOKUP(Cartera1017[[#This Row],[ID Mantenimiento]],MANT_HORAS[],2,FALSE),8)</f>
        <v>400</v>
      </c>
      <c r="DC111" s="28">
        <f ca="1">Cartera1017[[#This Row],[Dias faltantes]]*IFERROR(VLOOKUP(Cartera1017[[#This Row],[ID Mantenimiento]],MANT_HORAS[],2,FALSE),8)</f>
        <v>0</v>
      </c>
      <c r="DD111" s="28" t="str">
        <f>IF(Cartera1017[[#This Row],[Fin Producción]]=0,"Por definir",CONCATENATE(YEAR(Cartera1017[[#This Row],[Fin Producción]]),"-",ROUNDUP(MONTH(Cartera1017[[#This Row],[Fin Producción]]),0)))</f>
        <v>2026-3</v>
      </c>
      <c r="DE111" s="18" t="s">
        <v>510</v>
      </c>
      <c r="DF111" s="28" t="s">
        <v>1329</v>
      </c>
      <c r="DG111" s="28" t="s">
        <v>585</v>
      </c>
      <c r="DH111" s="565"/>
    </row>
    <row r="112" spans="1:112" ht="44.25" hidden="1" customHeight="1">
      <c r="A112" s="229" t="s">
        <v>1333</v>
      </c>
      <c r="B112" s="18">
        <v>2867</v>
      </c>
      <c r="C112" s="18" t="s">
        <v>485</v>
      </c>
      <c r="D112" s="18" t="s">
        <v>1334</v>
      </c>
      <c r="E112" s="18" t="s">
        <v>251</v>
      </c>
      <c r="F112" s="60" t="s">
        <v>252</v>
      </c>
      <c r="G112" s="33" t="s">
        <v>1335</v>
      </c>
      <c r="H112" s="18" t="s">
        <v>40</v>
      </c>
      <c r="I112" s="18" t="s">
        <v>490</v>
      </c>
      <c r="J112" s="18" t="s">
        <v>1336</v>
      </c>
      <c r="K112" s="20">
        <v>45791</v>
      </c>
      <c r="L112" s="18" t="s">
        <v>1337</v>
      </c>
      <c r="M112" s="50" t="s">
        <v>1338</v>
      </c>
      <c r="N112" s="50" t="s">
        <v>1168</v>
      </c>
      <c r="O112" s="18" t="s">
        <v>530</v>
      </c>
      <c r="P112" s="18" t="s">
        <v>1336</v>
      </c>
      <c r="Q112" s="18" t="s">
        <v>822</v>
      </c>
      <c r="R112" s="18" t="s">
        <v>497</v>
      </c>
      <c r="S112" s="18"/>
      <c r="T112" s="18"/>
      <c r="U112" s="18"/>
      <c r="V112" s="18"/>
      <c r="W112" s="18"/>
      <c r="X112" s="18"/>
      <c r="Y112" s="80" t="s">
        <v>495</v>
      </c>
      <c r="Z112" s="18" t="s">
        <v>499</v>
      </c>
      <c r="AA112" s="20">
        <v>45835</v>
      </c>
      <c r="AB112" s="18" t="s">
        <v>533</v>
      </c>
      <c r="AC112" s="18" t="s">
        <v>558</v>
      </c>
      <c r="AD112" s="397" t="s">
        <v>190</v>
      </c>
      <c r="AE112" s="18" t="s">
        <v>47</v>
      </c>
      <c r="AF112" s="39" t="s">
        <v>48</v>
      </c>
      <c r="AG112" s="398" t="str">
        <f>VLOOKUP(AF112,Tabla3[[Estado Requerimiento]:[Macro estado]],2,FALSE)</f>
        <v>02. En Proceso</v>
      </c>
      <c r="AH112" s="18" t="s">
        <v>837</v>
      </c>
      <c r="AI112" s="80"/>
      <c r="AJ112" s="80"/>
      <c r="AK112" s="80">
        <v>45967</v>
      </c>
      <c r="AL112" s="80"/>
      <c r="AM112" s="80"/>
      <c r="AN112" s="80"/>
      <c r="AO112" s="80"/>
      <c r="AP112" s="81" t="str">
        <f t="shared" si="2"/>
        <v/>
      </c>
      <c r="AQ112" s="80"/>
      <c r="AR112" s="80"/>
      <c r="AS112" s="81" t="str">
        <f t="shared" si="3"/>
        <v/>
      </c>
      <c r="AT112" s="19" t="s">
        <v>1339</v>
      </c>
      <c r="AU112" s="44" t="str">
        <f>VLOOKUP(Cartera1017[[#This Row],[Gerencia]],tbGerencia[#All],3,FALSE)</f>
        <v>Operac.</v>
      </c>
      <c r="AV112" s="44" t="str">
        <f>IFERROR(VLOOKUP(Cartera1017[[#This Row],[Subgerencia]],Definiciones!$A$90:$B$144,2,FALSE),"")</f>
        <v>BancariosRecaudación</v>
      </c>
      <c r="AW112" s="44" t="str">
        <f>IF(OR(LEN(Cartera1017[[#This Row],[Fecha de Solicitud]])=0,(Cartera1017[[#This Row],[Fecha de Solicitud]])="No definido"),"No definido",IF(YEAR(Cartera1017[[#This Row],[Fecha de Solicitud]])&lt;2023," &lt;  2023",TEXT(Cartera1017[[#This Row],[Fecha de Solicitud]],"yyyy-mm")))</f>
        <v>2025-05</v>
      </c>
      <c r="AX112" s="44" t="str">
        <f>IF(Cartera1017[[#This Row],[Fecha de Priorización Comité]]="","No definido",TEXT(Cartera1017[[#This Row],[Fecha de Priorización Comité]],"yyyy-mm"))</f>
        <v>2025-06</v>
      </c>
      <c r="AY112" s="44" t="str">
        <f>IF(Cartera1017[[#This Row],[Fecha Fin- Desarrollo]]="","No definido",TEXT(Cartera1017[[#This Row],[Fecha Fin- Desarrollo]],"yyyy-mm"))</f>
        <v>No definido</v>
      </c>
      <c r="AZ112" s="44" t="str">
        <f>IF(Cartera1017[[#This Row],[Fecha Fin- Producción]]="","No definido",TEXT(Cartera1017[[#This Row],[Fecha Fin- Producción]],"yyyy-mm"))</f>
        <v>No definido</v>
      </c>
      <c r="BA112" s="44" t="str">
        <f>IF(Cartera1017[[#This Row],[Fecha Fin-Planificada]]="","No definido",TEXT(Cartera1017[[#This Row],[Fecha Fin-Planificada]],"yyyy-mm"))</f>
        <v>No definido</v>
      </c>
      <c r="BB112" s="33"/>
      <c r="BC112" s="66"/>
      <c r="BD112" s="108"/>
      <c r="BE112" s="108"/>
      <c r="BF112" s="127"/>
      <c r="BG112" s="28" t="s">
        <v>1195</v>
      </c>
      <c r="BH11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2" s="90" t="str">
        <f>IF(ISNUMBER(Cartera1017[[#This Row],[Duracion en Dias]]),Cartera1017[[#This Row],[Duracion en Dias]]/30, "No Aplica")</f>
        <v>No Aplica</v>
      </c>
      <c r="BJ112" s="109"/>
      <c r="BK112" s="28" t="s">
        <v>613</v>
      </c>
      <c r="BL112" s="110" t="s">
        <v>592</v>
      </c>
      <c r="BM112" s="342">
        <v>46160.440162037034</v>
      </c>
      <c r="BN112" s="227"/>
      <c r="BO112" s="401"/>
      <c r="BP112" s="401"/>
      <c r="BQ11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2" s="14" t="str">
        <f>IFERROR(VLOOKUP(Cartera1017[[#This Row],[Aplicativo]],Tabla76[],2,FALSE),"Sin Aplicativo")</f>
        <v>BackOffice</v>
      </c>
      <c r="BS112" s="14" t="str">
        <f>IFERROR(VLOOKUP(Cartera1017[[#This Row],[Aplicativo]],Tabla76[],3,FALSE),"Sin Aplicativo")</f>
        <v>Otros Requerimientos</v>
      </c>
      <c r="BT112" s="400" t="s">
        <v>521</v>
      </c>
      <c r="BU112" s="33"/>
      <c r="BV112" s="28"/>
      <c r="BW11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2" s="149" t="str">
        <f ca="1">IF(Cartera1017[[#This Row],[Fecha Fin2]]="","No definido",CONCATENATE(TEXT(Cartera1017[[#This Row],[Fecha Fin2]],"mmm")," ",YEAR(Cartera1017[[#This Row],[Fecha Fin2]])))</f>
        <v>No definido</v>
      </c>
      <c r="BZ112" s="28"/>
      <c r="CA112" s="48" t="str">
        <f>IF(Cartera1017[[#This Row],[Estado TI]] = "08. Producción Finalizada","Culminado",IF(Cartera1017[[#This Row],[Estado TI]]= "09. Descartado","Descartado","Activos"))</f>
        <v>Activos</v>
      </c>
      <c r="CB112" s="28"/>
      <c r="CC11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12" s="54" t="str">
        <f>IF(
AND(
Cartera1017[[#This Row],[DEVOLVER 27]]="NO",
NOT(ISBLANK(Cartera1017[[#This Row],[ESTADO NO DEVUELTOS 27]]))
),
"PRE",
"POST"
)</f>
        <v>POST</v>
      </c>
      <c r="CE112" s="54" t="s">
        <v>523</v>
      </c>
      <c r="CF112" s="28" t="s">
        <v>524</v>
      </c>
      <c r="CG11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1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112" s="406">
        <f>Cartera1017[[#This Row],[Porcentaje de Avance]]</f>
        <v>0.25</v>
      </c>
      <c r="CK112" s="388">
        <f ca="1">IF(
   OR(
     Cartera1017[[#This Row],[Estado TI]]="09. Descartado",
     Cartera1017[[#This Row],[Comienzo Desarrollo]]="",
     Cartera1017[[#This Row],[Fin Producción]]=""
   ),
   "",
   Cartera1017[[#This Row],[% PLANIFICADO]]-Cartera1017[[#This Row],[% COMPLETADO]]
)</f>
        <v>-0.25</v>
      </c>
      <c r="CL112" s="388" t="str">
        <f ca="1">IF(
   OR(
     Cartera1017[[#This Row],[Estado TI]]="09. Descartado",
     Cartera1017[[#This Row],[Comienzo Desarrollo]]="",
     Cartera1017[[#This Row],[Fin Producción]]="",
     Cartera1017[[#This Row],[% PLANIFICADO]]=0
   ),
   "",
   MIN(Cartera1017[[#This Row],[% COMPLETADO]]/Cartera1017[[#This Row],[% PLANIFICADO]],1.2)
)</f>
        <v/>
      </c>
      <c r="CM112" s="377"/>
      <c r="CN112" s="377">
        <v>46219</v>
      </c>
      <c r="CO112" s="377">
        <v>46265</v>
      </c>
      <c r="CP112" s="377">
        <v>46266</v>
      </c>
      <c r="CQ112" s="377">
        <v>46295</v>
      </c>
      <c r="CR112" s="377">
        <v>46296</v>
      </c>
      <c r="CS112" s="377">
        <v>46305</v>
      </c>
      <c r="CT112" s="44">
        <f>IF(Cartera1017[[#This Row],[Fin Desarrollo]]="",25,IFERROR(NETWORKDAYS(Cartera1017[[#This Row],[Comienzo Desarrollo]],Cartera1017[[#This Row],[Fin Desarrollo]],FERIADOS[Fecha]),""))</f>
        <v>31</v>
      </c>
      <c r="CU11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V112" s="44">
        <f>IF(OR(Cartera1017[[#This Row],[Comienzo Desarrollo]]="",Cartera1017[[#This Row],[Fin Desarrollo]]=""),200,IFERROR(Cartera1017[[#This Row],[DURACIÓN DESARROLLO DIAS]]*VLOOKUP(Cartera1017[[#This Row],[ID Mantenimiento]],MANT_HORAS[],2,FALSE),200))</f>
        <v>82.666666666666657</v>
      </c>
      <c r="CW112" s="110"/>
      <c r="CX112" s="110" t="str">
        <f>VLOOKUP(Cartera1017[[#This Row],[Estado TI]],Definiciones!$A$549:$B$559,2,FALSE)</f>
        <v>1. DESARROLLO</v>
      </c>
      <c r="CY112" s="28">
        <f ca="1">1-Cartera1017[[#This Row],[Porcentaje avanzado desarrollo]]</f>
        <v>1</v>
      </c>
      <c r="CZ11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112" s="28">
        <f ca="1">MAX(0,Cartera1017[[#This Row],[DURACIÓN DESARROLLO DIAS]]-Cartera1017[[#This Row],[Dias avanzados]])</f>
        <v>31</v>
      </c>
      <c r="DB112" s="28">
        <f ca="1">Cartera1017[[#This Row],[Dias avanzados]]*IFERROR(VLOOKUP(Cartera1017[[#This Row],[ID Mantenimiento]],MANT_HORAS[],2,FALSE),8)</f>
        <v>0</v>
      </c>
      <c r="DC112" s="28">
        <f ca="1">Cartera1017[[#This Row],[Dias faltantes]]*IFERROR(VLOOKUP(Cartera1017[[#This Row],[ID Mantenimiento]],MANT_HORAS[],2,FALSE),8)</f>
        <v>82.666666666666657</v>
      </c>
      <c r="DD112" s="28" t="str">
        <f>IF(Cartera1017[[#This Row],[Fin Producción]]=0,"Por definir",CONCATENATE(YEAR(Cartera1017[[#This Row],[Fin Producción]]),"-",ROUNDUP(MONTH(Cartera1017[[#This Row],[Fin Producción]]),0)))</f>
        <v>2026-10</v>
      </c>
      <c r="DE112" s="18" t="s">
        <v>510</v>
      </c>
      <c r="DF112" s="28"/>
      <c r="DG112" s="28"/>
      <c r="DH112" s="565"/>
    </row>
    <row r="113" spans="1:112" ht="44.25" hidden="1" customHeight="1">
      <c r="A113" s="229" t="s">
        <v>1340</v>
      </c>
      <c r="B113" s="18">
        <v>2868</v>
      </c>
      <c r="C113" s="18" t="s">
        <v>485</v>
      </c>
      <c r="D113" s="18" t="s">
        <v>1341</v>
      </c>
      <c r="E113" s="18" t="s">
        <v>1342</v>
      </c>
      <c r="F113" s="33" t="s">
        <v>1343</v>
      </c>
      <c r="G113" s="33"/>
      <c r="H113" s="18" t="s">
        <v>40</v>
      </c>
      <c r="I113" s="18" t="s">
        <v>490</v>
      </c>
      <c r="J113" s="18" t="s">
        <v>662</v>
      </c>
      <c r="K113" s="20">
        <v>45815</v>
      </c>
      <c r="L113" s="18" t="s">
        <v>1344</v>
      </c>
      <c r="M113" s="50" t="s">
        <v>931</v>
      </c>
      <c r="N113" s="50" t="s">
        <v>1345</v>
      </c>
      <c r="O113" s="18" t="s">
        <v>1295</v>
      </c>
      <c r="P113" s="18" t="s">
        <v>495</v>
      </c>
      <c r="Q113" s="18" t="s">
        <v>496</v>
      </c>
      <c r="R113" s="18" t="s">
        <v>497</v>
      </c>
      <c r="S113" s="18"/>
      <c r="T113" s="18"/>
      <c r="U113" s="18"/>
      <c r="V113" s="18"/>
      <c r="W113" s="18" t="s">
        <v>495</v>
      </c>
      <c r="X113" s="18" t="s">
        <v>495</v>
      </c>
      <c r="Y113" s="80" t="s">
        <v>495</v>
      </c>
      <c r="Z113" s="18" t="s">
        <v>499</v>
      </c>
      <c r="AA113" s="20">
        <v>45835</v>
      </c>
      <c r="AB113" s="18" t="s">
        <v>500</v>
      </c>
      <c r="AC113" s="18" t="s">
        <v>558</v>
      </c>
      <c r="AD113" s="18" t="s">
        <v>79</v>
      </c>
      <c r="AE113" s="18" t="s">
        <v>41</v>
      </c>
      <c r="AF113" s="18" t="s">
        <v>53</v>
      </c>
      <c r="AG113" s="14" t="str">
        <f>VLOOKUP(AF113,Tabla3[[Estado Requerimiento]:[Macro estado]],2,FALSE)</f>
        <v>03. Culminado</v>
      </c>
      <c r="AH113" s="18"/>
      <c r="AI113" s="80"/>
      <c r="AJ113" s="80"/>
      <c r="AK113" s="80">
        <v>45992</v>
      </c>
      <c r="AL113" s="80">
        <v>45992</v>
      </c>
      <c r="AM113" s="80"/>
      <c r="AN113" s="80">
        <v>45992</v>
      </c>
      <c r="AO113" s="80">
        <v>46002</v>
      </c>
      <c r="AP113" s="81">
        <f t="shared" si="2"/>
        <v>45992</v>
      </c>
      <c r="AQ113" s="80">
        <v>46029</v>
      </c>
      <c r="AR113" s="80">
        <v>46035</v>
      </c>
      <c r="AS113" s="81">
        <f t="shared" si="3"/>
        <v>45999</v>
      </c>
      <c r="AT113" s="19" t="s">
        <v>1346</v>
      </c>
      <c r="AU113" s="44" t="str">
        <f>VLOOKUP(Cartera1017[[#This Row],[Gerencia]],tbGerencia[#All],3,FALSE)</f>
        <v>Operac.</v>
      </c>
      <c r="AV113" s="44" t="str">
        <f>IFERROR(VLOOKUP(Cartera1017[[#This Row],[Subgerencia]],Definiciones!$A$90:$B$144,2,FALSE),"")</f>
        <v>BancariosRecaudación</v>
      </c>
      <c r="AW113" s="44" t="str">
        <f>IF(OR(LEN(Cartera1017[[#This Row],[Fecha de Solicitud]])=0,(Cartera1017[[#This Row],[Fecha de Solicitud]])="No definido"),"No definido",IF(YEAR(Cartera1017[[#This Row],[Fecha de Solicitud]])&lt;2023," &lt;  2023",TEXT(Cartera1017[[#This Row],[Fecha de Solicitud]],"yyyy-mm")))</f>
        <v>2025-06</v>
      </c>
      <c r="AX113" s="44" t="str">
        <f>IF(Cartera1017[[#This Row],[Fecha de Priorización Comité]]="","No definido",TEXT(Cartera1017[[#This Row],[Fecha de Priorización Comité]],"yyyy-mm"))</f>
        <v>2025-06</v>
      </c>
      <c r="AY113" s="44" t="str">
        <f>IF(Cartera1017[[#This Row],[Fecha Fin- Desarrollo]]="","No definido",TEXT(Cartera1017[[#This Row],[Fecha Fin- Desarrollo]],"yyyy-mm"))</f>
        <v>2025-12</v>
      </c>
      <c r="AZ113" s="44" t="str">
        <f>IF(Cartera1017[[#This Row],[Fecha Fin- Producción]]="","No definido",TEXT(Cartera1017[[#This Row],[Fecha Fin- Producción]],"yyyy-mm"))</f>
        <v>2026-01</v>
      </c>
      <c r="BA113" s="44" t="str">
        <f>IF(Cartera1017[[#This Row],[Fecha Fin-Planificada]]="","No definido",TEXT(Cartera1017[[#This Row],[Fecha Fin-Planificada]],"yyyy-mm"))</f>
        <v>2025-12</v>
      </c>
      <c r="BB113" s="33"/>
      <c r="BC113" s="66"/>
      <c r="BD113" s="108"/>
      <c r="BE113" s="108"/>
      <c r="BF113" s="127"/>
      <c r="BG113" s="28" t="s">
        <v>1195</v>
      </c>
      <c r="BH11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43</v>
      </c>
      <c r="BI113" s="90">
        <f>IF(ISNUMBER(Cartera1017[[#This Row],[Duracion en Dias]]),Cartera1017[[#This Row],[Duracion en Dias]]/30, "No Aplica")</f>
        <v>1.4333333333333333</v>
      </c>
      <c r="BJ113" s="109"/>
      <c r="BK113" s="28" t="s">
        <v>506</v>
      </c>
      <c r="BL113" s="110" t="s">
        <v>536</v>
      </c>
      <c r="BM113" s="342">
        <v>46035.737858796296</v>
      </c>
      <c r="BN113" s="227"/>
      <c r="BO113" s="401"/>
      <c r="BP113" s="401"/>
      <c r="BQ11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13" s="14" t="str">
        <f>IFERROR(VLOOKUP(Cartera1017[[#This Row],[Aplicativo]],Tabla76[],2,FALSE),"Sin Aplicativo")</f>
        <v>BackOffice</v>
      </c>
      <c r="BS113" s="14" t="str">
        <f>IFERROR(VLOOKUP(Cartera1017[[#This Row],[Aplicativo]],Tabla76[],3,FALSE),"Sin Aplicativo")</f>
        <v>Otros Requerimientos</v>
      </c>
      <c r="BT113" s="400" t="s">
        <v>521</v>
      </c>
      <c r="BU113" s="33"/>
      <c r="BV113" s="28"/>
      <c r="BW11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1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13" s="149" t="str">
        <f ca="1">IF(Cartera1017[[#This Row],[Fecha Fin2]]="","No definido",CONCATENATE(TEXT(Cartera1017[[#This Row],[Fecha Fin2]],"mmm")," ",YEAR(Cartera1017[[#This Row],[Fecha Fin2]])))</f>
        <v>Ene 2026</v>
      </c>
      <c r="BZ113" s="28"/>
      <c r="CA113" s="48" t="str">
        <f>IF(Cartera1017[[#This Row],[Estado TI]] = "08. Producción Finalizada","Culminado",IF(Cartera1017[[#This Row],[Estado TI]]= "09. Descartado","Descartado","Activos"))</f>
        <v>Culminado</v>
      </c>
      <c r="CB113" s="28"/>
      <c r="CC11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13" s="54" t="str">
        <f>IF(
AND(
Cartera1017[[#This Row],[DEVOLVER 27]]="NO",
NOT(ISBLANK(Cartera1017[[#This Row],[ESTADO NO DEVUELTOS 27]]))
),
"PRE",
"POST"
)</f>
        <v>PRE</v>
      </c>
      <c r="CE113" s="54" t="s">
        <v>509</v>
      </c>
      <c r="CF113" s="28" t="s">
        <v>87</v>
      </c>
      <c r="CG11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1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1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13" s="406">
        <f>Cartera1017[[#This Row],[Porcentaje de Avance]]</f>
        <v>1</v>
      </c>
      <c r="CK113" s="388">
        <f ca="1">IF(
   OR(
     Cartera1017[[#This Row],[Estado TI]]="09. Descartado",
     Cartera1017[[#This Row],[Comienzo Desarrollo]]="",
     Cartera1017[[#This Row],[Fin Producción]]=""
   ),
   "",
   Cartera1017[[#This Row],[% PLANIFICADO]]-Cartera1017[[#This Row],[% COMPLETADO]]
)</f>
        <v>0</v>
      </c>
      <c r="CL113" s="388">
        <f ca="1">IF(
   OR(
     Cartera1017[[#This Row],[Estado TI]]="09. Descartado",
     Cartera1017[[#This Row],[Comienzo Desarrollo]]="",
     Cartera1017[[#This Row],[Fin Producción]]="",
     Cartera1017[[#This Row],[% PLANIFICADO]]=0
   ),
   "",
   MIN(Cartera1017[[#This Row],[% COMPLETADO]]/Cartera1017[[#This Row],[% PLANIFICADO]],1.2)
)</f>
        <v>1</v>
      </c>
      <c r="CM113" s="377">
        <v>45992</v>
      </c>
      <c r="CN113" s="377">
        <v>45992</v>
      </c>
      <c r="CO113" s="377">
        <v>45992</v>
      </c>
      <c r="CP113" s="377">
        <v>45992</v>
      </c>
      <c r="CQ113" s="377">
        <v>46002</v>
      </c>
      <c r="CR113" s="377">
        <v>46029</v>
      </c>
      <c r="CS113" s="377">
        <v>46038</v>
      </c>
      <c r="CT113" s="44">
        <f>IF(Cartera1017[[#This Row],[Fin Desarrollo]]="",25,IFERROR(NETWORKDAYS(Cartera1017[[#This Row],[Comienzo Desarrollo]],Cartera1017[[#This Row],[Fin Desarrollo]],FERIADOS[Fecha]),""))</f>
        <v>1</v>
      </c>
      <c r="CU11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13" s="44">
        <f>IF(OR(Cartera1017[[#This Row],[Comienzo Desarrollo]]="",Cartera1017[[#This Row],[Fin Desarrollo]]=""),200,IFERROR(Cartera1017[[#This Row],[DURACIÓN DESARROLLO DIAS]]*VLOOKUP(Cartera1017[[#This Row],[ID Mantenimiento]],MANT_HORAS[],2,FALSE),200))</f>
        <v>200</v>
      </c>
      <c r="CW113" s="110"/>
      <c r="CX113" s="110" t="str">
        <f>VLOOKUP(Cartera1017[[#This Row],[Estado TI]],Definiciones!$A$549:$B$559,2,FALSE)</f>
        <v>4. PRODUCCIÓN</v>
      </c>
      <c r="CY113" s="28">
        <f ca="1">1-Cartera1017[[#This Row],[Porcentaje avanzado desarrollo]]</f>
        <v>0</v>
      </c>
      <c r="CZ11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13" s="28">
        <f ca="1">MAX(0,Cartera1017[[#This Row],[DURACIÓN DESARROLLO DIAS]]-Cartera1017[[#This Row],[Dias avanzados]])</f>
        <v>0</v>
      </c>
      <c r="DB113" s="28">
        <f ca="1">Cartera1017[[#This Row],[Dias avanzados]]*IFERROR(VLOOKUP(Cartera1017[[#This Row],[ID Mantenimiento]],MANT_HORAS[],2,FALSE),8)</f>
        <v>8</v>
      </c>
      <c r="DC113" s="28">
        <f ca="1">Cartera1017[[#This Row],[Dias faltantes]]*IFERROR(VLOOKUP(Cartera1017[[#This Row],[ID Mantenimiento]],MANT_HORAS[],2,FALSE),8)</f>
        <v>0</v>
      </c>
      <c r="DD113" s="28" t="str">
        <f>IF(Cartera1017[[#This Row],[Fin Producción]]=0,"Por definir",CONCATENATE(YEAR(Cartera1017[[#This Row],[Fin Producción]]),"-",ROUNDUP(MONTH(Cartera1017[[#This Row],[Fin Producción]]),0)))</f>
        <v>2026-1</v>
      </c>
      <c r="DE113" s="18" t="s">
        <v>510</v>
      </c>
      <c r="DF113" s="28"/>
      <c r="DG113" s="28"/>
      <c r="DH113" s="565"/>
    </row>
    <row r="114" spans="1:112" ht="44.25" hidden="1" customHeight="1">
      <c r="A114" s="229" t="s">
        <v>1347</v>
      </c>
      <c r="B114" s="18">
        <v>2873</v>
      </c>
      <c r="C114" s="18" t="s">
        <v>485</v>
      </c>
      <c r="D114" s="18" t="s">
        <v>1348</v>
      </c>
      <c r="E114" s="18" t="s">
        <v>253</v>
      </c>
      <c r="F114" s="33" t="s">
        <v>254</v>
      </c>
      <c r="G114" s="33" t="s">
        <v>1349</v>
      </c>
      <c r="H114" s="18" t="s">
        <v>59</v>
      </c>
      <c r="I114" s="18" t="s">
        <v>759</v>
      </c>
      <c r="J114" s="18" t="s">
        <v>1350</v>
      </c>
      <c r="K114" s="20">
        <v>45826</v>
      </c>
      <c r="L114" s="18" t="s">
        <v>1351</v>
      </c>
      <c r="M114" s="50" t="s">
        <v>1352</v>
      </c>
      <c r="N114" s="50"/>
      <c r="O114" s="18" t="s">
        <v>530</v>
      </c>
      <c r="P114" s="18" t="s">
        <v>495</v>
      </c>
      <c r="Q114" s="18" t="s">
        <v>942</v>
      </c>
      <c r="R114" s="18" t="s">
        <v>599</v>
      </c>
      <c r="S114" s="18" t="s">
        <v>599</v>
      </c>
      <c r="T114" s="18" t="s">
        <v>632</v>
      </c>
      <c r="U114" s="18" t="s">
        <v>1353</v>
      </c>
      <c r="V114" s="18"/>
      <c r="W114" s="18"/>
      <c r="X114" s="18"/>
      <c r="Y114" s="80"/>
      <c r="Z114" s="18" t="s">
        <v>499</v>
      </c>
      <c r="AA114" s="20">
        <v>45835</v>
      </c>
      <c r="AB114" s="18" t="s">
        <v>533</v>
      </c>
      <c r="AC114" s="18"/>
      <c r="AD114" s="18"/>
      <c r="AE114" s="18" t="s">
        <v>47</v>
      </c>
      <c r="AF114" s="18" t="s">
        <v>28</v>
      </c>
      <c r="AG114" s="14" t="str">
        <f>VLOOKUP(AF114,Tabla3[[Estado Requerimiento]:[Macro estado]],2,FALSE)</f>
        <v>04. Paralizado</v>
      </c>
      <c r="AH114" s="18" t="s">
        <v>659</v>
      </c>
      <c r="AI114" s="80"/>
      <c r="AJ114" s="80"/>
      <c r="AK114" s="80"/>
      <c r="AL114" s="80"/>
      <c r="AM114" s="80"/>
      <c r="AN114" s="80"/>
      <c r="AO114" s="80"/>
      <c r="AP114" s="81" t="str">
        <f t="shared" si="2"/>
        <v/>
      </c>
      <c r="AQ114" s="80"/>
      <c r="AR114" s="80"/>
      <c r="AS114" s="81" t="str">
        <f t="shared" si="3"/>
        <v/>
      </c>
      <c r="AT114" s="19" t="s">
        <v>1354</v>
      </c>
      <c r="AU114" s="44" t="str">
        <f>VLOOKUP(Cartera1017[[#This Row],[Gerencia]],tbGerencia[#All],3,FALSE)</f>
        <v>RRHH</v>
      </c>
      <c r="AV114" s="44" t="str">
        <f>IFERROR(VLOOKUP(Cartera1017[[#This Row],[Subgerencia]],Definiciones!$A$90:$B$144,2,FALSE),"")</f>
        <v>DesarrolloTalento</v>
      </c>
      <c r="AW114" s="44" t="str">
        <f>IF(OR(LEN(Cartera1017[[#This Row],[Fecha de Solicitud]])=0,(Cartera1017[[#This Row],[Fecha de Solicitud]])="No definido"),"No definido",IF(YEAR(Cartera1017[[#This Row],[Fecha de Solicitud]])&lt;2023," &lt;  2023",TEXT(Cartera1017[[#This Row],[Fecha de Solicitud]],"yyyy-mm")))</f>
        <v>2025-06</v>
      </c>
      <c r="AX114" s="44" t="str">
        <f>IF(Cartera1017[[#This Row],[Fecha de Priorización Comité]]="","No definido",TEXT(Cartera1017[[#This Row],[Fecha de Priorización Comité]],"yyyy-mm"))</f>
        <v>2025-06</v>
      </c>
      <c r="AY114" s="44" t="str">
        <f>IF(Cartera1017[[#This Row],[Fecha Fin- Desarrollo]]="","No definido",TEXT(Cartera1017[[#This Row],[Fecha Fin- Desarrollo]],"yyyy-mm"))</f>
        <v>No definido</v>
      </c>
      <c r="AZ114" s="44" t="str">
        <f>IF(Cartera1017[[#This Row],[Fecha Fin- Producción]]="","No definido",TEXT(Cartera1017[[#This Row],[Fecha Fin- Producción]],"yyyy-mm"))</f>
        <v>No definido</v>
      </c>
      <c r="BA114" s="44" t="str">
        <f>IF(Cartera1017[[#This Row],[Fecha Fin-Planificada]]="","No definido",TEXT(Cartera1017[[#This Row],[Fecha Fin-Planificada]],"yyyy-mm"))</f>
        <v>No definido</v>
      </c>
      <c r="BB114" s="33"/>
      <c r="BC114" s="66"/>
      <c r="BD114" s="108"/>
      <c r="BE114" s="108"/>
      <c r="BF114" s="127"/>
      <c r="BG114" s="28" t="s">
        <v>1195</v>
      </c>
      <c r="BH11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14" s="90" t="str">
        <f>IF(ISNUMBER(Cartera1017[[#This Row],[Duracion en Dias]]),Cartera1017[[#This Row],[Duracion en Dias]]/30, "No Aplica")</f>
        <v>No Aplica</v>
      </c>
      <c r="BJ114" s="109"/>
      <c r="BK114" s="28"/>
      <c r="BL114" s="110" t="s">
        <v>562</v>
      </c>
      <c r="BM114" s="342">
        <v>46010.759641203702</v>
      </c>
      <c r="BN114" s="227"/>
      <c r="BO114" s="401"/>
      <c r="BP114" s="401"/>
      <c r="BQ11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4" s="14" t="str">
        <f>IFERROR(VLOOKUP(Cartera1017[[#This Row],[Aplicativo]],Tabla76[],2,FALSE),"Sin Aplicativo")</f>
        <v>BackOffice</v>
      </c>
      <c r="BS114" s="14" t="str">
        <f>IFERROR(VLOOKUP(Cartera1017[[#This Row],[Aplicativo]],Tabla76[],3,FALSE),"Sin Aplicativo")</f>
        <v>Otros Requerimientos</v>
      </c>
      <c r="BT114" s="400" t="s">
        <v>521</v>
      </c>
      <c r="BU114" s="33"/>
      <c r="BV114" s="28"/>
      <c r="BW11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4" s="149" t="str">
        <f ca="1">IF(Cartera1017[[#This Row],[Fecha Fin2]]="","No definido",CONCATENATE(TEXT(Cartera1017[[#This Row],[Fecha Fin2]],"mmm")," ",YEAR(Cartera1017[[#This Row],[Fecha Fin2]])))</f>
        <v>No definido</v>
      </c>
      <c r="BZ114" s="28"/>
      <c r="CA114" s="48" t="str">
        <f>IF(Cartera1017[[#This Row],[Estado TI]] = "08. Producción Finalizada","Culminado",IF(Cartera1017[[#This Row],[Estado TI]]= "09. Descartado","Descartado","Activos"))</f>
        <v>Activos</v>
      </c>
      <c r="CB114" s="28"/>
      <c r="CC11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14" s="54" t="str">
        <f>IF(
AND(
Cartera1017[[#This Row],[DEVOLVER 27]]="NO",
NOT(ISBLANK(Cartera1017[[#This Row],[ESTADO NO DEVUELTOS 27]]))
),
"PRE",
"POST"
)</f>
        <v>POST</v>
      </c>
      <c r="CE114" s="54" t="s">
        <v>523</v>
      </c>
      <c r="CF114" s="28" t="s">
        <v>524</v>
      </c>
      <c r="CG11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1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1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114" s="406">
        <f>Cartera1017[[#This Row],[Porcentaje de Avance]]</f>
        <v>0.12</v>
      </c>
      <c r="CK114" s="388">
        <f ca="1">IF(
   OR(
     Cartera1017[[#This Row],[Estado TI]]="09. Descartado",
     Cartera1017[[#This Row],[Comienzo Desarrollo]]="",
     Cartera1017[[#This Row],[Fin Producción]]=""
   ),
   "",
   Cartera1017[[#This Row],[% PLANIFICADO]]-Cartera1017[[#This Row],[% COMPLETADO]]
)</f>
        <v>-0.12</v>
      </c>
      <c r="CL114" s="388" t="str">
        <f ca="1">IF(
   OR(
     Cartera1017[[#This Row],[Estado TI]]="09. Descartado",
     Cartera1017[[#This Row],[Comienzo Desarrollo]]="",
     Cartera1017[[#This Row],[Fin Producción]]="",
     Cartera1017[[#This Row],[% PLANIFICADO]]=0
   ),
   "",
   MIN(Cartera1017[[#This Row],[% COMPLETADO]]/Cartera1017[[#This Row],[% PLANIFICADO]],1.2)
)</f>
        <v/>
      </c>
      <c r="CM114" s="377"/>
      <c r="CN114" s="377">
        <v>46204</v>
      </c>
      <c r="CO114" s="377">
        <v>46264</v>
      </c>
      <c r="CP114" s="377">
        <v>46266</v>
      </c>
      <c r="CQ114" s="377">
        <v>46295</v>
      </c>
      <c r="CR114" s="377">
        <v>46296</v>
      </c>
      <c r="CS114" s="377">
        <v>46300</v>
      </c>
      <c r="CT114" s="44">
        <f>IF(Cartera1017[[#This Row],[Fin Desarrollo]]="",25,IFERROR(NETWORKDAYS(Cartera1017[[#This Row],[Comienzo Desarrollo]],Cartera1017[[#This Row],[Fin Desarrollo]],FERIADOS[Fecha]),""))</f>
        <v>41</v>
      </c>
      <c r="CU11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V114" s="44">
        <f>IF(OR(Cartera1017[[#This Row],[Comienzo Desarrollo]]="",Cartera1017[[#This Row],[Fin Desarrollo]]=""),200,IFERROR(Cartera1017[[#This Row],[DURACIÓN DESARROLLO DIAS]]*VLOOKUP(Cartera1017[[#This Row],[ID Mantenimiento]],MANT_HORAS[],2,FALSE),200))</f>
        <v>200</v>
      </c>
      <c r="CW114" s="110"/>
      <c r="CX114" s="110" t="str">
        <f>VLOOKUP(Cartera1017[[#This Row],[Estado TI]],Definiciones!$A$549:$B$559,2,FALSE)</f>
        <v>6. PARALIZADO</v>
      </c>
      <c r="CY114" s="28">
        <f ca="1">1-Cartera1017[[#This Row],[Porcentaje avanzado desarrollo]]</f>
        <v>1</v>
      </c>
      <c r="CZ11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114" s="28">
        <f ca="1">MAX(0,Cartera1017[[#This Row],[DURACIÓN DESARROLLO DIAS]]-Cartera1017[[#This Row],[Dias avanzados]])</f>
        <v>41</v>
      </c>
      <c r="DB114" s="28">
        <f ca="1">Cartera1017[[#This Row],[Dias avanzados]]*IFERROR(VLOOKUP(Cartera1017[[#This Row],[ID Mantenimiento]],MANT_HORAS[],2,FALSE),8)</f>
        <v>0</v>
      </c>
      <c r="DC114" s="28">
        <f ca="1">Cartera1017[[#This Row],[Dias faltantes]]*IFERROR(VLOOKUP(Cartera1017[[#This Row],[ID Mantenimiento]],MANT_HORAS[],2,FALSE),8)</f>
        <v>328</v>
      </c>
      <c r="DD114" s="28" t="str">
        <f>IF(Cartera1017[[#This Row],[Fin Producción]]=0,"Por definir",CONCATENATE(YEAR(Cartera1017[[#This Row],[Fin Producción]]),"-",ROUNDUP(MONTH(Cartera1017[[#This Row],[Fin Producción]]),0)))</f>
        <v>2026-10</v>
      </c>
      <c r="DE114" s="18" t="s">
        <v>510</v>
      </c>
      <c r="DF114" s="28"/>
      <c r="DG114" s="28"/>
      <c r="DH114" s="565"/>
    </row>
    <row r="115" spans="1:112" ht="44.25" hidden="1" customHeight="1">
      <c r="A115" s="229" t="s">
        <v>1355</v>
      </c>
      <c r="B115" s="18">
        <v>2877</v>
      </c>
      <c r="C115" s="18" t="s">
        <v>485</v>
      </c>
      <c r="D115" s="18" t="s">
        <v>1356</v>
      </c>
      <c r="E115" s="18" t="s">
        <v>256</v>
      </c>
      <c r="F115" s="33" t="s">
        <v>257</v>
      </c>
      <c r="G115" s="33" t="s">
        <v>1357</v>
      </c>
      <c r="H115" s="18" t="s">
        <v>33</v>
      </c>
      <c r="I115" s="18" t="s">
        <v>727</v>
      </c>
      <c r="J115" s="18" t="s">
        <v>1148</v>
      </c>
      <c r="K115" s="20">
        <v>45817</v>
      </c>
      <c r="L115" s="18" t="s">
        <v>1358</v>
      </c>
      <c r="M115" s="50" t="s">
        <v>1149</v>
      </c>
      <c r="N115" s="50"/>
      <c r="O115" s="18" t="s">
        <v>530</v>
      </c>
      <c r="P115" s="18" t="s">
        <v>1077</v>
      </c>
      <c r="Q115" s="18" t="s">
        <v>496</v>
      </c>
      <c r="R115" s="18" t="s">
        <v>780</v>
      </c>
      <c r="S115" s="18" t="s">
        <v>780</v>
      </c>
      <c r="T115" s="18" t="s">
        <v>781</v>
      </c>
      <c r="U115" s="18" t="s">
        <v>1359</v>
      </c>
      <c r="V115" s="18" t="s">
        <v>1360</v>
      </c>
      <c r="W115" s="18" t="s">
        <v>1361</v>
      </c>
      <c r="X115" s="18" t="s">
        <v>1310</v>
      </c>
      <c r="Y115" s="80">
        <v>46083</v>
      </c>
      <c r="Z115" s="18" t="s">
        <v>499</v>
      </c>
      <c r="AA115" s="20">
        <v>45835</v>
      </c>
      <c r="AB115" s="18" t="s">
        <v>500</v>
      </c>
      <c r="AC115" s="18" t="s">
        <v>501</v>
      </c>
      <c r="AD115" s="18" t="s">
        <v>150</v>
      </c>
      <c r="AE115" s="18" t="s">
        <v>34</v>
      </c>
      <c r="AF115" s="18" t="s">
        <v>28</v>
      </c>
      <c r="AG115" s="14" t="str">
        <f>VLOOKUP(AF115,Tabla3[[Estado Requerimiento]:[Macro estado]],2,FALSE)</f>
        <v>04. Paralizado</v>
      </c>
      <c r="AH115" s="18" t="s">
        <v>837</v>
      </c>
      <c r="AI115" s="80"/>
      <c r="AJ115" s="80"/>
      <c r="AK115" s="80">
        <v>45985</v>
      </c>
      <c r="AL115" s="80">
        <v>45903</v>
      </c>
      <c r="AM115" s="80"/>
      <c r="AN115" s="80">
        <v>45911</v>
      </c>
      <c r="AO115" s="80"/>
      <c r="AP115" s="81">
        <f t="shared" si="2"/>
        <v>45870.2</v>
      </c>
      <c r="AQ115" s="80"/>
      <c r="AR115" s="80"/>
      <c r="AS115" s="81">
        <f t="shared" si="3"/>
        <v>45877.2</v>
      </c>
      <c r="AT115" s="19" t="s">
        <v>1362</v>
      </c>
      <c r="AU115" s="44" t="str">
        <f>VLOOKUP(Cartera1017[[#This Row],[Gerencia]],tbGerencia[#All],3,FALSE)</f>
        <v>Productos</v>
      </c>
      <c r="AV115" s="44" t="str">
        <f>IFERROR(VLOOKUP(Cartera1017[[#This Row],[Subgerencia]],Definiciones!$A$90:$B$144,2,FALSE),"")</f>
        <v>BancaPersonal</v>
      </c>
      <c r="AW115" s="44" t="str">
        <f>IF(OR(LEN(Cartera1017[[#This Row],[Fecha de Solicitud]])=0,(Cartera1017[[#This Row],[Fecha de Solicitud]])="No definido"),"No definido",IF(YEAR(Cartera1017[[#This Row],[Fecha de Solicitud]])&lt;2023," &lt;  2023",TEXT(Cartera1017[[#This Row],[Fecha de Solicitud]],"yyyy-mm")))</f>
        <v>2025-06</v>
      </c>
      <c r="AX115" s="44" t="str">
        <f>IF(Cartera1017[[#This Row],[Fecha de Priorización Comité]]="","No definido",TEXT(Cartera1017[[#This Row],[Fecha de Priorización Comité]],"yyyy-mm"))</f>
        <v>2025-06</v>
      </c>
      <c r="AY115" s="44" t="str">
        <f>IF(Cartera1017[[#This Row],[Fecha Fin- Desarrollo]]="","No definido",TEXT(Cartera1017[[#This Row],[Fecha Fin- Desarrollo]],"yyyy-mm"))</f>
        <v>2025-09</v>
      </c>
      <c r="AZ115" s="44" t="str">
        <f>IF(Cartera1017[[#This Row],[Fecha Fin- Producción]]="","No definido",TEXT(Cartera1017[[#This Row],[Fecha Fin- Producción]],"yyyy-mm"))</f>
        <v>No definido</v>
      </c>
      <c r="BA115" s="44" t="str">
        <f>IF(Cartera1017[[#This Row],[Fecha Fin-Planificada]]="","No definido",TEXT(Cartera1017[[#This Row],[Fecha Fin-Planificada]],"yyyy-mm"))</f>
        <v>2025-08</v>
      </c>
      <c r="BB115" s="33"/>
      <c r="BC115" s="66"/>
      <c r="BD115" s="108"/>
      <c r="BE115" s="108"/>
      <c r="BF115" s="127"/>
      <c r="BG115" s="28" t="s">
        <v>1195</v>
      </c>
      <c r="BH11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5" s="90" t="str">
        <f>IF(ISNUMBER(Cartera1017[[#This Row],[Duracion en Dias]]),Cartera1017[[#This Row],[Duracion en Dias]]/30, "No Aplica")</f>
        <v>No Aplica</v>
      </c>
      <c r="BJ115" s="109"/>
      <c r="BK115" s="28" t="s">
        <v>506</v>
      </c>
      <c r="BL115" s="110" t="s">
        <v>562</v>
      </c>
      <c r="BM115" s="342">
        <v>46079.47011574074</v>
      </c>
      <c r="BN115" s="227" t="s">
        <v>772</v>
      </c>
      <c r="BO115" s="401" t="s">
        <v>1363</v>
      </c>
      <c r="BP115" s="401"/>
      <c r="BQ11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5" s="14" t="str">
        <f>IFERROR(VLOOKUP(Cartera1017[[#This Row],[Aplicativo]],Tabla76[],2,FALSE),"Sin Aplicativo")</f>
        <v>Préstamos Multired</v>
      </c>
      <c r="BS115" s="14" t="str">
        <f>IFERROR(VLOOKUP(Cartera1017[[#This Row],[Aplicativo]],Tabla76[],3,FALSE),"Sin Aplicativo")</f>
        <v>Productos</v>
      </c>
      <c r="BT115" s="400" t="s">
        <v>521</v>
      </c>
      <c r="BU115" s="33"/>
      <c r="BV115" s="28"/>
      <c r="BW11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5" s="149" t="str">
        <f ca="1">IF(Cartera1017[[#This Row],[Fecha Fin2]]="","No definido",CONCATENATE(TEXT(Cartera1017[[#This Row],[Fecha Fin2]],"mmm")," ",YEAR(Cartera1017[[#This Row],[Fecha Fin2]])))</f>
        <v>No definido</v>
      </c>
      <c r="BZ115" s="28"/>
      <c r="CA115" s="48" t="str">
        <f>IF(Cartera1017[[#This Row],[Estado TI]] = "08. Producción Finalizada","Culminado",IF(Cartera1017[[#This Row],[Estado TI]]= "09. Descartado","Descartado","Activos"))</f>
        <v>Activos</v>
      </c>
      <c r="CB115" s="28"/>
      <c r="CC11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15" s="54" t="str">
        <f>IF(
AND(
Cartera1017[[#This Row],[DEVOLVER 27]]="NO",
NOT(ISBLANK(Cartera1017[[#This Row],[ESTADO NO DEVUELTOS 27]]))
),
"PRE",
"POST"
)</f>
        <v>PRE</v>
      </c>
      <c r="CE115" s="54" t="s">
        <v>509</v>
      </c>
      <c r="CF115" s="28" t="s">
        <v>48</v>
      </c>
      <c r="CG11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1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15"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15" s="406">
        <f>Cartera1017[[#This Row],[Porcentaje de Avance]]</f>
        <v>0.12</v>
      </c>
      <c r="CK115" s="402" t="str">
        <f>IF(
   OR(
     Cartera1017[[#This Row],[Estado TI]]="09. Descartado",
     Cartera1017[[#This Row],[Comienzo Desarrollo]]="",
     Cartera1017[[#This Row],[Fin Producción]]=""
   ),
   "",
   Cartera1017[[#This Row],[% PLANIFICADO]]-Cartera1017[[#This Row],[% COMPLETADO]]
)</f>
        <v/>
      </c>
      <c r="CL115" s="402" t="str">
        <f ca="1">IF(
   OR(
     Cartera1017[[#This Row],[Estado TI]]="09. Descartado",
     Cartera1017[[#This Row],[Comienzo Desarrollo]]="",
     Cartera1017[[#This Row],[Fin Producción]]="",
     Cartera1017[[#This Row],[% PLANIFICADO]]=0
   ),
   "",
   MIN(Cartera1017[[#This Row],[% COMPLETADO]]/Cartera1017[[#This Row],[% PLANIFICADO]],1.2)
)</f>
        <v/>
      </c>
      <c r="CM115" s="427"/>
      <c r="CN115" s="425"/>
      <c r="CO115" s="425"/>
      <c r="CP115" s="425"/>
      <c r="CQ115" s="425"/>
      <c r="CR115" s="425"/>
      <c r="CS115" s="425">
        <v>46356</v>
      </c>
      <c r="CT115" s="44">
        <f>IF(Cartera1017[[#This Row],[Fin Desarrollo]]="",25,IFERROR(NETWORKDAYS(Cartera1017[[#This Row],[Comienzo Desarrollo]],Cartera1017[[#This Row],[Fin Desarrollo]],FERIADOS[Fecha]),""))</f>
        <v>25</v>
      </c>
      <c r="CU11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15" s="44">
        <f>IF(OR(Cartera1017[[#This Row],[Comienzo Desarrollo]]="",Cartera1017[[#This Row],[Fin Desarrollo]]=""),200,IFERROR(Cartera1017[[#This Row],[DURACIÓN DESARROLLO DIAS]]*VLOOKUP(Cartera1017[[#This Row],[ID Mantenimiento]],MANT_HORAS[],2,FALSE),200))</f>
        <v>200</v>
      </c>
      <c r="CW115" s="110"/>
      <c r="CX115" s="110" t="str">
        <f>VLOOKUP(Cartera1017[[#This Row],[Estado TI]],Definiciones!$A$549:$B$559,2,FALSE)</f>
        <v>6. PARALIZADO</v>
      </c>
      <c r="CY115" s="28">
        <f ca="1">1-Cartera1017[[#This Row],[Porcentaje avanzado desarrollo]]</f>
        <v>0.9</v>
      </c>
      <c r="CZ11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15" s="28">
        <f ca="1">MAX(0,Cartera1017[[#This Row],[DURACIÓN DESARROLLO DIAS]]-Cartera1017[[#This Row],[Dias avanzados]])</f>
        <v>24</v>
      </c>
      <c r="DB115" s="28">
        <f ca="1">Cartera1017[[#This Row],[Dias avanzados]]*IFERROR(VLOOKUP(Cartera1017[[#This Row],[ID Mantenimiento]],MANT_HORAS[],2,FALSE),8)</f>
        <v>8</v>
      </c>
      <c r="DC115" s="28">
        <f ca="1">Cartera1017[[#This Row],[Dias faltantes]]*IFERROR(VLOOKUP(Cartera1017[[#This Row],[ID Mantenimiento]],MANT_HORAS[],2,FALSE),8)</f>
        <v>192</v>
      </c>
      <c r="DD115" s="28" t="str">
        <f>IF(Cartera1017[[#This Row],[Fin Producción]]=0,"Por definir",CONCATENATE(YEAR(Cartera1017[[#This Row],[Fin Producción]]),"-",ROUNDUP(MONTH(Cartera1017[[#This Row],[Fin Producción]]),0)))</f>
        <v>2026-11</v>
      </c>
      <c r="DE115" s="18" t="s">
        <v>510</v>
      </c>
      <c r="DF115" s="28"/>
      <c r="DG115" s="28"/>
      <c r="DH115" s="565"/>
    </row>
    <row r="116" spans="1:112" ht="44.25" hidden="1" customHeight="1">
      <c r="A116" s="229" t="s">
        <v>1364</v>
      </c>
      <c r="B116" s="18">
        <v>2878</v>
      </c>
      <c r="C116" s="18" t="s">
        <v>485</v>
      </c>
      <c r="D116" s="18" t="s">
        <v>1365</v>
      </c>
      <c r="E116" s="18" t="s">
        <v>258</v>
      </c>
      <c r="F116" s="33" t="s">
        <v>259</v>
      </c>
      <c r="G116" s="33"/>
      <c r="H116" s="18" t="s">
        <v>108</v>
      </c>
      <c r="I116" s="18" t="s">
        <v>811</v>
      </c>
      <c r="J116" s="18" t="s">
        <v>500</v>
      </c>
      <c r="K116" s="20"/>
      <c r="L116" s="18"/>
      <c r="M116" s="50" t="s">
        <v>579</v>
      </c>
      <c r="N116" s="50"/>
      <c r="O116" s="18" t="s">
        <v>530</v>
      </c>
      <c r="P116" s="18" t="s">
        <v>495</v>
      </c>
      <c r="Q116" s="18" t="s">
        <v>496</v>
      </c>
      <c r="R116" s="18" t="s">
        <v>497</v>
      </c>
      <c r="S116" s="18"/>
      <c r="T116" s="18"/>
      <c r="U116" s="18"/>
      <c r="V116" s="18"/>
      <c r="W116" s="18"/>
      <c r="X116" s="18"/>
      <c r="Y116" s="80"/>
      <c r="Z116" s="18" t="s">
        <v>532</v>
      </c>
      <c r="AA116" s="20">
        <v>45835</v>
      </c>
      <c r="AB116" s="18" t="s">
        <v>500</v>
      </c>
      <c r="AC116" s="18" t="s">
        <v>501</v>
      </c>
      <c r="AD116" s="18" t="s">
        <v>43</v>
      </c>
      <c r="AE116" s="18" t="s">
        <v>109</v>
      </c>
      <c r="AF116" s="18" t="s">
        <v>48</v>
      </c>
      <c r="AG116" s="14" t="str">
        <f>VLOOKUP(AF116,Tabla3[[Estado Requerimiento]:[Macro estado]],2,FALSE)</f>
        <v>02. En Proceso</v>
      </c>
      <c r="AH116" s="18"/>
      <c r="AI116" s="80"/>
      <c r="AJ116" s="80"/>
      <c r="AK116" s="80">
        <v>45831</v>
      </c>
      <c r="AL116" s="80"/>
      <c r="AM116" s="80"/>
      <c r="AN116" s="80"/>
      <c r="AO116" s="80"/>
      <c r="AP116" s="81" t="str">
        <f t="shared" si="2"/>
        <v/>
      </c>
      <c r="AQ116" s="80"/>
      <c r="AR116" s="80"/>
      <c r="AS116" s="81" t="str">
        <f t="shared" si="3"/>
        <v/>
      </c>
      <c r="AT116" s="19" t="s">
        <v>1366</v>
      </c>
      <c r="AU116" s="44" t="str">
        <f>VLOOKUP(Cartera1017[[#This Row],[Gerencia]],tbGerencia[#All],3,FALSE)</f>
        <v>TI</v>
      </c>
      <c r="AV116" s="44" t="str">
        <f>IFERROR(VLOOKUP(Cartera1017[[#This Row],[Subgerencia]],Definiciones!$A$90:$B$144,2,FALSE),"")</f>
        <v>ConstrucciónAplicaciones</v>
      </c>
      <c r="AW116" s="44" t="str">
        <f>IF(OR(LEN(Cartera1017[[#This Row],[Fecha de Solicitud]])=0,(Cartera1017[[#This Row],[Fecha de Solicitud]])="No definido"),"No definido",IF(YEAR(Cartera1017[[#This Row],[Fecha de Solicitud]])&lt;2023," &lt;  2023",TEXT(Cartera1017[[#This Row],[Fecha de Solicitud]],"yyyy-mm")))</f>
        <v>No definido</v>
      </c>
      <c r="AX116" s="44" t="str">
        <f>IF(Cartera1017[[#This Row],[Fecha de Priorización Comité]]="","No definido",TEXT(Cartera1017[[#This Row],[Fecha de Priorización Comité]],"yyyy-mm"))</f>
        <v>2025-06</v>
      </c>
      <c r="AY116" s="44" t="str">
        <f>IF(Cartera1017[[#This Row],[Fecha Fin- Desarrollo]]="","No definido",TEXT(Cartera1017[[#This Row],[Fecha Fin- Desarrollo]],"yyyy-mm"))</f>
        <v>No definido</v>
      </c>
      <c r="AZ116" s="44" t="str">
        <f>IF(Cartera1017[[#This Row],[Fecha Fin- Producción]]="","No definido",TEXT(Cartera1017[[#This Row],[Fecha Fin- Producción]],"yyyy-mm"))</f>
        <v>No definido</v>
      </c>
      <c r="BA116" s="44" t="str">
        <f>IF(Cartera1017[[#This Row],[Fecha Fin-Planificada]]="","No definido",TEXT(Cartera1017[[#This Row],[Fecha Fin-Planificada]],"yyyy-mm"))</f>
        <v>No definido</v>
      </c>
      <c r="BB116" s="33"/>
      <c r="BC116" s="66"/>
      <c r="BD116" s="108"/>
      <c r="BE116" s="108"/>
      <c r="BF116" s="127"/>
      <c r="BG116" s="28" t="s">
        <v>1195</v>
      </c>
      <c r="BH11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6" s="90" t="str">
        <f>IF(ISNUMBER(Cartera1017[[#This Row],[Duracion en Dias]]),Cartera1017[[#This Row],[Duracion en Dias]]/30, "No Aplica")</f>
        <v>No Aplica</v>
      </c>
      <c r="BJ116" s="109"/>
      <c r="BK116" s="28" t="s">
        <v>613</v>
      </c>
      <c r="BL116" s="110" t="s">
        <v>592</v>
      </c>
      <c r="BM116" s="342">
        <v>45930.621412037035</v>
      </c>
      <c r="BN116" s="227"/>
      <c r="BO116" s="401"/>
      <c r="BP116" s="401"/>
      <c r="BQ11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6" s="14" t="str">
        <f>IFERROR(VLOOKUP(Cartera1017[[#This Row],[Aplicativo]],Tabla76[],2,FALSE),"Sin Aplicativo")</f>
        <v>Clientes (BDUC)</v>
      </c>
      <c r="BS116" s="14" t="str">
        <f>IFERROR(VLOOKUP(Cartera1017[[#This Row],[Aplicativo]],Tabla76[],3,FALSE),"Sin Aplicativo")</f>
        <v>Canales Presenciales</v>
      </c>
      <c r="BT116" s="400" t="s">
        <v>521</v>
      </c>
      <c r="BU116" s="33"/>
      <c r="BV116" s="28"/>
      <c r="BW11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6" s="149" t="str">
        <f ca="1">IF(Cartera1017[[#This Row],[Fecha Fin2]]="","No definido",CONCATENATE(TEXT(Cartera1017[[#This Row],[Fecha Fin2]],"mmm")," ",YEAR(Cartera1017[[#This Row],[Fecha Fin2]])))</f>
        <v>No definido</v>
      </c>
      <c r="BZ116" s="28"/>
      <c r="CA116" s="48" t="str">
        <f>IF(Cartera1017[[#This Row],[Estado TI]] = "08. Producción Finalizada","Culminado",IF(Cartera1017[[#This Row],[Estado TI]]= "09. Descartado","Descartado","Activos"))</f>
        <v>Activos</v>
      </c>
      <c r="CB116" s="28"/>
      <c r="CC11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16" s="54" t="str">
        <f>IF(
AND(
Cartera1017[[#This Row],[DEVOLVER 27]]="NO",
NOT(ISBLANK(Cartera1017[[#This Row],[ESTADO NO DEVUELTOS 27]]))
),
"PRE",
"POST"
)</f>
        <v>PRE</v>
      </c>
      <c r="CE116" s="54" t="s">
        <v>509</v>
      </c>
      <c r="CF116" s="399" t="s">
        <v>48</v>
      </c>
      <c r="CG116"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RIESGO 🟡</v>
      </c>
      <c r="CI11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0.6785714285714286</v>
      </c>
      <c r="CJ116" s="406">
        <v>0.55000000000000004</v>
      </c>
      <c r="CK116" s="417">
        <f ca="1">IF(
   OR(
     Cartera1017[[#This Row],[Estado TI]]="09. Descartado",
     Cartera1017[[#This Row],[Comienzo Desarrollo]]="",
     Cartera1017[[#This Row],[Fin Producción]]=""
   ),
   "",
   Cartera1017[[#This Row],[% PLANIFICADO]]-Cartera1017[[#This Row],[% COMPLETADO]]
)</f>
        <v>0.12857142857142856</v>
      </c>
      <c r="CL116" s="417">
        <f ca="1">IF(
   OR(
     Cartera1017[[#This Row],[Estado TI]]="09. Descartado",
     Cartera1017[[#This Row],[Comienzo Desarrollo]]="",
     Cartera1017[[#This Row],[Fin Producción]]="",
     Cartera1017[[#This Row],[% PLANIFICADO]]=0
   ),
   "",
   MIN(Cartera1017[[#This Row],[% COMPLETADO]]/Cartera1017[[#This Row],[% PLANIFICADO]],1.2)
)</f>
        <v>0.81052631578947376</v>
      </c>
      <c r="CM116" s="476">
        <v>45964</v>
      </c>
      <c r="CN116" s="377">
        <v>46083</v>
      </c>
      <c r="CO116" s="377">
        <v>46092</v>
      </c>
      <c r="CP116" s="377">
        <v>46160</v>
      </c>
      <c r="CQ116" s="377">
        <v>46192</v>
      </c>
      <c r="CR116" s="377">
        <v>46195</v>
      </c>
      <c r="CS116" s="377">
        <v>46199</v>
      </c>
      <c r="CT116" s="44">
        <f>IF(Cartera1017[[#This Row],[Fin Desarrollo]]="",25,IFERROR(NETWORKDAYS(Cartera1017[[#This Row],[Comienzo Desarrollo]],Cartera1017[[#This Row],[Fin Desarrollo]],FERIADOS[Fecha]),""))</f>
        <v>8</v>
      </c>
      <c r="CU11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16" s="44">
        <f>IF(OR(Cartera1017[[#This Row],[Comienzo Desarrollo]]="",Cartera1017[[#This Row],[Fin Desarrollo]]=""),200,IFERROR(Cartera1017[[#This Row],[DURACIÓN DESARROLLO DIAS]]*VLOOKUP(Cartera1017[[#This Row],[ID Mantenimiento]],MANT_HORAS[],2,FALSE),200))</f>
        <v>9.1428571428571423</v>
      </c>
      <c r="CW116" s="110"/>
      <c r="CX116" s="110" t="str">
        <f>VLOOKUP(Cartera1017[[#This Row],[Estado TI]],Definiciones!$A$549:$B$559,2,FALSE)</f>
        <v>1. DESARROLLO</v>
      </c>
      <c r="CY116" s="28">
        <f ca="1">1-Cartera1017[[#This Row],[Porcentaje avanzado desarrollo]]</f>
        <v>0</v>
      </c>
      <c r="CZ11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v>
      </c>
      <c r="DA116" s="28">
        <f ca="1">MAX(0,Cartera1017[[#This Row],[DURACIÓN DESARROLLO DIAS]]-Cartera1017[[#This Row],[Dias avanzados]])</f>
        <v>0</v>
      </c>
      <c r="DB116" s="28">
        <f ca="1">Cartera1017[[#This Row],[Dias avanzados]]*IFERROR(VLOOKUP(Cartera1017[[#This Row],[ID Mantenimiento]],MANT_HORAS[],2,FALSE),8)</f>
        <v>9.1428571428571423</v>
      </c>
      <c r="DC116" s="28">
        <f ca="1">Cartera1017[[#This Row],[Dias faltantes]]*IFERROR(VLOOKUP(Cartera1017[[#This Row],[ID Mantenimiento]],MANT_HORAS[],2,FALSE),8)</f>
        <v>0</v>
      </c>
      <c r="DD116" s="28" t="str">
        <f>IF(Cartera1017[[#This Row],[Fin Producción]]=0,"Por definir",CONCATENATE(YEAR(Cartera1017[[#This Row],[Fin Producción]]),"-",ROUNDUP(MONTH(Cartera1017[[#This Row],[Fin Producción]]),0)))</f>
        <v>2026-6</v>
      </c>
      <c r="DE116" s="18" t="s">
        <v>510</v>
      </c>
      <c r="DF116" s="28"/>
      <c r="DG116" s="28"/>
      <c r="DH116" s="565"/>
    </row>
    <row r="117" spans="1:112" ht="44.25" hidden="1" customHeight="1">
      <c r="A117" s="229" t="s">
        <v>1367</v>
      </c>
      <c r="B117" s="18">
        <v>2880</v>
      </c>
      <c r="C117" s="18" t="s">
        <v>485</v>
      </c>
      <c r="D117" s="18" t="s">
        <v>1368</v>
      </c>
      <c r="E117" s="18" t="s">
        <v>260</v>
      </c>
      <c r="F117" s="112" t="s">
        <v>1369</v>
      </c>
      <c r="G117" s="33"/>
      <c r="H117" s="18" t="s">
        <v>26</v>
      </c>
      <c r="I117" s="18" t="s">
        <v>539</v>
      </c>
      <c r="J117" s="18" t="s">
        <v>554</v>
      </c>
      <c r="K117" s="20"/>
      <c r="L117" s="18"/>
      <c r="M117" s="50" t="s">
        <v>556</v>
      </c>
      <c r="N117" s="50"/>
      <c r="O117" s="18" t="s">
        <v>530</v>
      </c>
      <c r="P117" s="18" t="s">
        <v>495</v>
      </c>
      <c r="Q117" s="18" t="s">
        <v>496</v>
      </c>
      <c r="R117" s="18" t="s">
        <v>497</v>
      </c>
      <c r="S117" s="18"/>
      <c r="T117" s="18"/>
      <c r="U117" s="18"/>
      <c r="V117" s="18"/>
      <c r="W117" s="18"/>
      <c r="X117" s="18"/>
      <c r="Y117" s="80"/>
      <c r="Z117" s="18" t="s">
        <v>532</v>
      </c>
      <c r="AA117" s="20">
        <v>45835</v>
      </c>
      <c r="AB117" s="18" t="s">
        <v>500</v>
      </c>
      <c r="AC117" s="18" t="s">
        <v>558</v>
      </c>
      <c r="AD117" s="18" t="s">
        <v>30</v>
      </c>
      <c r="AE117" s="18" t="s">
        <v>27</v>
      </c>
      <c r="AF117" s="18" t="s">
        <v>48</v>
      </c>
      <c r="AG117" s="14" t="str">
        <f>VLOOKUP(AF117,Tabla3[[Estado Requerimiento]:[Macro estado]],2,FALSE)</f>
        <v>02. En Proceso</v>
      </c>
      <c r="AH117" s="18"/>
      <c r="AI117" s="80"/>
      <c r="AJ117" s="80"/>
      <c r="AK117" s="80">
        <v>45813</v>
      </c>
      <c r="AL117" s="80"/>
      <c r="AM117" s="80"/>
      <c r="AN117" s="80"/>
      <c r="AO117" s="80"/>
      <c r="AP117" s="81" t="str">
        <f t="shared" si="2"/>
        <v/>
      </c>
      <c r="AQ117" s="80"/>
      <c r="AR117" s="80"/>
      <c r="AS117" s="81" t="str">
        <f t="shared" si="3"/>
        <v/>
      </c>
      <c r="AT117" s="19" t="s">
        <v>1370</v>
      </c>
      <c r="AU117" s="44" t="str">
        <f>VLOOKUP(Cartera1017[[#This Row],[Gerencia]],tbGerencia[#All],3,FALSE)</f>
        <v>B.Digital</v>
      </c>
      <c r="AV117" s="44" t="str">
        <f>IFERROR(VLOOKUP(Cartera1017[[#This Row],[Subgerencia]],Definiciones!$A$90:$B$144,2,FALSE),"")</f>
        <v>CanalesAlternos</v>
      </c>
      <c r="AW117" s="44" t="str">
        <f>IF(OR(LEN(Cartera1017[[#This Row],[Fecha de Solicitud]])=0,(Cartera1017[[#This Row],[Fecha de Solicitud]])="No definido"),"No definido",IF(YEAR(Cartera1017[[#This Row],[Fecha de Solicitud]])&lt;2023," &lt;  2023",TEXT(Cartera1017[[#This Row],[Fecha de Solicitud]],"yyyy-mm")))</f>
        <v>No definido</v>
      </c>
      <c r="AX117" s="44" t="str">
        <f>IF(Cartera1017[[#This Row],[Fecha de Priorización Comité]]="","No definido",TEXT(Cartera1017[[#This Row],[Fecha de Priorización Comité]],"yyyy-mm"))</f>
        <v>2025-06</v>
      </c>
      <c r="AY117" s="44" t="str">
        <f>IF(Cartera1017[[#This Row],[Fecha Fin- Desarrollo]]="","No definido",TEXT(Cartera1017[[#This Row],[Fecha Fin- Desarrollo]],"yyyy-mm"))</f>
        <v>No definido</v>
      </c>
      <c r="AZ117" s="44" t="str">
        <f>IF(Cartera1017[[#This Row],[Fecha Fin- Producción]]="","No definido",TEXT(Cartera1017[[#This Row],[Fecha Fin- Producción]],"yyyy-mm"))</f>
        <v>No definido</v>
      </c>
      <c r="BA117" s="44" t="str">
        <f>IF(Cartera1017[[#This Row],[Fecha Fin-Planificada]]="","No definido",TEXT(Cartera1017[[#This Row],[Fecha Fin-Planificada]],"yyyy-mm"))</f>
        <v>No definido</v>
      </c>
      <c r="BB117" s="33"/>
      <c r="BC117" s="66"/>
      <c r="BD117" s="108"/>
      <c r="BE117" s="108"/>
      <c r="BF117" s="127"/>
      <c r="BG117" s="28" t="s">
        <v>1195</v>
      </c>
      <c r="BH11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7" s="90" t="str">
        <f>IF(ISNUMBER(Cartera1017[[#This Row],[Duracion en Dias]]),Cartera1017[[#This Row],[Duracion en Dias]]/30, "No Aplica")</f>
        <v>No Aplica</v>
      </c>
      <c r="BJ117" s="109"/>
      <c r="BK117" s="28" t="s">
        <v>613</v>
      </c>
      <c r="BL117" s="110" t="s">
        <v>592</v>
      </c>
      <c r="BM117" s="342">
        <v>45813.664502314816</v>
      </c>
      <c r="BN117" s="227"/>
      <c r="BO117" s="401"/>
      <c r="BP117" s="401"/>
      <c r="BQ11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7" s="14" t="str">
        <f>IFERROR(VLOOKUP(Cartera1017[[#This Row],[Aplicativo]],Tabla76[],2,FALSE),"Sin Aplicativo")</f>
        <v>ATM-Agentes-VISA</v>
      </c>
      <c r="BS117" s="14" t="str">
        <f>IFERROR(VLOOKUP(Cartera1017[[#This Row],[Aplicativo]],Tabla76[],3,FALSE),"Sin Aplicativo")</f>
        <v>Canales Presenciales</v>
      </c>
      <c r="BT117" s="400" t="s">
        <v>521</v>
      </c>
      <c r="BU117" s="33"/>
      <c r="BV117" s="28"/>
      <c r="BW11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7" s="149" t="str">
        <f ca="1">IF(Cartera1017[[#This Row],[Fecha Fin2]]="","No definido",CONCATENATE(TEXT(Cartera1017[[#This Row],[Fecha Fin2]],"mmm")," ",YEAR(Cartera1017[[#This Row],[Fecha Fin2]])))</f>
        <v>No definido</v>
      </c>
      <c r="BZ117" s="28"/>
      <c r="CA117" s="48" t="str">
        <f>IF(Cartera1017[[#This Row],[Estado TI]] = "08. Producción Finalizada","Culminado",IF(Cartera1017[[#This Row],[Estado TI]]= "09. Descartado","Descartado","Activos"))</f>
        <v>Activos</v>
      </c>
      <c r="CB117" s="28"/>
      <c r="CC11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17" s="54" t="str">
        <f>IF(
AND(
Cartera1017[[#This Row],[DEVOLVER 27]]="NO",
NOT(ISBLANK(Cartera1017[[#This Row],[ESTADO NO DEVUELTOS 27]]))
),
"PRE",
"POST"
)</f>
        <v>PRE</v>
      </c>
      <c r="CE117" s="54" t="s">
        <v>509</v>
      </c>
      <c r="CF117" s="28" t="s">
        <v>48</v>
      </c>
      <c r="CG11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RIESGO 🟡</v>
      </c>
      <c r="CI11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0.4351145038167939</v>
      </c>
      <c r="CJ117" s="406">
        <f>Cartera1017[[#This Row],[Porcentaje de Avance]]</f>
        <v>0.25</v>
      </c>
      <c r="CK117" s="388">
        <f ca="1">IF(
   OR(
     Cartera1017[[#This Row],[Estado TI]]="09. Descartado",
     Cartera1017[[#This Row],[Comienzo Desarrollo]]="",
     Cartera1017[[#This Row],[Fin Producción]]=""
   ),
   "",
   Cartera1017[[#This Row],[% PLANIFICADO]]-Cartera1017[[#This Row],[% COMPLETADO]]
)</f>
        <v>0.1851145038167939</v>
      </c>
      <c r="CL117" s="388">
        <f ca="1">IF(
   OR(
     Cartera1017[[#This Row],[Estado TI]]="09. Descartado",
     Cartera1017[[#This Row],[Comienzo Desarrollo]]="",
     Cartera1017[[#This Row],[Fin Producción]]="",
     Cartera1017[[#This Row],[% PLANIFICADO]]=0
   ),
   "",
   MIN(Cartera1017[[#This Row],[% COMPLETADO]]/Cartera1017[[#This Row],[% PLANIFICADO]],1.2)
)</f>
        <v>0.57456140350877194</v>
      </c>
      <c r="CM117" s="377">
        <v>45971</v>
      </c>
      <c r="CN117" s="377">
        <v>46083</v>
      </c>
      <c r="CO117" s="377">
        <v>46233</v>
      </c>
      <c r="CP117" s="377">
        <v>46237</v>
      </c>
      <c r="CQ117" s="377">
        <v>46265</v>
      </c>
      <c r="CR117" s="377">
        <v>46266</v>
      </c>
      <c r="CS117" s="377">
        <v>46269</v>
      </c>
      <c r="CT117" s="44">
        <f>IF(Cartera1017[[#This Row],[Fin Desarrollo]]="",25,IFERROR(NETWORKDAYS(Cartera1017[[#This Row],[Comienzo Desarrollo]],Cartera1017[[#This Row],[Fin Desarrollo]],FERIADOS[Fecha]),""))</f>
        <v>105</v>
      </c>
      <c r="CU11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0.52293577981651373</v>
      </c>
      <c r="CV117" s="44">
        <f>IF(OR(Cartera1017[[#This Row],[Comienzo Desarrollo]]="",Cartera1017[[#This Row],[Fin Desarrollo]]=""),200,IFERROR(Cartera1017[[#This Row],[DURACIÓN DESARROLLO DIAS]]*VLOOKUP(Cartera1017[[#This Row],[ID Mantenimiento]],MANT_HORAS[],2,FALSE),200))</f>
        <v>76.36363636363636</v>
      </c>
      <c r="CW117" s="110" t="s">
        <v>544</v>
      </c>
      <c r="CX117" s="110" t="str">
        <f>VLOOKUP(Cartera1017[[#This Row],[Estado TI]],Definiciones!$A$549:$B$559,2,FALSE)</f>
        <v>1. DESARROLLO</v>
      </c>
      <c r="CY117" s="28">
        <f ca="1">1-Cartera1017[[#This Row],[Porcentaje avanzado desarrollo]]</f>
        <v>0.47706422018348627</v>
      </c>
      <c r="CZ11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56</v>
      </c>
      <c r="DA117" s="28">
        <f ca="1">MAX(0,Cartera1017[[#This Row],[DURACIÓN DESARROLLO DIAS]]-Cartera1017[[#This Row],[Dias avanzados]])</f>
        <v>49</v>
      </c>
      <c r="DB117" s="28">
        <f ca="1">Cartera1017[[#This Row],[Dias avanzados]]*IFERROR(VLOOKUP(Cartera1017[[#This Row],[ID Mantenimiento]],MANT_HORAS[],2,FALSE),8)</f>
        <v>40.727272727272727</v>
      </c>
      <c r="DC117" s="28">
        <f ca="1">Cartera1017[[#This Row],[Dias faltantes]]*IFERROR(VLOOKUP(Cartera1017[[#This Row],[ID Mantenimiento]],MANT_HORAS[],2,FALSE),8)</f>
        <v>35.63636363636364</v>
      </c>
      <c r="DD117" s="28" t="str">
        <f>IF(Cartera1017[[#This Row],[Fin Producción]]=0,"Por definir",CONCATENATE(YEAR(Cartera1017[[#This Row],[Fin Producción]]),"-",ROUNDUP(MONTH(Cartera1017[[#This Row],[Fin Producción]]),0)))</f>
        <v>2026-9</v>
      </c>
      <c r="DE117" s="18" t="s">
        <v>510</v>
      </c>
      <c r="DF117" s="28"/>
      <c r="DG117" s="28"/>
      <c r="DH117" s="565"/>
    </row>
    <row r="118" spans="1:112" ht="44.25" hidden="1" customHeight="1">
      <c r="A118" s="229" t="s">
        <v>1371</v>
      </c>
      <c r="B118" s="18">
        <v>2881</v>
      </c>
      <c r="C118" s="18" t="s">
        <v>485</v>
      </c>
      <c r="D118" s="18" t="s">
        <v>1372</v>
      </c>
      <c r="E118" s="18" t="s">
        <v>262</v>
      </c>
      <c r="F118" s="112" t="s">
        <v>1373</v>
      </c>
      <c r="G118" s="33"/>
      <c r="H118" s="18" t="s">
        <v>26</v>
      </c>
      <c r="I118" s="18" t="s">
        <v>539</v>
      </c>
      <c r="J118" s="18" t="s">
        <v>554</v>
      </c>
      <c r="K118" s="20"/>
      <c r="L118" s="18"/>
      <c r="M118" s="50" t="s">
        <v>556</v>
      </c>
      <c r="N118" s="50"/>
      <c r="O118" s="18" t="s">
        <v>530</v>
      </c>
      <c r="P118" s="18" t="s">
        <v>495</v>
      </c>
      <c r="Q118" s="18" t="s">
        <v>496</v>
      </c>
      <c r="R118" s="18" t="s">
        <v>497</v>
      </c>
      <c r="S118" s="18"/>
      <c r="T118" s="18"/>
      <c r="U118" s="18"/>
      <c r="V118" s="18"/>
      <c r="W118" s="18"/>
      <c r="X118" s="18"/>
      <c r="Y118" s="80"/>
      <c r="Z118" s="18" t="s">
        <v>532</v>
      </c>
      <c r="AA118" s="20">
        <v>45835</v>
      </c>
      <c r="AB118" s="18" t="s">
        <v>500</v>
      </c>
      <c r="AC118" s="18" t="s">
        <v>558</v>
      </c>
      <c r="AD118" s="18" t="s">
        <v>30</v>
      </c>
      <c r="AE118" s="18" t="s">
        <v>27</v>
      </c>
      <c r="AF118" s="18" t="s">
        <v>48</v>
      </c>
      <c r="AG118" s="14" t="str">
        <f>VLOOKUP(AF118,Tabla3[[Estado Requerimiento]:[Macro estado]],2,FALSE)</f>
        <v>02. En Proceso</v>
      </c>
      <c r="AH118" s="18"/>
      <c r="AI118" s="80"/>
      <c r="AJ118" s="80"/>
      <c r="AK118" s="80">
        <v>45813</v>
      </c>
      <c r="AL118" s="80"/>
      <c r="AM118" s="80"/>
      <c r="AN118" s="80"/>
      <c r="AO118" s="80"/>
      <c r="AP118" s="81" t="str">
        <f t="shared" si="2"/>
        <v/>
      </c>
      <c r="AQ118" s="80"/>
      <c r="AR118" s="80"/>
      <c r="AS118" s="81" t="str">
        <f t="shared" si="3"/>
        <v/>
      </c>
      <c r="AT118" s="19" t="s">
        <v>1370</v>
      </c>
      <c r="AU118" s="44" t="str">
        <f>VLOOKUP(Cartera1017[[#This Row],[Gerencia]],tbGerencia[#All],3,FALSE)</f>
        <v>B.Digital</v>
      </c>
      <c r="AV118" s="44" t="str">
        <f>IFERROR(VLOOKUP(Cartera1017[[#This Row],[Subgerencia]],Definiciones!$A$90:$B$144,2,FALSE),"")</f>
        <v>CanalesAlternos</v>
      </c>
      <c r="AW118" s="44" t="str">
        <f>IF(OR(LEN(Cartera1017[[#This Row],[Fecha de Solicitud]])=0,(Cartera1017[[#This Row],[Fecha de Solicitud]])="No definido"),"No definido",IF(YEAR(Cartera1017[[#This Row],[Fecha de Solicitud]])&lt;2023," &lt;  2023",TEXT(Cartera1017[[#This Row],[Fecha de Solicitud]],"yyyy-mm")))</f>
        <v>No definido</v>
      </c>
      <c r="AX118" s="44" t="str">
        <f>IF(Cartera1017[[#This Row],[Fecha de Priorización Comité]]="","No definido",TEXT(Cartera1017[[#This Row],[Fecha de Priorización Comité]],"yyyy-mm"))</f>
        <v>2025-06</v>
      </c>
      <c r="AY118" s="44" t="str">
        <f>IF(Cartera1017[[#This Row],[Fecha Fin- Desarrollo]]="","No definido",TEXT(Cartera1017[[#This Row],[Fecha Fin- Desarrollo]],"yyyy-mm"))</f>
        <v>No definido</v>
      </c>
      <c r="AZ118" s="44" t="str">
        <f>IF(Cartera1017[[#This Row],[Fecha Fin- Producción]]="","No definido",TEXT(Cartera1017[[#This Row],[Fecha Fin- Producción]],"yyyy-mm"))</f>
        <v>No definido</v>
      </c>
      <c r="BA118" s="44" t="str">
        <f>IF(Cartera1017[[#This Row],[Fecha Fin-Planificada]]="","No definido",TEXT(Cartera1017[[#This Row],[Fecha Fin-Planificada]],"yyyy-mm"))</f>
        <v>No definido</v>
      </c>
      <c r="BB118" s="33"/>
      <c r="BC118" s="66"/>
      <c r="BD118" s="108"/>
      <c r="BE118" s="108"/>
      <c r="BF118" s="127"/>
      <c r="BG118" s="28" t="s">
        <v>1195</v>
      </c>
      <c r="BH11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8" s="90" t="str">
        <f>IF(ISNUMBER(Cartera1017[[#This Row],[Duracion en Dias]]),Cartera1017[[#This Row],[Duracion en Dias]]/30, "No Aplica")</f>
        <v>No Aplica</v>
      </c>
      <c r="BJ118" s="109"/>
      <c r="BK118" s="28" t="s">
        <v>613</v>
      </c>
      <c r="BL118" s="110" t="s">
        <v>592</v>
      </c>
      <c r="BM118" s="342">
        <v>45813.665682870371</v>
      </c>
      <c r="BN118" s="227"/>
      <c r="BO118" s="401"/>
      <c r="BP118" s="401"/>
      <c r="BQ11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8" s="14" t="str">
        <f>IFERROR(VLOOKUP(Cartera1017[[#This Row],[Aplicativo]],Tabla76[],2,FALSE),"Sin Aplicativo")</f>
        <v>ATM-Agentes-VISA</v>
      </c>
      <c r="BS118" s="14" t="str">
        <f>IFERROR(VLOOKUP(Cartera1017[[#This Row],[Aplicativo]],Tabla76[],3,FALSE),"Sin Aplicativo")</f>
        <v>Canales Presenciales</v>
      </c>
      <c r="BT118" s="400" t="s">
        <v>521</v>
      </c>
      <c r="BU118" s="33"/>
      <c r="BV118" s="28"/>
      <c r="BW11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8" s="149" t="str">
        <f ca="1">IF(Cartera1017[[#This Row],[Fecha Fin2]]="","No definido",CONCATENATE(TEXT(Cartera1017[[#This Row],[Fecha Fin2]],"mmm")," ",YEAR(Cartera1017[[#This Row],[Fecha Fin2]])))</f>
        <v>No definido</v>
      </c>
      <c r="BZ118" s="28"/>
      <c r="CA118" s="48" t="str">
        <f>IF(Cartera1017[[#This Row],[Estado TI]] = "08. Producción Finalizada","Culminado",IF(Cartera1017[[#This Row],[Estado TI]]= "09. Descartado","Descartado","Activos"))</f>
        <v>Activos</v>
      </c>
      <c r="CB118" s="28"/>
      <c r="CC11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18" s="54" t="str">
        <f>IF(
AND(
Cartera1017[[#This Row],[DEVOLVER 27]]="NO",
NOT(ISBLANK(Cartera1017[[#This Row],[ESTADO NO DEVUELTOS 27]]))
),
"PRE",
"POST"
)</f>
        <v>PRE</v>
      </c>
      <c r="CE118" s="54" t="s">
        <v>509</v>
      </c>
      <c r="CF118" s="28" t="s">
        <v>48</v>
      </c>
      <c r="CG11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RIESGO 🟡</v>
      </c>
      <c r="CI11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0.4351145038167939</v>
      </c>
      <c r="CJ118" s="406">
        <f>Cartera1017[[#This Row],[Porcentaje de Avance]]</f>
        <v>0.25</v>
      </c>
      <c r="CK118" s="388">
        <f ca="1">IF(
   OR(
     Cartera1017[[#This Row],[Estado TI]]="09. Descartado",
     Cartera1017[[#This Row],[Comienzo Desarrollo]]="",
     Cartera1017[[#This Row],[Fin Producción]]=""
   ),
   "",
   Cartera1017[[#This Row],[% PLANIFICADO]]-Cartera1017[[#This Row],[% COMPLETADO]]
)</f>
        <v>0.1851145038167939</v>
      </c>
      <c r="CL118" s="388">
        <f ca="1">IF(
   OR(
     Cartera1017[[#This Row],[Estado TI]]="09. Descartado",
     Cartera1017[[#This Row],[Comienzo Desarrollo]]="",
     Cartera1017[[#This Row],[Fin Producción]]="",
     Cartera1017[[#This Row],[% PLANIFICADO]]=0
   ),
   "",
   MIN(Cartera1017[[#This Row],[% COMPLETADO]]/Cartera1017[[#This Row],[% PLANIFICADO]],1.2)
)</f>
        <v>0.57456140350877194</v>
      </c>
      <c r="CM118" s="377">
        <v>45971</v>
      </c>
      <c r="CN118" s="377">
        <v>46083</v>
      </c>
      <c r="CO118" s="377">
        <v>46233</v>
      </c>
      <c r="CP118" s="377">
        <v>46237</v>
      </c>
      <c r="CQ118" s="377">
        <v>46265</v>
      </c>
      <c r="CR118" s="377">
        <v>46266</v>
      </c>
      <c r="CS118" s="377">
        <v>46269</v>
      </c>
      <c r="CT118" s="44">
        <f>IF(Cartera1017[[#This Row],[Fin Desarrollo]]="",25,IFERROR(NETWORKDAYS(Cartera1017[[#This Row],[Comienzo Desarrollo]],Cartera1017[[#This Row],[Fin Desarrollo]],FERIADOS[Fecha]),""))</f>
        <v>105</v>
      </c>
      <c r="CU11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0.52293577981651373</v>
      </c>
      <c r="CV118" s="44">
        <f>IF(OR(Cartera1017[[#This Row],[Comienzo Desarrollo]]="",Cartera1017[[#This Row],[Fin Desarrollo]]=""),200,IFERROR(Cartera1017[[#This Row],[DURACIÓN DESARROLLO DIAS]]*VLOOKUP(Cartera1017[[#This Row],[ID Mantenimiento]],MANT_HORAS[],2,FALSE),200))</f>
        <v>76.36363636363636</v>
      </c>
      <c r="CW118" s="110" t="s">
        <v>544</v>
      </c>
      <c r="CX118" s="110" t="str">
        <f>VLOOKUP(Cartera1017[[#This Row],[Estado TI]],Definiciones!$A$549:$B$559,2,FALSE)</f>
        <v>1. DESARROLLO</v>
      </c>
      <c r="CY118" s="28">
        <f ca="1">1-Cartera1017[[#This Row],[Porcentaje avanzado desarrollo]]</f>
        <v>0.47706422018348627</v>
      </c>
      <c r="CZ11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56</v>
      </c>
      <c r="DA118" s="28">
        <f ca="1">MAX(0,Cartera1017[[#This Row],[DURACIÓN DESARROLLO DIAS]]-Cartera1017[[#This Row],[Dias avanzados]])</f>
        <v>49</v>
      </c>
      <c r="DB118" s="28">
        <f ca="1">Cartera1017[[#This Row],[Dias avanzados]]*IFERROR(VLOOKUP(Cartera1017[[#This Row],[ID Mantenimiento]],MANT_HORAS[],2,FALSE),8)</f>
        <v>40.727272727272727</v>
      </c>
      <c r="DC118" s="28">
        <f ca="1">Cartera1017[[#This Row],[Dias faltantes]]*IFERROR(VLOOKUP(Cartera1017[[#This Row],[ID Mantenimiento]],MANT_HORAS[],2,FALSE),8)</f>
        <v>35.63636363636364</v>
      </c>
      <c r="DD118" s="28" t="str">
        <f>IF(Cartera1017[[#This Row],[Fin Producción]]=0,"Por definir",CONCATENATE(YEAR(Cartera1017[[#This Row],[Fin Producción]]),"-",ROUNDUP(MONTH(Cartera1017[[#This Row],[Fin Producción]]),0)))</f>
        <v>2026-9</v>
      </c>
      <c r="DE118" s="18" t="s">
        <v>510</v>
      </c>
      <c r="DF118" s="28"/>
      <c r="DG118" s="28"/>
      <c r="DH118" s="565"/>
    </row>
    <row r="119" spans="1:112" ht="44.25" hidden="1" customHeight="1">
      <c r="A119" s="229" t="s">
        <v>1374</v>
      </c>
      <c r="B119" s="18">
        <v>2896</v>
      </c>
      <c r="C119" s="18" t="s">
        <v>485</v>
      </c>
      <c r="D119" s="18" t="s">
        <v>1375</v>
      </c>
      <c r="E119" s="18" t="s">
        <v>1376</v>
      </c>
      <c r="F119" s="33" t="s">
        <v>1377</v>
      </c>
      <c r="G119" s="33" t="s">
        <v>1378</v>
      </c>
      <c r="H119" s="18" t="s">
        <v>59</v>
      </c>
      <c r="I119" s="18" t="s">
        <v>759</v>
      </c>
      <c r="J119" s="18" t="s">
        <v>1379</v>
      </c>
      <c r="K119" s="20">
        <v>45834</v>
      </c>
      <c r="L119" s="18" t="s">
        <v>1380</v>
      </c>
      <c r="M119" s="50" t="s">
        <v>1381</v>
      </c>
      <c r="N119" s="50"/>
      <c r="O119" s="18" t="s">
        <v>530</v>
      </c>
      <c r="P119" s="18" t="s">
        <v>495</v>
      </c>
      <c r="Q119" s="18" t="s">
        <v>496</v>
      </c>
      <c r="R119" s="18" t="s">
        <v>497</v>
      </c>
      <c r="S119" s="18"/>
      <c r="T119" s="18"/>
      <c r="U119" s="18"/>
      <c r="V119" s="18"/>
      <c r="W119" s="18"/>
      <c r="X119" s="18"/>
      <c r="Y119" s="80"/>
      <c r="Z119" s="18" t="s">
        <v>499</v>
      </c>
      <c r="AA119" s="20">
        <v>45835</v>
      </c>
      <c r="AB119" s="18" t="s">
        <v>533</v>
      </c>
      <c r="AC119" s="18" t="s">
        <v>558</v>
      </c>
      <c r="AD119" s="18" t="s">
        <v>37</v>
      </c>
      <c r="AE119" s="18" t="s">
        <v>47</v>
      </c>
      <c r="AF119" s="18" t="s">
        <v>53</v>
      </c>
      <c r="AG119" s="14" t="str">
        <f>VLOOKUP(AF119,Tabla3[[Estado Requerimiento]:[Macro estado]],2,FALSE)</f>
        <v>03. Culminado</v>
      </c>
      <c r="AH119" s="18"/>
      <c r="AI119" s="80"/>
      <c r="AJ119" s="80"/>
      <c r="AK119" s="80">
        <v>45855</v>
      </c>
      <c r="AL119" s="80">
        <v>45996</v>
      </c>
      <c r="AM119" s="80">
        <v>45975</v>
      </c>
      <c r="AN119" s="80">
        <v>45996</v>
      </c>
      <c r="AO119" s="80">
        <v>46031</v>
      </c>
      <c r="AP119" s="81">
        <f t="shared" si="2"/>
        <v>46023</v>
      </c>
      <c r="AQ119" s="80">
        <v>46031</v>
      </c>
      <c r="AR119" s="80">
        <v>46035</v>
      </c>
      <c r="AS119" s="81">
        <f t="shared" si="3"/>
        <v>46030</v>
      </c>
      <c r="AT119" s="19" t="s">
        <v>1382</v>
      </c>
      <c r="AU119" s="44" t="str">
        <f>VLOOKUP(Cartera1017[[#This Row],[Gerencia]],tbGerencia[#All],3,FALSE)</f>
        <v>RRHH</v>
      </c>
      <c r="AV119" s="44" t="str">
        <f>IFERROR(VLOOKUP(Cartera1017[[#This Row],[Subgerencia]],Definiciones!$A$90:$B$144,2,FALSE),"")</f>
        <v>DesarrolloTalento</v>
      </c>
      <c r="AW119" s="44" t="str">
        <f>IF(OR(LEN(Cartera1017[[#This Row],[Fecha de Solicitud]])=0,(Cartera1017[[#This Row],[Fecha de Solicitud]])="No definido"),"No definido",IF(YEAR(Cartera1017[[#This Row],[Fecha de Solicitud]])&lt;2023," &lt;  2023",TEXT(Cartera1017[[#This Row],[Fecha de Solicitud]],"yyyy-mm")))</f>
        <v>2025-06</v>
      </c>
      <c r="AX119" s="44" t="str">
        <f>IF(Cartera1017[[#This Row],[Fecha de Priorización Comité]]="","No definido",TEXT(Cartera1017[[#This Row],[Fecha de Priorización Comité]],"yyyy-mm"))</f>
        <v>2025-06</v>
      </c>
      <c r="AY119" s="44" t="str">
        <f>IF(Cartera1017[[#This Row],[Fecha Fin- Desarrollo]]="","No definido",TEXT(Cartera1017[[#This Row],[Fecha Fin- Desarrollo]],"yyyy-mm"))</f>
        <v>2025-12</v>
      </c>
      <c r="AZ119" s="44" t="str">
        <f>IF(Cartera1017[[#This Row],[Fecha Fin- Producción]]="","No definido",TEXT(Cartera1017[[#This Row],[Fecha Fin- Producción]],"yyyy-mm"))</f>
        <v>2026-01</v>
      </c>
      <c r="BA119" s="44" t="str">
        <f>IF(Cartera1017[[#This Row],[Fecha Fin-Planificada]]="","No definido",TEXT(Cartera1017[[#This Row],[Fecha Fin-Planificada]],"yyyy-mm"))</f>
        <v>2026-01</v>
      </c>
      <c r="BB119" s="33"/>
      <c r="BC119" s="66"/>
      <c r="BD119" s="108"/>
      <c r="BE119" s="108"/>
      <c r="BF119" s="127"/>
      <c r="BG119" s="28" t="s">
        <v>1195</v>
      </c>
      <c r="BH11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180</v>
      </c>
      <c r="BI119" s="90">
        <f>IF(ISNUMBER(Cartera1017[[#This Row],[Duracion en Dias]]),Cartera1017[[#This Row],[Duracion en Dias]]/30, "No Aplica")</f>
        <v>6</v>
      </c>
      <c r="BJ119" s="109"/>
      <c r="BK119" s="28" t="s">
        <v>506</v>
      </c>
      <c r="BL119" s="110" t="s">
        <v>536</v>
      </c>
      <c r="BM119" s="342">
        <v>46035.693032407406</v>
      </c>
      <c r="BN119" s="227"/>
      <c r="BO119" s="401"/>
      <c r="BP119" s="401"/>
      <c r="BQ11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19" s="14" t="str">
        <f>IFERROR(VLOOKUP(Cartera1017[[#This Row],[Aplicativo]],Tabla76[],2,FALSE),"Sin Aplicativo")</f>
        <v>BackOffice</v>
      </c>
      <c r="BS119" s="14" t="str">
        <f>IFERROR(VLOOKUP(Cartera1017[[#This Row],[Aplicativo]],Tabla76[],3,FALSE),"Sin Aplicativo")</f>
        <v>Otros Requerimientos</v>
      </c>
      <c r="BT119" s="400" t="s">
        <v>521</v>
      </c>
      <c r="BU119" s="33"/>
      <c r="BV119" s="28"/>
      <c r="BW11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1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19" s="149" t="str">
        <f ca="1">IF(Cartera1017[[#This Row],[Fecha Fin2]]="","No definido",CONCATENATE(TEXT(Cartera1017[[#This Row],[Fecha Fin2]],"mmm")," ",YEAR(Cartera1017[[#This Row],[Fecha Fin2]])))</f>
        <v>Ene 2026</v>
      </c>
      <c r="BZ119" s="28"/>
      <c r="CA119" s="48" t="str">
        <f>IF(Cartera1017[[#This Row],[Estado TI]] = "08. Producción Finalizada","Culminado",IF(Cartera1017[[#This Row],[Estado TI]]= "09. Descartado","Descartado","Activos"))</f>
        <v>Culminado</v>
      </c>
      <c r="CB119" s="28"/>
      <c r="CC11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19" s="54" t="str">
        <f>IF(
AND(
Cartera1017[[#This Row],[DEVOLVER 27]]="NO",
NOT(ISBLANK(Cartera1017[[#This Row],[ESTADO NO DEVUELTOS 27]]))
),
"PRE",
"POST"
)</f>
        <v>PRE</v>
      </c>
      <c r="CE119" s="54" t="s">
        <v>509</v>
      </c>
      <c r="CF119" s="104" t="s">
        <v>48</v>
      </c>
      <c r="CG119"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1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1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19" s="406">
        <f>Cartera1017[[#This Row],[Porcentaje de Avance]]</f>
        <v>1</v>
      </c>
      <c r="CK119" s="418">
        <f ca="1">IF(
   OR(
     Cartera1017[[#This Row],[Estado TI]]="09. Descartado",
     Cartera1017[[#This Row],[Comienzo Desarrollo]]="",
     Cartera1017[[#This Row],[Fin Producción]]=""
   ),
   "",
   Cartera1017[[#This Row],[% PLANIFICADO]]-Cartera1017[[#This Row],[% COMPLETADO]]
)</f>
        <v>0</v>
      </c>
      <c r="CL119" s="418">
        <f ca="1">IF(
   OR(
     Cartera1017[[#This Row],[Estado TI]]="09. Descartado",
     Cartera1017[[#This Row],[Comienzo Desarrollo]]="",
     Cartera1017[[#This Row],[Fin Producción]]="",
     Cartera1017[[#This Row],[% PLANIFICADO]]=0
   ),
   "",
   MIN(Cartera1017[[#This Row],[% COMPLETADO]]/Cartera1017[[#This Row],[% PLANIFICADO]],1.2)
)</f>
        <v>1</v>
      </c>
      <c r="CM119" s="423">
        <v>45855</v>
      </c>
      <c r="CN119" s="377">
        <v>45855</v>
      </c>
      <c r="CO119" s="377">
        <v>45996</v>
      </c>
      <c r="CP119" s="377">
        <v>45996</v>
      </c>
      <c r="CQ119" s="377">
        <v>46031</v>
      </c>
      <c r="CR119" s="377">
        <v>46031</v>
      </c>
      <c r="CS119" s="377">
        <v>46050</v>
      </c>
      <c r="CT119" s="44">
        <f>IF(Cartera1017[[#This Row],[Fin Desarrollo]]="",25,IFERROR(NETWORKDAYS(Cartera1017[[#This Row],[Comienzo Desarrollo]],Cartera1017[[#This Row],[Fin Desarrollo]],FERIADOS[Fecha]),""))</f>
        <v>99</v>
      </c>
      <c r="CU11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19" s="44">
        <f>IF(OR(Cartera1017[[#This Row],[Comienzo Desarrollo]]="",Cartera1017[[#This Row],[Fin Desarrollo]]=""),200,IFERROR(Cartera1017[[#This Row],[DURACIÓN DESARROLLO DIAS]]*VLOOKUP(Cartera1017[[#This Row],[ID Mantenimiento]],MANT_HORAS[],2,FALSE),200))</f>
        <v>200</v>
      </c>
      <c r="CW119" s="110"/>
      <c r="CX119" s="110" t="str">
        <f>VLOOKUP(Cartera1017[[#This Row],[Estado TI]],Definiciones!$A$549:$B$559,2,FALSE)</f>
        <v>4. PRODUCCIÓN</v>
      </c>
      <c r="CY119" s="28">
        <f ca="1">1-Cartera1017[[#This Row],[Porcentaje avanzado desarrollo]]</f>
        <v>0</v>
      </c>
      <c r="CZ11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99</v>
      </c>
      <c r="DA119" s="28">
        <f ca="1">MAX(0,Cartera1017[[#This Row],[DURACIÓN DESARROLLO DIAS]]-Cartera1017[[#This Row],[Dias avanzados]])</f>
        <v>0</v>
      </c>
      <c r="DB119" s="28">
        <f ca="1">Cartera1017[[#This Row],[Dias avanzados]]*IFERROR(VLOOKUP(Cartera1017[[#This Row],[ID Mantenimiento]],MANT_HORAS[],2,FALSE),8)</f>
        <v>792</v>
      </c>
      <c r="DC119" s="28">
        <f ca="1">Cartera1017[[#This Row],[Dias faltantes]]*IFERROR(VLOOKUP(Cartera1017[[#This Row],[ID Mantenimiento]],MANT_HORAS[],2,FALSE),8)</f>
        <v>0</v>
      </c>
      <c r="DD119" s="28" t="str">
        <f>IF(Cartera1017[[#This Row],[Fin Producción]]=0,"Por definir",CONCATENATE(YEAR(Cartera1017[[#This Row],[Fin Producción]]),"-",ROUNDUP(MONTH(Cartera1017[[#This Row],[Fin Producción]]),0)))</f>
        <v>2026-1</v>
      </c>
      <c r="DE119" s="18" t="s">
        <v>510</v>
      </c>
      <c r="DF119" s="28"/>
      <c r="DG119" s="28"/>
      <c r="DH119" s="565"/>
    </row>
    <row r="120" spans="1:112" ht="44.25" hidden="1" customHeight="1">
      <c r="A120" s="229" t="s">
        <v>1383</v>
      </c>
      <c r="B120" s="18">
        <v>2344</v>
      </c>
      <c r="C120" s="18" t="s">
        <v>485</v>
      </c>
      <c r="D120" s="18" t="s">
        <v>1384</v>
      </c>
      <c r="E120" s="18" t="s">
        <v>1385</v>
      </c>
      <c r="F120" s="33" t="s">
        <v>1386</v>
      </c>
      <c r="G120" s="33" t="s">
        <v>1387</v>
      </c>
      <c r="H120" s="18" t="s">
        <v>40</v>
      </c>
      <c r="I120" s="18" t="s">
        <v>577</v>
      </c>
      <c r="J120" s="18" t="s">
        <v>922</v>
      </c>
      <c r="K120" s="20">
        <v>45495</v>
      </c>
      <c r="L120" s="20" t="s">
        <v>1388</v>
      </c>
      <c r="M120" s="50" t="s">
        <v>664</v>
      </c>
      <c r="N120" s="50"/>
      <c r="O120" s="20" t="s">
        <v>1389</v>
      </c>
      <c r="P120" s="20" t="s">
        <v>797</v>
      </c>
      <c r="Q120" s="20" t="s">
        <v>496</v>
      </c>
      <c r="R120" s="20" t="s">
        <v>531</v>
      </c>
      <c r="S120" s="18"/>
      <c r="T120" s="18" t="s">
        <v>495</v>
      </c>
      <c r="U120" s="18" t="s">
        <v>495</v>
      </c>
      <c r="V120" s="18" t="s">
        <v>495</v>
      </c>
      <c r="W120" s="18" t="s">
        <v>495</v>
      </c>
      <c r="X120" s="18" t="s">
        <v>495</v>
      </c>
      <c r="Y120" s="80" t="s">
        <v>495</v>
      </c>
      <c r="Z120" s="20" t="s">
        <v>499</v>
      </c>
      <c r="AA120" s="20">
        <v>45868</v>
      </c>
      <c r="AB120" s="20" t="s">
        <v>500</v>
      </c>
      <c r="AC120" s="18" t="s">
        <v>501</v>
      </c>
      <c r="AD120" s="18" t="s">
        <v>54</v>
      </c>
      <c r="AE120" s="18" t="s">
        <v>41</v>
      </c>
      <c r="AF120" s="18" t="s">
        <v>53</v>
      </c>
      <c r="AG120" s="14" t="str">
        <f>VLOOKUP(AF120,Tabla3[[Estado Requerimiento]:[Macro estado]],2,FALSE)</f>
        <v>03. Culminado</v>
      </c>
      <c r="AH120" s="18"/>
      <c r="AI120" s="80"/>
      <c r="AJ120" s="80">
        <v>45964</v>
      </c>
      <c r="AK120" s="80">
        <v>45856</v>
      </c>
      <c r="AL120" s="80">
        <v>45979</v>
      </c>
      <c r="AM120" s="80">
        <v>46022</v>
      </c>
      <c r="AN120" s="80">
        <v>46003</v>
      </c>
      <c r="AO120" s="80">
        <v>46008</v>
      </c>
      <c r="AP120" s="81">
        <f t="shared" si="2"/>
        <v>46088.4</v>
      </c>
      <c r="AQ120" s="80">
        <v>46036</v>
      </c>
      <c r="AR120" s="80">
        <v>46037</v>
      </c>
      <c r="AS120" s="81">
        <f t="shared" si="3"/>
        <v>46095.4</v>
      </c>
      <c r="AT120" s="19" t="s">
        <v>1390</v>
      </c>
      <c r="AU120" s="44" t="str">
        <f>VLOOKUP(Cartera1017[[#This Row],[Gerencia]],tbGerencia[#All],3,FALSE)</f>
        <v>Operac.</v>
      </c>
      <c r="AV120" s="44" t="str">
        <f>IFERROR(VLOOKUP(Cartera1017[[#This Row],[Subgerencia]],Definiciones!$A$90:$B$144,2,FALSE),"")</f>
        <v>CaptacionesPagaduría</v>
      </c>
      <c r="AW120" s="44" t="str">
        <f>IF(OR(LEN(Cartera1017[[#This Row],[Fecha de Solicitud]])=0,(Cartera1017[[#This Row],[Fecha de Solicitud]])="No definido"),"No definido",IF(YEAR(Cartera1017[[#This Row],[Fecha de Solicitud]])&lt;2023," &lt;  2023",TEXT(Cartera1017[[#This Row],[Fecha de Solicitud]],"yyyy-mm")))</f>
        <v>2024-07</v>
      </c>
      <c r="AX120" s="44" t="str">
        <f>IF(Cartera1017[[#This Row],[Fecha de Priorización Comité]]="","No definido",TEXT(Cartera1017[[#This Row],[Fecha de Priorización Comité]],"yyyy-mm"))</f>
        <v>2025-07</v>
      </c>
      <c r="AY120" s="44" t="str">
        <f>IF(Cartera1017[[#This Row],[Fecha Fin- Desarrollo]]="","No definido",TEXT(Cartera1017[[#This Row],[Fecha Fin- Desarrollo]],"yyyy-mm"))</f>
        <v>2025-11</v>
      </c>
      <c r="AZ120" s="44" t="str">
        <f>IF(Cartera1017[[#This Row],[Fecha Fin- Producción]]="","No definido",TEXT(Cartera1017[[#This Row],[Fecha Fin- Producción]],"yyyy-mm"))</f>
        <v>2026-01</v>
      </c>
      <c r="BA120" s="44" t="str">
        <f>IF(Cartera1017[[#This Row],[Fecha Fin-Planificada]]="","No definido",TEXT(Cartera1017[[#This Row],[Fecha Fin-Planificada]],"yyyy-mm"))</f>
        <v>2026-03</v>
      </c>
      <c r="BB120" s="33"/>
      <c r="BC120" s="66"/>
      <c r="BD120" s="108"/>
      <c r="BE120" s="108"/>
      <c r="BF120" s="127"/>
      <c r="BG120" s="28" t="s">
        <v>535</v>
      </c>
      <c r="BH12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181</v>
      </c>
      <c r="BI120" s="90">
        <f>IF(ISNUMBER(Cartera1017[[#This Row],[Duracion en Dias]]),Cartera1017[[#This Row],[Duracion en Dias]]/30, "No Aplica")</f>
        <v>6.0333333333333332</v>
      </c>
      <c r="BJ120" s="109"/>
      <c r="BK120" s="28" t="s">
        <v>506</v>
      </c>
      <c r="BL120" s="110" t="s">
        <v>536</v>
      </c>
      <c r="BM120" s="342">
        <v>46037.317071759258</v>
      </c>
      <c r="BN120" s="227"/>
      <c r="BO120" s="401"/>
      <c r="BP120" s="401"/>
      <c r="BQ12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0" s="14" t="str">
        <f>IFERROR(VLOOKUP(Cartera1017[[#This Row],[Aplicativo]],Tabla76[],2,FALSE),"Sin Aplicativo")</f>
        <v>BackOffice</v>
      </c>
      <c r="BS120" s="14" t="str">
        <f>IFERROR(VLOOKUP(Cartera1017[[#This Row],[Aplicativo]],Tabla76[],3,FALSE),"Sin Aplicativo")</f>
        <v>Otros Requerimientos</v>
      </c>
      <c r="BT120" s="400" t="s">
        <v>521</v>
      </c>
      <c r="BU120" s="33"/>
      <c r="BV120" s="28"/>
      <c r="BW12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46037</v>
      </c>
      <c r="BX12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0" s="149" t="str">
        <f ca="1">IF(Cartera1017[[#This Row],[Fecha Fin2]]="","No definido",CONCATENATE(TEXT(Cartera1017[[#This Row],[Fecha Fin2]],"mmm")," ",YEAR(Cartera1017[[#This Row],[Fecha Fin2]])))</f>
        <v>Ene 2026</v>
      </c>
      <c r="BZ120" s="28"/>
      <c r="CA120" s="48" t="str">
        <f>IF(Cartera1017[[#This Row],[Estado TI]] = "08. Producción Finalizada","Culminado",IF(Cartera1017[[#This Row],[Estado TI]]= "09. Descartado","Descartado","Activos"))</f>
        <v>Culminado</v>
      </c>
      <c r="CB120" s="28"/>
      <c r="CC12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20" s="54" t="str">
        <f>IF(
AND(
Cartera1017[[#This Row],[DEVOLVER 27]]="NO",
NOT(ISBLANK(Cartera1017[[#This Row],[ESTADO NO DEVUELTOS 27]]))
),
"PRE",
"POST"
)</f>
        <v>PRE</v>
      </c>
      <c r="CE120" s="54" t="s">
        <v>509</v>
      </c>
      <c r="CF120" s="28" t="s">
        <v>48</v>
      </c>
      <c r="CG12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2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0" s="406">
        <f>Cartera1017[[#This Row],[Porcentaje de Avance]]</f>
        <v>1</v>
      </c>
      <c r="CK120" s="388">
        <f ca="1">IF(
   OR(
     Cartera1017[[#This Row],[Estado TI]]="09. Descartado",
     Cartera1017[[#This Row],[Comienzo Desarrollo]]="",
     Cartera1017[[#This Row],[Fin Producción]]=""
   ),
   "",
   Cartera1017[[#This Row],[% PLANIFICADO]]-Cartera1017[[#This Row],[% COMPLETADO]]
)</f>
        <v>0</v>
      </c>
      <c r="CL120" s="388">
        <f ca="1">IF(
   OR(
     Cartera1017[[#This Row],[Estado TI]]="09. Descartado",
     Cartera1017[[#This Row],[Comienzo Desarrollo]]="",
     Cartera1017[[#This Row],[Fin Producción]]="",
     Cartera1017[[#This Row],[% PLANIFICADO]]=0
   ),
   "",
   MIN(Cartera1017[[#This Row],[% COMPLETADO]]/Cartera1017[[#This Row],[% PLANIFICADO]],1.2)
)</f>
        <v>1</v>
      </c>
      <c r="CM120" s="377">
        <v>45856</v>
      </c>
      <c r="CN120" s="377">
        <v>45856</v>
      </c>
      <c r="CO120" s="377">
        <v>45979</v>
      </c>
      <c r="CP120" s="377">
        <v>46003</v>
      </c>
      <c r="CQ120" s="377">
        <v>46008</v>
      </c>
      <c r="CR120" s="377">
        <v>46036</v>
      </c>
      <c r="CS120" s="377">
        <v>46072</v>
      </c>
      <c r="CT120" s="44">
        <f>IF(Cartera1017[[#This Row],[Fin Desarrollo]]="",25,IFERROR(NETWORKDAYS(Cartera1017[[#This Row],[Comienzo Desarrollo]],Cartera1017[[#This Row],[Fin Desarrollo]],FERIADOS[Fecha]),""))</f>
        <v>85</v>
      </c>
      <c r="CU12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20" s="44">
        <f>IF(OR(Cartera1017[[#This Row],[Comienzo Desarrollo]]="",Cartera1017[[#This Row],[Fin Desarrollo]]=""),200,IFERROR(Cartera1017[[#This Row],[DURACIÓN DESARROLLO DIAS]]*VLOOKUP(Cartera1017[[#This Row],[ID Mantenimiento]],MANT_HORAS[],2,FALSE),200))</f>
        <v>200</v>
      </c>
      <c r="CW120" s="110"/>
      <c r="CX120" s="110" t="str">
        <f>VLOOKUP(Cartera1017[[#This Row],[Estado TI]],Definiciones!$A$549:$B$559,2,FALSE)</f>
        <v>4. PRODUCCIÓN</v>
      </c>
      <c r="CY120" s="28">
        <f ca="1">1-Cartera1017[[#This Row],[Porcentaje avanzado desarrollo]]</f>
        <v>0</v>
      </c>
      <c r="CZ12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85</v>
      </c>
      <c r="DA120" s="28">
        <f ca="1">MAX(0,Cartera1017[[#This Row],[DURACIÓN DESARROLLO DIAS]]-Cartera1017[[#This Row],[Dias avanzados]])</f>
        <v>0</v>
      </c>
      <c r="DB120" s="28">
        <f ca="1">Cartera1017[[#This Row],[Dias avanzados]]*IFERROR(VLOOKUP(Cartera1017[[#This Row],[ID Mantenimiento]],MANT_HORAS[],2,FALSE),8)</f>
        <v>680</v>
      </c>
      <c r="DC120" s="28">
        <f ca="1">Cartera1017[[#This Row],[Dias faltantes]]*IFERROR(VLOOKUP(Cartera1017[[#This Row],[ID Mantenimiento]],MANT_HORAS[],2,FALSE),8)</f>
        <v>0</v>
      </c>
      <c r="DD120" s="28" t="str">
        <f>IF(Cartera1017[[#This Row],[Fin Producción]]=0,"Por definir",CONCATENATE(YEAR(Cartera1017[[#This Row],[Fin Producción]]),"-",ROUNDUP(MONTH(Cartera1017[[#This Row],[Fin Producción]]),0)))</f>
        <v>2026-2</v>
      </c>
      <c r="DE120" s="18" t="s">
        <v>510</v>
      </c>
      <c r="DF120" s="28"/>
      <c r="DG120" s="28"/>
      <c r="DH120" s="565"/>
    </row>
    <row r="121" spans="1:112" ht="44.25" hidden="1" customHeight="1">
      <c r="A121" s="229" t="s">
        <v>1391</v>
      </c>
      <c r="B121" s="18">
        <v>2913</v>
      </c>
      <c r="C121" s="18" t="s">
        <v>485</v>
      </c>
      <c r="D121" s="18" t="s">
        <v>1392</v>
      </c>
      <c r="E121" s="18" t="s">
        <v>264</v>
      </c>
      <c r="F121" s="33" t="s">
        <v>265</v>
      </c>
      <c r="G121" s="33" t="s">
        <v>265</v>
      </c>
      <c r="H121" s="18" t="s">
        <v>33</v>
      </c>
      <c r="I121" s="18" t="s">
        <v>727</v>
      </c>
      <c r="J121" s="18" t="s">
        <v>728</v>
      </c>
      <c r="K121" s="20">
        <v>45853</v>
      </c>
      <c r="L121" s="20" t="s">
        <v>1393</v>
      </c>
      <c r="M121" s="50" t="s">
        <v>730</v>
      </c>
      <c r="N121" s="50"/>
      <c r="O121" s="20" t="s">
        <v>548</v>
      </c>
      <c r="P121" s="20" t="s">
        <v>731</v>
      </c>
      <c r="Q121" s="20" t="s">
        <v>496</v>
      </c>
      <c r="R121" s="20" t="s">
        <v>599</v>
      </c>
      <c r="S121" s="18" t="s">
        <v>599</v>
      </c>
      <c r="T121" s="18" t="s">
        <v>652</v>
      </c>
      <c r="U121" s="18"/>
      <c r="V121" s="18"/>
      <c r="W121" s="18"/>
      <c r="X121" s="18"/>
      <c r="Y121" s="80">
        <v>45901</v>
      </c>
      <c r="Z121" s="20" t="s">
        <v>499</v>
      </c>
      <c r="AA121" s="20">
        <v>45868</v>
      </c>
      <c r="AB121" s="20" t="s">
        <v>500</v>
      </c>
      <c r="AC121" s="18" t="s">
        <v>558</v>
      </c>
      <c r="AD121" s="18" t="s">
        <v>150</v>
      </c>
      <c r="AE121" s="18" t="s">
        <v>34</v>
      </c>
      <c r="AF121" s="18" t="s">
        <v>53</v>
      </c>
      <c r="AG121" s="14" t="str">
        <f>VLOOKUP(AF121,Tabla3[[Estado Requerimiento]:[Macro estado]],2,FALSE)</f>
        <v>03. Culminado</v>
      </c>
      <c r="AH121" s="18"/>
      <c r="AI121" s="80"/>
      <c r="AJ121" s="80"/>
      <c r="AK121" s="80">
        <v>45845</v>
      </c>
      <c r="AL121" s="80">
        <v>45966</v>
      </c>
      <c r="AM121" s="80"/>
      <c r="AN121" s="80">
        <v>45967</v>
      </c>
      <c r="AO121" s="80">
        <v>46118</v>
      </c>
      <c r="AP121" s="81">
        <f t="shared" si="2"/>
        <v>46014.400000000001</v>
      </c>
      <c r="AQ121" s="80">
        <v>46120</v>
      </c>
      <c r="AR121" s="80">
        <v>46126</v>
      </c>
      <c r="AS121" s="81">
        <f t="shared" si="3"/>
        <v>46021.4</v>
      </c>
      <c r="AT121" s="19" t="s">
        <v>1394</v>
      </c>
      <c r="AU121" s="44" t="str">
        <f>VLOOKUP(Cartera1017[[#This Row],[Gerencia]],tbGerencia[#All],3,FALSE)</f>
        <v>Productos</v>
      </c>
      <c r="AV121" s="44" t="str">
        <f>IFERROR(VLOOKUP(Cartera1017[[#This Row],[Subgerencia]],Definiciones!$A$90:$B$144,2,FALSE),"")</f>
        <v>BancaPersonal</v>
      </c>
      <c r="AW121" s="44" t="str">
        <f>IF(OR(LEN(Cartera1017[[#This Row],[Fecha de Solicitud]])=0,(Cartera1017[[#This Row],[Fecha de Solicitud]])="No definido"),"No definido",IF(YEAR(Cartera1017[[#This Row],[Fecha de Solicitud]])&lt;2023," &lt;  2023",TEXT(Cartera1017[[#This Row],[Fecha de Solicitud]],"yyyy-mm")))</f>
        <v>2025-07</v>
      </c>
      <c r="AX121" s="44" t="str">
        <f>IF(Cartera1017[[#This Row],[Fecha de Priorización Comité]]="","No definido",TEXT(Cartera1017[[#This Row],[Fecha de Priorización Comité]],"yyyy-mm"))</f>
        <v>2025-07</v>
      </c>
      <c r="AY121" s="44" t="str">
        <f>IF(Cartera1017[[#This Row],[Fecha Fin- Desarrollo]]="","No definido",TEXT(Cartera1017[[#This Row],[Fecha Fin- Desarrollo]],"yyyy-mm"))</f>
        <v>2025-11</v>
      </c>
      <c r="AZ121" s="44" t="str">
        <f>IF(Cartera1017[[#This Row],[Fecha Fin- Producción]]="","No definido",TEXT(Cartera1017[[#This Row],[Fecha Fin- Producción]],"yyyy-mm"))</f>
        <v>2026-04</v>
      </c>
      <c r="BA121" s="44" t="str">
        <f>IF(Cartera1017[[#This Row],[Fecha Fin-Planificada]]="","No definido",TEXT(Cartera1017[[#This Row],[Fecha Fin-Planificada]],"yyyy-mm"))</f>
        <v>2025-12</v>
      </c>
      <c r="BB121" s="33"/>
      <c r="BC121" s="66"/>
      <c r="BD121" s="108"/>
      <c r="BE121" s="108"/>
      <c r="BF121" s="127"/>
      <c r="BG121" s="28" t="s">
        <v>535</v>
      </c>
      <c r="BH121"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281</v>
      </c>
      <c r="BI121" s="90">
        <f>IF(ISNUMBER(Cartera1017[[#This Row],[Duracion en Dias]]),Cartera1017[[#This Row],[Duracion en Dias]]/30, "No Aplica")</f>
        <v>9.3666666666666671</v>
      </c>
      <c r="BJ121" s="109"/>
      <c r="BK121" s="28" t="s">
        <v>506</v>
      </c>
      <c r="BL121" s="110" t="s">
        <v>536</v>
      </c>
      <c r="BM121" s="342">
        <v>46126.382453703707</v>
      </c>
      <c r="BN121" s="227"/>
      <c r="BO121" s="401"/>
      <c r="BP121" s="401"/>
      <c r="BQ12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1" s="14" t="str">
        <f>IFERROR(VLOOKUP(Cartera1017[[#This Row],[Aplicativo]],Tabla76[],2,FALSE),"Sin Aplicativo")</f>
        <v>Tarjeta Tesoro</v>
      </c>
      <c r="BS121" s="14" t="str">
        <f>IFERROR(VLOOKUP(Cartera1017[[#This Row],[Aplicativo]],Tabla76[],3,FALSE),"Sin Aplicativo")</f>
        <v>Productos</v>
      </c>
      <c r="BT121" s="400" t="s">
        <v>521</v>
      </c>
      <c r="BU121" s="33"/>
      <c r="BV121" s="28"/>
      <c r="BW121"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46126</v>
      </c>
      <c r="BX12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1" s="149" t="str">
        <f ca="1">IF(Cartera1017[[#This Row],[Fecha Fin2]]="","No definido",CONCATENATE(TEXT(Cartera1017[[#This Row],[Fecha Fin2]],"mmm")," ",YEAR(Cartera1017[[#This Row],[Fecha Fin2]])))</f>
        <v>Abr 2026</v>
      </c>
      <c r="BZ121" s="28"/>
      <c r="CA121" s="48" t="str">
        <f>IF(Cartera1017[[#This Row],[Estado TI]] = "08. Producción Finalizada","Culminado",IF(Cartera1017[[#This Row],[Estado TI]]= "09. Descartado","Descartado","Activos"))</f>
        <v>Culminado</v>
      </c>
      <c r="CB121" s="28"/>
      <c r="CC12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21" s="54" t="str">
        <f>IF(
AND(
Cartera1017[[#This Row],[DEVOLVER 27]]="NO",
NOT(ISBLANK(Cartera1017[[#This Row],[ESTADO NO DEVUELTOS 27]]))
),
"PRE",
"POST"
)</f>
        <v>PRE</v>
      </c>
      <c r="CE121" s="54" t="s">
        <v>509</v>
      </c>
      <c r="CF121" s="28" t="s">
        <v>48</v>
      </c>
      <c r="CG12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2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1" s="406">
        <f>Cartera1017[[#This Row],[Porcentaje de Avance]]</f>
        <v>1</v>
      </c>
      <c r="CK121" s="388">
        <f ca="1">IF(
   OR(
     Cartera1017[[#This Row],[Estado TI]]="09. Descartado",
     Cartera1017[[#This Row],[Comienzo Desarrollo]]="",
     Cartera1017[[#This Row],[Fin Producción]]=""
   ),
   "",
   Cartera1017[[#This Row],[% PLANIFICADO]]-Cartera1017[[#This Row],[% COMPLETADO]]
)</f>
        <v>0</v>
      </c>
      <c r="CL121" s="388">
        <f ca="1">IF(
   OR(
     Cartera1017[[#This Row],[Estado TI]]="09. Descartado",
     Cartera1017[[#This Row],[Comienzo Desarrollo]]="",
     Cartera1017[[#This Row],[Fin Producción]]="",
     Cartera1017[[#This Row],[% PLANIFICADO]]=0
   ),
   "",
   MIN(Cartera1017[[#This Row],[% COMPLETADO]]/Cartera1017[[#This Row],[% PLANIFICADO]],1.2)
)</f>
        <v>1</v>
      </c>
      <c r="CM121" s="377">
        <v>45845</v>
      </c>
      <c r="CN121" s="377">
        <v>45845</v>
      </c>
      <c r="CO121" s="377">
        <v>45966</v>
      </c>
      <c r="CP121" s="377">
        <v>45967</v>
      </c>
      <c r="CQ121" s="377">
        <v>46097</v>
      </c>
      <c r="CR121" s="377">
        <v>46098</v>
      </c>
      <c r="CS121" s="377">
        <v>46139</v>
      </c>
      <c r="CT121" s="44">
        <f>IF(Cartera1017[[#This Row],[Fin Desarrollo]]="",25,IFERROR(NETWORKDAYS(Cartera1017[[#This Row],[Comienzo Desarrollo]],Cartera1017[[#This Row],[Fin Desarrollo]],FERIADOS[Fecha]),""))</f>
        <v>85</v>
      </c>
      <c r="CU12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21" s="44">
        <f>IF(OR(Cartera1017[[#This Row],[Comienzo Desarrollo]]="",Cartera1017[[#This Row],[Fin Desarrollo]]=""),200,IFERROR(Cartera1017[[#This Row],[DURACIÓN DESARROLLO DIAS]]*VLOOKUP(Cartera1017[[#This Row],[ID Mantenimiento]],MANT_HORAS[],2,FALSE),200))</f>
        <v>200</v>
      </c>
      <c r="CW121" s="110"/>
      <c r="CX121" s="110" t="str">
        <f>VLOOKUP(Cartera1017[[#This Row],[Estado TI]],Definiciones!$A$549:$B$559,2,FALSE)</f>
        <v>4. PRODUCCIÓN</v>
      </c>
      <c r="CY121" s="28">
        <f ca="1">1-Cartera1017[[#This Row],[Porcentaje avanzado desarrollo]]</f>
        <v>0</v>
      </c>
      <c r="CZ12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85</v>
      </c>
      <c r="DA121" s="28">
        <f ca="1">MAX(0,Cartera1017[[#This Row],[DURACIÓN DESARROLLO DIAS]]-Cartera1017[[#This Row],[Dias avanzados]])</f>
        <v>0</v>
      </c>
      <c r="DB121" s="28">
        <f ca="1">Cartera1017[[#This Row],[Dias avanzados]]*IFERROR(VLOOKUP(Cartera1017[[#This Row],[ID Mantenimiento]],MANT_HORAS[],2,FALSE),8)</f>
        <v>680</v>
      </c>
      <c r="DC121" s="28">
        <f ca="1">Cartera1017[[#This Row],[Dias faltantes]]*IFERROR(VLOOKUP(Cartera1017[[#This Row],[ID Mantenimiento]],MANT_HORAS[],2,FALSE),8)</f>
        <v>0</v>
      </c>
      <c r="DD121" s="28" t="str">
        <f>IF(Cartera1017[[#This Row],[Fin Producción]]=0,"Por definir",CONCATENATE(YEAR(Cartera1017[[#This Row],[Fin Producción]]),"-",ROUNDUP(MONTH(Cartera1017[[#This Row],[Fin Producción]]),0)))</f>
        <v>2026-4</v>
      </c>
      <c r="DE121" s="18" t="s">
        <v>510</v>
      </c>
      <c r="DF121" s="28"/>
      <c r="DG121" s="28"/>
      <c r="DH121" s="565"/>
    </row>
    <row r="122" spans="1:112" ht="44.25" hidden="1" customHeight="1">
      <c r="A122" s="229" t="s">
        <v>1395</v>
      </c>
      <c r="B122" s="18">
        <v>2918</v>
      </c>
      <c r="C122" s="18" t="s">
        <v>485</v>
      </c>
      <c r="D122" s="18" t="s">
        <v>1396</v>
      </c>
      <c r="E122" s="18" t="s">
        <v>266</v>
      </c>
      <c r="F122" s="33" t="s">
        <v>267</v>
      </c>
      <c r="G122" s="33"/>
      <c r="H122" s="18" t="s">
        <v>40</v>
      </c>
      <c r="I122" s="18" t="s">
        <v>490</v>
      </c>
      <c r="J122" s="18" t="s">
        <v>662</v>
      </c>
      <c r="K122" s="20">
        <v>45839</v>
      </c>
      <c r="L122" s="20" t="s">
        <v>1397</v>
      </c>
      <c r="M122" s="50" t="s">
        <v>1398</v>
      </c>
      <c r="N122" s="50" t="s">
        <v>600</v>
      </c>
      <c r="O122" s="20" t="s">
        <v>530</v>
      </c>
      <c r="P122" s="20" t="s">
        <v>495</v>
      </c>
      <c r="Q122" s="20" t="s">
        <v>951</v>
      </c>
      <c r="R122" s="20" t="s">
        <v>497</v>
      </c>
      <c r="S122" s="18"/>
      <c r="T122" s="18"/>
      <c r="U122" s="18"/>
      <c r="V122" s="18"/>
      <c r="W122" s="18"/>
      <c r="X122" s="18"/>
      <c r="Y122" s="80"/>
      <c r="Z122" s="20" t="s">
        <v>499</v>
      </c>
      <c r="AA122" s="20">
        <v>45868</v>
      </c>
      <c r="AB122" s="20" t="s">
        <v>500</v>
      </c>
      <c r="AC122" s="18" t="s">
        <v>558</v>
      </c>
      <c r="AD122" s="18" t="s">
        <v>165</v>
      </c>
      <c r="AE122" s="18" t="s">
        <v>41</v>
      </c>
      <c r="AF122" s="18" t="s">
        <v>35</v>
      </c>
      <c r="AG122" s="14" t="str">
        <f>VLOOKUP(AF122,Tabla3[[Estado Requerimiento]:[Macro estado]],2,FALSE)</f>
        <v>02. En Proceso</v>
      </c>
      <c r="AH122" s="18"/>
      <c r="AI122" s="80"/>
      <c r="AJ122" s="80"/>
      <c r="AK122" s="80">
        <v>45848</v>
      </c>
      <c r="AL122" s="80">
        <v>45936</v>
      </c>
      <c r="AM122" s="80"/>
      <c r="AN122" s="80">
        <v>45941</v>
      </c>
      <c r="AO122" s="80">
        <v>46045</v>
      </c>
      <c r="AP122" s="81">
        <f t="shared" si="2"/>
        <v>45971.199999999997</v>
      </c>
      <c r="AQ122" s="80">
        <v>46093</v>
      </c>
      <c r="AR122" s="80"/>
      <c r="AS122" s="81">
        <f t="shared" si="3"/>
        <v>45978.2</v>
      </c>
      <c r="AT122" s="19" t="s">
        <v>1399</v>
      </c>
      <c r="AU122" s="44" t="str">
        <f>VLOOKUP(Cartera1017[[#This Row],[Gerencia]],tbGerencia[#All],3,FALSE)</f>
        <v>Operac.</v>
      </c>
      <c r="AV122" s="44" t="str">
        <f>IFERROR(VLOOKUP(Cartera1017[[#This Row],[Subgerencia]],Definiciones!$A$90:$B$144,2,FALSE),"")</f>
        <v>BancariosRecaudación</v>
      </c>
      <c r="AW122" s="44" t="str">
        <f>IF(OR(LEN(Cartera1017[[#This Row],[Fecha de Solicitud]])=0,(Cartera1017[[#This Row],[Fecha de Solicitud]])="No definido"),"No definido",IF(YEAR(Cartera1017[[#This Row],[Fecha de Solicitud]])&lt;2023," &lt;  2023",TEXT(Cartera1017[[#This Row],[Fecha de Solicitud]],"yyyy-mm")))</f>
        <v>2025-07</v>
      </c>
      <c r="AX122" s="44" t="str">
        <f>IF(Cartera1017[[#This Row],[Fecha de Priorización Comité]]="","No definido",TEXT(Cartera1017[[#This Row],[Fecha de Priorización Comité]],"yyyy-mm"))</f>
        <v>2025-07</v>
      </c>
      <c r="AY122" s="44" t="str">
        <f>IF(Cartera1017[[#This Row],[Fecha Fin- Desarrollo]]="","No definido",TEXT(Cartera1017[[#This Row],[Fecha Fin- Desarrollo]],"yyyy-mm"))</f>
        <v>2025-10</v>
      </c>
      <c r="AZ122" s="44" t="str">
        <f>IF(Cartera1017[[#This Row],[Fecha Fin- Producción]]="","No definido",TEXT(Cartera1017[[#This Row],[Fecha Fin- Producción]],"yyyy-mm"))</f>
        <v>No definido</v>
      </c>
      <c r="BA122" s="44" t="str">
        <f>IF(Cartera1017[[#This Row],[Fecha Fin-Planificada]]="","No definido",TEXT(Cartera1017[[#This Row],[Fecha Fin-Planificada]],"yyyy-mm"))</f>
        <v>2025-11</v>
      </c>
      <c r="BB122" s="33"/>
      <c r="BC122" s="66"/>
      <c r="BD122" s="108"/>
      <c r="BE122" s="108"/>
      <c r="BF122" s="127"/>
      <c r="BG122" s="28" t="s">
        <v>535</v>
      </c>
      <c r="BH12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2" s="90" t="str">
        <f>IF(ISNUMBER(Cartera1017[[#This Row],[Duracion en Dias]]),Cartera1017[[#This Row],[Duracion en Dias]]/30, "No Aplica")</f>
        <v>No Aplica</v>
      </c>
      <c r="BJ122" s="109"/>
      <c r="BK122" s="28" t="s">
        <v>506</v>
      </c>
      <c r="BL122" s="110" t="s">
        <v>583</v>
      </c>
      <c r="BM122" s="342">
        <v>46152.945092592592</v>
      </c>
      <c r="BN122" s="227"/>
      <c r="BO122" s="401"/>
      <c r="BP122" s="401"/>
      <c r="BQ12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22" s="14" t="str">
        <f>IFERROR(VLOOKUP(Cartera1017[[#This Row],[Aplicativo]],Tabla76[],2,FALSE),"Sin Aplicativo")</f>
        <v>Sin Aplicativo</v>
      </c>
      <c r="BS122" s="14" t="str">
        <f>IFERROR(VLOOKUP(Cartera1017[[#This Row],[Aplicativo]],Tabla76[],3,FALSE),"Sin Aplicativo")</f>
        <v>Sin Aplicativo</v>
      </c>
      <c r="BT122" s="400" t="s">
        <v>521</v>
      </c>
      <c r="BU122" s="33"/>
      <c r="BV122" s="28"/>
      <c r="BW12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2" s="149" t="str">
        <f ca="1">IF(Cartera1017[[#This Row],[Fecha Fin2]]="","No definido",CONCATENATE(TEXT(Cartera1017[[#This Row],[Fecha Fin2]],"mmm")," ",YEAR(Cartera1017[[#This Row],[Fecha Fin2]])))</f>
        <v>No definido</v>
      </c>
      <c r="BZ122" s="28"/>
      <c r="CA122" s="48" t="str">
        <f>IF(Cartera1017[[#This Row],[Estado TI]] = "08. Producción Finalizada","Culminado",IF(Cartera1017[[#This Row],[Estado TI]]= "09. Descartado","Descartado","Activos"))</f>
        <v>Activos</v>
      </c>
      <c r="CB122" s="28"/>
      <c r="CC12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22" s="54" t="str">
        <f>IF(
AND(
Cartera1017[[#This Row],[DEVOLVER 27]]="NO",
NOT(ISBLANK(Cartera1017[[#This Row],[ESTADO NO DEVUELTOS 27]]))
),
"PRE",
"POST"
)</f>
        <v>PRE</v>
      </c>
      <c r="CE122" s="54" t="s">
        <v>509</v>
      </c>
      <c r="CF122" s="28" t="s">
        <v>87</v>
      </c>
      <c r="CG12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2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2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2" s="406">
        <f>Cartera1017[[#This Row],[Porcentaje de Avance]]</f>
        <v>0.9</v>
      </c>
      <c r="CK122" s="388">
        <f ca="1">IF(
   OR(
     Cartera1017[[#This Row],[Estado TI]]="09. Descartado",
     Cartera1017[[#This Row],[Comienzo Desarrollo]]="",
     Cartera1017[[#This Row],[Fin Producción]]=""
   ),
   "",
   Cartera1017[[#This Row],[% PLANIFICADO]]-Cartera1017[[#This Row],[% COMPLETADO]]
)</f>
        <v>9.9999999999999978E-2</v>
      </c>
      <c r="CL122" s="388">
        <f ca="1">IF(
   OR(
     Cartera1017[[#This Row],[Estado TI]]="09. Descartado",
     Cartera1017[[#This Row],[Comienzo Desarrollo]]="",
     Cartera1017[[#This Row],[Fin Producción]]="",
     Cartera1017[[#This Row],[% PLANIFICADO]]=0
   ),
   "",
   MIN(Cartera1017[[#This Row],[% COMPLETADO]]/Cartera1017[[#This Row],[% PLANIFICADO]],1.2)
)</f>
        <v>0.9</v>
      </c>
      <c r="CM122" s="377">
        <v>45848</v>
      </c>
      <c r="CN122" s="377">
        <v>45848</v>
      </c>
      <c r="CO122" s="377">
        <v>45936</v>
      </c>
      <c r="CP122" s="377">
        <v>45941</v>
      </c>
      <c r="CQ122" s="377">
        <v>46045</v>
      </c>
      <c r="CR122" s="377">
        <v>46072</v>
      </c>
      <c r="CS122" s="377">
        <v>46108</v>
      </c>
      <c r="CT122" s="44">
        <f>IF(Cartera1017[[#This Row],[Fin Desarrollo]]="",25,IFERROR(NETWORKDAYS(Cartera1017[[#This Row],[Comienzo Desarrollo]],Cartera1017[[#This Row],[Fin Desarrollo]],FERIADOS[Fecha]),""))</f>
        <v>61</v>
      </c>
      <c r="CU12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22" s="44">
        <f>IF(OR(Cartera1017[[#This Row],[Comienzo Desarrollo]]="",Cartera1017[[#This Row],[Fin Desarrollo]]=""),200,IFERROR(Cartera1017[[#This Row],[DURACIÓN DESARROLLO DIAS]]*VLOOKUP(Cartera1017[[#This Row],[ID Mantenimiento]],MANT_HORAS[],2,FALSE),200))</f>
        <v>200</v>
      </c>
      <c r="CW122" s="110"/>
      <c r="CX122" s="110" t="str">
        <f>VLOOKUP(Cartera1017[[#This Row],[Estado TI]],Definiciones!$A$549:$B$559,2,FALSE)</f>
        <v>3. DESPLIEGUE</v>
      </c>
      <c r="CY122" s="28">
        <f ca="1">1-Cartera1017[[#This Row],[Porcentaje avanzado desarrollo]]</f>
        <v>0</v>
      </c>
      <c r="CZ12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61</v>
      </c>
      <c r="DA122" s="28">
        <f ca="1">MAX(0,Cartera1017[[#This Row],[DURACIÓN DESARROLLO DIAS]]-Cartera1017[[#This Row],[Dias avanzados]])</f>
        <v>0</v>
      </c>
      <c r="DB122" s="28">
        <f ca="1">Cartera1017[[#This Row],[Dias avanzados]]*IFERROR(VLOOKUP(Cartera1017[[#This Row],[ID Mantenimiento]],MANT_HORAS[],2,FALSE),8)</f>
        <v>488</v>
      </c>
      <c r="DC122" s="28">
        <f ca="1">Cartera1017[[#This Row],[Dias faltantes]]*IFERROR(VLOOKUP(Cartera1017[[#This Row],[ID Mantenimiento]],MANT_HORAS[],2,FALSE),8)</f>
        <v>0</v>
      </c>
      <c r="DD122" s="28" t="str">
        <f>IF(Cartera1017[[#This Row],[Fin Producción]]=0,"Por definir",CONCATENATE(YEAR(Cartera1017[[#This Row],[Fin Producción]]),"-",ROUNDUP(MONTH(Cartera1017[[#This Row],[Fin Producción]]),0)))</f>
        <v>2026-3</v>
      </c>
      <c r="DE122" s="18" t="s">
        <v>510</v>
      </c>
      <c r="DF122" s="28" t="s">
        <v>1400</v>
      </c>
      <c r="DG122" s="28" t="s">
        <v>659</v>
      </c>
      <c r="DH122" s="565"/>
    </row>
    <row r="123" spans="1:112" ht="44.25" hidden="1" customHeight="1">
      <c r="A123" s="229" t="s">
        <v>1401</v>
      </c>
      <c r="B123" s="18">
        <v>2926</v>
      </c>
      <c r="C123" s="18" t="s">
        <v>485</v>
      </c>
      <c r="D123" s="18" t="s">
        <v>1402</v>
      </c>
      <c r="E123" s="18" t="s">
        <v>268</v>
      </c>
      <c r="F123" s="33" t="s">
        <v>269</v>
      </c>
      <c r="G123" s="33"/>
      <c r="H123" s="18" t="s">
        <v>40</v>
      </c>
      <c r="I123" s="18" t="s">
        <v>577</v>
      </c>
      <c r="J123" s="18" t="s">
        <v>578</v>
      </c>
      <c r="K123" s="20">
        <v>45816</v>
      </c>
      <c r="L123" s="20" t="s">
        <v>1403</v>
      </c>
      <c r="M123" s="50" t="s">
        <v>579</v>
      </c>
      <c r="N123" s="50" t="s">
        <v>1168</v>
      </c>
      <c r="O123" s="20" t="s">
        <v>530</v>
      </c>
      <c r="P123" s="20" t="s">
        <v>495</v>
      </c>
      <c r="Q123" s="20" t="s">
        <v>496</v>
      </c>
      <c r="R123" s="20" t="s">
        <v>497</v>
      </c>
      <c r="S123" s="18"/>
      <c r="T123" s="18" t="s">
        <v>495</v>
      </c>
      <c r="U123" s="18" t="s">
        <v>495</v>
      </c>
      <c r="V123" s="18" t="s">
        <v>495</v>
      </c>
      <c r="W123" s="18" t="s">
        <v>495</v>
      </c>
      <c r="X123" s="18" t="s">
        <v>495</v>
      </c>
      <c r="Y123" s="80" t="s">
        <v>495</v>
      </c>
      <c r="Z123" s="20" t="s">
        <v>499</v>
      </c>
      <c r="AA123" s="20">
        <v>45868</v>
      </c>
      <c r="AB123" s="20" t="s">
        <v>500</v>
      </c>
      <c r="AC123" s="18" t="s">
        <v>501</v>
      </c>
      <c r="AD123" s="18" t="s">
        <v>43</v>
      </c>
      <c r="AE123" s="18" t="s">
        <v>41</v>
      </c>
      <c r="AF123" s="18" t="s">
        <v>48</v>
      </c>
      <c r="AG123" s="14" t="str">
        <f>VLOOKUP(AF123,Tabla3[[Estado Requerimiento]:[Macro estado]],2,FALSE)</f>
        <v>02. En Proceso</v>
      </c>
      <c r="AH123" s="18"/>
      <c r="AI123" s="80"/>
      <c r="AJ123" s="80">
        <v>45964</v>
      </c>
      <c r="AK123" s="80"/>
      <c r="AL123" s="80"/>
      <c r="AM123" s="80">
        <v>45976</v>
      </c>
      <c r="AN123" s="80"/>
      <c r="AO123" s="80"/>
      <c r="AP123" s="81" t="str">
        <f t="shared" si="2"/>
        <v/>
      </c>
      <c r="AQ123" s="80"/>
      <c r="AR123" s="80"/>
      <c r="AS123" s="81" t="str">
        <f t="shared" si="3"/>
        <v/>
      </c>
      <c r="AT123" s="19" t="s">
        <v>1404</v>
      </c>
      <c r="AU123" s="44" t="str">
        <f>VLOOKUP(Cartera1017[[#This Row],[Gerencia]],tbGerencia[#All],3,FALSE)</f>
        <v>Operac.</v>
      </c>
      <c r="AV123" s="44" t="str">
        <f>IFERROR(VLOOKUP(Cartera1017[[#This Row],[Subgerencia]],Definiciones!$A$90:$B$144,2,FALSE),"")</f>
        <v>CaptacionesPagaduría</v>
      </c>
      <c r="AW123" s="44" t="str">
        <f>IF(OR(LEN(Cartera1017[[#This Row],[Fecha de Solicitud]])=0,(Cartera1017[[#This Row],[Fecha de Solicitud]])="No definido"),"No definido",IF(YEAR(Cartera1017[[#This Row],[Fecha de Solicitud]])&lt;2023," &lt;  2023",TEXT(Cartera1017[[#This Row],[Fecha de Solicitud]],"yyyy-mm")))</f>
        <v>2025-06</v>
      </c>
      <c r="AX123" s="44" t="str">
        <f>IF(Cartera1017[[#This Row],[Fecha de Priorización Comité]]="","No definido",TEXT(Cartera1017[[#This Row],[Fecha de Priorización Comité]],"yyyy-mm"))</f>
        <v>2025-07</v>
      </c>
      <c r="AY123" s="44" t="str">
        <f>IF(Cartera1017[[#This Row],[Fecha Fin- Desarrollo]]="","No definido",TEXT(Cartera1017[[#This Row],[Fecha Fin- Desarrollo]],"yyyy-mm"))</f>
        <v>No definido</v>
      </c>
      <c r="AZ123" s="44" t="str">
        <f>IF(Cartera1017[[#This Row],[Fecha Fin- Producción]]="","No definido",TEXT(Cartera1017[[#This Row],[Fecha Fin- Producción]],"yyyy-mm"))</f>
        <v>No definido</v>
      </c>
      <c r="BA123" s="44" t="str">
        <f>IF(Cartera1017[[#This Row],[Fecha Fin-Planificada]]="","No definido",TEXT(Cartera1017[[#This Row],[Fecha Fin-Planificada]],"yyyy-mm"))</f>
        <v>No definido</v>
      </c>
      <c r="BB123" s="33"/>
      <c r="BC123" s="66"/>
      <c r="BD123" s="108"/>
      <c r="BE123" s="108"/>
      <c r="BF123" s="127"/>
      <c r="BG123" s="28" t="s">
        <v>535</v>
      </c>
      <c r="BH12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23" s="90" t="str">
        <f>IF(ISNUMBER(Cartera1017[[#This Row],[Duracion en Dias]]),Cartera1017[[#This Row],[Duracion en Dias]]/30, "No Aplica")</f>
        <v>No Aplica</v>
      </c>
      <c r="BJ123" s="109"/>
      <c r="BK123" s="28" t="s">
        <v>506</v>
      </c>
      <c r="BL123" s="110" t="s">
        <v>581</v>
      </c>
      <c r="BM123" s="342">
        <v>46148.747025462966</v>
      </c>
      <c r="BN123" s="227"/>
      <c r="BO123" s="401"/>
      <c r="BP123" s="401"/>
      <c r="BQ12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23" s="14" t="str">
        <f>IFERROR(VLOOKUP(Cartera1017[[#This Row],[Aplicativo]],Tabla76[],2,FALSE),"Sin Aplicativo")</f>
        <v>Clientes (BDUC)</v>
      </c>
      <c r="BS123" s="14" t="str">
        <f>IFERROR(VLOOKUP(Cartera1017[[#This Row],[Aplicativo]],Tabla76[],3,FALSE),"Sin Aplicativo")</f>
        <v>Canales Presenciales</v>
      </c>
      <c r="BT123" s="400" t="s">
        <v>521</v>
      </c>
      <c r="BU123" s="33"/>
      <c r="BV123" s="28"/>
      <c r="BW12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3" s="149" t="str">
        <f ca="1">IF(Cartera1017[[#This Row],[Fecha Fin2]]="","No definido",CONCATENATE(TEXT(Cartera1017[[#This Row],[Fecha Fin2]],"mmm")," ",YEAR(Cartera1017[[#This Row],[Fecha Fin2]])))</f>
        <v>No definido</v>
      </c>
      <c r="BZ123" s="28"/>
      <c r="CA123" s="48" t="str">
        <f>IF(Cartera1017[[#This Row],[Estado TI]] = "08. Producción Finalizada","Culminado",IF(Cartera1017[[#This Row],[Estado TI]]= "09. Descartado","Descartado","Activos"))</f>
        <v>Activos</v>
      </c>
      <c r="CB123" s="28"/>
      <c r="CC12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123" s="54" t="str">
        <f>IF(
AND(
Cartera1017[[#This Row],[DEVOLVER 27]]="NO",
NOT(ISBLANK(Cartera1017[[#This Row],[ESTADO NO DEVUELTOS 27]]))
),
"PRE",
"POST"
)</f>
        <v>PRE</v>
      </c>
      <c r="CE123" s="54" t="s">
        <v>509</v>
      </c>
      <c r="CF123" s="28" t="s">
        <v>48</v>
      </c>
      <c r="CG12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2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2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123" s="406">
        <f>Cartera1017[[#This Row],[Porcentaje de Avance]]</f>
        <v>0.45</v>
      </c>
      <c r="CK123" s="388">
        <f ca="1">IF(
   OR(
     Cartera1017[[#This Row],[Estado TI]]="09. Descartado",
     Cartera1017[[#This Row],[Comienzo Desarrollo]]="",
     Cartera1017[[#This Row],[Fin Producción]]=""
   ),
   "",
   Cartera1017[[#This Row],[% PLANIFICADO]]-Cartera1017[[#This Row],[% COMPLETADO]]
)</f>
        <v>-0.45</v>
      </c>
      <c r="CL123" s="388" t="str">
        <f ca="1">IF(
   OR(
     Cartera1017[[#This Row],[Estado TI]]="09. Descartado",
     Cartera1017[[#This Row],[Comienzo Desarrollo]]="",
     Cartera1017[[#This Row],[Fin Producción]]="",
     Cartera1017[[#This Row],[% PLANIFICADO]]=0
   ),
   "",
   MIN(Cartera1017[[#This Row],[% COMPLETADO]]/Cartera1017[[#This Row],[% PLANIFICADO]],1.2)
)</f>
        <v/>
      </c>
      <c r="CM123" s="377">
        <v>45847</v>
      </c>
      <c r="CN123" s="377">
        <v>46266</v>
      </c>
      <c r="CO123" s="377">
        <v>46339</v>
      </c>
      <c r="CP123" s="377">
        <v>46342</v>
      </c>
      <c r="CQ123" s="377">
        <v>46387</v>
      </c>
      <c r="CR123" s="377">
        <v>46391</v>
      </c>
      <c r="CS123" s="423">
        <v>46395</v>
      </c>
      <c r="CT123" s="44">
        <f>IF(Cartera1017[[#This Row],[Fin Desarrollo]]="",25,IFERROR(NETWORKDAYS(Cartera1017[[#This Row],[Comienzo Desarrollo]],Cartera1017[[#This Row],[Fin Desarrollo]],FERIADOS[Fecha]),""))</f>
        <v>53</v>
      </c>
      <c r="CU12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V123" s="44">
        <f>IF(OR(Cartera1017[[#This Row],[Comienzo Desarrollo]]="",Cartera1017[[#This Row],[Fin Desarrollo]]=""),200,IFERROR(Cartera1017[[#This Row],[DURACIÓN DESARROLLO DIAS]]*VLOOKUP(Cartera1017[[#This Row],[ID Mantenimiento]],MANT_HORAS[],2,FALSE),200))</f>
        <v>60.571428571428569</v>
      </c>
      <c r="CW123" s="110"/>
      <c r="CX123" s="110" t="str">
        <f>VLOOKUP(Cartera1017[[#This Row],[Estado TI]],Definiciones!$A$549:$B$559,2,FALSE)</f>
        <v>1. DESARROLLO</v>
      </c>
      <c r="CY123" s="28">
        <f ca="1">1-Cartera1017[[#This Row],[Porcentaje avanzado desarrollo]]</f>
        <v>1</v>
      </c>
      <c r="CZ12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123" s="28">
        <f ca="1">MAX(0,Cartera1017[[#This Row],[DURACIÓN DESARROLLO DIAS]]-Cartera1017[[#This Row],[Dias avanzados]])</f>
        <v>53</v>
      </c>
      <c r="DB123" s="28">
        <f ca="1">Cartera1017[[#This Row],[Dias avanzados]]*IFERROR(VLOOKUP(Cartera1017[[#This Row],[ID Mantenimiento]],MANT_HORAS[],2,FALSE),8)</f>
        <v>0</v>
      </c>
      <c r="DC123" s="28">
        <f ca="1">Cartera1017[[#This Row],[Dias faltantes]]*IFERROR(VLOOKUP(Cartera1017[[#This Row],[ID Mantenimiento]],MANT_HORAS[],2,FALSE),8)</f>
        <v>60.571428571428569</v>
      </c>
      <c r="DD123" s="28" t="str">
        <f>IF(Cartera1017[[#This Row],[Fin Producción]]=0,"Por definir",CONCATENATE(YEAR(Cartera1017[[#This Row],[Fin Producción]]),"-",ROUNDUP(MONTH(Cartera1017[[#This Row],[Fin Producción]]),0)))</f>
        <v>2027-1</v>
      </c>
      <c r="DE123" s="18" t="s">
        <v>510</v>
      </c>
      <c r="DF123" s="28"/>
      <c r="DG123" s="28"/>
      <c r="DH123" s="565"/>
    </row>
    <row r="124" spans="1:112" ht="44.25" hidden="1" customHeight="1">
      <c r="A124" s="229" t="s">
        <v>1405</v>
      </c>
      <c r="B124" s="18">
        <v>2928</v>
      </c>
      <c r="C124" s="18" t="s">
        <v>485</v>
      </c>
      <c r="D124" s="18" t="s">
        <v>1406</v>
      </c>
      <c r="E124" s="18" t="s">
        <v>270</v>
      </c>
      <c r="F124" s="112" t="s">
        <v>271</v>
      </c>
      <c r="G124" s="33"/>
      <c r="H124" s="18" t="s">
        <v>33</v>
      </c>
      <c r="I124" s="18" t="s">
        <v>727</v>
      </c>
      <c r="J124" s="18" t="s">
        <v>1148</v>
      </c>
      <c r="K124" s="20">
        <v>45849</v>
      </c>
      <c r="L124" s="20" t="s">
        <v>1407</v>
      </c>
      <c r="M124" s="50" t="s">
        <v>914</v>
      </c>
      <c r="N124" s="50"/>
      <c r="O124" s="20" t="s">
        <v>530</v>
      </c>
      <c r="P124" s="20" t="s">
        <v>1077</v>
      </c>
      <c r="Q124" s="20" t="s">
        <v>496</v>
      </c>
      <c r="R124" s="20" t="s">
        <v>780</v>
      </c>
      <c r="S124" s="18" t="s">
        <v>780</v>
      </c>
      <c r="T124" s="18" t="s">
        <v>652</v>
      </c>
      <c r="U124" s="18" t="s">
        <v>1005</v>
      </c>
      <c r="V124" s="18" t="s">
        <v>1408</v>
      </c>
      <c r="W124" s="18" t="s">
        <v>1409</v>
      </c>
      <c r="X124" s="18" t="s">
        <v>1410</v>
      </c>
      <c r="Y124" s="80">
        <v>45900</v>
      </c>
      <c r="Z124" s="20" t="s">
        <v>499</v>
      </c>
      <c r="AA124" s="20">
        <v>45868</v>
      </c>
      <c r="AB124" s="20" t="s">
        <v>500</v>
      </c>
      <c r="AC124" s="18" t="s">
        <v>558</v>
      </c>
      <c r="AD124" s="360" t="s">
        <v>133</v>
      </c>
      <c r="AE124" s="18" t="s">
        <v>34</v>
      </c>
      <c r="AF124" s="563" t="s">
        <v>28</v>
      </c>
      <c r="AG124" s="395" t="str">
        <f>VLOOKUP(AF124,Tabla3[[Estado Requerimiento]:[Macro estado]],2,FALSE)</f>
        <v>04. Paralizado</v>
      </c>
      <c r="AH124" s="18" t="s">
        <v>559</v>
      </c>
      <c r="AI124" s="80"/>
      <c r="AJ124" s="80"/>
      <c r="AK124" s="80">
        <v>45852</v>
      </c>
      <c r="AL124" s="80"/>
      <c r="AM124" s="80"/>
      <c r="AN124" s="80"/>
      <c r="AO124" s="80"/>
      <c r="AP124" s="81" t="str">
        <f t="shared" si="2"/>
        <v/>
      </c>
      <c r="AQ124" s="80"/>
      <c r="AR124" s="80"/>
      <c r="AS124" s="81" t="str">
        <f t="shared" si="3"/>
        <v/>
      </c>
      <c r="AT124" s="35" t="s">
        <v>1411</v>
      </c>
      <c r="AU124" s="44" t="str">
        <f>VLOOKUP(Cartera1017[[#This Row],[Gerencia]],tbGerencia[#All],3,FALSE)</f>
        <v>Productos</v>
      </c>
      <c r="AV124" s="44" t="str">
        <f>IFERROR(VLOOKUP(Cartera1017[[#This Row],[Subgerencia]],Definiciones!$A$90:$B$144,2,FALSE),"")</f>
        <v>BancaPersonal</v>
      </c>
      <c r="AW124" s="44" t="str">
        <f>IF(OR(LEN(Cartera1017[[#This Row],[Fecha de Solicitud]])=0,(Cartera1017[[#This Row],[Fecha de Solicitud]])="No definido"),"No definido",IF(YEAR(Cartera1017[[#This Row],[Fecha de Solicitud]])&lt;2023," &lt;  2023",TEXT(Cartera1017[[#This Row],[Fecha de Solicitud]],"yyyy-mm")))</f>
        <v>2025-07</v>
      </c>
      <c r="AX124" s="44" t="str">
        <f>IF(Cartera1017[[#This Row],[Fecha de Priorización Comité]]="","No definido",TEXT(Cartera1017[[#This Row],[Fecha de Priorización Comité]],"yyyy-mm"))</f>
        <v>2025-07</v>
      </c>
      <c r="AY124" s="44" t="str">
        <f>IF(Cartera1017[[#This Row],[Fecha Fin- Desarrollo]]="","No definido",TEXT(Cartera1017[[#This Row],[Fecha Fin- Desarrollo]],"yyyy-mm"))</f>
        <v>No definido</v>
      </c>
      <c r="AZ124" s="44" t="str">
        <f>IF(Cartera1017[[#This Row],[Fecha Fin- Producción]]="","No definido",TEXT(Cartera1017[[#This Row],[Fecha Fin- Producción]],"yyyy-mm"))</f>
        <v>No definido</v>
      </c>
      <c r="BA124" s="44" t="str">
        <f>IF(Cartera1017[[#This Row],[Fecha Fin-Planificada]]="","No definido",TEXT(Cartera1017[[#This Row],[Fecha Fin-Planificada]],"yyyy-mm"))</f>
        <v>No definido</v>
      </c>
      <c r="BB124" s="33"/>
      <c r="BC124" s="66"/>
      <c r="BD124" s="108"/>
      <c r="BE124" s="108"/>
      <c r="BF124" s="127"/>
      <c r="BG124" s="28" t="s">
        <v>535</v>
      </c>
      <c r="BH12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4" s="90" t="str">
        <f>IF(ISNUMBER(Cartera1017[[#This Row],[Duracion en Dias]]),Cartera1017[[#This Row],[Duracion en Dias]]/30, "No Aplica")</f>
        <v>No Aplica</v>
      </c>
      <c r="BJ124" s="109"/>
      <c r="BK124" s="28" t="s">
        <v>754</v>
      </c>
      <c r="BL124" s="110" t="s">
        <v>562</v>
      </c>
      <c r="BM124" s="342">
        <v>46079.645451388889</v>
      </c>
      <c r="BN124" s="227" t="s">
        <v>1412</v>
      </c>
      <c r="BO124" s="401" t="s">
        <v>1413</v>
      </c>
      <c r="BP124" s="401"/>
      <c r="BQ12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24" s="14" t="str">
        <f>IFERROR(VLOOKUP(Cartera1017[[#This Row],[Aplicativo]],Tabla76[],2,FALSE),"Sin Aplicativo")</f>
        <v>Créditos Hipotecarios</v>
      </c>
      <c r="BS124" s="14" t="str">
        <f>IFERROR(VLOOKUP(Cartera1017[[#This Row],[Aplicativo]],Tabla76[],3,FALSE),"Sin Aplicativo")</f>
        <v>Productos</v>
      </c>
      <c r="BT124" s="400" t="s">
        <v>521</v>
      </c>
      <c r="BU124" s="33"/>
      <c r="BV124" s="28"/>
      <c r="BW12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4" s="149" t="str">
        <f ca="1">IF(Cartera1017[[#This Row],[Fecha Fin2]]="","No definido",CONCATENATE(TEXT(Cartera1017[[#This Row],[Fecha Fin2]],"mmm")," ",YEAR(Cartera1017[[#This Row],[Fecha Fin2]])))</f>
        <v>No definido</v>
      </c>
      <c r="BZ124" s="28"/>
      <c r="CA124" s="48" t="str">
        <f>IF(Cartera1017[[#This Row],[Estado TI]] = "08. Producción Finalizada","Culminado",IF(Cartera1017[[#This Row],[Estado TI]]= "09. Descartado","Descartado","Activos"))</f>
        <v>Activos</v>
      </c>
      <c r="CB124" s="28"/>
      <c r="CC12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24" s="54" t="str">
        <f>IF(
AND(
Cartera1017[[#This Row],[DEVOLVER 27]]="NO",
NOT(ISBLANK(Cartera1017[[#This Row],[ESTADO NO DEVUELTOS 27]]))
),
"PRE",
"POST"
)</f>
        <v>POST</v>
      </c>
      <c r="CE124" s="54" t="s">
        <v>523</v>
      </c>
      <c r="CF124" s="28" t="s">
        <v>524</v>
      </c>
      <c r="CG12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24"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24" s="406">
        <f>Cartera1017[[#This Row],[Porcentaje de Avance]]</f>
        <v>0.12</v>
      </c>
      <c r="CK124" s="388" t="str">
        <f>IF(
   OR(
     Cartera1017[[#This Row],[Estado TI]]="09. Descartado",
     Cartera1017[[#This Row],[Comienzo Desarrollo]]="",
     Cartera1017[[#This Row],[Fin Producción]]=""
   ),
   "",
   Cartera1017[[#This Row],[% PLANIFICADO]]-Cartera1017[[#This Row],[% COMPLETADO]]
)</f>
        <v/>
      </c>
      <c r="CL124" s="388" t="str">
        <f ca="1">IF(
   OR(
     Cartera1017[[#This Row],[Estado TI]]="09. Descartado",
     Cartera1017[[#This Row],[Comienzo Desarrollo]]="",
     Cartera1017[[#This Row],[Fin Producción]]="",
     Cartera1017[[#This Row],[% PLANIFICADO]]=0
   ),
   "",
   MIN(Cartera1017[[#This Row],[% COMPLETADO]]/Cartera1017[[#This Row],[% PLANIFICADO]],1.2)
)</f>
        <v/>
      </c>
      <c r="CM124" s="377"/>
      <c r="CN124" s="377"/>
      <c r="CO124" s="377"/>
      <c r="CP124" s="403"/>
      <c r="CQ124" s="403"/>
      <c r="CR124" s="403"/>
      <c r="CS124" s="403">
        <v>46356</v>
      </c>
      <c r="CT124" s="44">
        <f>IF(Cartera1017[[#This Row],[Fin Desarrollo]]="",25,IFERROR(NETWORKDAYS(Cartera1017[[#This Row],[Comienzo Desarrollo]],Cartera1017[[#This Row],[Fin Desarrollo]],FERIADOS[Fecha]),""))</f>
        <v>25</v>
      </c>
      <c r="CU12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24" s="44">
        <f>IF(OR(Cartera1017[[#This Row],[Comienzo Desarrollo]]="",Cartera1017[[#This Row],[Fin Desarrollo]]=""),200,IFERROR(Cartera1017[[#This Row],[DURACIÓN DESARROLLO DIAS]]*VLOOKUP(Cartera1017[[#This Row],[ID Mantenimiento]],MANT_HORAS[],2,FALSE),200))</f>
        <v>200</v>
      </c>
      <c r="CW124" s="110"/>
      <c r="CX124" s="110" t="str">
        <f>VLOOKUP(Cartera1017[[#This Row],[Estado TI]],Definiciones!$A$549:$B$559,2,FALSE)</f>
        <v>6. PARALIZADO</v>
      </c>
      <c r="CY124" s="28">
        <f ca="1">1-Cartera1017[[#This Row],[Porcentaje avanzado desarrollo]]</f>
        <v>0.9</v>
      </c>
      <c r="CZ12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24" s="28">
        <f ca="1">MAX(0,Cartera1017[[#This Row],[DURACIÓN DESARROLLO DIAS]]-Cartera1017[[#This Row],[Dias avanzados]])</f>
        <v>24</v>
      </c>
      <c r="DB124" s="28">
        <f ca="1">Cartera1017[[#This Row],[Dias avanzados]]*IFERROR(VLOOKUP(Cartera1017[[#This Row],[ID Mantenimiento]],MANT_HORAS[],2,FALSE),8)</f>
        <v>8</v>
      </c>
      <c r="DC124" s="28">
        <f ca="1">Cartera1017[[#This Row],[Dias faltantes]]*IFERROR(VLOOKUP(Cartera1017[[#This Row],[ID Mantenimiento]],MANT_HORAS[],2,FALSE),8)</f>
        <v>192</v>
      </c>
      <c r="DD124" s="28" t="str">
        <f>IF(Cartera1017[[#This Row],[Fin Producción]]=0,"Por definir",CONCATENATE(YEAR(Cartera1017[[#This Row],[Fin Producción]]),"-",ROUNDUP(MONTH(Cartera1017[[#This Row],[Fin Producción]]),0)))</f>
        <v>2026-11</v>
      </c>
      <c r="DE124" s="18" t="s">
        <v>510</v>
      </c>
      <c r="DF124" s="28"/>
      <c r="DG124" s="28"/>
      <c r="DH124" s="565"/>
    </row>
    <row r="125" spans="1:112" ht="44.25" hidden="1" customHeight="1">
      <c r="A125" s="229" t="s">
        <v>1414</v>
      </c>
      <c r="B125" s="18">
        <v>2930</v>
      </c>
      <c r="C125" s="18" t="s">
        <v>485</v>
      </c>
      <c r="D125" s="18" t="s">
        <v>1415</v>
      </c>
      <c r="E125" s="18" t="s">
        <v>272</v>
      </c>
      <c r="F125" s="33" t="s">
        <v>273</v>
      </c>
      <c r="G125" s="33"/>
      <c r="H125" s="18" t="s">
        <v>40</v>
      </c>
      <c r="I125" s="18" t="s">
        <v>490</v>
      </c>
      <c r="J125" s="18" t="s">
        <v>1336</v>
      </c>
      <c r="K125" s="20">
        <v>45848</v>
      </c>
      <c r="L125" s="20" t="s">
        <v>1416</v>
      </c>
      <c r="M125" s="50" t="s">
        <v>1338</v>
      </c>
      <c r="N125" s="50"/>
      <c r="O125" s="20" t="s">
        <v>530</v>
      </c>
      <c r="P125" s="20" t="s">
        <v>1336</v>
      </c>
      <c r="Q125" s="20" t="s">
        <v>822</v>
      </c>
      <c r="R125" s="20" t="s">
        <v>497</v>
      </c>
      <c r="S125" s="18"/>
      <c r="T125" s="18" t="s">
        <v>495</v>
      </c>
      <c r="U125" s="18" t="s">
        <v>495</v>
      </c>
      <c r="V125" s="18" t="s">
        <v>495</v>
      </c>
      <c r="W125" s="18" t="s">
        <v>495</v>
      </c>
      <c r="X125" s="18" t="s">
        <v>495</v>
      </c>
      <c r="Y125" s="80" t="s">
        <v>495</v>
      </c>
      <c r="Z125" s="20" t="s">
        <v>499</v>
      </c>
      <c r="AA125" s="20">
        <v>45868</v>
      </c>
      <c r="AB125" s="20" t="s">
        <v>533</v>
      </c>
      <c r="AC125" s="18" t="s">
        <v>558</v>
      </c>
      <c r="AD125" s="18" t="s">
        <v>236</v>
      </c>
      <c r="AE125" s="18" t="s">
        <v>41</v>
      </c>
      <c r="AF125" s="18" t="s">
        <v>53</v>
      </c>
      <c r="AG125" s="14" t="str">
        <f>VLOOKUP(AF125,Tabla3[[Estado Requerimiento]:[Macro estado]],2,FALSE)</f>
        <v>03. Culminado</v>
      </c>
      <c r="AH125" s="18"/>
      <c r="AI125" s="80"/>
      <c r="AJ125" s="80">
        <v>45964</v>
      </c>
      <c r="AK125" s="80">
        <v>45922</v>
      </c>
      <c r="AL125" s="80">
        <v>45979</v>
      </c>
      <c r="AM125" s="80">
        <v>45976</v>
      </c>
      <c r="AN125" s="80">
        <v>45980</v>
      </c>
      <c r="AO125" s="80">
        <v>46080</v>
      </c>
      <c r="AP125" s="81">
        <f t="shared" si="2"/>
        <v>45997.599999999999</v>
      </c>
      <c r="AQ125" s="80">
        <v>46090</v>
      </c>
      <c r="AR125" s="80">
        <v>46090</v>
      </c>
      <c r="AS125" s="81">
        <f t="shared" si="3"/>
        <v>46004.6</v>
      </c>
      <c r="AT125" s="19" t="s">
        <v>1417</v>
      </c>
      <c r="AU125" s="44" t="str">
        <f>VLOOKUP(Cartera1017[[#This Row],[Gerencia]],tbGerencia[#All],3,FALSE)</f>
        <v>Operac.</v>
      </c>
      <c r="AV125" s="44" t="str">
        <f>IFERROR(VLOOKUP(Cartera1017[[#This Row],[Subgerencia]],Definiciones!$A$90:$B$144,2,FALSE),"")</f>
        <v>BancariosRecaudación</v>
      </c>
      <c r="AW125" s="44" t="str">
        <f>IF(OR(LEN(Cartera1017[[#This Row],[Fecha de Solicitud]])=0,(Cartera1017[[#This Row],[Fecha de Solicitud]])="No definido"),"No definido",IF(YEAR(Cartera1017[[#This Row],[Fecha de Solicitud]])&lt;2023," &lt;  2023",TEXT(Cartera1017[[#This Row],[Fecha de Solicitud]],"yyyy-mm")))</f>
        <v>2025-07</v>
      </c>
      <c r="AX125" s="44" t="str">
        <f>IF(Cartera1017[[#This Row],[Fecha de Priorización Comité]]="","No definido",TEXT(Cartera1017[[#This Row],[Fecha de Priorización Comité]],"yyyy-mm"))</f>
        <v>2025-07</v>
      </c>
      <c r="AY125" s="44" t="str">
        <f>IF(Cartera1017[[#This Row],[Fecha Fin- Desarrollo]]="","No definido",TEXT(Cartera1017[[#This Row],[Fecha Fin- Desarrollo]],"yyyy-mm"))</f>
        <v>2025-11</v>
      </c>
      <c r="AZ125" s="44" t="str">
        <f>IF(Cartera1017[[#This Row],[Fecha Fin- Producción]]="","No definido",TEXT(Cartera1017[[#This Row],[Fecha Fin- Producción]],"yyyy-mm"))</f>
        <v>2026-03</v>
      </c>
      <c r="BA125" s="44" t="str">
        <f>IF(Cartera1017[[#This Row],[Fecha Fin-Planificada]]="","No definido",TEXT(Cartera1017[[#This Row],[Fecha Fin-Planificada]],"yyyy-mm"))</f>
        <v>2025-12</v>
      </c>
      <c r="BB125" s="33"/>
      <c r="BC125" s="66"/>
      <c r="BD125" s="108"/>
      <c r="BE125" s="108"/>
      <c r="BF125" s="127"/>
      <c r="BG125" s="28" t="s">
        <v>535</v>
      </c>
      <c r="BH12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168</v>
      </c>
      <c r="BI125" s="90">
        <f>IF(ISNUMBER(Cartera1017[[#This Row],[Duracion en Dias]]),Cartera1017[[#This Row],[Duracion en Dias]]/30, "No Aplica")</f>
        <v>5.6</v>
      </c>
      <c r="BJ125" s="109"/>
      <c r="BK125" s="28" t="s">
        <v>506</v>
      </c>
      <c r="BL125" s="110" t="s">
        <v>536</v>
      </c>
      <c r="BM125" s="342">
        <v>46127.425891203704</v>
      </c>
      <c r="BN125" s="227"/>
      <c r="BO125" s="401"/>
      <c r="BP125" s="401"/>
      <c r="BQ12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5" s="14" t="str">
        <f>IFERROR(VLOOKUP(Cartera1017[[#This Row],[Aplicativo]],Tabla76[],2,FALSE),"Sin Aplicativo")</f>
        <v>BackOffice</v>
      </c>
      <c r="BS125" s="14" t="str">
        <f>IFERROR(VLOOKUP(Cartera1017[[#This Row],[Aplicativo]],Tabla76[],3,FALSE),"Sin Aplicativo")</f>
        <v>Otros Requerimientos</v>
      </c>
      <c r="BT125" s="400" t="s">
        <v>521</v>
      </c>
      <c r="BU125" s="33"/>
      <c r="BV125" s="28"/>
      <c r="BW12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12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5" s="149" t="str">
        <f ca="1">IF(Cartera1017[[#This Row],[Fecha Fin2]]="","No definido",CONCATENATE(TEXT(Cartera1017[[#This Row],[Fecha Fin2]],"mmm")," ",YEAR(Cartera1017[[#This Row],[Fecha Fin2]])))</f>
        <v>Mar 2026</v>
      </c>
      <c r="BZ125" s="28"/>
      <c r="CA125" s="48" t="str">
        <f>IF(Cartera1017[[#This Row],[Estado TI]] = "08. Producción Finalizada","Culminado",IF(Cartera1017[[#This Row],[Estado TI]]= "09. Descartado","Descartado","Activos"))</f>
        <v>Culminado</v>
      </c>
      <c r="CB125" s="28"/>
      <c r="CC12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25" s="54" t="str">
        <f>IF(
AND(
Cartera1017[[#This Row],[DEVOLVER 27]]="NO",
NOT(ISBLANK(Cartera1017[[#This Row],[ESTADO NO DEVUELTOS 27]]))
),
"PRE",
"POST"
)</f>
        <v>PRE</v>
      </c>
      <c r="CE125" s="54" t="s">
        <v>509</v>
      </c>
      <c r="CF125" s="28" t="s">
        <v>48</v>
      </c>
      <c r="CG12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2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5" s="406">
        <f>Cartera1017[[#This Row],[Porcentaje de Avance]]</f>
        <v>1</v>
      </c>
      <c r="CK125" s="388">
        <f ca="1">IF(
   OR(
     Cartera1017[[#This Row],[Estado TI]]="09. Descartado",
     Cartera1017[[#This Row],[Comienzo Desarrollo]]="",
     Cartera1017[[#This Row],[Fin Producción]]=""
   ),
   "",
   Cartera1017[[#This Row],[% PLANIFICADO]]-Cartera1017[[#This Row],[% COMPLETADO]]
)</f>
        <v>0</v>
      </c>
      <c r="CL125" s="388">
        <f ca="1">IF(
   OR(
     Cartera1017[[#This Row],[Estado TI]]="09. Descartado",
     Cartera1017[[#This Row],[Comienzo Desarrollo]]="",
     Cartera1017[[#This Row],[Fin Producción]]="",
     Cartera1017[[#This Row],[% PLANIFICADO]]=0
   ),
   "",
   MIN(Cartera1017[[#This Row],[% COMPLETADO]]/Cartera1017[[#This Row],[% PLANIFICADO]],1.2)
)</f>
        <v>1</v>
      </c>
      <c r="CM125" s="377">
        <v>45922</v>
      </c>
      <c r="CN125" s="377">
        <v>45922</v>
      </c>
      <c r="CO125" s="377">
        <v>45979</v>
      </c>
      <c r="CP125" s="377">
        <v>46083</v>
      </c>
      <c r="CQ125" s="377">
        <v>46094</v>
      </c>
      <c r="CR125" s="377">
        <v>46132</v>
      </c>
      <c r="CS125" s="377">
        <v>46136</v>
      </c>
      <c r="CT125" s="44">
        <f>IF(Cartera1017[[#This Row],[Fin Desarrollo]]="",25,IFERROR(NETWORKDAYS(Cartera1017[[#This Row],[Comienzo Desarrollo]],Cartera1017[[#This Row],[Fin Desarrollo]],FERIADOS[Fecha]),""))</f>
        <v>41</v>
      </c>
      <c r="CU12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25" s="44">
        <f>IF(OR(Cartera1017[[#This Row],[Comienzo Desarrollo]]="",Cartera1017[[#This Row],[Fin Desarrollo]]=""),200,IFERROR(Cartera1017[[#This Row],[DURACIÓN DESARROLLO DIAS]]*VLOOKUP(Cartera1017[[#This Row],[ID Mantenimiento]],MANT_HORAS[],2,FALSE),200))</f>
        <v>200</v>
      </c>
      <c r="CW125" s="110"/>
      <c r="CX125" s="110" t="str">
        <f>VLOOKUP(Cartera1017[[#This Row],[Estado TI]],Definiciones!$A$549:$B$559,2,FALSE)</f>
        <v>4. PRODUCCIÓN</v>
      </c>
      <c r="CY125" s="28">
        <f ca="1">1-Cartera1017[[#This Row],[Porcentaje avanzado desarrollo]]</f>
        <v>0</v>
      </c>
      <c r="CZ12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41</v>
      </c>
      <c r="DA125" s="28">
        <f ca="1">MAX(0,Cartera1017[[#This Row],[DURACIÓN DESARROLLO DIAS]]-Cartera1017[[#This Row],[Dias avanzados]])</f>
        <v>0</v>
      </c>
      <c r="DB125" s="28">
        <f ca="1">Cartera1017[[#This Row],[Dias avanzados]]*IFERROR(VLOOKUP(Cartera1017[[#This Row],[ID Mantenimiento]],MANT_HORAS[],2,FALSE),8)</f>
        <v>328</v>
      </c>
      <c r="DC125" s="28">
        <f ca="1">Cartera1017[[#This Row],[Dias faltantes]]*IFERROR(VLOOKUP(Cartera1017[[#This Row],[ID Mantenimiento]],MANT_HORAS[],2,FALSE),8)</f>
        <v>0</v>
      </c>
      <c r="DD125" s="28" t="str">
        <f>IF(Cartera1017[[#This Row],[Fin Producción]]=0,"Por definir",CONCATENATE(YEAR(Cartera1017[[#This Row],[Fin Producción]]),"-",ROUNDUP(MONTH(Cartera1017[[#This Row],[Fin Producción]]),0)))</f>
        <v>2026-4</v>
      </c>
      <c r="DE125" s="18" t="s">
        <v>510</v>
      </c>
      <c r="DF125" s="28"/>
      <c r="DG125" s="28"/>
      <c r="DH125" s="565"/>
    </row>
    <row r="126" spans="1:112" ht="44.25" hidden="1" customHeight="1">
      <c r="A126" s="229" t="s">
        <v>1418</v>
      </c>
      <c r="B126" s="18">
        <v>2946</v>
      </c>
      <c r="C126" s="18" t="s">
        <v>485</v>
      </c>
      <c r="D126" s="18" t="s">
        <v>1419</v>
      </c>
      <c r="E126" s="18" t="s">
        <v>274</v>
      </c>
      <c r="F126" s="33" t="s">
        <v>275</v>
      </c>
      <c r="G126" s="33"/>
      <c r="H126" s="18" t="s">
        <v>108</v>
      </c>
      <c r="I126" s="18" t="s">
        <v>811</v>
      </c>
      <c r="J126" s="18" t="s">
        <v>500</v>
      </c>
      <c r="K126" s="20"/>
      <c r="L126" s="20" t="s">
        <v>528</v>
      </c>
      <c r="M126" s="50" t="s">
        <v>730</v>
      </c>
      <c r="N126" s="50"/>
      <c r="O126" s="20" t="s">
        <v>548</v>
      </c>
      <c r="P126" s="20" t="s">
        <v>731</v>
      </c>
      <c r="Q126" s="20" t="s">
        <v>496</v>
      </c>
      <c r="R126" s="20" t="s">
        <v>531</v>
      </c>
      <c r="S126" s="18"/>
      <c r="T126" s="18"/>
      <c r="U126" s="18"/>
      <c r="V126" s="18"/>
      <c r="W126" s="18"/>
      <c r="X126" s="18"/>
      <c r="Y126" s="80"/>
      <c r="Z126" s="20" t="s">
        <v>532</v>
      </c>
      <c r="AA126" s="20">
        <v>45868</v>
      </c>
      <c r="AB126" s="20" t="s">
        <v>500</v>
      </c>
      <c r="AC126" s="18" t="s">
        <v>558</v>
      </c>
      <c r="AD126" s="18" t="s">
        <v>150</v>
      </c>
      <c r="AE126" s="18" t="s">
        <v>41</v>
      </c>
      <c r="AF126" s="18" t="s">
        <v>48</v>
      </c>
      <c r="AG126" s="14" t="str">
        <f>VLOOKUP(AF126,Tabla3[[Estado Requerimiento]:[Macro estado]],2,FALSE)</f>
        <v>02. En Proceso</v>
      </c>
      <c r="AH126" s="18"/>
      <c r="AI126" s="80"/>
      <c r="AJ126" s="80"/>
      <c r="AK126" s="80">
        <v>45840</v>
      </c>
      <c r="AL126" s="80"/>
      <c r="AM126" s="80"/>
      <c r="AN126" s="80"/>
      <c r="AO126" s="80"/>
      <c r="AP126" s="81" t="str">
        <f t="shared" si="2"/>
        <v/>
      </c>
      <c r="AQ126" s="80"/>
      <c r="AR126" s="80"/>
      <c r="AS126" s="81" t="str">
        <f t="shared" si="3"/>
        <v/>
      </c>
      <c r="AT126" s="19" t="s">
        <v>1420</v>
      </c>
      <c r="AU126" s="44" t="str">
        <f>VLOOKUP(Cartera1017[[#This Row],[Gerencia]],tbGerencia[#All],3,FALSE)</f>
        <v>TI</v>
      </c>
      <c r="AV126" s="44" t="str">
        <f>IFERROR(VLOOKUP(Cartera1017[[#This Row],[Subgerencia]],Definiciones!$A$90:$B$144,2,FALSE),"")</f>
        <v>ConstrucciónAplicaciones</v>
      </c>
      <c r="AW126" s="44" t="str">
        <f>IF(OR(LEN(Cartera1017[[#This Row],[Fecha de Solicitud]])=0,(Cartera1017[[#This Row],[Fecha de Solicitud]])="No definido"),"No definido",IF(YEAR(Cartera1017[[#This Row],[Fecha de Solicitud]])&lt;2023," &lt;  2023",TEXT(Cartera1017[[#This Row],[Fecha de Solicitud]],"yyyy-mm")))</f>
        <v>No definido</v>
      </c>
      <c r="AX126" s="44" t="str">
        <f>IF(Cartera1017[[#This Row],[Fecha de Priorización Comité]]="","No definido",TEXT(Cartera1017[[#This Row],[Fecha de Priorización Comité]],"yyyy-mm"))</f>
        <v>2025-07</v>
      </c>
      <c r="AY126" s="44" t="str">
        <f>IF(Cartera1017[[#This Row],[Fecha Fin- Desarrollo]]="","No definido",TEXT(Cartera1017[[#This Row],[Fecha Fin- Desarrollo]],"yyyy-mm"))</f>
        <v>No definido</v>
      </c>
      <c r="AZ126" s="44" t="str">
        <f>IF(Cartera1017[[#This Row],[Fecha Fin- Producción]]="","No definido",TEXT(Cartera1017[[#This Row],[Fecha Fin- Producción]],"yyyy-mm"))</f>
        <v>No definido</v>
      </c>
      <c r="BA126" s="44" t="str">
        <f>IF(Cartera1017[[#This Row],[Fecha Fin-Planificada]]="","No definido",TEXT(Cartera1017[[#This Row],[Fecha Fin-Planificada]],"yyyy-mm"))</f>
        <v>No definido</v>
      </c>
      <c r="BB126" s="33"/>
      <c r="BC126" s="66"/>
      <c r="BD126" s="108"/>
      <c r="BE126" s="108"/>
      <c r="BF126" s="127"/>
      <c r="BG126" s="28" t="s">
        <v>535</v>
      </c>
      <c r="BH12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6" s="90" t="str">
        <f>IF(ISNUMBER(Cartera1017[[#This Row],[Duracion en Dias]]),Cartera1017[[#This Row],[Duracion en Dias]]/30, "No Aplica")</f>
        <v>No Aplica</v>
      </c>
      <c r="BJ126" s="109"/>
      <c r="BK126" s="28" t="s">
        <v>613</v>
      </c>
      <c r="BL126" s="110" t="s">
        <v>592</v>
      </c>
      <c r="BM126" s="342">
        <v>45840.385879629626</v>
      </c>
      <c r="BN126" s="227"/>
      <c r="BO126" s="401"/>
      <c r="BP126" s="401"/>
      <c r="BQ12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26" s="14" t="str">
        <f>IFERROR(VLOOKUP(Cartera1017[[#This Row],[Aplicativo]],Tabla76[],2,FALSE),"Sin Aplicativo")</f>
        <v>Tarjeta Tesoro</v>
      </c>
      <c r="BS126" s="14" t="str">
        <f>IFERROR(VLOOKUP(Cartera1017[[#This Row],[Aplicativo]],Tabla76[],3,FALSE),"Sin Aplicativo")</f>
        <v>Productos</v>
      </c>
      <c r="BT126" s="400" t="s">
        <v>521</v>
      </c>
      <c r="BU126" s="33"/>
      <c r="BV126" s="28"/>
      <c r="BW12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6" s="149" t="str">
        <f ca="1">IF(Cartera1017[[#This Row],[Fecha Fin2]]="","No definido",CONCATENATE(TEXT(Cartera1017[[#This Row],[Fecha Fin2]],"mmm")," ",YEAR(Cartera1017[[#This Row],[Fecha Fin2]])))</f>
        <v>No definido</v>
      </c>
      <c r="BZ126" s="28"/>
      <c r="CA126" s="48" t="str">
        <f>IF(Cartera1017[[#This Row],[Estado TI]] = "08. Producción Finalizada","Culminado",IF(Cartera1017[[#This Row],[Estado TI]]= "09. Descartado","Descartado","Activos"))</f>
        <v>Activos</v>
      </c>
      <c r="CB126" s="28"/>
      <c r="CC12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26" s="54" t="str">
        <f>IF(
AND(
Cartera1017[[#This Row],[DEVOLVER 27]]="NO",
NOT(ISBLANK(Cartera1017[[#This Row],[ESTADO NO DEVUELTOS 27]]))
),
"PRE",
"POST"
)</f>
        <v>PRE</v>
      </c>
      <c r="CE126" s="54" t="s">
        <v>509</v>
      </c>
      <c r="CF126" s="399" t="s">
        <v>48</v>
      </c>
      <c r="CG126"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2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2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6" s="406">
        <f>Cartera1017[[#This Row],[Porcentaje de Avance]]</f>
        <v>0.25</v>
      </c>
      <c r="CK126" s="416">
        <f ca="1">IF(
   OR(
     Cartera1017[[#This Row],[Estado TI]]="09. Descartado",
     Cartera1017[[#This Row],[Comienzo Desarrollo]]="",
     Cartera1017[[#This Row],[Fin Producción]]=""
   ),
   "",
   Cartera1017[[#This Row],[% PLANIFICADO]]-Cartera1017[[#This Row],[% COMPLETADO]]
)</f>
        <v>0.75</v>
      </c>
      <c r="CL126" s="416">
        <f ca="1">IF(
   OR(
     Cartera1017[[#This Row],[Estado TI]]="09. Descartado",
     Cartera1017[[#This Row],[Comienzo Desarrollo]]="",
     Cartera1017[[#This Row],[Fin Producción]]="",
     Cartera1017[[#This Row],[% PLANIFICADO]]=0
   ),
   "",
   MIN(Cartera1017[[#This Row],[% COMPLETADO]]/Cartera1017[[#This Row],[% PLANIFICADO]],1.2)
)</f>
        <v>0.25</v>
      </c>
      <c r="CM126" s="475">
        <v>45964</v>
      </c>
      <c r="CN126" s="377">
        <v>46083</v>
      </c>
      <c r="CO126" s="377">
        <v>46108</v>
      </c>
      <c r="CP126" s="377">
        <v>46113</v>
      </c>
      <c r="CQ126" s="377">
        <v>46142</v>
      </c>
      <c r="CR126" s="377">
        <v>46143</v>
      </c>
      <c r="CS126" s="377">
        <v>46147</v>
      </c>
      <c r="CT126" s="44">
        <f>IF(Cartera1017[[#This Row],[Fin Desarrollo]]="",25,IFERROR(NETWORKDAYS(Cartera1017[[#This Row],[Comienzo Desarrollo]],Cartera1017[[#This Row],[Fin Desarrollo]],FERIADOS[Fecha]),""))</f>
        <v>20</v>
      </c>
      <c r="CU12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26" s="44">
        <f>IF(OR(Cartera1017[[#This Row],[Comienzo Desarrollo]]="",Cartera1017[[#This Row],[Fin Desarrollo]]=""),200,IFERROR(Cartera1017[[#This Row],[DURACIÓN DESARROLLO DIAS]]*VLOOKUP(Cartera1017[[#This Row],[ID Mantenimiento]],MANT_HORAS[],2,FALSE),200))</f>
        <v>32</v>
      </c>
      <c r="CW126" s="110"/>
      <c r="CX126" s="110" t="str">
        <f>VLOOKUP(Cartera1017[[#This Row],[Estado TI]],Definiciones!$A$549:$B$559,2,FALSE)</f>
        <v>1. DESARROLLO</v>
      </c>
      <c r="CY126" s="28">
        <f ca="1">1-Cartera1017[[#This Row],[Porcentaje avanzado desarrollo]]</f>
        <v>0</v>
      </c>
      <c r="CZ12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26" s="28">
        <f ca="1">MAX(0,Cartera1017[[#This Row],[DURACIÓN DESARROLLO DIAS]]-Cartera1017[[#This Row],[Dias avanzados]])</f>
        <v>0</v>
      </c>
      <c r="DB126" s="28">
        <f ca="1">Cartera1017[[#This Row],[Dias avanzados]]*IFERROR(VLOOKUP(Cartera1017[[#This Row],[ID Mantenimiento]],MANT_HORAS[],2,FALSE),8)</f>
        <v>32</v>
      </c>
      <c r="DC126" s="28">
        <f ca="1">Cartera1017[[#This Row],[Dias faltantes]]*IFERROR(VLOOKUP(Cartera1017[[#This Row],[ID Mantenimiento]],MANT_HORAS[],2,FALSE),8)</f>
        <v>0</v>
      </c>
      <c r="DD126" s="28" t="str">
        <f>IF(Cartera1017[[#This Row],[Fin Producción]]=0,"Por definir",CONCATENATE(YEAR(Cartera1017[[#This Row],[Fin Producción]]),"-",ROUNDUP(MONTH(Cartera1017[[#This Row],[Fin Producción]]),0)))</f>
        <v>2026-5</v>
      </c>
      <c r="DE126" s="18" t="s">
        <v>510</v>
      </c>
      <c r="DF126" s="28"/>
      <c r="DG126" s="28"/>
      <c r="DH126" s="565"/>
    </row>
    <row r="127" spans="1:112" ht="44.25" hidden="1" customHeight="1">
      <c r="A127" s="229" t="s">
        <v>1421</v>
      </c>
      <c r="B127" s="18">
        <v>2947</v>
      </c>
      <c r="C127" s="18" t="s">
        <v>485</v>
      </c>
      <c r="D127" s="18" t="s">
        <v>1422</v>
      </c>
      <c r="E127" s="18" t="s">
        <v>1423</v>
      </c>
      <c r="F127" s="33" t="s">
        <v>1424</v>
      </c>
      <c r="G127" s="33"/>
      <c r="H127" s="18" t="s">
        <v>33</v>
      </c>
      <c r="I127" s="18" t="s">
        <v>727</v>
      </c>
      <c r="J127" s="18" t="s">
        <v>1148</v>
      </c>
      <c r="K127" s="20"/>
      <c r="L127" s="20" t="s">
        <v>528</v>
      </c>
      <c r="M127" s="50" t="s">
        <v>1149</v>
      </c>
      <c r="N127" s="50"/>
      <c r="O127" s="20" t="s">
        <v>548</v>
      </c>
      <c r="P127" s="20" t="s">
        <v>1077</v>
      </c>
      <c r="Q127" s="20" t="s">
        <v>496</v>
      </c>
      <c r="R127" s="20" t="s">
        <v>599</v>
      </c>
      <c r="S127" s="18" t="s">
        <v>599</v>
      </c>
      <c r="T127" s="18" t="s">
        <v>652</v>
      </c>
      <c r="U127" s="18" t="s">
        <v>1425</v>
      </c>
      <c r="V127" s="18"/>
      <c r="W127" s="18"/>
      <c r="X127" s="18"/>
      <c r="Y127" s="80"/>
      <c r="Z127" s="20" t="s">
        <v>532</v>
      </c>
      <c r="AA127" s="20">
        <v>45868</v>
      </c>
      <c r="AB127" s="20" t="s">
        <v>500</v>
      </c>
      <c r="AC127" s="18" t="s">
        <v>558</v>
      </c>
      <c r="AD127" s="18" t="s">
        <v>150</v>
      </c>
      <c r="AE127" s="18" t="s">
        <v>34</v>
      </c>
      <c r="AF127" s="18" t="s">
        <v>53</v>
      </c>
      <c r="AG127" s="14" t="str">
        <f>VLOOKUP(AF127,Tabla3[[Estado Requerimiento]:[Macro estado]],2,FALSE)</f>
        <v>03. Culminado</v>
      </c>
      <c r="AH127" s="18"/>
      <c r="AI127" s="80"/>
      <c r="AJ127" s="80"/>
      <c r="AK127" s="80">
        <v>45937</v>
      </c>
      <c r="AL127" s="80">
        <v>45937</v>
      </c>
      <c r="AM127" s="80"/>
      <c r="AN127" s="80">
        <v>45952</v>
      </c>
      <c r="AO127" s="80">
        <v>45985</v>
      </c>
      <c r="AP127" s="81">
        <f t="shared" si="2"/>
        <v>45937</v>
      </c>
      <c r="AQ127" s="80">
        <v>46043</v>
      </c>
      <c r="AR127" s="80">
        <v>46043</v>
      </c>
      <c r="AS127" s="81">
        <f t="shared" si="3"/>
        <v>45944</v>
      </c>
      <c r="AT127" s="19" t="s">
        <v>1426</v>
      </c>
      <c r="AU127" s="44" t="str">
        <f>VLOOKUP(Cartera1017[[#This Row],[Gerencia]],tbGerencia[#All],3,FALSE)</f>
        <v>Productos</v>
      </c>
      <c r="AV127" s="44" t="str">
        <f>IFERROR(VLOOKUP(Cartera1017[[#This Row],[Subgerencia]],Definiciones!$A$90:$B$144,2,FALSE),"")</f>
        <v>BancaPersonal</v>
      </c>
      <c r="AW127" s="44" t="str">
        <f>IF(OR(LEN(Cartera1017[[#This Row],[Fecha de Solicitud]])=0,(Cartera1017[[#This Row],[Fecha de Solicitud]])="No definido"),"No definido",IF(YEAR(Cartera1017[[#This Row],[Fecha de Solicitud]])&lt;2023," &lt;  2023",TEXT(Cartera1017[[#This Row],[Fecha de Solicitud]],"yyyy-mm")))</f>
        <v>No definido</v>
      </c>
      <c r="AX127" s="44" t="str">
        <f>IF(Cartera1017[[#This Row],[Fecha de Priorización Comité]]="","No definido",TEXT(Cartera1017[[#This Row],[Fecha de Priorización Comité]],"yyyy-mm"))</f>
        <v>2025-07</v>
      </c>
      <c r="AY127" s="44" t="str">
        <f>IF(Cartera1017[[#This Row],[Fecha Fin- Desarrollo]]="","No definido",TEXT(Cartera1017[[#This Row],[Fecha Fin- Desarrollo]],"yyyy-mm"))</f>
        <v>2025-10</v>
      </c>
      <c r="AZ127" s="44" t="str">
        <f>IF(Cartera1017[[#This Row],[Fecha Fin- Producción]]="","No definido",TEXT(Cartera1017[[#This Row],[Fecha Fin- Producción]],"yyyy-mm"))</f>
        <v>2026-01</v>
      </c>
      <c r="BA127" s="44" t="str">
        <f>IF(Cartera1017[[#This Row],[Fecha Fin-Planificada]]="","No definido",TEXT(Cartera1017[[#This Row],[Fecha Fin-Planificada]],"yyyy-mm"))</f>
        <v>2025-10</v>
      </c>
      <c r="BB127" s="33"/>
      <c r="BC127" s="66"/>
      <c r="BD127" s="108"/>
      <c r="BE127" s="108"/>
      <c r="BF127" s="127"/>
      <c r="BG127" s="28" t="s">
        <v>535</v>
      </c>
      <c r="BH12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106</v>
      </c>
      <c r="BI127" s="90">
        <f>IF(ISNUMBER(Cartera1017[[#This Row],[Duracion en Dias]]),Cartera1017[[#This Row],[Duracion en Dias]]/30, "No Aplica")</f>
        <v>3.5333333333333332</v>
      </c>
      <c r="BJ127" s="109"/>
      <c r="BK127" s="28" t="s">
        <v>506</v>
      </c>
      <c r="BL127" s="110" t="s">
        <v>536</v>
      </c>
      <c r="BM127" s="342">
        <v>46043.49322916667</v>
      </c>
      <c r="BN127" s="227"/>
      <c r="BO127" s="401"/>
      <c r="BP127" s="401"/>
      <c r="BQ12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7" s="14" t="str">
        <f>IFERROR(VLOOKUP(Cartera1017[[#This Row],[Aplicativo]],Tabla76[],2,FALSE),"Sin Aplicativo")</f>
        <v>Préstamos Multired</v>
      </c>
      <c r="BS127" s="14" t="str">
        <f>IFERROR(VLOOKUP(Cartera1017[[#This Row],[Aplicativo]],Tabla76[],3,FALSE),"Sin Aplicativo")</f>
        <v>Productos</v>
      </c>
      <c r="BT127" s="400" t="s">
        <v>521</v>
      </c>
      <c r="BU127" s="33"/>
      <c r="BV127" s="28"/>
      <c r="BW12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12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7" s="149" t="str">
        <f ca="1">IF(Cartera1017[[#This Row],[Fecha Fin2]]="","No definido",CONCATENATE(TEXT(Cartera1017[[#This Row],[Fecha Fin2]],"mmm")," ",YEAR(Cartera1017[[#This Row],[Fecha Fin2]])))</f>
        <v>Ene 2026</v>
      </c>
      <c r="BZ127" s="28"/>
      <c r="CA127" s="48" t="str">
        <f>IF(Cartera1017[[#This Row],[Estado TI]] = "08. Producción Finalizada","Culminado",IF(Cartera1017[[#This Row],[Estado TI]]= "09. Descartado","Descartado","Activos"))</f>
        <v>Culminado</v>
      </c>
      <c r="CB127" s="28"/>
      <c r="CC12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27" s="54" t="str">
        <f>IF(
AND(
Cartera1017[[#This Row],[DEVOLVER 27]]="NO",
NOT(ISBLANK(Cartera1017[[#This Row],[ESTADO NO DEVUELTOS 27]]))
),
"PRE",
"POST"
)</f>
        <v>PRE</v>
      </c>
      <c r="CE127" s="54" t="s">
        <v>509</v>
      </c>
      <c r="CF127" s="28" t="s">
        <v>87</v>
      </c>
      <c r="CG12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2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7" s="406">
        <f>Cartera1017[[#This Row],[Porcentaje de Avance]]</f>
        <v>1</v>
      </c>
      <c r="CK127" s="388">
        <f ca="1">IF(
   OR(
     Cartera1017[[#This Row],[Estado TI]]="09. Descartado",
     Cartera1017[[#This Row],[Comienzo Desarrollo]]="",
     Cartera1017[[#This Row],[Fin Producción]]=""
   ),
   "",
   Cartera1017[[#This Row],[% PLANIFICADO]]-Cartera1017[[#This Row],[% COMPLETADO]]
)</f>
        <v>0</v>
      </c>
      <c r="CL127" s="388">
        <f ca="1">IF(
   OR(
     Cartera1017[[#This Row],[Estado TI]]="09. Descartado",
     Cartera1017[[#This Row],[Comienzo Desarrollo]]="",
     Cartera1017[[#This Row],[Fin Producción]]="",
     Cartera1017[[#This Row],[% PLANIFICADO]]=0
   ),
   "",
   MIN(Cartera1017[[#This Row],[% COMPLETADO]]/Cartera1017[[#This Row],[% PLANIFICADO]],1.2)
)</f>
        <v>1</v>
      </c>
      <c r="CM127" s="377">
        <v>45937</v>
      </c>
      <c r="CN127" s="377">
        <v>45937</v>
      </c>
      <c r="CO127" s="377">
        <v>45937</v>
      </c>
      <c r="CP127" s="377">
        <v>45952</v>
      </c>
      <c r="CQ127" s="377">
        <v>45985</v>
      </c>
      <c r="CR127" s="377">
        <v>46043</v>
      </c>
      <c r="CS127" s="377">
        <v>46043</v>
      </c>
      <c r="CT127" s="44">
        <f>IF(Cartera1017[[#This Row],[Fin Desarrollo]]="",25,IFERROR(NETWORKDAYS(Cartera1017[[#This Row],[Comienzo Desarrollo]],Cartera1017[[#This Row],[Fin Desarrollo]],FERIADOS[Fecha]),""))</f>
        <v>1</v>
      </c>
      <c r="CU12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27" s="44">
        <f>IF(OR(Cartera1017[[#This Row],[Comienzo Desarrollo]]="",Cartera1017[[#This Row],[Fin Desarrollo]]=""),200,IFERROR(Cartera1017[[#This Row],[DURACIÓN DESARROLLO DIAS]]*VLOOKUP(Cartera1017[[#This Row],[ID Mantenimiento]],MANT_HORAS[],2,FALSE),200))</f>
        <v>200</v>
      </c>
      <c r="CW127" s="110"/>
      <c r="CX127" s="110" t="str">
        <f>VLOOKUP(Cartera1017[[#This Row],[Estado TI]],Definiciones!$A$549:$B$559,2,FALSE)</f>
        <v>4. PRODUCCIÓN</v>
      </c>
      <c r="CY127" s="28">
        <f ca="1">1-Cartera1017[[#This Row],[Porcentaje avanzado desarrollo]]</f>
        <v>0</v>
      </c>
      <c r="CZ12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27" s="28">
        <f ca="1">MAX(0,Cartera1017[[#This Row],[DURACIÓN DESARROLLO DIAS]]-Cartera1017[[#This Row],[Dias avanzados]])</f>
        <v>0</v>
      </c>
      <c r="DB127" s="28">
        <f ca="1">Cartera1017[[#This Row],[Dias avanzados]]*IFERROR(VLOOKUP(Cartera1017[[#This Row],[ID Mantenimiento]],MANT_HORAS[],2,FALSE),8)</f>
        <v>8</v>
      </c>
      <c r="DC127" s="28">
        <f ca="1">Cartera1017[[#This Row],[Dias faltantes]]*IFERROR(VLOOKUP(Cartera1017[[#This Row],[ID Mantenimiento]],MANT_HORAS[],2,FALSE),8)</f>
        <v>0</v>
      </c>
      <c r="DD127" s="28" t="str">
        <f>IF(Cartera1017[[#This Row],[Fin Producción]]=0,"Por definir",CONCATENATE(YEAR(Cartera1017[[#This Row],[Fin Producción]]),"-",ROUNDUP(MONTH(Cartera1017[[#This Row],[Fin Producción]]),0)))</f>
        <v>2026-1</v>
      </c>
      <c r="DE127" s="18" t="s">
        <v>510</v>
      </c>
      <c r="DF127" s="28"/>
      <c r="DG127" s="28"/>
      <c r="DH127" s="565"/>
    </row>
    <row r="128" spans="1:112" ht="44.25" hidden="1" customHeight="1">
      <c r="A128" s="229" t="s">
        <v>1427</v>
      </c>
      <c r="B128" s="18">
        <v>2620</v>
      </c>
      <c r="C128" s="18" t="s">
        <v>485</v>
      </c>
      <c r="D128" s="18" t="s">
        <v>1428</v>
      </c>
      <c r="E128" s="18" t="s">
        <v>276</v>
      </c>
      <c r="F128" s="19" t="s">
        <v>277</v>
      </c>
      <c r="G128" s="19" t="s">
        <v>1429</v>
      </c>
      <c r="H128" s="18" t="s">
        <v>108</v>
      </c>
      <c r="I128" s="18" t="s">
        <v>811</v>
      </c>
      <c r="J128" s="18" t="s">
        <v>500</v>
      </c>
      <c r="K128" s="20"/>
      <c r="L128" s="18"/>
      <c r="M128" s="50" t="s">
        <v>730</v>
      </c>
      <c r="N128" s="50"/>
      <c r="O128" s="18" t="s">
        <v>530</v>
      </c>
      <c r="P128" s="18" t="s">
        <v>731</v>
      </c>
      <c r="Q128" s="18" t="s">
        <v>797</v>
      </c>
      <c r="R128" s="18" t="s">
        <v>497</v>
      </c>
      <c r="S128" s="18"/>
      <c r="T128" s="18"/>
      <c r="U128" s="18"/>
      <c r="V128" s="18"/>
      <c r="W128" s="18"/>
      <c r="X128" s="18"/>
      <c r="Y128" s="80"/>
      <c r="Z128" s="18" t="s">
        <v>532</v>
      </c>
      <c r="AA128" s="20">
        <v>45706</v>
      </c>
      <c r="AB128" s="18" t="s">
        <v>500</v>
      </c>
      <c r="AC128" s="18" t="s">
        <v>570</v>
      </c>
      <c r="AD128" s="18" t="s">
        <v>150</v>
      </c>
      <c r="AE128" s="18" t="s">
        <v>41</v>
      </c>
      <c r="AF128" s="18" t="s">
        <v>48</v>
      </c>
      <c r="AG128" s="14" t="str">
        <f>VLOOKUP(AF128,Tabla3[[Estado Requerimiento]:[Macro estado]],2,FALSE)</f>
        <v>02. En Proceso</v>
      </c>
      <c r="AH128" s="18"/>
      <c r="AI128" s="80"/>
      <c r="AJ128" s="80"/>
      <c r="AK128" s="80">
        <v>45673</v>
      </c>
      <c r="AL128" s="80"/>
      <c r="AM128" s="80">
        <v>45841</v>
      </c>
      <c r="AN128" s="80"/>
      <c r="AO128" s="80"/>
      <c r="AP128" s="81">
        <f t="shared" si="2"/>
        <v>45908.2</v>
      </c>
      <c r="AQ128" s="80"/>
      <c r="AR128" s="80"/>
      <c r="AS128" s="81">
        <f t="shared" si="3"/>
        <v>45915.199999999997</v>
      </c>
      <c r="AT128" s="19" t="s">
        <v>1430</v>
      </c>
      <c r="AU128" s="44" t="str">
        <f>VLOOKUP(Cartera1017[[#This Row],[Gerencia]],tbGerencia[#All],3,FALSE)</f>
        <v>TI</v>
      </c>
      <c r="AV128" s="44" t="str">
        <f>IFERROR(VLOOKUP(Cartera1017[[#This Row],[Subgerencia]],Definiciones!$A$90:$B$144,2,FALSE),"")</f>
        <v>ConstrucciónAplicaciones</v>
      </c>
      <c r="AW128" s="44" t="str">
        <f>IF(OR(LEN(Cartera1017[[#This Row],[Fecha de Solicitud]])=0,(Cartera1017[[#This Row],[Fecha de Solicitud]])="No definido"),"No definido",IF(YEAR(Cartera1017[[#This Row],[Fecha de Solicitud]])&lt;2023," &lt;  2023",TEXT(Cartera1017[[#This Row],[Fecha de Solicitud]],"yyyy-mm")))</f>
        <v>No definido</v>
      </c>
      <c r="AX128" s="44" t="str">
        <f>IF(Cartera1017[[#This Row],[Fecha de Priorización Comité]]="","No definido",TEXT(Cartera1017[[#This Row],[Fecha de Priorización Comité]],"yyyy-mm"))</f>
        <v>2025-02</v>
      </c>
      <c r="AY128" s="44" t="str">
        <f>IF(Cartera1017[[#This Row],[Fecha Fin- Desarrollo]]="","No definido",TEXT(Cartera1017[[#This Row],[Fecha Fin- Desarrollo]],"yyyy-mm"))</f>
        <v>No definido</v>
      </c>
      <c r="AZ128" s="44" t="str">
        <f>IF(Cartera1017[[#This Row],[Fecha Fin- Producción]]="","No definido",TEXT(Cartera1017[[#This Row],[Fecha Fin- Producción]],"yyyy-mm"))</f>
        <v>No definido</v>
      </c>
      <c r="BA128" s="44" t="str">
        <f>IF(Cartera1017[[#This Row],[Fecha Fin-Planificada]]="","No definido",TEXT(Cartera1017[[#This Row],[Fecha Fin-Planificada]],"yyyy-mm"))</f>
        <v>2025-09</v>
      </c>
      <c r="BB128" s="33" t="s">
        <v>572</v>
      </c>
      <c r="BC128" s="66">
        <v>45705</v>
      </c>
      <c r="BD128" s="108">
        <v>45841</v>
      </c>
      <c r="BE128" s="108">
        <v>45841</v>
      </c>
      <c r="BF128" s="127"/>
      <c r="BG128" s="28" t="s">
        <v>535</v>
      </c>
      <c r="BH12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8" s="90" t="str">
        <f>IF(ISNUMBER(Cartera1017[[#This Row],[Duracion en Dias]]),Cartera1017[[#This Row],[Duracion en Dias]]/30, "No Aplica")</f>
        <v>No Aplica</v>
      </c>
      <c r="BJ128" s="109"/>
      <c r="BK128" s="28" t="s">
        <v>613</v>
      </c>
      <c r="BL128" s="110" t="s">
        <v>592</v>
      </c>
      <c r="BM128" s="342">
        <v>45876.775393518517</v>
      </c>
      <c r="BN128" s="227"/>
      <c r="BO128" s="401"/>
      <c r="BP128" s="401"/>
      <c r="BQ12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28" s="14" t="str">
        <f>IFERROR(VLOOKUP(Cartera1017[[#This Row],[Aplicativo]],Tabla76[],2,FALSE),"Sin Aplicativo")</f>
        <v>Tarjeta Tesoro</v>
      </c>
      <c r="BS128" s="14" t="str">
        <f>IFERROR(VLOOKUP(Cartera1017[[#This Row],[Aplicativo]],Tabla76[],3,FALSE),"Sin Aplicativo")</f>
        <v>Productos</v>
      </c>
      <c r="BT128" s="400" t="s">
        <v>521</v>
      </c>
      <c r="BU128" s="33"/>
      <c r="BV128" s="28"/>
      <c r="BW12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8" s="149" t="str">
        <f ca="1">IF(Cartera1017[[#This Row],[Fecha Fin2]]="","No definido",CONCATENATE(TEXT(Cartera1017[[#This Row],[Fecha Fin2]],"mmm")," ",YEAR(Cartera1017[[#This Row],[Fecha Fin2]])))</f>
        <v>No definido</v>
      </c>
      <c r="BZ128" s="28"/>
      <c r="CA128" s="48" t="str">
        <f>IF(Cartera1017[[#This Row],[Estado TI]] = "08. Producción Finalizada","Culminado",IF(Cartera1017[[#This Row],[Estado TI]]= "09. Descartado","Descartado","Activos"))</f>
        <v>Activos</v>
      </c>
      <c r="CB128" s="28"/>
      <c r="CC12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28" s="54" t="str">
        <f>IF(
AND(
Cartera1017[[#This Row],[DEVOLVER 27]]="NO",
NOT(ISBLANK(Cartera1017[[#This Row],[ESTADO NO DEVUELTOS 27]]))
),
"PRE",
"POST"
)</f>
        <v>PRE</v>
      </c>
      <c r="CE128" s="54" t="s">
        <v>509</v>
      </c>
      <c r="CF128" s="399" t="s">
        <v>48</v>
      </c>
      <c r="CG128"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2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2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8" s="406">
        <f>Cartera1017[[#This Row],[Porcentaje de Avance]]</f>
        <v>0.25</v>
      </c>
      <c r="CK128" s="416">
        <f ca="1">IF(
   OR(
     Cartera1017[[#This Row],[Estado TI]]="09. Descartado",
     Cartera1017[[#This Row],[Comienzo Desarrollo]]="",
     Cartera1017[[#This Row],[Fin Producción]]=""
   ),
   "",
   Cartera1017[[#This Row],[% PLANIFICADO]]-Cartera1017[[#This Row],[% COMPLETADO]]
)</f>
        <v>0.75</v>
      </c>
      <c r="CL128" s="416">
        <f ca="1">IF(
   OR(
     Cartera1017[[#This Row],[Estado TI]]="09. Descartado",
     Cartera1017[[#This Row],[Comienzo Desarrollo]]="",
     Cartera1017[[#This Row],[Fin Producción]]="",
     Cartera1017[[#This Row],[% PLANIFICADO]]=0
   ),
   "",
   MIN(Cartera1017[[#This Row],[% COMPLETADO]]/Cartera1017[[#This Row],[% PLANIFICADO]],1.2)
)</f>
        <v>0.25</v>
      </c>
      <c r="CM128" s="475">
        <v>45964</v>
      </c>
      <c r="CN128" s="377">
        <v>46083</v>
      </c>
      <c r="CO128" s="377">
        <v>46108</v>
      </c>
      <c r="CP128" s="377">
        <v>46113</v>
      </c>
      <c r="CQ128" s="377">
        <v>46142</v>
      </c>
      <c r="CR128" s="377">
        <v>46143</v>
      </c>
      <c r="CS128" s="377">
        <v>46147</v>
      </c>
      <c r="CT128" s="44">
        <f>IF(Cartera1017[[#This Row],[Fin Desarrollo]]="",25,IFERROR(NETWORKDAYS(Cartera1017[[#This Row],[Comienzo Desarrollo]],Cartera1017[[#This Row],[Fin Desarrollo]],FERIADOS[Fecha]),""))</f>
        <v>20</v>
      </c>
      <c r="CU12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28" s="44">
        <f>IF(OR(Cartera1017[[#This Row],[Comienzo Desarrollo]]="",Cartera1017[[#This Row],[Fin Desarrollo]]=""),200,IFERROR(Cartera1017[[#This Row],[DURACIÓN DESARROLLO DIAS]]*VLOOKUP(Cartera1017[[#This Row],[ID Mantenimiento]],MANT_HORAS[],2,FALSE),200))</f>
        <v>32</v>
      </c>
      <c r="CW128" s="110"/>
      <c r="CX128" s="110" t="str">
        <f>VLOOKUP(Cartera1017[[#This Row],[Estado TI]],Definiciones!$A$549:$B$559,2,FALSE)</f>
        <v>1. DESARROLLO</v>
      </c>
      <c r="CY128" s="28">
        <f ca="1">1-Cartera1017[[#This Row],[Porcentaje avanzado desarrollo]]</f>
        <v>0</v>
      </c>
      <c r="CZ12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28" s="28">
        <f ca="1">MAX(0,Cartera1017[[#This Row],[DURACIÓN DESARROLLO DIAS]]-Cartera1017[[#This Row],[Dias avanzados]])</f>
        <v>0</v>
      </c>
      <c r="DB128" s="28">
        <f ca="1">Cartera1017[[#This Row],[Dias avanzados]]*IFERROR(VLOOKUP(Cartera1017[[#This Row],[ID Mantenimiento]],MANT_HORAS[],2,FALSE),8)</f>
        <v>32</v>
      </c>
      <c r="DC128" s="28">
        <f ca="1">Cartera1017[[#This Row],[Dias faltantes]]*IFERROR(VLOOKUP(Cartera1017[[#This Row],[ID Mantenimiento]],MANT_HORAS[],2,FALSE),8)</f>
        <v>0</v>
      </c>
      <c r="DD128" s="28" t="str">
        <f>IF(Cartera1017[[#This Row],[Fin Producción]]=0,"Por definir",CONCATENATE(YEAR(Cartera1017[[#This Row],[Fin Producción]]),"-",ROUNDUP(MONTH(Cartera1017[[#This Row],[Fin Producción]]),0)))</f>
        <v>2026-5</v>
      </c>
      <c r="DE128" s="18" t="s">
        <v>510</v>
      </c>
      <c r="DF128" s="28"/>
      <c r="DG128" s="28"/>
      <c r="DH128" s="565"/>
    </row>
    <row r="129" spans="1:112" ht="44.25" hidden="1" customHeight="1">
      <c r="A129" s="229" t="s">
        <v>1431</v>
      </c>
      <c r="B129" s="18">
        <v>2631</v>
      </c>
      <c r="C129" s="18" t="s">
        <v>485</v>
      </c>
      <c r="D129" s="18" t="s">
        <v>1432</v>
      </c>
      <c r="E129" s="18" t="s">
        <v>1433</v>
      </c>
      <c r="F129" s="19" t="s">
        <v>1434</v>
      </c>
      <c r="G129" s="19" t="s">
        <v>1435</v>
      </c>
      <c r="H129" s="18" t="s">
        <v>33</v>
      </c>
      <c r="I129" s="18" t="s">
        <v>727</v>
      </c>
      <c r="J129" s="18" t="s">
        <v>728</v>
      </c>
      <c r="K129" s="20"/>
      <c r="L129" s="18"/>
      <c r="M129" s="50" t="s">
        <v>730</v>
      </c>
      <c r="N129" s="50"/>
      <c r="O129" s="18" t="s">
        <v>530</v>
      </c>
      <c r="P129" s="18" t="s">
        <v>731</v>
      </c>
      <c r="Q129" s="18" t="s">
        <v>496</v>
      </c>
      <c r="R129" s="18" t="s">
        <v>497</v>
      </c>
      <c r="S129" s="18"/>
      <c r="T129" s="18"/>
      <c r="U129" s="18"/>
      <c r="V129" s="18"/>
      <c r="W129" s="18"/>
      <c r="X129" s="18"/>
      <c r="Y129" s="80"/>
      <c r="Z129" s="18" t="s">
        <v>532</v>
      </c>
      <c r="AA129" s="20">
        <v>45706</v>
      </c>
      <c r="AB129" s="18" t="s">
        <v>500</v>
      </c>
      <c r="AC129" s="18" t="s">
        <v>501</v>
      </c>
      <c r="AD129" s="18" t="s">
        <v>165</v>
      </c>
      <c r="AE129" s="18" t="s">
        <v>34</v>
      </c>
      <c r="AF129" s="18" t="s">
        <v>53</v>
      </c>
      <c r="AG129" s="14" t="str">
        <f>VLOOKUP(AF129,Tabla3[[Estado Requerimiento]:[Macro estado]],2,FALSE)</f>
        <v>03. Culminado</v>
      </c>
      <c r="AH129" s="18"/>
      <c r="AI129" s="80"/>
      <c r="AJ129" s="80"/>
      <c r="AK129" s="80">
        <v>45688</v>
      </c>
      <c r="AL129" s="80">
        <v>45824</v>
      </c>
      <c r="AM129" s="80"/>
      <c r="AN129" s="80">
        <v>45838</v>
      </c>
      <c r="AO129" s="80">
        <v>45860</v>
      </c>
      <c r="AP129" s="81">
        <f t="shared" si="2"/>
        <v>45878.400000000001</v>
      </c>
      <c r="AQ129" s="80">
        <v>45974</v>
      </c>
      <c r="AR129" s="80">
        <v>46029</v>
      </c>
      <c r="AS129" s="81">
        <f t="shared" si="3"/>
        <v>45885.4</v>
      </c>
      <c r="AT129" s="19" t="s">
        <v>1436</v>
      </c>
      <c r="AU129" s="44" t="str">
        <f>VLOOKUP(Cartera1017[[#This Row],[Gerencia]],tbGerencia[#All],3,FALSE)</f>
        <v>Productos</v>
      </c>
      <c r="AV129" s="44" t="str">
        <f>IFERROR(VLOOKUP(Cartera1017[[#This Row],[Subgerencia]],Definiciones!$A$90:$B$144,2,FALSE),"")</f>
        <v>BancaPersonal</v>
      </c>
      <c r="AW129" s="44" t="str">
        <f>IF(OR(LEN(Cartera1017[[#This Row],[Fecha de Solicitud]])=0,(Cartera1017[[#This Row],[Fecha de Solicitud]])="No definido"),"No definido",IF(YEAR(Cartera1017[[#This Row],[Fecha de Solicitud]])&lt;2023," &lt;  2023",TEXT(Cartera1017[[#This Row],[Fecha de Solicitud]],"yyyy-mm")))</f>
        <v>No definido</v>
      </c>
      <c r="AX129" s="44" t="str">
        <f>IF(Cartera1017[[#This Row],[Fecha de Priorización Comité]]="","No definido",TEXT(Cartera1017[[#This Row],[Fecha de Priorización Comité]],"yyyy-mm"))</f>
        <v>2025-02</v>
      </c>
      <c r="AY129" s="44" t="str">
        <f>IF(Cartera1017[[#This Row],[Fecha Fin- Desarrollo]]="","No definido",TEXT(Cartera1017[[#This Row],[Fecha Fin- Desarrollo]],"yyyy-mm"))</f>
        <v>2025-06</v>
      </c>
      <c r="AZ129" s="44" t="str">
        <f>IF(Cartera1017[[#This Row],[Fecha Fin- Producción]]="","No definido",TEXT(Cartera1017[[#This Row],[Fecha Fin- Producción]],"yyyy-mm"))</f>
        <v>2026-01</v>
      </c>
      <c r="BA129" s="44" t="str">
        <f>IF(Cartera1017[[#This Row],[Fecha Fin-Planificada]]="","No definido",TEXT(Cartera1017[[#This Row],[Fecha Fin-Planificada]],"yyyy-mm"))</f>
        <v>2025-08</v>
      </c>
      <c r="BB129" s="33"/>
      <c r="BC129" s="66"/>
      <c r="BD129" s="108"/>
      <c r="BE129" s="108"/>
      <c r="BF129" s="127"/>
      <c r="BG129" s="28" t="s">
        <v>535</v>
      </c>
      <c r="BH12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341</v>
      </c>
      <c r="BI129" s="90">
        <f>IF(ISNUMBER(Cartera1017[[#This Row],[Duracion en Dias]]),Cartera1017[[#This Row],[Duracion en Dias]]/30, "No Aplica")</f>
        <v>11.366666666666667</v>
      </c>
      <c r="BJ129" s="109"/>
      <c r="BK129" s="28" t="s">
        <v>506</v>
      </c>
      <c r="BL129" s="110" t="s">
        <v>536</v>
      </c>
      <c r="BM129" s="342">
        <v>46122.411979166667</v>
      </c>
      <c r="BN129" s="227"/>
      <c r="BO129" s="401"/>
      <c r="BP129" s="401"/>
      <c r="BQ12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9" s="14" t="str">
        <f>IFERROR(VLOOKUP(Cartera1017[[#This Row],[Aplicativo]],Tabla76[],2,FALSE),"Sin Aplicativo")</f>
        <v>Tarjeta Tesoro</v>
      </c>
      <c r="BS129" s="14" t="str">
        <f>IFERROR(VLOOKUP(Cartera1017[[#This Row],[Aplicativo]],Tabla76[],3,FALSE),"Sin Aplicativo")</f>
        <v>Productos</v>
      </c>
      <c r="BT129" s="400" t="s">
        <v>521</v>
      </c>
      <c r="BU129" s="33"/>
      <c r="BV129" s="28"/>
      <c r="BW12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46029</v>
      </c>
      <c r="BX12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9" s="149" t="str">
        <f ca="1">IF(Cartera1017[[#This Row],[Fecha Fin2]]="","No definido",CONCATENATE(TEXT(Cartera1017[[#This Row],[Fecha Fin2]],"mmm")," ",YEAR(Cartera1017[[#This Row],[Fecha Fin2]])))</f>
        <v>Ene 2026</v>
      </c>
      <c r="BZ129" s="28"/>
      <c r="CA129" s="48" t="str">
        <f>IF(Cartera1017[[#This Row],[Estado TI]] = "08. Producción Finalizada","Culminado",IF(Cartera1017[[#This Row],[Estado TI]]= "09. Descartado","Descartado","Activos"))</f>
        <v>Culminado</v>
      </c>
      <c r="CB129" s="28"/>
      <c r="CC12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29" s="54" t="str">
        <f>IF(
AND(
Cartera1017[[#This Row],[DEVOLVER 27]]="NO",
NOT(ISBLANK(Cartera1017[[#This Row],[ESTADO NO DEVUELTOS 27]]))
),
"PRE",
"POST"
)</f>
        <v>PRE</v>
      </c>
      <c r="CE129" s="54" t="s">
        <v>509</v>
      </c>
      <c r="CF129" s="28" t="s">
        <v>42</v>
      </c>
      <c r="CG12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2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9" s="406">
        <f>Cartera1017[[#This Row],[Porcentaje de Avance]]</f>
        <v>1</v>
      </c>
      <c r="CK129" s="388">
        <f ca="1">IF(
   OR(
     Cartera1017[[#This Row],[Estado TI]]="09. Descartado",
     Cartera1017[[#This Row],[Comienzo Desarrollo]]="",
     Cartera1017[[#This Row],[Fin Producción]]=""
   ),
   "",
   Cartera1017[[#This Row],[% PLANIFICADO]]-Cartera1017[[#This Row],[% COMPLETADO]]
)</f>
        <v>0</v>
      </c>
      <c r="CL129" s="388">
        <f ca="1">IF(
   OR(
     Cartera1017[[#This Row],[Estado TI]]="09. Descartado",
     Cartera1017[[#This Row],[Comienzo Desarrollo]]="",
     Cartera1017[[#This Row],[Fin Producción]]="",
     Cartera1017[[#This Row],[% PLANIFICADO]]=0
   ),
   "",
   MIN(Cartera1017[[#This Row],[% COMPLETADO]]/Cartera1017[[#This Row],[% PLANIFICADO]],1.2)
)</f>
        <v>1</v>
      </c>
      <c r="CM129" s="377">
        <v>45688</v>
      </c>
      <c r="CN129" s="377">
        <v>45688</v>
      </c>
      <c r="CO129" s="377">
        <v>45824</v>
      </c>
      <c r="CP129" s="377">
        <v>45838</v>
      </c>
      <c r="CQ129" s="377">
        <v>45860</v>
      </c>
      <c r="CR129" s="377">
        <v>45974</v>
      </c>
      <c r="CS129" s="377">
        <v>46029</v>
      </c>
      <c r="CT129" s="44">
        <f>IF(Cartera1017[[#This Row],[Fin Desarrollo]]="",25,IFERROR(NETWORKDAYS(Cartera1017[[#This Row],[Comienzo Desarrollo]],Cartera1017[[#This Row],[Fin Desarrollo]],FERIADOS[Fecha]),""))</f>
        <v>96</v>
      </c>
      <c r="CU12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29" s="44">
        <f>IF(OR(Cartera1017[[#This Row],[Comienzo Desarrollo]]="",Cartera1017[[#This Row],[Fin Desarrollo]]=""),200,IFERROR(Cartera1017[[#This Row],[DURACIÓN DESARROLLO DIAS]]*VLOOKUP(Cartera1017[[#This Row],[ID Mantenimiento]],MANT_HORAS[],2,FALSE),200))</f>
        <v>200</v>
      </c>
      <c r="CW129" s="110"/>
      <c r="CX129" s="110" t="str">
        <f>VLOOKUP(Cartera1017[[#This Row],[Estado TI]],Definiciones!$A$549:$B$559,2,FALSE)</f>
        <v>4. PRODUCCIÓN</v>
      </c>
      <c r="CY129" s="28">
        <f ca="1">1-Cartera1017[[#This Row],[Porcentaje avanzado desarrollo]]</f>
        <v>0</v>
      </c>
      <c r="CZ12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96</v>
      </c>
      <c r="DA129" s="28">
        <f ca="1">MAX(0,Cartera1017[[#This Row],[DURACIÓN DESARROLLO DIAS]]-Cartera1017[[#This Row],[Dias avanzados]])</f>
        <v>0</v>
      </c>
      <c r="DB129" s="28">
        <f ca="1">Cartera1017[[#This Row],[Dias avanzados]]*IFERROR(VLOOKUP(Cartera1017[[#This Row],[ID Mantenimiento]],MANT_HORAS[],2,FALSE),8)</f>
        <v>768</v>
      </c>
      <c r="DC129" s="28">
        <f ca="1">Cartera1017[[#This Row],[Dias faltantes]]*IFERROR(VLOOKUP(Cartera1017[[#This Row],[ID Mantenimiento]],MANT_HORAS[],2,FALSE),8)</f>
        <v>0</v>
      </c>
      <c r="DD129" s="28" t="str">
        <f>IF(Cartera1017[[#This Row],[Fin Producción]]=0,"Por definir",CONCATENATE(YEAR(Cartera1017[[#This Row],[Fin Producción]]),"-",ROUNDUP(MONTH(Cartera1017[[#This Row],[Fin Producción]]),0)))</f>
        <v>2026-1</v>
      </c>
      <c r="DE129" s="18" t="s">
        <v>510</v>
      </c>
      <c r="DF129" s="28"/>
      <c r="DG129" s="28"/>
      <c r="DH129" s="565"/>
    </row>
    <row r="130" spans="1:112" ht="44.25" hidden="1" customHeight="1">
      <c r="A130" s="229" t="s">
        <v>1437</v>
      </c>
      <c r="B130" s="18">
        <v>2703</v>
      </c>
      <c r="C130" s="18" t="s">
        <v>485</v>
      </c>
      <c r="D130" s="18" t="s">
        <v>1438</v>
      </c>
      <c r="E130" s="18" t="s">
        <v>278</v>
      </c>
      <c r="F130" s="35" t="s">
        <v>279</v>
      </c>
      <c r="G130" s="19"/>
      <c r="H130" s="18" t="s">
        <v>26</v>
      </c>
      <c r="I130" s="18" t="s">
        <v>539</v>
      </c>
      <c r="J130" s="18" t="s">
        <v>554</v>
      </c>
      <c r="K130" s="20"/>
      <c r="L130" s="18" t="s">
        <v>528</v>
      </c>
      <c r="M130" s="50" t="s">
        <v>730</v>
      </c>
      <c r="N130" s="50"/>
      <c r="O130" s="18" t="s">
        <v>530</v>
      </c>
      <c r="P130" s="18" t="s">
        <v>495</v>
      </c>
      <c r="Q130" s="18" t="s">
        <v>496</v>
      </c>
      <c r="R130" s="18" t="s">
        <v>531</v>
      </c>
      <c r="S130" s="18"/>
      <c r="T130" s="18"/>
      <c r="U130" s="18"/>
      <c r="V130" s="18"/>
      <c r="W130" s="18"/>
      <c r="X130" s="18"/>
      <c r="Y130" s="80"/>
      <c r="Z130" s="18" t="s">
        <v>532</v>
      </c>
      <c r="AA130" s="20">
        <v>45747</v>
      </c>
      <c r="AB130" s="18" t="s">
        <v>500</v>
      </c>
      <c r="AC130" s="18" t="s">
        <v>558</v>
      </c>
      <c r="AD130" s="360" t="s">
        <v>30</v>
      </c>
      <c r="AE130" s="18" t="s">
        <v>27</v>
      </c>
      <c r="AF130" s="39" t="s">
        <v>28</v>
      </c>
      <c r="AG130" s="431" t="str">
        <f>VLOOKUP(AF130,Tabla3[[Estado Requerimiento]:[Macro estado]],2,FALSE)</f>
        <v>04. Paralizado</v>
      </c>
      <c r="AH130" s="18" t="s">
        <v>559</v>
      </c>
      <c r="AI130" s="80"/>
      <c r="AJ130" s="80"/>
      <c r="AK130" s="80">
        <v>45708</v>
      </c>
      <c r="AL130" s="80"/>
      <c r="AM130" s="80"/>
      <c r="AN130" s="80"/>
      <c r="AO130" s="80"/>
      <c r="AP130" s="81" t="str">
        <f t="shared" si="2"/>
        <v/>
      </c>
      <c r="AQ130" s="80"/>
      <c r="AR130" s="80"/>
      <c r="AS130" s="81" t="str">
        <f t="shared" si="3"/>
        <v/>
      </c>
      <c r="AT130" s="19" t="s">
        <v>1439</v>
      </c>
      <c r="AU130" s="44" t="str">
        <f>VLOOKUP(Cartera1017[[#This Row],[Gerencia]],tbGerencia[#All],3,FALSE)</f>
        <v>B.Digital</v>
      </c>
      <c r="AV130" s="44" t="str">
        <f>IFERROR(VLOOKUP(Cartera1017[[#This Row],[Subgerencia]],Definiciones!$A$90:$B$144,2,FALSE),"")</f>
        <v>CanalesAlternos</v>
      </c>
      <c r="AW130" s="44" t="str">
        <f>IF(OR(LEN(Cartera1017[[#This Row],[Fecha de Solicitud]])=0,(Cartera1017[[#This Row],[Fecha de Solicitud]])="No definido"),"No definido",IF(YEAR(Cartera1017[[#This Row],[Fecha de Solicitud]])&lt;2023," &lt;  2023",TEXT(Cartera1017[[#This Row],[Fecha de Solicitud]],"yyyy-mm")))</f>
        <v>No definido</v>
      </c>
      <c r="AX130" s="44" t="str">
        <f>IF(Cartera1017[[#This Row],[Fecha de Priorización Comité]]="","No definido",TEXT(Cartera1017[[#This Row],[Fecha de Priorización Comité]],"yyyy-mm"))</f>
        <v>2025-03</v>
      </c>
      <c r="AY130" s="44" t="str">
        <f>IF(Cartera1017[[#This Row],[Fecha Fin- Desarrollo]]="","No definido",TEXT(Cartera1017[[#This Row],[Fecha Fin- Desarrollo]],"yyyy-mm"))</f>
        <v>No definido</v>
      </c>
      <c r="AZ130" s="44" t="str">
        <f>IF(Cartera1017[[#This Row],[Fecha Fin- Producción]]="","No definido",TEXT(Cartera1017[[#This Row],[Fecha Fin- Producción]],"yyyy-mm"))</f>
        <v>No definido</v>
      </c>
      <c r="BA130" s="44" t="str">
        <f>IF(Cartera1017[[#This Row],[Fecha Fin-Planificada]]="","No definido",TEXT(Cartera1017[[#This Row],[Fecha Fin-Planificada]],"yyyy-mm"))</f>
        <v>No definido</v>
      </c>
      <c r="BB130" s="33"/>
      <c r="BC130" s="66"/>
      <c r="BD130" s="108"/>
      <c r="BE130" s="108"/>
      <c r="BF130" s="127"/>
      <c r="BG130" s="28" t="s">
        <v>535</v>
      </c>
      <c r="BH13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0" s="90" t="str">
        <f>IF(ISNUMBER(Cartera1017[[#This Row],[Duracion en Dias]]),Cartera1017[[#This Row],[Duracion en Dias]]/30, "No Aplica")</f>
        <v>No Aplica</v>
      </c>
      <c r="BJ130" s="109"/>
      <c r="BK130" s="28" t="s">
        <v>1115</v>
      </c>
      <c r="BL130" s="110" t="s">
        <v>562</v>
      </c>
      <c r="BM130" s="342">
        <v>46079.732523148145</v>
      </c>
      <c r="BN130" s="227"/>
      <c r="BO130" s="401"/>
      <c r="BP130" s="401"/>
      <c r="BQ13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30" s="14" t="str">
        <f>IFERROR(VLOOKUP(Cartera1017[[#This Row],[Aplicativo]],Tabla76[],2,FALSE),"Sin Aplicativo")</f>
        <v>Tarjeta Tesoro</v>
      </c>
      <c r="BS130" s="14" t="str">
        <f>IFERROR(VLOOKUP(Cartera1017[[#This Row],[Aplicativo]],Tabla76[],3,FALSE),"Sin Aplicativo")</f>
        <v>Productos</v>
      </c>
      <c r="BT130" s="400" t="s">
        <v>521</v>
      </c>
      <c r="BU130" s="33"/>
      <c r="BV130" s="28"/>
      <c r="BW13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0" s="149" t="str">
        <f ca="1">IF(Cartera1017[[#This Row],[Fecha Fin2]]="","No definido",CONCATENATE(TEXT(Cartera1017[[#This Row],[Fecha Fin2]],"mmm")," ",YEAR(Cartera1017[[#This Row],[Fecha Fin2]])))</f>
        <v>No definido</v>
      </c>
      <c r="BZ130" s="28"/>
      <c r="CA130" s="48" t="str">
        <f>IF(Cartera1017[[#This Row],[Estado TI]] = "08. Producción Finalizada","Culminado",IF(Cartera1017[[#This Row],[Estado TI]]= "09. Descartado","Descartado","Activos"))</f>
        <v>Activos</v>
      </c>
      <c r="CB130" s="28"/>
      <c r="CC13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30" s="54" t="str">
        <f>IF(
AND(
Cartera1017[[#This Row],[DEVOLVER 27]]="NO",
NOT(ISBLANK(Cartera1017[[#This Row],[ESTADO NO DEVUELTOS 27]]))
),
"PRE",
"POST"
)</f>
        <v>POST</v>
      </c>
      <c r="CE130" s="54" t="s">
        <v>523</v>
      </c>
      <c r="CF130" s="28" t="s">
        <v>524</v>
      </c>
      <c r="CG13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3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30"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30" s="406">
        <f>Cartera1017[[#This Row],[Porcentaje de Avance]]</f>
        <v>0.12</v>
      </c>
      <c r="CK130" s="388" t="str">
        <f>IF(
   OR(
     Cartera1017[[#This Row],[Estado TI]]="09. Descartado",
     Cartera1017[[#This Row],[Comienzo Desarrollo]]="",
     Cartera1017[[#This Row],[Fin Producción]]=""
   ),
   "",
   Cartera1017[[#This Row],[% PLANIFICADO]]-Cartera1017[[#This Row],[% COMPLETADO]]
)</f>
        <v/>
      </c>
      <c r="CL130" s="388" t="str">
        <f ca="1">IF(
   OR(
     Cartera1017[[#This Row],[Estado TI]]="09. Descartado",
     Cartera1017[[#This Row],[Comienzo Desarrollo]]="",
     Cartera1017[[#This Row],[Fin Producción]]="",
     Cartera1017[[#This Row],[% PLANIFICADO]]=0
   ),
   "",
   MIN(Cartera1017[[#This Row],[% COMPLETADO]]/Cartera1017[[#This Row],[% PLANIFICADO]],1.2)
)</f>
        <v/>
      </c>
      <c r="CM130" s="377"/>
      <c r="CN130" s="377"/>
      <c r="CO130" s="377"/>
      <c r="CP130" s="377"/>
      <c r="CQ130" s="377"/>
      <c r="CR130" s="377"/>
      <c r="CS130" s="377">
        <v>46477</v>
      </c>
      <c r="CT130" s="44">
        <f>IF(Cartera1017[[#This Row],[Fin Desarrollo]]="",25,IFERROR(NETWORKDAYS(Cartera1017[[#This Row],[Comienzo Desarrollo]],Cartera1017[[#This Row],[Fin Desarrollo]],FERIADOS[Fecha]),""))</f>
        <v>25</v>
      </c>
      <c r="CU13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30" s="44">
        <f>IF(OR(Cartera1017[[#This Row],[Comienzo Desarrollo]]="",Cartera1017[[#This Row],[Fin Desarrollo]]=""),200,IFERROR(Cartera1017[[#This Row],[DURACIÓN DESARROLLO DIAS]]*VLOOKUP(Cartera1017[[#This Row],[ID Mantenimiento]],MANT_HORAS[],2,FALSE),200))</f>
        <v>200</v>
      </c>
      <c r="CW130" s="110"/>
      <c r="CX130" s="110" t="str">
        <f>VLOOKUP(Cartera1017[[#This Row],[Estado TI]],Definiciones!$A$549:$B$559,2,FALSE)</f>
        <v>6. PARALIZADO</v>
      </c>
      <c r="CY130" s="28">
        <f ca="1">1-Cartera1017[[#This Row],[Porcentaje avanzado desarrollo]]</f>
        <v>0.9</v>
      </c>
      <c r="CZ13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30" s="28">
        <f ca="1">MAX(0,Cartera1017[[#This Row],[DURACIÓN DESARROLLO DIAS]]-Cartera1017[[#This Row],[Dias avanzados]])</f>
        <v>24</v>
      </c>
      <c r="DB130" s="28">
        <f ca="1">Cartera1017[[#This Row],[Dias avanzados]]*IFERROR(VLOOKUP(Cartera1017[[#This Row],[ID Mantenimiento]],MANT_HORAS[],2,FALSE),8)</f>
        <v>8</v>
      </c>
      <c r="DC130" s="28">
        <f ca="1">Cartera1017[[#This Row],[Dias faltantes]]*IFERROR(VLOOKUP(Cartera1017[[#This Row],[ID Mantenimiento]],MANT_HORAS[],2,FALSE),8)</f>
        <v>192</v>
      </c>
      <c r="DD130" s="28" t="str">
        <f>IF(Cartera1017[[#This Row],[Fin Producción]]=0,"Por definir",CONCATENATE(YEAR(Cartera1017[[#This Row],[Fin Producción]]),"-",ROUNDUP(MONTH(Cartera1017[[#This Row],[Fin Producción]]),0)))</f>
        <v>2027-3</v>
      </c>
      <c r="DE130" s="18" t="s">
        <v>510</v>
      </c>
      <c r="DF130" s="28"/>
      <c r="DG130" s="28"/>
      <c r="DH130" s="565"/>
    </row>
    <row r="131" spans="1:112" ht="44.25" hidden="1" customHeight="1">
      <c r="A131" s="229" t="s">
        <v>1440</v>
      </c>
      <c r="B131" s="18">
        <v>2902</v>
      </c>
      <c r="C131" s="18" t="s">
        <v>485</v>
      </c>
      <c r="D131" s="18" t="s">
        <v>1441</v>
      </c>
      <c r="E131" s="18" t="s">
        <v>280</v>
      </c>
      <c r="F131" s="19" t="s">
        <v>1442</v>
      </c>
      <c r="G131" s="19" t="s">
        <v>1443</v>
      </c>
      <c r="H131" s="18" t="s">
        <v>52</v>
      </c>
      <c r="I131" s="18" t="s">
        <v>596</v>
      </c>
      <c r="J131" s="18" t="s">
        <v>1444</v>
      </c>
      <c r="K131" s="20">
        <v>45835</v>
      </c>
      <c r="L131" s="18" t="s">
        <v>1445</v>
      </c>
      <c r="M131" s="50" t="s">
        <v>870</v>
      </c>
      <c r="N131" s="50"/>
      <c r="O131" s="18" t="s">
        <v>530</v>
      </c>
      <c r="P131" s="18" t="s">
        <v>495</v>
      </c>
      <c r="Q131" s="18" t="s">
        <v>496</v>
      </c>
      <c r="R131" s="18" t="s">
        <v>599</v>
      </c>
      <c r="S131" s="18" t="s">
        <v>599</v>
      </c>
      <c r="T131" s="18" t="s">
        <v>600</v>
      </c>
      <c r="U131" s="18" t="s">
        <v>1446</v>
      </c>
      <c r="V131" s="18"/>
      <c r="W131" s="18"/>
      <c r="X131" s="18"/>
      <c r="Y131" s="80"/>
      <c r="Z131" s="18" t="s">
        <v>499</v>
      </c>
      <c r="AA131" s="20">
        <v>45868</v>
      </c>
      <c r="AB131" s="18" t="s">
        <v>533</v>
      </c>
      <c r="AC131" s="18"/>
      <c r="AD131" s="18" t="s">
        <v>76</v>
      </c>
      <c r="AE131" s="18" t="s">
        <v>47</v>
      </c>
      <c r="AF131" s="18" t="s">
        <v>87</v>
      </c>
      <c r="AG131" s="14" t="str">
        <f>VLOOKUP(AF131,Tabla3[[Estado Requerimiento]:[Macro estado]],2,FALSE)</f>
        <v>02. En Proceso</v>
      </c>
      <c r="AH131" s="18"/>
      <c r="AI131" s="80"/>
      <c r="AJ131" s="80"/>
      <c r="AK131" s="80">
        <v>45896</v>
      </c>
      <c r="AL131" s="80">
        <v>46126</v>
      </c>
      <c r="AM131" s="80"/>
      <c r="AN131" s="80">
        <v>46127</v>
      </c>
      <c r="AO131" s="80"/>
      <c r="AP131" s="81">
        <f t="shared" si="2"/>
        <v>46218</v>
      </c>
      <c r="AQ131" s="80"/>
      <c r="AR131" s="80"/>
      <c r="AS131" s="81">
        <f t="shared" si="3"/>
        <v>46225</v>
      </c>
      <c r="AT131" s="19" t="s">
        <v>1447</v>
      </c>
      <c r="AU131" s="44" t="str">
        <f>VLOOKUP(Cartera1017[[#This Row],[Gerencia]],tbGerencia[#All],3,FALSE)</f>
        <v>Finanzas</v>
      </c>
      <c r="AV131" s="44" t="str">
        <f>IFERROR(VLOOKUP(Cartera1017[[#This Row],[Subgerencia]],Definiciones!$A$90:$B$144,2,FALSE),"")</f>
        <v>Contabilidad</v>
      </c>
      <c r="AW131" s="44" t="str">
        <f>IF(OR(LEN(Cartera1017[[#This Row],[Fecha de Solicitud]])=0,(Cartera1017[[#This Row],[Fecha de Solicitud]])="No definido"),"No definido",IF(YEAR(Cartera1017[[#This Row],[Fecha de Solicitud]])&lt;2023," &lt;  2023",TEXT(Cartera1017[[#This Row],[Fecha de Solicitud]],"yyyy-mm")))</f>
        <v>2025-06</v>
      </c>
      <c r="AX131" s="44" t="str">
        <f>IF(Cartera1017[[#This Row],[Fecha de Priorización Comité]]="","No definido",TEXT(Cartera1017[[#This Row],[Fecha de Priorización Comité]],"yyyy-mm"))</f>
        <v>2025-07</v>
      </c>
      <c r="AY131" s="44" t="str">
        <f>IF(Cartera1017[[#This Row],[Fecha Fin- Desarrollo]]="","No definido",TEXT(Cartera1017[[#This Row],[Fecha Fin- Desarrollo]],"yyyy-mm"))</f>
        <v>2026-04</v>
      </c>
      <c r="AZ131" s="44" t="str">
        <f>IF(Cartera1017[[#This Row],[Fecha Fin- Producción]]="","No definido",TEXT(Cartera1017[[#This Row],[Fecha Fin- Producción]],"yyyy-mm"))</f>
        <v>No definido</v>
      </c>
      <c r="BA131" s="44" t="str">
        <f>IF(Cartera1017[[#This Row],[Fecha Fin-Planificada]]="","No definido",TEXT(Cartera1017[[#This Row],[Fecha Fin-Planificada]],"yyyy-mm"))</f>
        <v>2026-07</v>
      </c>
      <c r="BB131" s="33"/>
      <c r="BC131" s="66"/>
      <c r="BD131" s="108"/>
      <c r="BE131" s="108"/>
      <c r="BF131" s="127"/>
      <c r="BG131" s="28" t="s">
        <v>535</v>
      </c>
      <c r="BH13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1" s="90" t="str">
        <f>IF(ISNUMBER(Cartera1017[[#This Row],[Duracion en Dias]]),Cartera1017[[#This Row],[Duracion en Dias]]/30, "No Aplica")</f>
        <v>No Aplica</v>
      </c>
      <c r="BJ131" s="109"/>
      <c r="BK131" s="28" t="s">
        <v>506</v>
      </c>
      <c r="BL131" s="110" t="s">
        <v>1260</v>
      </c>
      <c r="BM131" s="342">
        <v>46127.797615740739</v>
      </c>
      <c r="BN131" s="227"/>
      <c r="BO131" s="401"/>
      <c r="BP131" s="401"/>
      <c r="BQ13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2026-Q3</v>
      </c>
      <c r="BR131" s="14" t="str">
        <f>IFERROR(VLOOKUP(Cartera1017[[#This Row],[Aplicativo]],Tabla76[],2,FALSE),"Sin Aplicativo")</f>
        <v>Oracle</v>
      </c>
      <c r="BS131" s="14" t="str">
        <f>IFERROR(VLOOKUP(Cartera1017[[#This Row],[Aplicativo]],Tabla76[],3,FALSE),"Sin Aplicativo")</f>
        <v>Otros Requerimientos</v>
      </c>
      <c r="BT131" s="400" t="s">
        <v>521</v>
      </c>
      <c r="BU131" s="33"/>
      <c r="BV131" s="28"/>
      <c r="BW131"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46225</v>
      </c>
      <c r="BX13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2026-3</v>
      </c>
      <c r="BY131" s="149" t="str">
        <f ca="1">IF(Cartera1017[[#This Row],[Fecha Fin2]]="","No definido",CONCATENATE(TEXT(Cartera1017[[#This Row],[Fecha Fin2]],"mmm")," ",YEAR(Cartera1017[[#This Row],[Fecha Fin2]])))</f>
        <v>Jul 2026</v>
      </c>
      <c r="BZ131" s="28"/>
      <c r="CA131" s="48" t="str">
        <f>IF(Cartera1017[[#This Row],[Estado TI]] = "08. Producción Finalizada","Culminado",IF(Cartera1017[[#This Row],[Estado TI]]= "09. Descartado","Descartado","Activos"))</f>
        <v>Activos</v>
      </c>
      <c r="CB131" s="28"/>
      <c r="CC13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131" s="54" t="str">
        <f>IF(
AND(
Cartera1017[[#This Row],[DEVOLVER 27]]="NO",
NOT(ISBLANK(Cartera1017[[#This Row],[ESTADO NO DEVUELTOS 27]]))
),
"PRE",
"POST"
)</f>
        <v>PRE</v>
      </c>
      <c r="CE131" s="54" t="s">
        <v>509</v>
      </c>
      <c r="CF131" s="28" t="s">
        <v>48</v>
      </c>
      <c r="CG13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3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1" s="406">
        <f>Cartera1017[[#This Row],[Porcentaje de Avance]]</f>
        <v>0.7</v>
      </c>
      <c r="CK131" s="388">
        <f ca="1">IF(
   OR(
     Cartera1017[[#This Row],[Estado TI]]="09. Descartado",
     Cartera1017[[#This Row],[Comienzo Desarrollo]]="",
     Cartera1017[[#This Row],[Fin Producción]]=""
   ),
   "",
   Cartera1017[[#This Row],[% PLANIFICADO]]-Cartera1017[[#This Row],[% COMPLETADO]]
)</f>
        <v>0.30000000000000004</v>
      </c>
      <c r="CL131" s="388">
        <f ca="1">IF(
   OR(
     Cartera1017[[#This Row],[Estado TI]]="09. Descartado",
     Cartera1017[[#This Row],[Comienzo Desarrollo]]="",
     Cartera1017[[#This Row],[Fin Producción]]="",
     Cartera1017[[#This Row],[% PLANIFICADO]]=0
   ),
   "",
   MIN(Cartera1017[[#This Row],[% COMPLETADO]]/Cartera1017[[#This Row],[% PLANIFICADO]],1.2)
)</f>
        <v>0.7</v>
      </c>
      <c r="CM131" s="377">
        <v>45964</v>
      </c>
      <c r="CN131" s="377">
        <v>46083</v>
      </c>
      <c r="CO131" s="377">
        <v>46129</v>
      </c>
      <c r="CP131" s="377">
        <v>46130</v>
      </c>
      <c r="CQ131" s="377">
        <v>46153</v>
      </c>
      <c r="CR131" s="377">
        <v>46154</v>
      </c>
      <c r="CS131" s="377">
        <v>46159</v>
      </c>
      <c r="CT131" s="44">
        <f>IF(Cartera1017[[#This Row],[Fin Desarrollo]]="",25,IFERROR(NETWORKDAYS(Cartera1017[[#This Row],[Comienzo Desarrollo]],Cartera1017[[#This Row],[Fin Desarrollo]],FERIADOS[Fecha]),""))</f>
        <v>35</v>
      </c>
      <c r="CU13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31" s="44">
        <f>IF(OR(Cartera1017[[#This Row],[Comienzo Desarrollo]]="",Cartera1017[[#This Row],[Fin Desarrollo]]=""),200,IFERROR(Cartera1017[[#This Row],[DURACIÓN DESARROLLO DIAS]]*VLOOKUP(Cartera1017[[#This Row],[ID Mantenimiento]],MANT_HORAS[],2,FALSE),200))</f>
        <v>200</v>
      </c>
      <c r="CW131" s="110"/>
      <c r="CX131" s="110" t="str">
        <f>VLOOKUP(Cartera1017[[#This Row],[Estado TI]],Definiciones!$A$549:$B$559,2,FALSE)</f>
        <v>2. CALIDAD</v>
      </c>
      <c r="CY131" s="28">
        <f ca="1">1-Cartera1017[[#This Row],[Porcentaje avanzado desarrollo]]</f>
        <v>0</v>
      </c>
      <c r="CZ13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35</v>
      </c>
      <c r="DA131" s="28">
        <f ca="1">MAX(0,Cartera1017[[#This Row],[DURACIÓN DESARROLLO DIAS]]-Cartera1017[[#This Row],[Dias avanzados]])</f>
        <v>0</v>
      </c>
      <c r="DB131" s="28">
        <f ca="1">Cartera1017[[#This Row],[Dias avanzados]]*IFERROR(VLOOKUP(Cartera1017[[#This Row],[ID Mantenimiento]],MANT_HORAS[],2,FALSE),8)</f>
        <v>280</v>
      </c>
      <c r="DC131" s="28">
        <f ca="1">Cartera1017[[#This Row],[Dias faltantes]]*IFERROR(VLOOKUP(Cartera1017[[#This Row],[ID Mantenimiento]],MANT_HORAS[],2,FALSE),8)</f>
        <v>0</v>
      </c>
      <c r="DD131" s="28" t="str">
        <f>IF(Cartera1017[[#This Row],[Fin Producción]]=0,"Por definir",CONCATENATE(YEAR(Cartera1017[[#This Row],[Fin Producción]]),"-",ROUNDUP(MONTH(Cartera1017[[#This Row],[Fin Producción]]),0)))</f>
        <v>2026-5</v>
      </c>
      <c r="DE131" s="18" t="s">
        <v>510</v>
      </c>
      <c r="DF131" s="28"/>
      <c r="DG131" s="28"/>
      <c r="DH131" s="565"/>
    </row>
    <row r="132" spans="1:112" ht="44.25" customHeight="1">
      <c r="A132" s="229" t="s">
        <v>1448</v>
      </c>
      <c r="B132" s="18">
        <v>2936</v>
      </c>
      <c r="C132" s="18" t="s">
        <v>485</v>
      </c>
      <c r="D132" s="18" t="s">
        <v>1449</v>
      </c>
      <c r="E132" s="18" t="s">
        <v>282</v>
      </c>
      <c r="F132" s="19" t="s">
        <v>283</v>
      </c>
      <c r="G132" s="19" t="s">
        <v>1450</v>
      </c>
      <c r="H132" s="18" t="s">
        <v>82</v>
      </c>
      <c r="I132" s="18" t="s">
        <v>700</v>
      </c>
      <c r="J132" s="18" t="s">
        <v>1451</v>
      </c>
      <c r="K132" s="20">
        <v>45841</v>
      </c>
      <c r="L132" s="18" t="s">
        <v>1452</v>
      </c>
      <c r="M132" s="50" t="s">
        <v>703</v>
      </c>
      <c r="N132" s="50"/>
      <c r="O132" s="18" t="s">
        <v>530</v>
      </c>
      <c r="P132" s="18" t="s">
        <v>912</v>
      </c>
      <c r="Q132" s="18" t="s">
        <v>496</v>
      </c>
      <c r="R132" s="18" t="s">
        <v>599</v>
      </c>
      <c r="S132" s="18" t="s">
        <v>599</v>
      </c>
      <c r="T132" s="18" t="s">
        <v>652</v>
      </c>
      <c r="U132" s="18" t="s">
        <v>1453</v>
      </c>
      <c r="V132" s="18"/>
      <c r="W132" s="18"/>
      <c r="X132" s="18"/>
      <c r="Y132" s="80"/>
      <c r="Z132" s="18" t="s">
        <v>499</v>
      </c>
      <c r="AA132" s="20">
        <v>45868</v>
      </c>
      <c r="AB132" s="18" t="s">
        <v>500</v>
      </c>
      <c r="AC132" s="18"/>
      <c r="AD132" s="18" t="s">
        <v>150</v>
      </c>
      <c r="AE132" s="18" t="s">
        <v>63</v>
      </c>
      <c r="AF132" s="18" t="s">
        <v>87</v>
      </c>
      <c r="AG132" s="14" t="str">
        <f>VLOOKUP(AF132,Tabla3[[Estado Requerimiento]:[Macro estado]],2,FALSE)</f>
        <v>02. En Proceso</v>
      </c>
      <c r="AH132" s="18"/>
      <c r="AI132" s="80"/>
      <c r="AJ132" s="80"/>
      <c r="AK132" s="80">
        <v>46007</v>
      </c>
      <c r="AL132" s="80">
        <v>46100</v>
      </c>
      <c r="AM132" s="80"/>
      <c r="AN132" s="80">
        <v>46111</v>
      </c>
      <c r="AO132" s="80"/>
      <c r="AP132" s="81">
        <f t="shared" si="2"/>
        <v>46137.2</v>
      </c>
      <c r="AQ132" s="80"/>
      <c r="AR132" s="80"/>
      <c r="AS132" s="81">
        <f t="shared" si="3"/>
        <v>46144.2</v>
      </c>
      <c r="AT132" s="19" t="s">
        <v>1454</v>
      </c>
      <c r="AU132" s="44" t="str">
        <f>VLOOKUP(Cartera1017[[#This Row],[Gerencia]],tbGerencia[#All],3,FALSE)</f>
        <v>Riesgos</v>
      </c>
      <c r="AV132" s="44" t="str">
        <f>IFERROR(VLOOKUP(Cartera1017[[#This Row],[Subgerencia]],Definiciones!$A$90:$B$144,2,FALSE),"")</f>
        <v>CrediticiosFinancieros</v>
      </c>
      <c r="AW132" s="44" t="str">
        <f>IF(OR(LEN(Cartera1017[[#This Row],[Fecha de Solicitud]])=0,(Cartera1017[[#This Row],[Fecha de Solicitud]])="No definido"),"No definido",IF(YEAR(Cartera1017[[#This Row],[Fecha de Solicitud]])&lt;2023," &lt;  2023",TEXT(Cartera1017[[#This Row],[Fecha de Solicitud]],"yyyy-mm")))</f>
        <v>2025-07</v>
      </c>
      <c r="AX132" s="44" t="str">
        <f>IF(Cartera1017[[#This Row],[Fecha de Priorización Comité]]="","No definido",TEXT(Cartera1017[[#This Row],[Fecha de Priorización Comité]],"yyyy-mm"))</f>
        <v>2025-07</v>
      </c>
      <c r="AY132" s="44" t="str">
        <f>IF(Cartera1017[[#This Row],[Fecha Fin- Desarrollo]]="","No definido",TEXT(Cartera1017[[#This Row],[Fecha Fin- Desarrollo]],"yyyy-mm"))</f>
        <v>2026-03</v>
      </c>
      <c r="AZ132" s="44" t="str">
        <f>IF(Cartera1017[[#This Row],[Fecha Fin- Producción]]="","No definido",TEXT(Cartera1017[[#This Row],[Fecha Fin- Producción]],"yyyy-mm"))</f>
        <v>No definido</v>
      </c>
      <c r="BA132" s="44" t="str">
        <f>IF(Cartera1017[[#This Row],[Fecha Fin-Planificada]]="","No definido",TEXT(Cartera1017[[#This Row],[Fecha Fin-Planificada]],"yyyy-mm"))</f>
        <v>2026-05</v>
      </c>
      <c r="BB132" s="33"/>
      <c r="BC132" s="66"/>
      <c r="BD132" s="108"/>
      <c r="BE132" s="108"/>
      <c r="BF132" s="127"/>
      <c r="BG132" s="28" t="s">
        <v>535</v>
      </c>
      <c r="BH13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2" s="90" t="str">
        <f>IF(ISNUMBER(Cartera1017[[#This Row],[Duracion en Dias]]),Cartera1017[[#This Row],[Duracion en Dias]]/30, "No Aplica")</f>
        <v>No Aplica</v>
      </c>
      <c r="BJ132" s="109"/>
      <c r="BK132" s="28" t="s">
        <v>506</v>
      </c>
      <c r="BL132" s="110" t="s">
        <v>1260</v>
      </c>
      <c r="BM132" s="342">
        <v>46111.534097222226</v>
      </c>
      <c r="BN132" s="227"/>
      <c r="BO132" s="401"/>
      <c r="BP132" s="401"/>
      <c r="BQ13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32" s="14" t="str">
        <f>IFERROR(VLOOKUP(Cartera1017[[#This Row],[Aplicativo]],Tabla76[],2,FALSE),"Sin Aplicativo")</f>
        <v>BackOffice</v>
      </c>
      <c r="BS132" s="14" t="str">
        <f>IFERROR(VLOOKUP(Cartera1017[[#This Row],[Aplicativo]],Tabla76[],3,FALSE),"Sin Aplicativo")</f>
        <v>Otros Requerimientos</v>
      </c>
      <c r="BT132" s="400" t="s">
        <v>521</v>
      </c>
      <c r="BU132" s="33"/>
      <c r="BV132" s="28"/>
      <c r="BW13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2" s="149" t="str">
        <f ca="1">IF(Cartera1017[[#This Row],[Fecha Fin2]]="","No definido",CONCATENATE(TEXT(Cartera1017[[#This Row],[Fecha Fin2]],"mmm")," ",YEAR(Cartera1017[[#This Row],[Fecha Fin2]])))</f>
        <v>No definido</v>
      </c>
      <c r="BZ132" s="28"/>
      <c r="CA132" s="48" t="str">
        <f>IF(Cartera1017[[#This Row],[Estado TI]] = "08. Producción Finalizada","Culminado",IF(Cartera1017[[#This Row],[Estado TI]]= "09. Descartado","Descartado","Activos"))</f>
        <v>Activos</v>
      </c>
      <c r="CB132" s="28"/>
      <c r="CC13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132" s="54" t="str">
        <f>IF(
AND(
Cartera1017[[#This Row],[DEVOLVER 27]]="NO",
NOT(ISBLANK(Cartera1017[[#This Row],[ESTADO NO DEVUELTOS 27]]))
),
"PRE",
"POST"
)</f>
        <v>POST</v>
      </c>
      <c r="CE132" s="54" t="s">
        <v>523</v>
      </c>
      <c r="CF132" s="28" t="s">
        <v>524</v>
      </c>
      <c r="CG13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32" s="389">
        <v>0.9</v>
      </c>
      <c r="CJ132" s="406">
        <f>Cartera1017[[#This Row],[Porcentaje de Avance]]</f>
        <v>0.7</v>
      </c>
      <c r="CK132" s="402">
        <f>IF(
   OR(
     Cartera1017[[#This Row],[Estado TI]]="09. Descartado",
     Cartera1017[[#This Row],[Comienzo Desarrollo]]="",
     Cartera1017[[#This Row],[Fin Producción]]=""
   ),
   "",
   Cartera1017[[#This Row],[% PLANIFICADO]]-Cartera1017[[#This Row],[% COMPLETADO]]
)</f>
        <v>0.20000000000000007</v>
      </c>
      <c r="CL132" s="402">
        <f>IF(
   OR(
     Cartera1017[[#This Row],[Estado TI]]="09. Descartado",
     Cartera1017[[#This Row],[Comienzo Desarrollo]]="",
     Cartera1017[[#This Row],[Fin Producción]]="",
     Cartera1017[[#This Row],[% PLANIFICADO]]=0
   ),
   "",
   MIN(Cartera1017[[#This Row],[% COMPLETADO]]/Cartera1017[[#This Row],[% PLANIFICADO]],1.2)
)</f>
        <v>0.77777777777777768</v>
      </c>
      <c r="CM132" s="427">
        <v>46007</v>
      </c>
      <c r="CN132" s="377">
        <v>46083</v>
      </c>
      <c r="CO132" s="377">
        <v>46100</v>
      </c>
      <c r="CP132" s="377">
        <v>46100</v>
      </c>
      <c r="CQ132" s="377">
        <v>46127</v>
      </c>
      <c r="CR132" s="377">
        <v>46127</v>
      </c>
      <c r="CS132" s="377">
        <v>46142</v>
      </c>
      <c r="CT132" s="44">
        <f>IF(Cartera1017[[#This Row],[Fin Desarrollo]]="",25,IFERROR(NETWORKDAYS(Cartera1017[[#This Row],[Comienzo Desarrollo]],Cartera1017[[#This Row],[Fin Desarrollo]],FERIADOS[Fecha]),""))</f>
        <v>14</v>
      </c>
      <c r="CU13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32" s="44">
        <f>IF(OR(Cartera1017[[#This Row],[Comienzo Desarrollo]]="",Cartera1017[[#This Row],[Fin Desarrollo]]=""),200,IFERROR(Cartera1017[[#This Row],[DURACIÓN DESARROLLO DIAS]]*VLOOKUP(Cartera1017[[#This Row],[ID Mantenimiento]],MANT_HORAS[],2,FALSE),200))</f>
        <v>200</v>
      </c>
      <c r="CW132" s="110"/>
      <c r="CX132" s="110" t="str">
        <f>VLOOKUP(Cartera1017[[#This Row],[Estado TI]],Definiciones!$A$549:$B$559,2,FALSE)</f>
        <v>2. CALIDAD</v>
      </c>
      <c r="CY132" s="28">
        <f ca="1">1-Cartera1017[[#This Row],[Porcentaje avanzado desarrollo]]</f>
        <v>0</v>
      </c>
      <c r="CZ13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14</v>
      </c>
      <c r="DA132" s="28">
        <f ca="1">MAX(0,Cartera1017[[#This Row],[DURACIÓN DESARROLLO DIAS]]-Cartera1017[[#This Row],[Dias avanzados]])</f>
        <v>0</v>
      </c>
      <c r="DB132" s="28">
        <f ca="1">Cartera1017[[#This Row],[Dias avanzados]]*IFERROR(VLOOKUP(Cartera1017[[#This Row],[ID Mantenimiento]],MANT_HORAS[],2,FALSE),8)</f>
        <v>112</v>
      </c>
      <c r="DC132" s="28">
        <f ca="1">Cartera1017[[#This Row],[Dias faltantes]]*IFERROR(VLOOKUP(Cartera1017[[#This Row],[ID Mantenimiento]],MANT_HORAS[],2,FALSE),8)</f>
        <v>0</v>
      </c>
      <c r="DD132" s="28" t="str">
        <f>IF(Cartera1017[[#This Row],[Fin Producción]]=0,"Por definir",CONCATENATE(YEAR(Cartera1017[[#This Row],[Fin Producción]]),"-",ROUNDUP(MONTH(Cartera1017[[#This Row],[Fin Producción]]),0)))</f>
        <v>2026-4</v>
      </c>
      <c r="DE132" s="18" t="s">
        <v>510</v>
      </c>
      <c r="DF132" s="33" t="s">
        <v>1455</v>
      </c>
      <c r="DG132" s="28"/>
      <c r="DH132" s="565"/>
    </row>
    <row r="133" spans="1:112" ht="44.25" hidden="1" customHeight="1">
      <c r="A133" s="229" t="s">
        <v>1456</v>
      </c>
      <c r="B133" s="18">
        <v>2958</v>
      </c>
      <c r="C133" s="18" t="s">
        <v>485</v>
      </c>
      <c r="D133" s="18" t="s">
        <v>1457</v>
      </c>
      <c r="E133" s="18" t="s">
        <v>284</v>
      </c>
      <c r="F133" s="33" t="s">
        <v>285</v>
      </c>
      <c r="G133" s="19"/>
      <c r="H133" s="18" t="s">
        <v>26</v>
      </c>
      <c r="I133" s="18" t="s">
        <v>539</v>
      </c>
      <c r="J133" s="18" t="s">
        <v>540</v>
      </c>
      <c r="K133" s="20">
        <v>45860</v>
      </c>
      <c r="L133" s="50" t="s">
        <v>1458</v>
      </c>
      <c r="M133" s="50" t="s">
        <v>742</v>
      </c>
      <c r="N133" s="50"/>
      <c r="O133" s="18" t="s">
        <v>530</v>
      </c>
      <c r="P133" s="18" t="s">
        <v>495</v>
      </c>
      <c r="Q133" s="18" t="s">
        <v>496</v>
      </c>
      <c r="R133" s="18" t="s">
        <v>497</v>
      </c>
      <c r="S133" s="18"/>
      <c r="T133" s="18"/>
      <c r="U133" s="18"/>
      <c r="V133" s="18"/>
      <c r="W133" s="18"/>
      <c r="X133" s="18"/>
      <c r="Y133" s="80"/>
      <c r="Z133" s="18" t="s">
        <v>499</v>
      </c>
      <c r="AA133" s="20">
        <v>45898</v>
      </c>
      <c r="AB133" s="18" t="s">
        <v>500</v>
      </c>
      <c r="AC133" s="18"/>
      <c r="AD133" s="18" t="s">
        <v>153</v>
      </c>
      <c r="AE133" s="18" t="s">
        <v>27</v>
      </c>
      <c r="AF133" s="18" t="s">
        <v>35</v>
      </c>
      <c r="AG133" s="14" t="str">
        <f>VLOOKUP(AF133,Tabla3[[Estado Requerimiento]:[Macro estado]],2,FALSE)</f>
        <v>02. En Proceso</v>
      </c>
      <c r="AH133" s="18" t="s">
        <v>659</v>
      </c>
      <c r="AI133" s="80"/>
      <c r="AJ133" s="80"/>
      <c r="AK133" s="80">
        <v>45901</v>
      </c>
      <c r="AL133" s="80">
        <v>46030</v>
      </c>
      <c r="AM133" s="80"/>
      <c r="AN133" s="80">
        <v>46050</v>
      </c>
      <c r="AO133" s="80">
        <v>46140</v>
      </c>
      <c r="AP133" s="81">
        <f t="shared" si="2"/>
        <v>46081.599999999999</v>
      </c>
      <c r="AQ133" s="80">
        <v>46149</v>
      </c>
      <c r="AR133" s="80"/>
      <c r="AS133" s="81">
        <f t="shared" si="3"/>
        <v>46088.6</v>
      </c>
      <c r="AT133" s="19" t="s">
        <v>1459</v>
      </c>
      <c r="AU133" s="44" t="str">
        <f>VLOOKUP(Cartera1017[[#This Row],[Gerencia]],tbGerencia[#All],3,FALSE)</f>
        <v>B.Digital</v>
      </c>
      <c r="AV133" s="44" t="str">
        <f>IFERROR(VLOOKUP(Cartera1017[[#This Row],[Subgerencia]],Definiciones!$A$90:$B$144,2,FALSE),"")</f>
        <v>CanalesAlternos</v>
      </c>
      <c r="AW133" s="44" t="str">
        <f>IF(OR(LEN(Cartera1017[[#This Row],[Fecha de Solicitud]])=0,(Cartera1017[[#This Row],[Fecha de Solicitud]])="No definido"),"No definido",IF(YEAR(Cartera1017[[#This Row],[Fecha de Solicitud]])&lt;2023," &lt;  2023",TEXT(Cartera1017[[#This Row],[Fecha de Solicitud]],"yyyy-mm")))</f>
        <v>2025-07</v>
      </c>
      <c r="AX133" s="44" t="str">
        <f>IF(Cartera1017[[#This Row],[Fecha de Priorización Comité]]="","No definido",TEXT(Cartera1017[[#This Row],[Fecha de Priorización Comité]],"yyyy-mm"))</f>
        <v>2025-08</v>
      </c>
      <c r="AY133" s="44" t="str">
        <f>IF(Cartera1017[[#This Row],[Fecha Fin- Desarrollo]]="","No definido",TEXT(Cartera1017[[#This Row],[Fecha Fin- Desarrollo]],"yyyy-mm"))</f>
        <v>2026-01</v>
      </c>
      <c r="AZ133" s="44" t="str">
        <f>IF(Cartera1017[[#This Row],[Fecha Fin- Producción]]="","No definido",TEXT(Cartera1017[[#This Row],[Fecha Fin- Producción]],"yyyy-mm"))</f>
        <v>No definido</v>
      </c>
      <c r="BA133" s="44" t="str">
        <f>IF(Cartera1017[[#This Row],[Fecha Fin-Planificada]]="","No definido",TEXT(Cartera1017[[#This Row],[Fecha Fin-Planificada]],"yyyy-mm"))</f>
        <v>2026-03</v>
      </c>
      <c r="BB133" s="33"/>
      <c r="BC133" s="66"/>
      <c r="BD133" s="108"/>
      <c r="BE133" s="108"/>
      <c r="BF133" s="127"/>
      <c r="BG133" s="28" t="s">
        <v>535</v>
      </c>
      <c r="BH13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3" s="90" t="str">
        <f>IF(ISNUMBER(Cartera1017[[#This Row],[Duracion en Dias]]),Cartera1017[[#This Row],[Duracion en Dias]]/30, "No Aplica")</f>
        <v>No Aplica</v>
      </c>
      <c r="BJ133" s="109"/>
      <c r="BK133" s="28" t="s">
        <v>506</v>
      </c>
      <c r="BL133" s="110" t="s">
        <v>583</v>
      </c>
      <c r="BM133" s="342">
        <v>46149.643703703703</v>
      </c>
      <c r="BN133" s="227"/>
      <c r="BO133" s="401"/>
      <c r="BP133" s="401"/>
      <c r="BQ13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33" s="14" t="str">
        <f>IFERROR(VLOOKUP(Cartera1017[[#This Row],[Aplicativo]],Tabla76[],2,FALSE),"Sin Aplicativo")</f>
        <v>Pagalo.pe</v>
      </c>
      <c r="BS133" s="14" t="str">
        <f>IFERROR(VLOOKUP(Cartera1017[[#This Row],[Aplicativo]],Tabla76[],3,FALSE),"Sin Aplicativo")</f>
        <v>Canales Virtuales</v>
      </c>
      <c r="BT133" s="400" t="s">
        <v>521</v>
      </c>
      <c r="BU133" s="33"/>
      <c r="BV133" s="28"/>
      <c r="BW13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3" s="149" t="str">
        <f ca="1">IF(Cartera1017[[#This Row],[Fecha Fin2]]="","No definido",CONCATENATE(TEXT(Cartera1017[[#This Row],[Fecha Fin2]],"mmm")," ",YEAR(Cartera1017[[#This Row],[Fecha Fin2]])))</f>
        <v>No definido</v>
      </c>
      <c r="BZ133" s="28"/>
      <c r="CA133" s="48" t="str">
        <f>IF(Cartera1017[[#This Row],[Estado TI]] = "08. Producción Finalizada","Culminado",IF(Cartera1017[[#This Row],[Estado TI]]= "09. Descartado","Descartado","Activos"))</f>
        <v>Activos</v>
      </c>
      <c r="CB133" s="199" t="s">
        <v>747</v>
      </c>
      <c r="CC13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33" s="54" t="str">
        <f>IF(
AND(
Cartera1017[[#This Row],[DEVOLVER 27]]="NO",
NOT(ISBLANK(Cartera1017[[#This Row],[ESTADO NO DEVUELTOS 27]]))
),
"PRE",
"POST"
)</f>
        <v>PRE</v>
      </c>
      <c r="CE133" s="54" t="s">
        <v>509</v>
      </c>
      <c r="CF133" s="28" t="s">
        <v>48</v>
      </c>
      <c r="CG13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3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3" s="406">
        <f>Cartera1017[[#This Row],[Porcentaje de Avance]]</f>
        <v>0.9</v>
      </c>
      <c r="CK133" s="388">
        <f ca="1">IF(
   OR(
     Cartera1017[[#This Row],[Estado TI]]="09. Descartado",
     Cartera1017[[#This Row],[Comienzo Desarrollo]]="",
     Cartera1017[[#This Row],[Fin Producción]]=""
   ),
   "",
   Cartera1017[[#This Row],[% PLANIFICADO]]-Cartera1017[[#This Row],[% COMPLETADO]]
)</f>
        <v>9.9999999999999978E-2</v>
      </c>
      <c r="CL133" s="388">
        <f ca="1">IF(
   OR(
     Cartera1017[[#This Row],[Estado TI]]="09. Descartado",
     Cartera1017[[#This Row],[Comienzo Desarrollo]]="",
     Cartera1017[[#This Row],[Fin Producción]]="",
     Cartera1017[[#This Row],[% PLANIFICADO]]=0
   ),
   "",
   MIN(Cartera1017[[#This Row],[% COMPLETADO]]/Cartera1017[[#This Row],[% PLANIFICADO]],1.2)
)</f>
        <v>0.9</v>
      </c>
      <c r="CM133" s="377">
        <v>45901</v>
      </c>
      <c r="CN133" s="377">
        <v>45901</v>
      </c>
      <c r="CO133" s="377">
        <v>46030</v>
      </c>
      <c r="CP133" s="377">
        <v>46050</v>
      </c>
      <c r="CQ133" s="377">
        <v>46098</v>
      </c>
      <c r="CR133" s="377">
        <v>46099</v>
      </c>
      <c r="CS133" s="377">
        <v>46142</v>
      </c>
      <c r="CT133" s="44">
        <f>IF(Cartera1017[[#This Row],[Fin Desarrollo]]="",25,IFERROR(NETWORKDAYS(Cartera1017[[#This Row],[Comienzo Desarrollo]],Cartera1017[[#This Row],[Fin Desarrollo]],FERIADOS[Fecha]),""))</f>
        <v>88</v>
      </c>
      <c r="CU13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33" s="44">
        <f>IF(OR(Cartera1017[[#This Row],[Comienzo Desarrollo]]="",Cartera1017[[#This Row],[Fin Desarrollo]]=""),200,IFERROR(Cartera1017[[#This Row],[DURACIÓN DESARROLLO DIAS]]*VLOOKUP(Cartera1017[[#This Row],[ID Mantenimiento]],MANT_HORAS[],2,FALSE),200))</f>
        <v>200</v>
      </c>
      <c r="CW133" s="110" t="s">
        <v>544</v>
      </c>
      <c r="CX133" s="110" t="str">
        <f>VLOOKUP(Cartera1017[[#This Row],[Estado TI]],Definiciones!$A$549:$B$559,2,FALSE)</f>
        <v>3. DESPLIEGUE</v>
      </c>
      <c r="CY133" s="28">
        <f ca="1">1-Cartera1017[[#This Row],[Porcentaje avanzado desarrollo]]</f>
        <v>0</v>
      </c>
      <c r="CZ13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88</v>
      </c>
      <c r="DA133" s="28">
        <f ca="1">MAX(0,Cartera1017[[#This Row],[DURACIÓN DESARROLLO DIAS]]-Cartera1017[[#This Row],[Dias avanzados]])</f>
        <v>0</v>
      </c>
      <c r="DB133" s="28">
        <f ca="1">Cartera1017[[#This Row],[Dias avanzados]]*IFERROR(VLOOKUP(Cartera1017[[#This Row],[ID Mantenimiento]],MANT_HORAS[],2,FALSE),8)</f>
        <v>704</v>
      </c>
      <c r="DC133" s="28">
        <f ca="1">Cartera1017[[#This Row],[Dias faltantes]]*IFERROR(VLOOKUP(Cartera1017[[#This Row],[ID Mantenimiento]],MANT_HORAS[],2,FALSE),8)</f>
        <v>0</v>
      </c>
      <c r="DD133" s="28" t="str">
        <f>IF(Cartera1017[[#This Row],[Fin Producción]]=0,"Por definir",CONCATENATE(YEAR(Cartera1017[[#This Row],[Fin Producción]]),"-",ROUNDUP(MONTH(Cartera1017[[#This Row],[Fin Producción]]),0)))</f>
        <v>2026-4</v>
      </c>
      <c r="DE133" s="18" t="s">
        <v>510</v>
      </c>
      <c r="DF133" s="28"/>
      <c r="DG133" s="28"/>
      <c r="DH133" s="565"/>
    </row>
    <row r="134" spans="1:112" ht="44.25" customHeight="1">
      <c r="A134" s="229" t="s">
        <v>1460</v>
      </c>
      <c r="B134" s="18">
        <v>2971</v>
      </c>
      <c r="C134" s="18" t="s">
        <v>485</v>
      </c>
      <c r="D134" s="18" t="s">
        <v>1461</v>
      </c>
      <c r="E134" s="18" t="s">
        <v>1462</v>
      </c>
      <c r="F134" s="33" t="s">
        <v>1463</v>
      </c>
      <c r="G134" s="19"/>
      <c r="H134" s="18" t="s">
        <v>82</v>
      </c>
      <c r="I134" s="18" t="s">
        <v>700</v>
      </c>
      <c r="J134" s="18" t="s">
        <v>1451</v>
      </c>
      <c r="K134" s="20">
        <v>45883</v>
      </c>
      <c r="L134" s="50" t="s">
        <v>1464</v>
      </c>
      <c r="M134" s="50" t="s">
        <v>703</v>
      </c>
      <c r="N134" s="50"/>
      <c r="O134" s="18" t="s">
        <v>530</v>
      </c>
      <c r="P134" s="18" t="s">
        <v>912</v>
      </c>
      <c r="Q134" s="18" t="s">
        <v>496</v>
      </c>
      <c r="R134" s="18" t="s">
        <v>780</v>
      </c>
      <c r="S134" s="18"/>
      <c r="T134" s="18" t="s">
        <v>781</v>
      </c>
      <c r="U134" s="18" t="s">
        <v>1465</v>
      </c>
      <c r="V134" s="18" t="s">
        <v>1466</v>
      </c>
      <c r="W134" s="18" t="s">
        <v>1467</v>
      </c>
      <c r="X134" s="18" t="s">
        <v>1468</v>
      </c>
      <c r="Y134" s="80" t="s">
        <v>1469</v>
      </c>
      <c r="Z134" s="18" t="s">
        <v>499</v>
      </c>
      <c r="AA134" s="20">
        <v>45898</v>
      </c>
      <c r="AB134" s="18" t="s">
        <v>500</v>
      </c>
      <c r="AC134" s="18"/>
      <c r="AD134" s="18" t="s">
        <v>84</v>
      </c>
      <c r="AE134" s="18" t="s">
        <v>34</v>
      </c>
      <c r="AF134" s="18" t="s">
        <v>53</v>
      </c>
      <c r="AG134" s="14" t="str">
        <f>VLOOKUP(AF134,Tabla3[[Estado Requerimiento]:[Macro estado]],2,FALSE)</f>
        <v>03. Culminado</v>
      </c>
      <c r="AH134" s="18"/>
      <c r="AI134" s="80"/>
      <c r="AJ134" s="80"/>
      <c r="AK134" s="80">
        <v>45883</v>
      </c>
      <c r="AL134" s="80">
        <v>45968</v>
      </c>
      <c r="AM134" s="80"/>
      <c r="AN134" s="80">
        <v>45972</v>
      </c>
      <c r="AO134" s="80">
        <v>45994</v>
      </c>
      <c r="AP134" s="81">
        <f t="shared" ref="AP134:AP197" si="4">IF(AND(ISNUMBER(AK134),ISNUMBER(AM134)),AM134+(AM134- AK134)*0.4,IF(AND(ISNUMBER(AK134),ISNUMBER(AL134)),AL134+(AL134-AK134)*0.4,""))</f>
        <v>46002</v>
      </c>
      <c r="AQ134" s="80">
        <v>46029</v>
      </c>
      <c r="AR134" s="80">
        <v>46035</v>
      </c>
      <c r="AS134" s="81">
        <f t="shared" ref="AS134:AS197" si="5">IF(ISNUMBER(AP134),AP134+7,"")</f>
        <v>46009</v>
      </c>
      <c r="AT134" s="19" t="s">
        <v>1470</v>
      </c>
      <c r="AU134" s="44" t="str">
        <f>VLOOKUP(Cartera1017[[#This Row],[Gerencia]],tbGerencia[#All],3,FALSE)</f>
        <v>Riesgos</v>
      </c>
      <c r="AV134" s="44" t="str">
        <f>IFERROR(VLOOKUP(Cartera1017[[#This Row],[Subgerencia]],Definiciones!$A$90:$B$144,2,FALSE),"")</f>
        <v>CrediticiosFinancieros</v>
      </c>
      <c r="AW134" s="44" t="str">
        <f>IF(OR(LEN(Cartera1017[[#This Row],[Fecha de Solicitud]])=0,(Cartera1017[[#This Row],[Fecha de Solicitud]])="No definido"),"No definido",IF(YEAR(Cartera1017[[#This Row],[Fecha de Solicitud]])&lt;2023," &lt;  2023",TEXT(Cartera1017[[#This Row],[Fecha de Solicitud]],"yyyy-mm")))</f>
        <v>2025-08</v>
      </c>
      <c r="AX134" s="44" t="str">
        <f>IF(Cartera1017[[#This Row],[Fecha de Priorización Comité]]="","No definido",TEXT(Cartera1017[[#This Row],[Fecha de Priorización Comité]],"yyyy-mm"))</f>
        <v>2025-08</v>
      </c>
      <c r="AY134" s="44" t="str">
        <f>IF(Cartera1017[[#This Row],[Fecha Fin- Desarrollo]]="","No definido",TEXT(Cartera1017[[#This Row],[Fecha Fin- Desarrollo]],"yyyy-mm"))</f>
        <v>2025-11</v>
      </c>
      <c r="AZ134" s="44" t="str">
        <f>IF(Cartera1017[[#This Row],[Fecha Fin- Producción]]="","No definido",TEXT(Cartera1017[[#This Row],[Fecha Fin- Producción]],"yyyy-mm"))</f>
        <v>2026-01</v>
      </c>
      <c r="BA134" s="44" t="str">
        <f>IF(Cartera1017[[#This Row],[Fecha Fin-Planificada]]="","No definido",TEXT(Cartera1017[[#This Row],[Fecha Fin-Planificada]],"yyyy-mm"))</f>
        <v>2025-12</v>
      </c>
      <c r="BB134" s="33"/>
      <c r="BC134" s="66"/>
      <c r="BD134" s="108"/>
      <c r="BE134" s="108"/>
      <c r="BF134" s="127"/>
      <c r="BG134" s="28" t="s">
        <v>535</v>
      </c>
      <c r="BH13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152</v>
      </c>
      <c r="BI134" s="90">
        <f>IF(ISNUMBER(Cartera1017[[#This Row],[Duracion en Dias]]),Cartera1017[[#This Row],[Duracion en Dias]]/30, "No Aplica")</f>
        <v>5.0666666666666664</v>
      </c>
      <c r="BJ134" s="109"/>
      <c r="BK134" s="28" t="s">
        <v>506</v>
      </c>
      <c r="BL134" s="110" t="s">
        <v>536</v>
      </c>
      <c r="BM134" s="342">
        <v>46035.983726851853</v>
      </c>
      <c r="BN134" s="227" t="s">
        <v>1471</v>
      </c>
      <c r="BO134" s="414" t="s">
        <v>1472</v>
      </c>
      <c r="BP134" s="401"/>
      <c r="BQ13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4" s="14" t="str">
        <f>IFERROR(VLOOKUP(Cartera1017[[#This Row],[Aplicativo]],Tabla76[],2,FALSE),"Sin Aplicativo")</f>
        <v>BackOffice</v>
      </c>
      <c r="BS134" s="14" t="str">
        <f>IFERROR(VLOOKUP(Cartera1017[[#This Row],[Aplicativo]],Tabla76[],3,FALSE),"Sin Aplicativo")</f>
        <v>Otros Requerimientos</v>
      </c>
      <c r="BT134" s="400" t="s">
        <v>521</v>
      </c>
      <c r="BU134" s="33"/>
      <c r="BV134" s="28"/>
      <c r="BW13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3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4" s="149" t="str">
        <f ca="1">IF(Cartera1017[[#This Row],[Fecha Fin2]]="","No definido",CONCATENATE(TEXT(Cartera1017[[#This Row],[Fecha Fin2]],"mmm")," ",YEAR(Cartera1017[[#This Row],[Fecha Fin2]])))</f>
        <v>Ene 2026</v>
      </c>
      <c r="BZ134" s="28"/>
      <c r="CA134" s="48" t="str">
        <f>IF(Cartera1017[[#This Row],[Estado TI]] = "08. Producción Finalizada","Culminado",IF(Cartera1017[[#This Row],[Estado TI]]= "09. Descartado","Descartado","Activos"))</f>
        <v>Culminado</v>
      </c>
      <c r="CB134" s="28"/>
      <c r="CC13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34" s="54" t="str">
        <f>IF(
AND(
Cartera1017[[#This Row],[DEVOLVER 27]]="NO",
NOT(ISBLANK(Cartera1017[[#This Row],[ESTADO NO DEVUELTOS 27]]))
),
"PRE",
"POST"
)</f>
        <v>PRE</v>
      </c>
      <c r="CE134" s="54" t="s">
        <v>509</v>
      </c>
      <c r="CF134" s="28" t="s">
        <v>48</v>
      </c>
      <c r="CG13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3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3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4" s="406">
        <f>Cartera1017[[#This Row],[Porcentaje de Avance]]</f>
        <v>1</v>
      </c>
      <c r="CK134" s="388">
        <f ca="1">IF(
   OR(
     Cartera1017[[#This Row],[Estado TI]]="09. Descartado",
     Cartera1017[[#This Row],[Comienzo Desarrollo]]="",
     Cartera1017[[#This Row],[Fin Producción]]=""
   ),
   "",
   Cartera1017[[#This Row],[% PLANIFICADO]]-Cartera1017[[#This Row],[% COMPLETADO]]
)</f>
        <v>0</v>
      </c>
      <c r="CL134" s="388">
        <f ca="1">IF(
   OR(
     Cartera1017[[#This Row],[Estado TI]]="09. Descartado",
     Cartera1017[[#This Row],[Comienzo Desarrollo]]="",
     Cartera1017[[#This Row],[Fin Producción]]="",
     Cartera1017[[#This Row],[% PLANIFICADO]]=0
   ),
   "",
   MIN(Cartera1017[[#This Row],[% COMPLETADO]]/Cartera1017[[#This Row],[% PLANIFICADO]],1.2)
)</f>
        <v>1</v>
      </c>
      <c r="CM134" s="377">
        <v>45883</v>
      </c>
      <c r="CN134" s="377">
        <v>45883</v>
      </c>
      <c r="CO134" s="377">
        <v>45968</v>
      </c>
      <c r="CP134" s="377">
        <v>45972</v>
      </c>
      <c r="CQ134" s="377">
        <v>45994</v>
      </c>
      <c r="CR134" s="377">
        <v>46029</v>
      </c>
      <c r="CS134" s="377">
        <v>46057</v>
      </c>
      <c r="CT134" s="44">
        <f>IF(Cartera1017[[#This Row],[Fin Desarrollo]]="",25,IFERROR(NETWORKDAYS(Cartera1017[[#This Row],[Comienzo Desarrollo]],Cartera1017[[#This Row],[Fin Desarrollo]],FERIADOS[Fecha]),""))</f>
        <v>61</v>
      </c>
      <c r="CU13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34" s="44">
        <f>IF(OR(Cartera1017[[#This Row],[Comienzo Desarrollo]]="",Cartera1017[[#This Row],[Fin Desarrollo]]=""),200,IFERROR(Cartera1017[[#This Row],[DURACIÓN DESARROLLO DIAS]]*VLOOKUP(Cartera1017[[#This Row],[ID Mantenimiento]],MANT_HORAS[],2,FALSE),200))</f>
        <v>200</v>
      </c>
      <c r="CW134" s="110"/>
      <c r="CX134" s="110" t="str">
        <f>VLOOKUP(Cartera1017[[#This Row],[Estado TI]],Definiciones!$A$549:$B$559,2,FALSE)</f>
        <v>4. PRODUCCIÓN</v>
      </c>
      <c r="CY134" s="28">
        <f ca="1">1-Cartera1017[[#This Row],[Porcentaje avanzado desarrollo]]</f>
        <v>0</v>
      </c>
      <c r="CZ13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61</v>
      </c>
      <c r="DA134" s="28">
        <f ca="1">MAX(0,Cartera1017[[#This Row],[DURACIÓN DESARROLLO DIAS]]-Cartera1017[[#This Row],[Dias avanzados]])</f>
        <v>0</v>
      </c>
      <c r="DB134" s="28">
        <f ca="1">Cartera1017[[#This Row],[Dias avanzados]]*IFERROR(VLOOKUP(Cartera1017[[#This Row],[ID Mantenimiento]],MANT_HORAS[],2,FALSE),8)</f>
        <v>488</v>
      </c>
      <c r="DC134" s="28">
        <f ca="1">Cartera1017[[#This Row],[Dias faltantes]]*IFERROR(VLOOKUP(Cartera1017[[#This Row],[ID Mantenimiento]],MANT_HORAS[],2,FALSE),8)</f>
        <v>0</v>
      </c>
      <c r="DD134" s="28" t="str">
        <f>IF(Cartera1017[[#This Row],[Fin Producción]]=0,"Por definir",CONCATENATE(YEAR(Cartera1017[[#This Row],[Fin Producción]]),"-",ROUNDUP(MONTH(Cartera1017[[#This Row],[Fin Producción]]),0)))</f>
        <v>2026-2</v>
      </c>
      <c r="DE134" s="18" t="s">
        <v>510</v>
      </c>
      <c r="DF134" s="28"/>
      <c r="DG134" s="28"/>
      <c r="DH134" s="565"/>
    </row>
    <row r="135" spans="1:112" ht="44.25" hidden="1" customHeight="1">
      <c r="A135" s="229" t="s">
        <v>1473</v>
      </c>
      <c r="B135" s="18">
        <v>2978</v>
      </c>
      <c r="C135" s="18" t="s">
        <v>485</v>
      </c>
      <c r="D135" s="18" t="s">
        <v>1474</v>
      </c>
      <c r="E135" s="18" t="s">
        <v>286</v>
      </c>
      <c r="F135" s="33" t="s">
        <v>287</v>
      </c>
      <c r="G135" s="19"/>
      <c r="H135" s="18" t="s">
        <v>26</v>
      </c>
      <c r="I135" s="18" t="s">
        <v>539</v>
      </c>
      <c r="J135" s="18" t="s">
        <v>540</v>
      </c>
      <c r="K135" s="20">
        <v>45236</v>
      </c>
      <c r="L135" s="50" t="s">
        <v>1475</v>
      </c>
      <c r="M135" s="50" t="s">
        <v>1476</v>
      </c>
      <c r="N135" s="50"/>
      <c r="O135" s="18" t="s">
        <v>548</v>
      </c>
      <c r="P135" s="18" t="s">
        <v>495</v>
      </c>
      <c r="Q135" s="18" t="s">
        <v>496</v>
      </c>
      <c r="R135" s="18" t="s">
        <v>599</v>
      </c>
      <c r="S135" s="18" t="s">
        <v>599</v>
      </c>
      <c r="T135" s="18"/>
      <c r="U135" s="18"/>
      <c r="V135" s="18"/>
      <c r="W135" s="18"/>
      <c r="X135" s="18"/>
      <c r="Y135" s="80"/>
      <c r="Z135" s="18" t="s">
        <v>499</v>
      </c>
      <c r="AA135" s="20">
        <v>45898</v>
      </c>
      <c r="AB135" s="18" t="s">
        <v>713</v>
      </c>
      <c r="AC135" s="18"/>
      <c r="AD135" s="18" t="s">
        <v>105</v>
      </c>
      <c r="AE135" s="18" t="s">
        <v>27</v>
      </c>
      <c r="AF135" s="18" t="s">
        <v>48</v>
      </c>
      <c r="AG135" s="14" t="str">
        <f>VLOOKUP(AF135,Tabla3[[Estado Requerimiento]:[Macro estado]],2,FALSE)</f>
        <v>02. En Proceso</v>
      </c>
      <c r="AH135" s="18"/>
      <c r="AI135" s="80"/>
      <c r="AJ135" s="80"/>
      <c r="AK135" s="80">
        <v>45890</v>
      </c>
      <c r="AL135" s="80"/>
      <c r="AM135" s="80"/>
      <c r="AN135" s="80"/>
      <c r="AO135" s="80"/>
      <c r="AP135" s="81" t="str">
        <f t="shared" si="4"/>
        <v/>
      </c>
      <c r="AQ135" s="80"/>
      <c r="AR135" s="80"/>
      <c r="AS135" s="81" t="str">
        <f t="shared" si="5"/>
        <v/>
      </c>
      <c r="AT135" s="19" t="s">
        <v>1477</v>
      </c>
      <c r="AU135" s="44" t="str">
        <f>VLOOKUP(Cartera1017[[#This Row],[Gerencia]],tbGerencia[#All],3,FALSE)</f>
        <v>B.Digital</v>
      </c>
      <c r="AV135" s="44" t="str">
        <f>IFERROR(VLOOKUP(Cartera1017[[#This Row],[Subgerencia]],Definiciones!$A$90:$B$144,2,FALSE),"")</f>
        <v>CanalesAlternos</v>
      </c>
      <c r="AW135" s="44" t="str">
        <f>IF(OR(LEN(Cartera1017[[#This Row],[Fecha de Solicitud]])=0,(Cartera1017[[#This Row],[Fecha de Solicitud]])="No definido"),"No definido",IF(YEAR(Cartera1017[[#This Row],[Fecha de Solicitud]])&lt;2023," &lt;  2023",TEXT(Cartera1017[[#This Row],[Fecha de Solicitud]],"yyyy-mm")))</f>
        <v>2023-11</v>
      </c>
      <c r="AX135" s="44" t="str">
        <f>IF(Cartera1017[[#This Row],[Fecha de Priorización Comité]]="","No definido",TEXT(Cartera1017[[#This Row],[Fecha de Priorización Comité]],"yyyy-mm"))</f>
        <v>2025-08</v>
      </c>
      <c r="AY135" s="44" t="str">
        <f>IF(Cartera1017[[#This Row],[Fecha Fin- Desarrollo]]="","No definido",TEXT(Cartera1017[[#This Row],[Fecha Fin- Desarrollo]],"yyyy-mm"))</f>
        <v>No definido</v>
      </c>
      <c r="AZ135" s="44" t="str">
        <f>IF(Cartera1017[[#This Row],[Fecha Fin- Producción]]="","No definido",TEXT(Cartera1017[[#This Row],[Fecha Fin- Producción]],"yyyy-mm"))</f>
        <v>No definido</v>
      </c>
      <c r="BA135" s="44" t="str">
        <f>IF(Cartera1017[[#This Row],[Fecha Fin-Planificada]]="","No definido",TEXT(Cartera1017[[#This Row],[Fecha Fin-Planificada]],"yyyy-mm"))</f>
        <v>No definido</v>
      </c>
      <c r="BB135" s="33"/>
      <c r="BC135" s="66"/>
      <c r="BD135" s="108"/>
      <c r="BE135" s="108"/>
      <c r="BF135" s="127"/>
      <c r="BG135" s="28" t="s">
        <v>535</v>
      </c>
      <c r="BH13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5" s="90" t="str">
        <f>IF(ISNUMBER(Cartera1017[[#This Row],[Duracion en Dias]]),Cartera1017[[#This Row],[Duracion en Dias]]/30, "No Aplica")</f>
        <v>No Aplica</v>
      </c>
      <c r="BJ135" s="109"/>
      <c r="BK135" s="28" t="s">
        <v>613</v>
      </c>
      <c r="BL135" s="110" t="s">
        <v>592</v>
      </c>
      <c r="BM135" s="342">
        <v>45890.608553240738</v>
      </c>
      <c r="BN135" s="227"/>
      <c r="BO135" s="401"/>
      <c r="BP135" s="401"/>
      <c r="BQ13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35" s="14" t="str">
        <f>IFERROR(VLOOKUP(Cartera1017[[#This Row],[Aplicativo]],Tabla76[],2,FALSE),"Sin Aplicativo")</f>
        <v>BackOffice</v>
      </c>
      <c r="BS135" s="14" t="str">
        <f>IFERROR(VLOOKUP(Cartera1017[[#This Row],[Aplicativo]],Tabla76[],3,FALSE),"Sin Aplicativo")</f>
        <v>Otros Requerimientos</v>
      </c>
      <c r="BT135" s="400" t="s">
        <v>521</v>
      </c>
      <c r="BU135" s="33"/>
      <c r="BV135" s="28"/>
      <c r="BW13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5" s="149" t="str">
        <f ca="1">IF(Cartera1017[[#This Row],[Fecha Fin2]]="","No definido",CONCATENATE(TEXT(Cartera1017[[#This Row],[Fecha Fin2]],"mmm")," ",YEAR(Cartera1017[[#This Row],[Fecha Fin2]])))</f>
        <v>No definido</v>
      </c>
      <c r="BZ135" s="28"/>
      <c r="CA135" s="48" t="str">
        <f>IF(Cartera1017[[#This Row],[Estado TI]] = "08. Producción Finalizada","Culminado",IF(Cartera1017[[#This Row],[Estado TI]]= "09. Descartado","Descartado","Activos"))</f>
        <v>Activos</v>
      </c>
      <c r="CB135" s="28" t="s">
        <v>548</v>
      </c>
      <c r="CC13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35" s="54" t="str">
        <f>IF(
AND(
Cartera1017[[#This Row],[DEVOLVER 27]]="NO",
NOT(ISBLANK(Cartera1017[[#This Row],[ESTADO NO DEVUELTOS 27]]))
),
"PRE",
"POST"
)</f>
        <v>PRE</v>
      </c>
      <c r="CE135" s="54" t="s">
        <v>509</v>
      </c>
      <c r="CF135" s="28" t="s">
        <v>48</v>
      </c>
      <c r="CG13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3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0.96610169491525422</v>
      </c>
      <c r="CJ135" s="406">
        <f>Cartera1017[[#This Row],[Porcentaje de Avance]]</f>
        <v>0.25</v>
      </c>
      <c r="CK135" s="388">
        <f ca="1">IF(
   OR(
     Cartera1017[[#This Row],[Estado TI]]="09. Descartado",
     Cartera1017[[#This Row],[Comienzo Desarrollo]]="",
     Cartera1017[[#This Row],[Fin Producción]]=""
   ),
   "",
   Cartera1017[[#This Row],[% PLANIFICADO]]-Cartera1017[[#This Row],[% COMPLETADO]]
)</f>
        <v>0.71610169491525422</v>
      </c>
      <c r="CL135" s="388">
        <f ca="1">IF(
   OR(
     Cartera1017[[#This Row],[Estado TI]]="09. Descartado",
     Cartera1017[[#This Row],[Comienzo Desarrollo]]="",
     Cartera1017[[#This Row],[Fin Producción]]="",
     Cartera1017[[#This Row],[% PLANIFICADO]]=0
   ),
   "",
   MIN(Cartera1017[[#This Row],[% COMPLETADO]]/Cartera1017[[#This Row],[% PLANIFICADO]],1.2)
)</f>
        <v>0.25877192982456143</v>
      </c>
      <c r="CM135" s="377">
        <v>45964</v>
      </c>
      <c r="CN135" s="377">
        <v>46083</v>
      </c>
      <c r="CO135" s="377">
        <v>46112</v>
      </c>
      <c r="CP135" s="377">
        <v>46113</v>
      </c>
      <c r="CQ135" s="377">
        <v>46150</v>
      </c>
      <c r="CR135" s="377">
        <v>46153</v>
      </c>
      <c r="CS135" s="377">
        <v>46164</v>
      </c>
      <c r="CT135" s="44">
        <f>IF(Cartera1017[[#This Row],[Fin Desarrollo]]="",25,IFERROR(NETWORKDAYS(Cartera1017[[#This Row],[Comienzo Desarrollo]],Cartera1017[[#This Row],[Fin Desarrollo]],FERIADOS[Fecha]),""))</f>
        <v>22</v>
      </c>
      <c r="CU13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35" s="44">
        <f>IF(OR(Cartera1017[[#This Row],[Comienzo Desarrollo]]="",Cartera1017[[#This Row],[Fin Desarrollo]]=""),200,IFERROR(Cartera1017[[#This Row],[DURACIÓN DESARROLLO DIAS]]*VLOOKUP(Cartera1017[[#This Row],[ID Mantenimiento]],MANT_HORAS[],2,FALSE),200))</f>
        <v>58.666666666666664</v>
      </c>
      <c r="CW135" s="110" t="s">
        <v>544</v>
      </c>
      <c r="CX135" s="110" t="str">
        <f>VLOOKUP(Cartera1017[[#This Row],[Estado TI]],Definiciones!$A$549:$B$559,2,FALSE)</f>
        <v>1. DESARROLLO</v>
      </c>
      <c r="CY135" s="28">
        <f ca="1">1-Cartera1017[[#This Row],[Porcentaje avanzado desarrollo]]</f>
        <v>0</v>
      </c>
      <c r="CZ13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v>
      </c>
      <c r="DA135" s="28">
        <f ca="1">MAX(0,Cartera1017[[#This Row],[DURACIÓN DESARROLLO DIAS]]-Cartera1017[[#This Row],[Dias avanzados]])</f>
        <v>0</v>
      </c>
      <c r="DB135" s="28">
        <f ca="1">Cartera1017[[#This Row],[Dias avanzados]]*IFERROR(VLOOKUP(Cartera1017[[#This Row],[ID Mantenimiento]],MANT_HORAS[],2,FALSE),8)</f>
        <v>58.666666666666664</v>
      </c>
      <c r="DC135" s="28">
        <f ca="1">Cartera1017[[#This Row],[Dias faltantes]]*IFERROR(VLOOKUP(Cartera1017[[#This Row],[ID Mantenimiento]],MANT_HORAS[],2,FALSE),8)</f>
        <v>0</v>
      </c>
      <c r="DD135" s="28" t="str">
        <f>IF(Cartera1017[[#This Row],[Fin Producción]]=0,"Por definir",CONCATENATE(YEAR(Cartera1017[[#This Row],[Fin Producción]]),"-",ROUNDUP(MONTH(Cartera1017[[#This Row],[Fin Producción]]),0)))</f>
        <v>2026-5</v>
      </c>
      <c r="DE135" s="18" t="s">
        <v>510</v>
      </c>
      <c r="DF135" s="28"/>
      <c r="DG135" s="28"/>
      <c r="DH135" s="565"/>
    </row>
    <row r="136" spans="1:112" ht="44.25" hidden="1" customHeight="1">
      <c r="A136" s="229" t="s">
        <v>1478</v>
      </c>
      <c r="B136" s="18">
        <v>2979</v>
      </c>
      <c r="C136" s="18" t="s">
        <v>485</v>
      </c>
      <c r="D136" s="18" t="s">
        <v>1479</v>
      </c>
      <c r="E136" s="18" t="s">
        <v>1480</v>
      </c>
      <c r="F136" s="33" t="s">
        <v>1481</v>
      </c>
      <c r="G136" s="19" t="s">
        <v>1482</v>
      </c>
      <c r="H136" s="18" t="s">
        <v>26</v>
      </c>
      <c r="I136" s="18" t="s">
        <v>539</v>
      </c>
      <c r="J136" s="18" t="s">
        <v>540</v>
      </c>
      <c r="K136" s="20">
        <v>45890</v>
      </c>
      <c r="L136" s="50" t="s">
        <v>1483</v>
      </c>
      <c r="M136" s="50" t="s">
        <v>1224</v>
      </c>
      <c r="N136" s="50"/>
      <c r="O136" s="18" t="s">
        <v>530</v>
      </c>
      <c r="P136" s="18" t="s">
        <v>495</v>
      </c>
      <c r="Q136" s="18" t="s">
        <v>496</v>
      </c>
      <c r="R136" s="18" t="s">
        <v>531</v>
      </c>
      <c r="S136" s="18"/>
      <c r="T136" s="18"/>
      <c r="U136" s="18"/>
      <c r="V136" s="18"/>
      <c r="W136" s="18"/>
      <c r="X136" s="18"/>
      <c r="Y136" s="80"/>
      <c r="Z136" s="18" t="s">
        <v>499</v>
      </c>
      <c r="AA136" s="20">
        <v>45898</v>
      </c>
      <c r="AB136" s="18" t="s">
        <v>500</v>
      </c>
      <c r="AC136" s="18"/>
      <c r="AD136" s="18" t="s">
        <v>153</v>
      </c>
      <c r="AE136" s="18" t="s">
        <v>27</v>
      </c>
      <c r="AF136" s="18" t="s">
        <v>53</v>
      </c>
      <c r="AG136" s="14" t="str">
        <f>VLOOKUP(AF136,Tabla3[[Estado Requerimiento]:[Macro estado]],2,FALSE)</f>
        <v>03. Culminado</v>
      </c>
      <c r="AH136" s="18"/>
      <c r="AI136" s="80"/>
      <c r="AJ136" s="80"/>
      <c r="AK136" s="80">
        <v>45891</v>
      </c>
      <c r="AL136" s="80"/>
      <c r="AM136" s="80"/>
      <c r="AN136" s="80"/>
      <c r="AO136" s="80"/>
      <c r="AP136" s="81" t="str">
        <f t="shared" si="4"/>
        <v/>
      </c>
      <c r="AQ136" s="80">
        <v>45922</v>
      </c>
      <c r="AR136" s="80">
        <v>46035</v>
      </c>
      <c r="AS136" s="81" t="str">
        <f t="shared" si="5"/>
        <v/>
      </c>
      <c r="AT136" s="19" t="s">
        <v>1484</v>
      </c>
      <c r="AU136" s="44" t="str">
        <f>VLOOKUP(Cartera1017[[#This Row],[Gerencia]],tbGerencia[#All],3,FALSE)</f>
        <v>B.Digital</v>
      </c>
      <c r="AV136" s="44" t="str">
        <f>IFERROR(VLOOKUP(Cartera1017[[#This Row],[Subgerencia]],Definiciones!$A$90:$B$144,2,FALSE),"")</f>
        <v>CanalesAlternos</v>
      </c>
      <c r="AW136" s="44" t="str">
        <f>IF(OR(LEN(Cartera1017[[#This Row],[Fecha de Solicitud]])=0,(Cartera1017[[#This Row],[Fecha de Solicitud]])="No definido"),"No definido",IF(YEAR(Cartera1017[[#This Row],[Fecha de Solicitud]])&lt;2023," &lt;  2023",TEXT(Cartera1017[[#This Row],[Fecha de Solicitud]],"yyyy-mm")))</f>
        <v>2025-08</v>
      </c>
      <c r="AX136" s="44" t="str">
        <f>IF(Cartera1017[[#This Row],[Fecha de Priorización Comité]]="","No definido",TEXT(Cartera1017[[#This Row],[Fecha de Priorización Comité]],"yyyy-mm"))</f>
        <v>2025-08</v>
      </c>
      <c r="AY136" s="44" t="str">
        <f>IF(Cartera1017[[#This Row],[Fecha Fin- Desarrollo]]="","No definido",TEXT(Cartera1017[[#This Row],[Fecha Fin- Desarrollo]],"yyyy-mm"))</f>
        <v>No definido</v>
      </c>
      <c r="AZ136" s="44" t="str">
        <f>IF(Cartera1017[[#This Row],[Fecha Fin- Producción]]="","No definido",TEXT(Cartera1017[[#This Row],[Fecha Fin- Producción]],"yyyy-mm"))</f>
        <v>2026-01</v>
      </c>
      <c r="BA136" s="44" t="str">
        <f>IF(Cartera1017[[#This Row],[Fecha Fin-Planificada]]="","No definido",TEXT(Cartera1017[[#This Row],[Fecha Fin-Planificada]],"yyyy-mm"))</f>
        <v>No definido</v>
      </c>
      <c r="BB136" s="33"/>
      <c r="BC136" s="66"/>
      <c r="BD136" s="108"/>
      <c r="BE136" s="108"/>
      <c r="BF136" s="127"/>
      <c r="BG136" s="28" t="s">
        <v>535</v>
      </c>
      <c r="BH13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144</v>
      </c>
      <c r="BI136" s="90">
        <f>IF(ISNUMBER(Cartera1017[[#This Row],[Duracion en Dias]]),Cartera1017[[#This Row],[Duracion en Dias]]/30, "No Aplica")</f>
        <v>4.8</v>
      </c>
      <c r="BJ136" s="109"/>
      <c r="BK136" s="28" t="s">
        <v>506</v>
      </c>
      <c r="BL136" s="110" t="s">
        <v>636</v>
      </c>
      <c r="BM136" s="342">
        <v>46035.691469907404</v>
      </c>
      <c r="BN136" s="227"/>
      <c r="BO136" s="401"/>
      <c r="BP136" s="401"/>
      <c r="BQ13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6" s="14" t="str">
        <f>IFERROR(VLOOKUP(Cartera1017[[#This Row],[Aplicativo]],Tabla76[],2,FALSE),"Sin Aplicativo")</f>
        <v>Cuenta DNI</v>
      </c>
      <c r="BS136" s="14" t="str">
        <f>IFERROR(VLOOKUP(Cartera1017[[#This Row],[Aplicativo]],Tabla76[],3,FALSE),"Sin Aplicativo")</f>
        <v>Canales Virtuales</v>
      </c>
      <c r="BT136" s="400" t="s">
        <v>521</v>
      </c>
      <c r="BU136" s="33"/>
      <c r="BV136" s="28"/>
      <c r="BW13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3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6" s="149" t="str">
        <f ca="1">IF(Cartera1017[[#This Row],[Fecha Fin2]]="","No definido",CONCATENATE(TEXT(Cartera1017[[#This Row],[Fecha Fin2]],"mmm")," ",YEAR(Cartera1017[[#This Row],[Fecha Fin2]])))</f>
        <v>Ene 2026</v>
      </c>
      <c r="BZ136" s="28"/>
      <c r="CA136" s="48" t="str">
        <f>IF(Cartera1017[[#This Row],[Estado TI]] = "08. Producción Finalizada","Culminado",IF(Cartera1017[[#This Row],[Estado TI]]= "09. Descartado","Descartado","Activos"))</f>
        <v>Culminado</v>
      </c>
      <c r="CB136" s="28"/>
      <c r="CC13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36" s="54" t="str">
        <f>IF(
AND(
Cartera1017[[#This Row],[DEVOLVER 27]]="NO",
NOT(ISBLANK(Cartera1017[[#This Row],[ESTADO NO DEVUELTOS 27]]))
),
"PRE",
"POST"
)</f>
        <v>PRE</v>
      </c>
      <c r="CE136" s="54" t="s">
        <v>509</v>
      </c>
      <c r="CF136" s="28" t="s">
        <v>35</v>
      </c>
      <c r="CG13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3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3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6" s="406">
        <f>Cartera1017[[#This Row],[Porcentaje de Avance]]</f>
        <v>1</v>
      </c>
      <c r="CK136" s="388">
        <f ca="1">IF(
   OR(
     Cartera1017[[#This Row],[Estado TI]]="09. Descartado",
     Cartera1017[[#This Row],[Comienzo Desarrollo]]="",
     Cartera1017[[#This Row],[Fin Producción]]=""
   ),
   "",
   Cartera1017[[#This Row],[% PLANIFICADO]]-Cartera1017[[#This Row],[% COMPLETADO]]
)</f>
        <v>0</v>
      </c>
      <c r="CL136" s="388">
        <f ca="1">IF(
   OR(
     Cartera1017[[#This Row],[Estado TI]]="09. Descartado",
     Cartera1017[[#This Row],[Comienzo Desarrollo]]="",
     Cartera1017[[#This Row],[Fin Producción]]="",
     Cartera1017[[#This Row],[% PLANIFICADO]]=0
   ),
   "",
   MIN(Cartera1017[[#This Row],[% COMPLETADO]]/Cartera1017[[#This Row],[% PLANIFICADO]],1.2)
)</f>
        <v>1</v>
      </c>
      <c r="CM136" s="377">
        <v>45891</v>
      </c>
      <c r="CN136" s="377">
        <v>45891</v>
      </c>
      <c r="CO136" s="377" t="s">
        <v>1143</v>
      </c>
      <c r="CP136" s="377" t="s">
        <v>1143</v>
      </c>
      <c r="CQ136" s="377" t="s">
        <v>1143</v>
      </c>
      <c r="CR136" s="377">
        <v>45922</v>
      </c>
      <c r="CS136" s="377">
        <v>46035</v>
      </c>
      <c r="CT136" s="44">
        <f>IF(Cartera1017[[#This Row],[Fin Desarrollo]]="",25,IFERROR(NETWORKDAYS(Cartera1017[[#This Row],[Comienzo Desarrollo]],Cartera1017[[#This Row],[Fin Desarrollo]],FERIADOS[Fecha]),""))</f>
        <v>25</v>
      </c>
      <c r="CU13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36" s="44">
        <f>IF(OR(Cartera1017[[#This Row],[Comienzo Desarrollo]]="",Cartera1017[[#This Row],[Fin Desarrollo]]=""),200,IFERROR(Cartera1017[[#This Row],[DURACIÓN DESARROLLO DIAS]]*VLOOKUP(Cartera1017[[#This Row],[ID Mantenimiento]],MANT_HORAS[],2,FALSE),200))</f>
        <v>200</v>
      </c>
      <c r="CW136" s="110"/>
      <c r="CX136" s="110" t="str">
        <f>VLOOKUP(Cartera1017[[#This Row],[Estado TI]],Definiciones!$A$549:$B$559,2,FALSE)</f>
        <v>4. PRODUCCIÓN</v>
      </c>
      <c r="CY136" s="28">
        <f ca="1">1-Cartera1017[[#This Row],[Porcentaje avanzado desarrollo]]</f>
        <v>0.9</v>
      </c>
      <c r="CZ13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36" s="28">
        <f ca="1">MAX(0,Cartera1017[[#This Row],[DURACIÓN DESARROLLO DIAS]]-Cartera1017[[#This Row],[Dias avanzados]])</f>
        <v>24</v>
      </c>
      <c r="DB136" s="28">
        <f ca="1">Cartera1017[[#This Row],[Dias avanzados]]*IFERROR(VLOOKUP(Cartera1017[[#This Row],[ID Mantenimiento]],MANT_HORAS[],2,FALSE),8)</f>
        <v>8</v>
      </c>
      <c r="DC136" s="28">
        <f ca="1">Cartera1017[[#This Row],[Dias faltantes]]*IFERROR(VLOOKUP(Cartera1017[[#This Row],[ID Mantenimiento]],MANT_HORAS[],2,FALSE),8)</f>
        <v>192</v>
      </c>
      <c r="DD136" s="28" t="str">
        <f>IF(Cartera1017[[#This Row],[Fin Producción]]=0,"Por definir",CONCATENATE(YEAR(Cartera1017[[#This Row],[Fin Producción]]),"-",ROUNDUP(MONTH(Cartera1017[[#This Row],[Fin Producción]]),0)))</f>
        <v>2026-1</v>
      </c>
      <c r="DE136" s="18" t="s">
        <v>510</v>
      </c>
      <c r="DF136" s="28"/>
      <c r="DG136" s="28"/>
      <c r="DH136" s="565"/>
    </row>
    <row r="137" spans="1:112" ht="44.25" hidden="1" customHeight="1">
      <c r="A137" s="229" t="s">
        <v>1485</v>
      </c>
      <c r="B137" s="18">
        <v>2939</v>
      </c>
      <c r="C137" s="18" t="s">
        <v>485</v>
      </c>
      <c r="D137" s="18" t="s">
        <v>1486</v>
      </c>
      <c r="E137" s="18" t="s">
        <v>288</v>
      </c>
      <c r="F137" s="33" t="s">
        <v>289</v>
      </c>
      <c r="G137" s="19" t="s">
        <v>289</v>
      </c>
      <c r="H137" s="18" t="s">
        <v>33</v>
      </c>
      <c r="I137" s="18" t="s">
        <v>727</v>
      </c>
      <c r="J137" s="18" t="s">
        <v>1148</v>
      </c>
      <c r="K137" s="20">
        <v>45842</v>
      </c>
      <c r="L137" s="50" t="s">
        <v>1487</v>
      </c>
      <c r="M137" s="50" t="s">
        <v>1149</v>
      </c>
      <c r="N137" s="50"/>
      <c r="O137" s="18" t="s">
        <v>530</v>
      </c>
      <c r="P137" s="18" t="s">
        <v>1077</v>
      </c>
      <c r="Q137" s="18" t="s">
        <v>496</v>
      </c>
      <c r="R137" s="18" t="s">
        <v>497</v>
      </c>
      <c r="S137" s="18"/>
      <c r="T137" s="18"/>
      <c r="U137" s="18"/>
      <c r="V137" s="18"/>
      <c r="W137" s="18"/>
      <c r="X137" s="18"/>
      <c r="Y137" s="80"/>
      <c r="Z137" s="18" t="s">
        <v>499</v>
      </c>
      <c r="AA137" s="20">
        <v>45898</v>
      </c>
      <c r="AB137" s="18" t="s">
        <v>500</v>
      </c>
      <c r="AC137" s="18"/>
      <c r="AD137" s="18" t="s">
        <v>150</v>
      </c>
      <c r="AE137" s="18" t="s">
        <v>34</v>
      </c>
      <c r="AF137" s="18" t="s">
        <v>53</v>
      </c>
      <c r="AG137" s="14" t="str">
        <f>VLOOKUP(AF137,Tabla3[[Estado Requerimiento]:[Macro estado]],2,FALSE)</f>
        <v>03. Culminado</v>
      </c>
      <c r="AH137" s="18"/>
      <c r="AI137" s="80"/>
      <c r="AJ137" s="80"/>
      <c r="AK137" s="80">
        <v>46027</v>
      </c>
      <c r="AL137" s="80">
        <v>46055</v>
      </c>
      <c r="AM137" s="80"/>
      <c r="AN137" s="80">
        <v>46070</v>
      </c>
      <c r="AO137" s="80">
        <v>46079</v>
      </c>
      <c r="AP137" s="81">
        <f t="shared" si="4"/>
        <v>46066.2</v>
      </c>
      <c r="AQ137" s="80">
        <v>46100</v>
      </c>
      <c r="AR137" s="80">
        <v>46126</v>
      </c>
      <c r="AS137" s="81">
        <f t="shared" si="5"/>
        <v>46073.2</v>
      </c>
      <c r="AT137" s="19" t="s">
        <v>1488</v>
      </c>
      <c r="AU137" s="44" t="str">
        <f>VLOOKUP(Cartera1017[[#This Row],[Gerencia]],tbGerencia[#All],3,FALSE)</f>
        <v>Productos</v>
      </c>
      <c r="AV137" s="44" t="str">
        <f>IFERROR(VLOOKUP(Cartera1017[[#This Row],[Subgerencia]],Definiciones!$A$90:$B$144,2,FALSE),"")</f>
        <v>BancaPersonal</v>
      </c>
      <c r="AW137" s="44" t="str">
        <f>IF(OR(LEN(Cartera1017[[#This Row],[Fecha de Solicitud]])=0,(Cartera1017[[#This Row],[Fecha de Solicitud]])="No definido"),"No definido",IF(YEAR(Cartera1017[[#This Row],[Fecha de Solicitud]])&lt;2023," &lt;  2023",TEXT(Cartera1017[[#This Row],[Fecha de Solicitud]],"yyyy-mm")))</f>
        <v>2025-07</v>
      </c>
      <c r="AX137" s="44" t="str">
        <f>IF(Cartera1017[[#This Row],[Fecha de Priorización Comité]]="","No definido",TEXT(Cartera1017[[#This Row],[Fecha de Priorización Comité]],"yyyy-mm"))</f>
        <v>2025-08</v>
      </c>
      <c r="AY137" s="44" t="str">
        <f>IF(Cartera1017[[#This Row],[Fecha Fin- Desarrollo]]="","No definido",TEXT(Cartera1017[[#This Row],[Fecha Fin- Desarrollo]],"yyyy-mm"))</f>
        <v>2026-02</v>
      </c>
      <c r="AZ137" s="44" t="str">
        <f>IF(Cartera1017[[#This Row],[Fecha Fin- Producción]]="","No definido",TEXT(Cartera1017[[#This Row],[Fecha Fin- Producción]],"yyyy-mm"))</f>
        <v>2026-04</v>
      </c>
      <c r="BA137" s="44" t="str">
        <f>IF(Cartera1017[[#This Row],[Fecha Fin-Planificada]]="","No definido",TEXT(Cartera1017[[#This Row],[Fecha Fin-Planificada]],"yyyy-mm"))</f>
        <v>2026-02</v>
      </c>
      <c r="BB137" s="33"/>
      <c r="BC137" s="108"/>
      <c r="BD137" s="108"/>
      <c r="BE137" s="108"/>
      <c r="BF137" s="127"/>
      <c r="BG137" s="28" t="s">
        <v>535</v>
      </c>
      <c r="BH13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99</v>
      </c>
      <c r="BI137" s="90">
        <f>IF(ISNUMBER(Cartera1017[[#This Row],[Duracion en Dias]]),Cartera1017[[#This Row],[Duracion en Dias]]/30, "No Aplica")</f>
        <v>3.3</v>
      </c>
      <c r="BJ137" s="109"/>
      <c r="BK137" s="28" t="s">
        <v>506</v>
      </c>
      <c r="BL137" s="110" t="s">
        <v>536</v>
      </c>
      <c r="BM137" s="342">
        <v>46126.360381944447</v>
      </c>
      <c r="BN137" s="227"/>
      <c r="BO137" s="401"/>
      <c r="BP137" s="401"/>
      <c r="BQ13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7" s="14" t="str">
        <f>IFERROR(VLOOKUP(Cartera1017[[#This Row],[Aplicativo]],Tabla76[],2,FALSE),"Sin Aplicativo")</f>
        <v>Préstamos Multired</v>
      </c>
      <c r="BS137" s="14" t="str">
        <f>IFERROR(VLOOKUP(Cartera1017[[#This Row],[Aplicativo]],Tabla76[],3,FALSE),"Sin Aplicativo")</f>
        <v>Productos</v>
      </c>
      <c r="BT137" s="400"/>
      <c r="BU137" s="33"/>
      <c r="BV137" s="28"/>
      <c r="BW13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46126</v>
      </c>
      <c r="BX13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7" s="149" t="str">
        <f ca="1">IF(Cartera1017[[#This Row],[Fecha Fin2]]="","No definido",CONCATENATE(TEXT(Cartera1017[[#This Row],[Fecha Fin2]],"mmm")," ",YEAR(Cartera1017[[#This Row],[Fecha Fin2]])))</f>
        <v>Abr 2026</v>
      </c>
      <c r="BZ137" s="28"/>
      <c r="CA137" s="48" t="str">
        <f>IF(Cartera1017[[#This Row],[Estado TI]] = "08. Producción Finalizada","Culminado",IF(Cartera1017[[#This Row],[Estado TI]]= "09. Descartado","Descartado","Activos"))</f>
        <v>Culminado</v>
      </c>
      <c r="CB137" s="28"/>
      <c r="CC13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37" s="54" t="str">
        <f>IF(
AND(
Cartera1017[[#This Row],[DEVOLVER 27]]="NO",
NOT(ISBLANK(Cartera1017[[#This Row],[ESTADO NO DEVUELTOS 27]]))
),
"PRE",
"POST"
)</f>
        <v>POST</v>
      </c>
      <c r="CE137" s="54" t="s">
        <v>1489</v>
      </c>
      <c r="CF137" s="28" t="s">
        <v>524</v>
      </c>
      <c r="CG13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3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37"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7" s="406">
        <f>Cartera1017[[#This Row],[Porcentaje de Avance]]</f>
        <v>1</v>
      </c>
      <c r="CK137" s="388">
        <f ca="1">IF(
   OR(
     Cartera1017[[#This Row],[Estado TI]]="09. Descartado",
     Cartera1017[[#This Row],[Comienzo Desarrollo]]="",
     Cartera1017[[#This Row],[Fin Producción]]=""
   ),
   "",
   Cartera1017[[#This Row],[% PLANIFICADO]]-Cartera1017[[#This Row],[% COMPLETADO]]
)</f>
        <v>0</v>
      </c>
      <c r="CL137" s="388">
        <f ca="1">IF(
   OR(
     Cartera1017[[#This Row],[Estado TI]]="09. Descartado",
     Cartera1017[[#This Row],[Comienzo Desarrollo]]="",
     Cartera1017[[#This Row],[Fin Producción]]="",
     Cartera1017[[#This Row],[% PLANIFICADO]]=0
   ),
   "",
   MIN(Cartera1017[[#This Row],[% COMPLETADO]]/Cartera1017[[#This Row],[% PLANIFICADO]],1.2)
)</f>
        <v>1</v>
      </c>
      <c r="CM137" s="377">
        <v>46027</v>
      </c>
      <c r="CN137" s="377">
        <v>46027</v>
      </c>
      <c r="CO137" s="377">
        <v>46055</v>
      </c>
      <c r="CP137" s="377">
        <v>46070</v>
      </c>
      <c r="CQ137" s="377">
        <v>46125</v>
      </c>
      <c r="CR137" s="377">
        <v>46126</v>
      </c>
      <c r="CS137" s="377">
        <v>46140</v>
      </c>
      <c r="CT137" s="44">
        <f>IF(Cartera1017[[#This Row],[Fin Desarrollo]]="",25,IFERROR(NETWORKDAYS(Cartera1017[[#This Row],[Comienzo Desarrollo]],Cartera1017[[#This Row],[Fin Desarrollo]],FERIADOS[Fecha]),""))</f>
        <v>21</v>
      </c>
      <c r="CU13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37" s="44">
        <f>IF(OR(Cartera1017[[#This Row],[Comienzo Desarrollo]]="",Cartera1017[[#This Row],[Fin Desarrollo]]=""),200,IFERROR(Cartera1017[[#This Row],[DURACIÓN DESARROLLO DIAS]]*VLOOKUP(Cartera1017[[#This Row],[ID Mantenimiento]],MANT_HORAS[],2,FALSE),200))</f>
        <v>200</v>
      </c>
      <c r="CW137" s="110"/>
      <c r="CX137" s="110" t="str">
        <f>VLOOKUP(Cartera1017[[#This Row],[Estado TI]],Definiciones!$A$549:$B$559,2,FALSE)</f>
        <v>4. PRODUCCIÓN</v>
      </c>
      <c r="CY137" s="28">
        <f ca="1">1-Cartera1017[[#This Row],[Porcentaje avanzado desarrollo]]</f>
        <v>0</v>
      </c>
      <c r="CZ13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21</v>
      </c>
      <c r="DA137" s="28">
        <f ca="1">MAX(0,Cartera1017[[#This Row],[DURACIÓN DESARROLLO DIAS]]-Cartera1017[[#This Row],[Dias avanzados]])</f>
        <v>0</v>
      </c>
      <c r="DB137" s="28">
        <f ca="1">Cartera1017[[#This Row],[Dias avanzados]]*IFERROR(VLOOKUP(Cartera1017[[#This Row],[ID Mantenimiento]],MANT_HORAS[],2,FALSE),8)</f>
        <v>168</v>
      </c>
      <c r="DC137" s="28">
        <f ca="1">Cartera1017[[#This Row],[Dias faltantes]]*IFERROR(VLOOKUP(Cartera1017[[#This Row],[ID Mantenimiento]],MANT_HORAS[],2,FALSE),8)</f>
        <v>0</v>
      </c>
      <c r="DD137" s="28" t="str">
        <f>IF(Cartera1017[[#This Row],[Fin Producción]]=0,"Por definir",CONCATENATE(YEAR(Cartera1017[[#This Row],[Fin Producción]]),"-",ROUNDUP(MONTH(Cartera1017[[#This Row],[Fin Producción]]),0)))</f>
        <v>2026-4</v>
      </c>
      <c r="DE137" s="18" t="s">
        <v>510</v>
      </c>
      <c r="DF137" s="28"/>
      <c r="DG137" s="28"/>
      <c r="DH137" s="565"/>
    </row>
    <row r="138" spans="1:112" ht="44.25" hidden="1" customHeight="1">
      <c r="A138" s="229" t="s">
        <v>1490</v>
      </c>
      <c r="B138" s="18">
        <v>2984</v>
      </c>
      <c r="C138" s="18" t="s">
        <v>485</v>
      </c>
      <c r="D138" s="18" t="s">
        <v>1491</v>
      </c>
      <c r="E138" s="18" t="s">
        <v>1492</v>
      </c>
      <c r="F138" s="33" t="s">
        <v>1493</v>
      </c>
      <c r="G138" s="33"/>
      <c r="H138" s="18" t="s">
        <v>40</v>
      </c>
      <c r="I138" s="18" t="s">
        <v>842</v>
      </c>
      <c r="J138" s="18" t="s">
        <v>1494</v>
      </c>
      <c r="K138" s="20">
        <v>45863</v>
      </c>
      <c r="L138" s="18" t="s">
        <v>1495</v>
      </c>
      <c r="M138" s="50" t="s">
        <v>1496</v>
      </c>
      <c r="N138" s="50"/>
      <c r="O138" s="18" t="s">
        <v>530</v>
      </c>
      <c r="P138" s="18" t="s">
        <v>495</v>
      </c>
      <c r="Q138" s="18" t="s">
        <v>496</v>
      </c>
      <c r="R138" s="18" t="s">
        <v>497</v>
      </c>
      <c r="S138" s="18"/>
      <c r="T138" s="18"/>
      <c r="U138" s="18"/>
      <c r="V138" s="18"/>
      <c r="W138" s="18"/>
      <c r="X138" s="18"/>
      <c r="Y138" s="80"/>
      <c r="Z138" s="18" t="s">
        <v>499</v>
      </c>
      <c r="AA138" s="20">
        <v>45898</v>
      </c>
      <c r="AB138" s="18" t="s">
        <v>533</v>
      </c>
      <c r="AC138" s="18" t="s">
        <v>558</v>
      </c>
      <c r="AD138" s="18" t="s">
        <v>356</v>
      </c>
      <c r="AE138" s="18" t="s">
        <v>41</v>
      </c>
      <c r="AF138" s="18" t="s">
        <v>53</v>
      </c>
      <c r="AG138" s="14" t="str">
        <f>VLOOKUP(AF138,Tabla3[[Estado Requerimiento]:[Macro estado]],2,FALSE)</f>
        <v>03. Culminado</v>
      </c>
      <c r="AH138" s="18"/>
      <c r="AI138" s="80"/>
      <c r="AJ138" s="80"/>
      <c r="AK138" s="80">
        <v>45923</v>
      </c>
      <c r="AL138" s="80">
        <v>45964</v>
      </c>
      <c r="AM138" s="80"/>
      <c r="AN138" s="80">
        <v>45967</v>
      </c>
      <c r="AO138" s="80">
        <v>45987</v>
      </c>
      <c r="AP138" s="81">
        <f t="shared" si="4"/>
        <v>45980.4</v>
      </c>
      <c r="AQ138" s="80">
        <v>45987</v>
      </c>
      <c r="AR138" s="80">
        <v>46034</v>
      </c>
      <c r="AS138" s="81">
        <f t="shared" si="5"/>
        <v>45987.4</v>
      </c>
      <c r="AT138" s="19" t="s">
        <v>1497</v>
      </c>
      <c r="AU138" s="44" t="str">
        <f>VLOOKUP(Cartera1017[[#This Row],[Gerencia]],tbGerencia[#All],3,FALSE)</f>
        <v>Operac.</v>
      </c>
      <c r="AV138" s="44" t="str">
        <f>IFERROR(VLOOKUP(Cartera1017[[#This Row],[Subgerencia]],Definiciones!$A$90:$B$144,2,FALSE),"")</f>
        <v>CajaValores</v>
      </c>
      <c r="AW138" s="44" t="str">
        <f>IF(OR(LEN(Cartera1017[[#This Row],[Fecha de Solicitud]])=0,(Cartera1017[[#This Row],[Fecha de Solicitud]])="No definido"),"No definido",IF(YEAR(Cartera1017[[#This Row],[Fecha de Solicitud]])&lt;2023," &lt;  2023",TEXT(Cartera1017[[#This Row],[Fecha de Solicitud]],"yyyy-mm")))</f>
        <v>2025-07</v>
      </c>
      <c r="AX138" s="44" t="str">
        <f>IF(Cartera1017[[#This Row],[Fecha de Priorización Comité]]="","No definido",TEXT(Cartera1017[[#This Row],[Fecha de Priorización Comité]],"yyyy-mm"))</f>
        <v>2025-08</v>
      </c>
      <c r="AY138" s="44" t="str">
        <f>IF(Cartera1017[[#This Row],[Fecha Fin- Desarrollo]]="","No definido",TEXT(Cartera1017[[#This Row],[Fecha Fin- Desarrollo]],"yyyy-mm"))</f>
        <v>2025-11</v>
      </c>
      <c r="AZ138" s="44" t="str">
        <f>IF(Cartera1017[[#This Row],[Fecha Fin- Producción]]="","No definido",TEXT(Cartera1017[[#This Row],[Fecha Fin- Producción]],"yyyy-mm"))</f>
        <v>2026-01</v>
      </c>
      <c r="BA138" s="44" t="str">
        <f>IF(Cartera1017[[#This Row],[Fecha Fin-Planificada]]="","No definido",TEXT(Cartera1017[[#This Row],[Fecha Fin-Planificada]],"yyyy-mm"))</f>
        <v>2025-11</v>
      </c>
      <c r="BB138" s="33"/>
      <c r="BC138" s="66"/>
      <c r="BD138" s="66"/>
      <c r="BE138" s="66"/>
      <c r="BF138" s="127"/>
      <c r="BG138" s="28" t="s">
        <v>535</v>
      </c>
      <c r="BH13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111</v>
      </c>
      <c r="BI138" s="90">
        <f>IF(ISNUMBER(Cartera1017[[#This Row],[Duracion en Dias]]),Cartera1017[[#This Row],[Duracion en Dias]]/30, "No Aplica")</f>
        <v>3.7</v>
      </c>
      <c r="BJ138" s="109"/>
      <c r="BK138" s="28" t="s">
        <v>506</v>
      </c>
      <c r="BL138" s="110" t="s">
        <v>536</v>
      </c>
      <c r="BM138" s="342">
        <v>46034.679861111108</v>
      </c>
      <c r="BN138" s="227"/>
      <c r="BO138" s="401"/>
      <c r="BP138" s="401"/>
      <c r="BQ13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8" s="14" t="str">
        <f>IFERROR(VLOOKUP(Cartera1017[[#This Row],[Aplicativo]],Tabla76[],2,FALSE),"Sin Aplicativo")</f>
        <v>BackOffice</v>
      </c>
      <c r="BS138" s="14" t="str">
        <f>IFERROR(VLOOKUP(Cartera1017[[#This Row],[Aplicativo]],Tabla76[],3,FALSE),"Sin Aplicativo")</f>
        <v>Otros Requerimientos</v>
      </c>
      <c r="BT138" s="400" t="s">
        <v>521</v>
      </c>
      <c r="BU138" s="33"/>
      <c r="BV138" s="28"/>
      <c r="BW13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13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8" s="149" t="str">
        <f ca="1">IF(Cartera1017[[#This Row],[Fecha Fin2]]="","No definido",CONCATENATE(TEXT(Cartera1017[[#This Row],[Fecha Fin2]],"mmm")," ",YEAR(Cartera1017[[#This Row],[Fecha Fin2]])))</f>
        <v>Ene 2026</v>
      </c>
      <c r="BZ138" s="28"/>
      <c r="CA138" s="48" t="str">
        <f>IF(Cartera1017[[#This Row],[Estado TI]] = "08. Producción Finalizada","Culminado",IF(Cartera1017[[#This Row],[Estado TI]]= "09. Descartado","Descartado","Activos"))</f>
        <v>Culminado</v>
      </c>
      <c r="CB138" s="28"/>
      <c r="CC13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38" s="54" t="str">
        <f>IF(
AND(
Cartera1017[[#This Row],[DEVOLVER 27]]="NO",
NOT(ISBLANK(Cartera1017[[#This Row],[ESTADO NO DEVUELTOS 27]]))
),
"PRE",
"POST"
)</f>
        <v>POST</v>
      </c>
      <c r="CE138" s="54" t="s">
        <v>523</v>
      </c>
      <c r="CF138" s="28" t="s">
        <v>524</v>
      </c>
      <c r="CG13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3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3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8" s="406">
        <f>Cartera1017[[#This Row],[Porcentaje de Avance]]</f>
        <v>1</v>
      </c>
      <c r="CK138" s="388">
        <f ca="1">IF(
   OR(
     Cartera1017[[#This Row],[Estado TI]]="09. Descartado",
     Cartera1017[[#This Row],[Comienzo Desarrollo]]="",
     Cartera1017[[#This Row],[Fin Producción]]=""
   ),
   "",
   Cartera1017[[#This Row],[% PLANIFICADO]]-Cartera1017[[#This Row],[% COMPLETADO]]
)</f>
        <v>0</v>
      </c>
      <c r="CL138" s="388">
        <f ca="1">IF(
   OR(
     Cartera1017[[#This Row],[Estado TI]]="09. Descartado",
     Cartera1017[[#This Row],[Comienzo Desarrollo]]="",
     Cartera1017[[#This Row],[Fin Producción]]="",
     Cartera1017[[#This Row],[% PLANIFICADO]]=0
   ),
   "",
   MIN(Cartera1017[[#This Row],[% COMPLETADO]]/Cartera1017[[#This Row],[% PLANIFICADO]],1.2)
)</f>
        <v>1</v>
      </c>
      <c r="CM138" s="377">
        <v>45923</v>
      </c>
      <c r="CN138" s="377">
        <v>45923</v>
      </c>
      <c r="CO138" s="377">
        <v>45964</v>
      </c>
      <c r="CP138" s="377">
        <v>45967</v>
      </c>
      <c r="CQ138" s="377">
        <v>45987</v>
      </c>
      <c r="CR138" s="377">
        <v>45987</v>
      </c>
      <c r="CS138" s="377">
        <v>46037</v>
      </c>
      <c r="CT138" s="44">
        <f>IF(Cartera1017[[#This Row],[Fin Desarrollo]]="",25,IFERROR(NETWORKDAYS(Cartera1017[[#This Row],[Comienzo Desarrollo]],Cartera1017[[#This Row],[Fin Desarrollo]],FERIADOS[Fecha]),""))</f>
        <v>29</v>
      </c>
      <c r="CU13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38" s="44">
        <f>IF(OR(Cartera1017[[#This Row],[Comienzo Desarrollo]]="",Cartera1017[[#This Row],[Fin Desarrollo]]=""),200,IFERROR(Cartera1017[[#This Row],[DURACIÓN DESARROLLO DIAS]]*VLOOKUP(Cartera1017[[#This Row],[ID Mantenimiento]],MANT_HORAS[],2,FALSE),200))</f>
        <v>200</v>
      </c>
      <c r="CW138" s="110"/>
      <c r="CX138" s="110" t="str">
        <f>VLOOKUP(Cartera1017[[#This Row],[Estado TI]],Definiciones!$A$549:$B$559,2,FALSE)</f>
        <v>4. PRODUCCIÓN</v>
      </c>
      <c r="CY138" s="28">
        <f ca="1">1-Cartera1017[[#This Row],[Porcentaje avanzado desarrollo]]</f>
        <v>0</v>
      </c>
      <c r="CZ13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29</v>
      </c>
      <c r="DA138" s="28">
        <f ca="1">MAX(0,Cartera1017[[#This Row],[DURACIÓN DESARROLLO DIAS]]-Cartera1017[[#This Row],[Dias avanzados]])</f>
        <v>0</v>
      </c>
      <c r="DB138" s="28">
        <f ca="1">Cartera1017[[#This Row],[Dias avanzados]]*IFERROR(VLOOKUP(Cartera1017[[#This Row],[ID Mantenimiento]],MANT_HORAS[],2,FALSE),8)</f>
        <v>232</v>
      </c>
      <c r="DC138" s="28">
        <f ca="1">Cartera1017[[#This Row],[Dias faltantes]]*IFERROR(VLOOKUP(Cartera1017[[#This Row],[ID Mantenimiento]],MANT_HORAS[],2,FALSE),8)</f>
        <v>0</v>
      </c>
      <c r="DD138" s="28" t="str">
        <f>IF(Cartera1017[[#This Row],[Fin Producción]]=0,"Por definir",CONCATENATE(YEAR(Cartera1017[[#This Row],[Fin Producción]]),"-",ROUNDUP(MONTH(Cartera1017[[#This Row],[Fin Producción]]),0)))</f>
        <v>2026-1</v>
      </c>
      <c r="DE138" s="18" t="s">
        <v>510</v>
      </c>
      <c r="DF138" s="28"/>
      <c r="DG138" s="28"/>
      <c r="DH138" s="565"/>
    </row>
    <row r="139" spans="1:112" ht="44.25" hidden="1" customHeight="1">
      <c r="A139" s="229" t="s">
        <v>1498</v>
      </c>
      <c r="B139" s="18">
        <v>2987</v>
      </c>
      <c r="C139" s="18" t="s">
        <v>485</v>
      </c>
      <c r="D139" s="18" t="s">
        <v>1499</v>
      </c>
      <c r="E139" s="18" t="s">
        <v>290</v>
      </c>
      <c r="F139" s="33" t="s">
        <v>291</v>
      </c>
      <c r="G139" s="33"/>
      <c r="H139" s="18" t="s">
        <v>108</v>
      </c>
      <c r="I139" s="18" t="s">
        <v>811</v>
      </c>
      <c r="J139" s="18" t="s">
        <v>500</v>
      </c>
      <c r="K139" s="20"/>
      <c r="L139" s="18" t="s">
        <v>528</v>
      </c>
      <c r="M139" s="50" t="s">
        <v>730</v>
      </c>
      <c r="N139" s="50"/>
      <c r="O139" s="18" t="s">
        <v>548</v>
      </c>
      <c r="P139" s="18" t="s">
        <v>731</v>
      </c>
      <c r="Q139" s="18" t="s">
        <v>496</v>
      </c>
      <c r="R139" s="18" t="s">
        <v>531</v>
      </c>
      <c r="S139" s="18"/>
      <c r="T139" s="18"/>
      <c r="U139" s="18"/>
      <c r="V139" s="18"/>
      <c r="W139" s="18"/>
      <c r="X139" s="18"/>
      <c r="Y139" s="80"/>
      <c r="Z139" s="18" t="s">
        <v>532</v>
      </c>
      <c r="AA139" s="20">
        <v>45898</v>
      </c>
      <c r="AB139" s="18" t="s">
        <v>500</v>
      </c>
      <c r="AC139" s="18"/>
      <c r="AD139" s="18" t="s">
        <v>150</v>
      </c>
      <c r="AE139" s="18" t="s">
        <v>109</v>
      </c>
      <c r="AF139" s="18" t="s">
        <v>48</v>
      </c>
      <c r="AG139" s="14" t="str">
        <f>VLOOKUP(AF139,Tabla3[[Estado Requerimiento]:[Macro estado]],2,FALSE)</f>
        <v>02. En Proceso</v>
      </c>
      <c r="AH139" s="18"/>
      <c r="AI139" s="80"/>
      <c r="AJ139" s="80"/>
      <c r="AK139" s="80">
        <v>45874</v>
      </c>
      <c r="AL139" s="80"/>
      <c r="AM139" s="80"/>
      <c r="AN139" s="80"/>
      <c r="AO139" s="80"/>
      <c r="AP139" s="81" t="str">
        <f t="shared" si="4"/>
        <v/>
      </c>
      <c r="AQ139" s="80"/>
      <c r="AR139" s="80"/>
      <c r="AS139" s="81" t="str">
        <f t="shared" si="5"/>
        <v/>
      </c>
      <c r="AT139" s="19" t="s">
        <v>1500</v>
      </c>
      <c r="AU139" s="44" t="str">
        <f>VLOOKUP(Cartera1017[[#This Row],[Gerencia]],tbGerencia[#All],3,FALSE)</f>
        <v>TI</v>
      </c>
      <c r="AV139" s="44" t="str">
        <f>IFERROR(VLOOKUP(Cartera1017[[#This Row],[Subgerencia]],Definiciones!$A$90:$B$144,2,FALSE),"")</f>
        <v>ConstrucciónAplicaciones</v>
      </c>
      <c r="AW139" s="44" t="str">
        <f>IF(OR(LEN(Cartera1017[[#This Row],[Fecha de Solicitud]])=0,(Cartera1017[[#This Row],[Fecha de Solicitud]])="No definido"),"No definido",IF(YEAR(Cartera1017[[#This Row],[Fecha de Solicitud]])&lt;2023," &lt;  2023",TEXT(Cartera1017[[#This Row],[Fecha de Solicitud]],"yyyy-mm")))</f>
        <v>No definido</v>
      </c>
      <c r="AX139" s="44" t="str">
        <f>IF(Cartera1017[[#This Row],[Fecha de Priorización Comité]]="","No definido",TEXT(Cartera1017[[#This Row],[Fecha de Priorización Comité]],"yyyy-mm"))</f>
        <v>2025-08</v>
      </c>
      <c r="AY139" s="44" t="str">
        <f>IF(Cartera1017[[#This Row],[Fecha Fin- Desarrollo]]="","No definido",TEXT(Cartera1017[[#This Row],[Fecha Fin- Desarrollo]],"yyyy-mm"))</f>
        <v>No definido</v>
      </c>
      <c r="AZ139" s="44" t="str">
        <f>IF(Cartera1017[[#This Row],[Fecha Fin- Producción]]="","No definido",TEXT(Cartera1017[[#This Row],[Fecha Fin- Producción]],"yyyy-mm"))</f>
        <v>No definido</v>
      </c>
      <c r="BA139" s="44" t="str">
        <f>IF(Cartera1017[[#This Row],[Fecha Fin-Planificada]]="","No definido",TEXT(Cartera1017[[#This Row],[Fecha Fin-Planificada]],"yyyy-mm"))</f>
        <v>No definido</v>
      </c>
      <c r="BB139" s="33"/>
      <c r="BC139" s="66"/>
      <c r="BD139" s="66"/>
      <c r="BE139" s="66"/>
      <c r="BF139" s="127"/>
      <c r="BG139" s="28" t="s">
        <v>535</v>
      </c>
      <c r="BH13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9" s="90" t="str">
        <f>IF(ISNUMBER(Cartera1017[[#This Row],[Duracion en Dias]]),Cartera1017[[#This Row],[Duracion en Dias]]/30, "No Aplica")</f>
        <v>No Aplica</v>
      </c>
      <c r="BJ139" s="109"/>
      <c r="BK139" s="28" t="s">
        <v>613</v>
      </c>
      <c r="BL139" s="110" t="s">
        <v>592</v>
      </c>
      <c r="BM139" s="342">
        <v>45874.612291666665</v>
      </c>
      <c r="BN139" s="227"/>
      <c r="BO139" s="401"/>
      <c r="BP139" s="401"/>
      <c r="BQ13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39" s="14" t="str">
        <f>IFERROR(VLOOKUP(Cartera1017[[#This Row],[Aplicativo]],Tabla76[],2,FALSE),"Sin Aplicativo")</f>
        <v>Tarjeta Tesoro</v>
      </c>
      <c r="BS139" s="14" t="str">
        <f>IFERROR(VLOOKUP(Cartera1017[[#This Row],[Aplicativo]],Tabla76[],3,FALSE),"Sin Aplicativo")</f>
        <v>Productos</v>
      </c>
      <c r="BT139" s="400" t="s">
        <v>521</v>
      </c>
      <c r="BU139" s="33"/>
      <c r="BV139" s="28"/>
      <c r="BW13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9" s="149" t="str">
        <f ca="1">IF(Cartera1017[[#This Row],[Fecha Fin2]]="","No definido",CONCATENATE(TEXT(Cartera1017[[#This Row],[Fecha Fin2]],"mmm")," ",YEAR(Cartera1017[[#This Row],[Fecha Fin2]])))</f>
        <v>No definido</v>
      </c>
      <c r="BZ139" s="28"/>
      <c r="CA139" s="48" t="str">
        <f>IF(Cartera1017[[#This Row],[Estado TI]] = "08. Producción Finalizada","Culminado",IF(Cartera1017[[#This Row],[Estado TI]]= "09. Descartado","Descartado","Activos"))</f>
        <v>Activos</v>
      </c>
      <c r="CB139" s="28"/>
      <c r="CC13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39" s="54" t="str">
        <f>IF(
AND(
Cartera1017[[#This Row],[DEVOLVER 27]]="NO",
NOT(ISBLANK(Cartera1017[[#This Row],[ESTADO NO DEVUELTOS 27]]))
),
"PRE",
"POST"
)</f>
        <v>PRE</v>
      </c>
      <c r="CE139" s="54" t="s">
        <v>509</v>
      </c>
      <c r="CF139" s="399" t="s">
        <v>48</v>
      </c>
      <c r="CG139"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3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9" s="406">
        <f>Cartera1017[[#This Row],[Porcentaje de Avance]]</f>
        <v>0.25</v>
      </c>
      <c r="CK139" s="402">
        <f ca="1">IF(
   OR(
     Cartera1017[[#This Row],[Estado TI]]="09. Descartado",
     Cartera1017[[#This Row],[Comienzo Desarrollo]]="",
     Cartera1017[[#This Row],[Fin Producción]]=""
   ),
   "",
   Cartera1017[[#This Row],[% PLANIFICADO]]-Cartera1017[[#This Row],[% COMPLETADO]]
)</f>
        <v>0.75</v>
      </c>
      <c r="CL139" s="402">
        <f ca="1">IF(
   OR(
     Cartera1017[[#This Row],[Estado TI]]="09. Descartado",
     Cartera1017[[#This Row],[Comienzo Desarrollo]]="",
     Cartera1017[[#This Row],[Fin Producción]]="",
     Cartera1017[[#This Row],[% PLANIFICADO]]=0
   ),
   "",
   MIN(Cartera1017[[#This Row],[% COMPLETADO]]/Cartera1017[[#This Row],[% PLANIFICADO]],1.2)
)</f>
        <v>0.25</v>
      </c>
      <c r="CM139" s="427">
        <v>45964</v>
      </c>
      <c r="CN139" s="377">
        <v>46083</v>
      </c>
      <c r="CO139" s="377">
        <v>46091</v>
      </c>
      <c r="CP139" s="403">
        <v>46093</v>
      </c>
      <c r="CQ139" s="403">
        <v>46124</v>
      </c>
      <c r="CR139" s="403">
        <v>46125</v>
      </c>
      <c r="CS139" s="403">
        <v>46129</v>
      </c>
      <c r="CT139" s="44">
        <f>IF(Cartera1017[[#This Row],[Fin Desarrollo]]="",25,IFERROR(NETWORKDAYS(Cartera1017[[#This Row],[Comienzo Desarrollo]],Cartera1017[[#This Row],[Fin Desarrollo]],FERIADOS[Fecha]),""))</f>
        <v>7</v>
      </c>
      <c r="CU13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39" s="44">
        <f>IF(OR(Cartera1017[[#This Row],[Comienzo Desarrollo]]="",Cartera1017[[#This Row],[Fin Desarrollo]]=""),200,IFERROR(Cartera1017[[#This Row],[DURACIÓN DESARROLLO DIAS]]*VLOOKUP(Cartera1017[[#This Row],[ID Mantenimiento]],MANT_HORAS[],2,FALSE),200))</f>
        <v>11.200000000000001</v>
      </c>
      <c r="CW139" s="110"/>
      <c r="CX139" s="110" t="str">
        <f>VLOOKUP(Cartera1017[[#This Row],[Estado TI]],Definiciones!$A$549:$B$559,2,FALSE)</f>
        <v>1. DESARROLLO</v>
      </c>
      <c r="CY139" s="28">
        <f ca="1">1-Cartera1017[[#This Row],[Porcentaje avanzado desarrollo]]</f>
        <v>0</v>
      </c>
      <c r="CZ13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DA139" s="28">
        <f ca="1">MAX(0,Cartera1017[[#This Row],[DURACIÓN DESARROLLO DIAS]]-Cartera1017[[#This Row],[Dias avanzados]])</f>
        <v>0</v>
      </c>
      <c r="DB139" s="28">
        <f ca="1">Cartera1017[[#This Row],[Dias avanzados]]*IFERROR(VLOOKUP(Cartera1017[[#This Row],[ID Mantenimiento]],MANT_HORAS[],2,FALSE),8)</f>
        <v>11.200000000000001</v>
      </c>
      <c r="DC139" s="28">
        <f ca="1">Cartera1017[[#This Row],[Dias faltantes]]*IFERROR(VLOOKUP(Cartera1017[[#This Row],[ID Mantenimiento]],MANT_HORAS[],2,FALSE),8)</f>
        <v>0</v>
      </c>
      <c r="DD139" s="28" t="str">
        <f>IF(Cartera1017[[#This Row],[Fin Producción]]=0,"Por definir",CONCATENATE(YEAR(Cartera1017[[#This Row],[Fin Producción]]),"-",ROUNDUP(MONTH(Cartera1017[[#This Row],[Fin Producción]]),0)))</f>
        <v>2026-4</v>
      </c>
      <c r="DE139" s="18" t="s">
        <v>510</v>
      </c>
      <c r="DF139" s="28"/>
      <c r="DG139" s="28"/>
      <c r="DH139" s="565"/>
    </row>
    <row r="140" spans="1:112" ht="44.25" hidden="1" customHeight="1">
      <c r="A140" s="229" t="s">
        <v>1501</v>
      </c>
      <c r="B140" s="18">
        <v>2988</v>
      </c>
      <c r="C140" s="18" t="s">
        <v>485</v>
      </c>
      <c r="D140" s="18" t="s">
        <v>1502</v>
      </c>
      <c r="E140" s="18" t="s">
        <v>292</v>
      </c>
      <c r="F140" s="33" t="s">
        <v>293</v>
      </c>
      <c r="G140" s="33"/>
      <c r="H140" s="18" t="s">
        <v>59</v>
      </c>
      <c r="I140" s="18" t="s">
        <v>759</v>
      </c>
      <c r="J140" s="18" t="s">
        <v>760</v>
      </c>
      <c r="K140" s="20"/>
      <c r="L140" s="18" t="s">
        <v>528</v>
      </c>
      <c r="M140" s="50" t="s">
        <v>762</v>
      </c>
      <c r="N140" s="50"/>
      <c r="O140" s="18" t="s">
        <v>530</v>
      </c>
      <c r="P140" s="18" t="s">
        <v>495</v>
      </c>
      <c r="Q140" s="18" t="s">
        <v>496</v>
      </c>
      <c r="R140" s="18" t="s">
        <v>497</v>
      </c>
      <c r="S140" s="18"/>
      <c r="T140" s="18"/>
      <c r="U140" s="18"/>
      <c r="V140" s="18"/>
      <c r="W140" s="18"/>
      <c r="X140" s="18"/>
      <c r="Y140" s="80"/>
      <c r="Z140" s="18" t="s">
        <v>532</v>
      </c>
      <c r="AA140" s="20">
        <v>45898</v>
      </c>
      <c r="AB140" s="18" t="s">
        <v>533</v>
      </c>
      <c r="AC140" s="18"/>
      <c r="AD140" s="18" t="s">
        <v>49</v>
      </c>
      <c r="AE140" s="18" t="s">
        <v>47</v>
      </c>
      <c r="AF140" s="18" t="s">
        <v>48</v>
      </c>
      <c r="AG140" s="14" t="str">
        <f>VLOOKUP(AF140,Tabla3[[Estado Requerimiento]:[Macro estado]],2,FALSE)</f>
        <v>02. En Proceso</v>
      </c>
      <c r="AH140" s="18"/>
      <c r="AI140" s="80"/>
      <c r="AJ140" s="80"/>
      <c r="AK140" s="80">
        <v>45870</v>
      </c>
      <c r="AL140" s="80"/>
      <c r="AM140" s="80"/>
      <c r="AN140" s="80"/>
      <c r="AO140" s="80"/>
      <c r="AP140" s="81" t="str">
        <f t="shared" si="4"/>
        <v/>
      </c>
      <c r="AQ140" s="80"/>
      <c r="AR140" s="80"/>
      <c r="AS140" s="81" t="str">
        <f t="shared" si="5"/>
        <v/>
      </c>
      <c r="AT140" s="19" t="s">
        <v>1503</v>
      </c>
      <c r="AU140" s="44" t="str">
        <f>VLOOKUP(Cartera1017[[#This Row],[Gerencia]],tbGerencia[#All],3,FALSE)</f>
        <v>RRHH</v>
      </c>
      <c r="AV140" s="44" t="str">
        <f>IFERROR(VLOOKUP(Cartera1017[[#This Row],[Subgerencia]],Definiciones!$A$90:$B$144,2,FALSE),"")</f>
        <v>DesarrolloTalento</v>
      </c>
      <c r="AW140" s="44" t="str">
        <f>IF(OR(LEN(Cartera1017[[#This Row],[Fecha de Solicitud]])=0,(Cartera1017[[#This Row],[Fecha de Solicitud]])="No definido"),"No definido",IF(YEAR(Cartera1017[[#This Row],[Fecha de Solicitud]])&lt;2023," &lt;  2023",TEXT(Cartera1017[[#This Row],[Fecha de Solicitud]],"yyyy-mm")))</f>
        <v>No definido</v>
      </c>
      <c r="AX140" s="44" t="str">
        <f>IF(Cartera1017[[#This Row],[Fecha de Priorización Comité]]="","No definido",TEXT(Cartera1017[[#This Row],[Fecha de Priorización Comité]],"yyyy-mm"))</f>
        <v>2025-08</v>
      </c>
      <c r="AY140" s="44" t="str">
        <f>IF(Cartera1017[[#This Row],[Fecha Fin- Desarrollo]]="","No definido",TEXT(Cartera1017[[#This Row],[Fecha Fin- Desarrollo]],"yyyy-mm"))</f>
        <v>No definido</v>
      </c>
      <c r="AZ140" s="44" t="str">
        <f>IF(Cartera1017[[#This Row],[Fecha Fin- Producción]]="","No definido",TEXT(Cartera1017[[#This Row],[Fecha Fin- Producción]],"yyyy-mm"))</f>
        <v>No definido</v>
      </c>
      <c r="BA140" s="44" t="str">
        <f>IF(Cartera1017[[#This Row],[Fecha Fin-Planificada]]="","No definido",TEXT(Cartera1017[[#This Row],[Fecha Fin-Planificada]],"yyyy-mm"))</f>
        <v>No definido</v>
      </c>
      <c r="BB140" s="33"/>
      <c r="BC140" s="66"/>
      <c r="BD140" s="66"/>
      <c r="BE140" s="66"/>
      <c r="BF140" s="127"/>
      <c r="BG140" s="28" t="s">
        <v>535</v>
      </c>
      <c r="BH14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0" s="90" t="str">
        <f>IF(ISNUMBER(Cartera1017[[#This Row],[Duracion en Dias]]),Cartera1017[[#This Row],[Duracion en Dias]]/30, "No Aplica")</f>
        <v>No Aplica</v>
      </c>
      <c r="BJ140" s="109"/>
      <c r="BK140" s="28" t="s">
        <v>506</v>
      </c>
      <c r="BL140" s="110" t="s">
        <v>592</v>
      </c>
      <c r="BM140" s="342">
        <v>45923.77447916667</v>
      </c>
      <c r="BN140" s="227"/>
      <c r="BO140" s="401"/>
      <c r="BP140" s="401"/>
      <c r="BQ14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0" s="14" t="str">
        <f>IFERROR(VLOOKUP(Cartera1017[[#This Row],[Aplicativo]],Tabla76[],2,FALSE),"Sin Aplicativo")</f>
        <v>BackOffice</v>
      </c>
      <c r="BS140" s="14" t="str">
        <f>IFERROR(VLOOKUP(Cartera1017[[#This Row],[Aplicativo]],Tabla76[],3,FALSE),"Sin Aplicativo")</f>
        <v>Otros Requerimientos</v>
      </c>
      <c r="BT140" s="400" t="s">
        <v>521</v>
      </c>
      <c r="BU140" s="33"/>
      <c r="BV140" s="28"/>
      <c r="BW14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0" s="149" t="str">
        <f ca="1">IF(Cartera1017[[#This Row],[Fecha Fin2]]="","No definido",CONCATENATE(TEXT(Cartera1017[[#This Row],[Fecha Fin2]],"mmm")," ",YEAR(Cartera1017[[#This Row],[Fecha Fin2]])))</f>
        <v>No definido</v>
      </c>
      <c r="BZ140" s="28"/>
      <c r="CA140" s="48" t="str">
        <f>IF(Cartera1017[[#This Row],[Estado TI]] = "08. Producción Finalizada","Culminado",IF(Cartera1017[[#This Row],[Estado TI]]= "09. Descartado","Descartado","Activos"))</f>
        <v>Activos</v>
      </c>
      <c r="CB140" s="28"/>
      <c r="CC14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140" s="54" t="str">
        <f>IF(
AND(
Cartera1017[[#This Row],[DEVOLVER 27]]="NO",
NOT(ISBLANK(Cartera1017[[#This Row],[ESTADO NO DEVUELTOS 27]]))
),
"PRE",
"POST"
)</f>
        <v>PRE</v>
      </c>
      <c r="CE140" s="54" t="s">
        <v>509</v>
      </c>
      <c r="CF140" s="28" t="s">
        <v>48</v>
      </c>
      <c r="CG14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4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140" s="406">
        <f>Cartera1017[[#This Row],[Porcentaje de Avance]]</f>
        <v>0.15</v>
      </c>
      <c r="CK140" s="388">
        <f ca="1">IF(
   OR(
     Cartera1017[[#This Row],[Estado TI]]="09. Descartado",
     Cartera1017[[#This Row],[Comienzo Desarrollo]]="",
     Cartera1017[[#This Row],[Fin Producción]]=""
   ),
   "",
   Cartera1017[[#This Row],[% PLANIFICADO]]-Cartera1017[[#This Row],[% COMPLETADO]]
)</f>
        <v>-0.15</v>
      </c>
      <c r="CL140" s="388" t="str">
        <f ca="1">IF(
   OR(
     Cartera1017[[#This Row],[Estado TI]]="09. Descartado",
     Cartera1017[[#This Row],[Comienzo Desarrollo]]="",
     Cartera1017[[#This Row],[Fin Producción]]="",
     Cartera1017[[#This Row],[% PLANIFICADO]]=0
   ),
   "",
   MIN(Cartera1017[[#This Row],[% COMPLETADO]]/Cartera1017[[#This Row],[% PLANIFICADO]],1.2)
)</f>
        <v/>
      </c>
      <c r="CM140" s="377">
        <v>46174</v>
      </c>
      <c r="CN140" s="377">
        <v>46174</v>
      </c>
      <c r="CO140" s="377">
        <v>46234</v>
      </c>
      <c r="CP140" s="377">
        <v>46235</v>
      </c>
      <c r="CQ140" s="377">
        <v>46254</v>
      </c>
      <c r="CR140" s="377">
        <v>46266</v>
      </c>
      <c r="CS140" s="377">
        <v>46272</v>
      </c>
      <c r="CT140" s="44">
        <f>IF(Cartera1017[[#This Row],[Fin Desarrollo]]="",25,IFERROR(NETWORKDAYS(Cartera1017[[#This Row],[Comienzo Desarrollo]],Cartera1017[[#This Row],[Fin Desarrollo]],FERIADOS[Fecha]),""))</f>
        <v>42</v>
      </c>
      <c r="CU14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V140" s="44">
        <f>IF(OR(Cartera1017[[#This Row],[Comienzo Desarrollo]]="",Cartera1017[[#This Row],[Fin Desarrollo]]=""),200,IFERROR(Cartera1017[[#This Row],[DURACIÓN DESARROLLO DIAS]]*VLOOKUP(Cartera1017[[#This Row],[ID Mantenimiento]],MANT_HORAS[],2,FALSE),200))</f>
        <v>67.2</v>
      </c>
      <c r="CW140" s="110"/>
      <c r="CX140" s="110" t="str">
        <f>VLOOKUP(Cartera1017[[#This Row],[Estado TI]],Definiciones!$A$549:$B$559,2,FALSE)</f>
        <v>1. DESARROLLO</v>
      </c>
      <c r="CY140" s="28">
        <f ca="1">1-Cartera1017[[#This Row],[Porcentaje avanzado desarrollo]]</f>
        <v>1</v>
      </c>
      <c r="CZ14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140" s="28">
        <f ca="1">MAX(0,Cartera1017[[#This Row],[DURACIÓN DESARROLLO DIAS]]-Cartera1017[[#This Row],[Dias avanzados]])</f>
        <v>42</v>
      </c>
      <c r="DB140" s="28">
        <f ca="1">Cartera1017[[#This Row],[Dias avanzados]]*IFERROR(VLOOKUP(Cartera1017[[#This Row],[ID Mantenimiento]],MANT_HORAS[],2,FALSE),8)</f>
        <v>0</v>
      </c>
      <c r="DC140" s="28">
        <f ca="1">Cartera1017[[#This Row],[Dias faltantes]]*IFERROR(VLOOKUP(Cartera1017[[#This Row],[ID Mantenimiento]],MANT_HORAS[],2,FALSE),8)</f>
        <v>67.2</v>
      </c>
      <c r="DD140" s="28" t="str">
        <f>IF(Cartera1017[[#This Row],[Fin Producción]]=0,"Por definir",CONCATENATE(YEAR(Cartera1017[[#This Row],[Fin Producción]]),"-",ROUNDUP(MONTH(Cartera1017[[#This Row],[Fin Producción]]),0)))</f>
        <v>2026-9</v>
      </c>
      <c r="DE140" s="18" t="s">
        <v>510</v>
      </c>
      <c r="DF140" s="28"/>
      <c r="DG140" s="28"/>
      <c r="DH140" s="565"/>
    </row>
    <row r="141" spans="1:112" ht="44.25" hidden="1" customHeight="1">
      <c r="A141" s="229" t="s">
        <v>1504</v>
      </c>
      <c r="B141" s="18">
        <v>2989</v>
      </c>
      <c r="C141" s="18" t="s">
        <v>485</v>
      </c>
      <c r="D141" s="18" t="s">
        <v>1505</v>
      </c>
      <c r="E141" s="18" t="s">
        <v>294</v>
      </c>
      <c r="F141" s="19" t="s">
        <v>295</v>
      </c>
      <c r="G141" s="33"/>
      <c r="H141" s="18" t="s">
        <v>136</v>
      </c>
      <c r="I141" s="18" t="s">
        <v>938</v>
      </c>
      <c r="J141" s="18" t="s">
        <v>939</v>
      </c>
      <c r="K141" s="20"/>
      <c r="L141" s="18" t="s">
        <v>528</v>
      </c>
      <c r="M141" s="50" t="s">
        <v>941</v>
      </c>
      <c r="N141" s="50"/>
      <c r="O141" s="18" t="s">
        <v>530</v>
      </c>
      <c r="P141" s="18" t="s">
        <v>495</v>
      </c>
      <c r="Q141" s="18" t="s">
        <v>496</v>
      </c>
      <c r="R141" s="18" t="s">
        <v>497</v>
      </c>
      <c r="S141" s="18"/>
      <c r="T141" s="18"/>
      <c r="U141" s="18"/>
      <c r="V141" s="18"/>
      <c r="W141" s="18"/>
      <c r="X141" s="18"/>
      <c r="Y141" s="80"/>
      <c r="Z141" s="18" t="s">
        <v>532</v>
      </c>
      <c r="AA141" s="20">
        <v>45898</v>
      </c>
      <c r="AB141" s="18" t="s">
        <v>533</v>
      </c>
      <c r="AC141" s="18"/>
      <c r="AD141" s="18" t="s">
        <v>1506</v>
      </c>
      <c r="AE141" s="18" t="s">
        <v>63</v>
      </c>
      <c r="AF141" s="18" t="s">
        <v>28</v>
      </c>
      <c r="AG141" s="14" t="str">
        <f>VLOOKUP(AF141,Tabla3[[Estado Requerimiento]:[Macro estado]],2,FALSE)</f>
        <v>04. Paralizado</v>
      </c>
      <c r="AH141" s="18"/>
      <c r="AI141" s="80"/>
      <c r="AJ141" s="80"/>
      <c r="AK141" s="80">
        <v>45974</v>
      </c>
      <c r="AL141" s="80">
        <v>45958</v>
      </c>
      <c r="AM141" s="80"/>
      <c r="AN141" s="80"/>
      <c r="AO141" s="80"/>
      <c r="AP141" s="81">
        <f t="shared" si="4"/>
        <v>45951.6</v>
      </c>
      <c r="AQ141" s="80"/>
      <c r="AR141" s="80"/>
      <c r="AS141" s="81">
        <f t="shared" si="5"/>
        <v>45958.6</v>
      </c>
      <c r="AT141" s="19" t="s">
        <v>1507</v>
      </c>
      <c r="AU141" s="44" t="str">
        <f>VLOOKUP(Cartera1017[[#This Row],[Gerencia]],tbGerencia[#All],3,FALSE)</f>
        <v>GerenciaGral.</v>
      </c>
      <c r="AV141" s="44" t="str">
        <f>IFERROR(VLOOKUP(Cartera1017[[#This Row],[Subgerencia]],Definiciones!$A$90:$B$144,2,FALSE),"")</f>
        <v>ClienteReclamos</v>
      </c>
      <c r="AW141" s="44" t="str">
        <f>IF(OR(LEN(Cartera1017[[#This Row],[Fecha de Solicitud]])=0,(Cartera1017[[#This Row],[Fecha de Solicitud]])="No definido"),"No definido",IF(YEAR(Cartera1017[[#This Row],[Fecha de Solicitud]])&lt;2023," &lt;  2023",TEXT(Cartera1017[[#This Row],[Fecha de Solicitud]],"yyyy-mm")))</f>
        <v>No definido</v>
      </c>
      <c r="AX141" s="44" t="str">
        <f>IF(Cartera1017[[#This Row],[Fecha de Priorización Comité]]="","No definido",TEXT(Cartera1017[[#This Row],[Fecha de Priorización Comité]],"yyyy-mm"))</f>
        <v>2025-08</v>
      </c>
      <c r="AY141" s="44" t="str">
        <f>IF(Cartera1017[[#This Row],[Fecha Fin- Desarrollo]]="","No definido",TEXT(Cartera1017[[#This Row],[Fecha Fin- Desarrollo]],"yyyy-mm"))</f>
        <v>2025-10</v>
      </c>
      <c r="AZ141" s="44" t="str">
        <f>IF(Cartera1017[[#This Row],[Fecha Fin- Producción]]="","No definido",TEXT(Cartera1017[[#This Row],[Fecha Fin- Producción]],"yyyy-mm"))</f>
        <v>No definido</v>
      </c>
      <c r="BA141" s="44" t="str">
        <f>IF(Cartera1017[[#This Row],[Fecha Fin-Planificada]]="","No definido",TEXT(Cartera1017[[#This Row],[Fecha Fin-Planificada]],"yyyy-mm"))</f>
        <v>2025-10</v>
      </c>
      <c r="BB141" s="33"/>
      <c r="BC141" s="66"/>
      <c r="BD141" s="66"/>
      <c r="BE141" s="66"/>
      <c r="BF141" s="127"/>
      <c r="BG141" s="28" t="s">
        <v>535</v>
      </c>
      <c r="BH14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1" s="90" t="str">
        <f>IF(ISNUMBER(Cartera1017[[#This Row],[Duracion en Dias]]),Cartera1017[[#This Row],[Duracion en Dias]]/30, "No Aplica")</f>
        <v>No Aplica</v>
      </c>
      <c r="BJ141" s="109"/>
      <c r="BK141" s="28" t="s">
        <v>506</v>
      </c>
      <c r="BL141" s="110" t="s">
        <v>562</v>
      </c>
      <c r="BM141" s="342">
        <v>46139.522997685184</v>
      </c>
      <c r="BN141" s="227"/>
      <c r="BO141" s="401"/>
      <c r="BP141" s="401"/>
      <c r="BQ14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41" s="14" t="str">
        <f>IFERROR(VLOOKUP(Cartera1017[[#This Row],[Aplicativo]],Tabla76[],2,FALSE),"Sin Aplicativo")</f>
        <v>BackOffice</v>
      </c>
      <c r="BS141" s="14" t="str">
        <f>IFERROR(VLOOKUP(Cartera1017[[#This Row],[Aplicativo]],Tabla76[],3,FALSE),"Sin Aplicativo")</f>
        <v>Otros Requerimientos</v>
      </c>
      <c r="BT141" s="400" t="s">
        <v>521</v>
      </c>
      <c r="BU141" s="33"/>
      <c r="BV141" s="28"/>
      <c r="BW14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1" s="149" t="str">
        <f ca="1">IF(Cartera1017[[#This Row],[Fecha Fin2]]="","No definido",CONCATENATE(TEXT(Cartera1017[[#This Row],[Fecha Fin2]],"mmm")," ",YEAR(Cartera1017[[#This Row],[Fecha Fin2]])))</f>
        <v>No definido</v>
      </c>
      <c r="BZ141" s="28"/>
      <c r="CA141" s="48" t="str">
        <f>IF(Cartera1017[[#This Row],[Estado TI]] = "08. Producción Finalizada","Culminado",IF(Cartera1017[[#This Row],[Estado TI]]= "09. Descartado","Descartado","Activos"))</f>
        <v>Activos</v>
      </c>
      <c r="CB141" s="28"/>
      <c r="CC14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41" s="54" t="str">
        <f>IF(
AND(
Cartera1017[[#This Row],[DEVOLVER 27]]="NO",
NOT(ISBLANK(Cartera1017[[#This Row],[ESTADO NO DEVUELTOS 27]]))
),
"PRE",
"POST"
)</f>
        <v>PRE</v>
      </c>
      <c r="CE141" s="54" t="s">
        <v>509</v>
      </c>
      <c r="CF141" s="28" t="s">
        <v>48</v>
      </c>
      <c r="CG14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4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4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0.27941176470588236</v>
      </c>
      <c r="CJ141" s="406">
        <f>Cartera1017[[#This Row],[Porcentaje de Avance]]</f>
        <v>0.12</v>
      </c>
      <c r="CK141" s="388">
        <f ca="1">IF(
   OR(
     Cartera1017[[#This Row],[Estado TI]]="09. Descartado",
     Cartera1017[[#This Row],[Comienzo Desarrollo]]="",
     Cartera1017[[#This Row],[Fin Producción]]=""
   ),
   "",
   Cartera1017[[#This Row],[% PLANIFICADO]]-Cartera1017[[#This Row],[% COMPLETADO]]
)</f>
        <v>0.15941176470588236</v>
      </c>
      <c r="CL141" s="388">
        <f ca="1">IF(
   OR(
     Cartera1017[[#This Row],[Estado TI]]="09. Descartado",
     Cartera1017[[#This Row],[Comienzo Desarrollo]]="",
     Cartera1017[[#This Row],[Fin Producción]]="",
     Cartera1017[[#This Row],[% PLANIFICADO]]=0
   ),
   "",
   MIN(Cartera1017[[#This Row],[% COMPLETADO]]/Cartera1017[[#This Row],[% PLANIFICADO]],1.2)
)</f>
        <v>0.42947368421052629</v>
      </c>
      <c r="CM141" s="377">
        <v>45974</v>
      </c>
      <c r="CN141" s="377">
        <v>46083</v>
      </c>
      <c r="CO141" s="377">
        <v>46332</v>
      </c>
      <c r="CP141" s="377">
        <v>46332</v>
      </c>
      <c r="CQ141" s="377">
        <v>46356</v>
      </c>
      <c r="CR141" s="377">
        <v>46356</v>
      </c>
      <c r="CS141" s="377">
        <v>46374</v>
      </c>
      <c r="CT141" s="44">
        <f>IF(Cartera1017[[#This Row],[Fin Desarrollo]]="",25,IFERROR(NETWORKDAYS(Cartera1017[[#This Row],[Comienzo Desarrollo]],Cartera1017[[#This Row],[Fin Desarrollo]],FERIADOS[Fecha]),""))</f>
        <v>175</v>
      </c>
      <c r="CU14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0.31666666666666665</v>
      </c>
      <c r="CV141" s="44">
        <f>IF(OR(Cartera1017[[#This Row],[Comienzo Desarrollo]]="",Cartera1017[[#This Row],[Fin Desarrollo]]=""),200,IFERROR(Cartera1017[[#This Row],[DURACIÓN DESARROLLO DIAS]]*VLOOKUP(Cartera1017[[#This Row],[ID Mantenimiento]],MANT_HORAS[],2,FALSE),200))</f>
        <v>200</v>
      </c>
      <c r="CW141" s="110"/>
      <c r="CX141" s="110" t="str">
        <f>VLOOKUP(Cartera1017[[#This Row],[Estado TI]],Definiciones!$A$549:$B$559,2,FALSE)</f>
        <v>6. PARALIZADO</v>
      </c>
      <c r="CY141" s="28">
        <f ca="1">1-Cartera1017[[#This Row],[Porcentaje avanzado desarrollo]]</f>
        <v>0.68333333333333335</v>
      </c>
      <c r="CZ14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56</v>
      </c>
      <c r="DA141" s="28">
        <f ca="1">MAX(0,Cartera1017[[#This Row],[DURACIÓN DESARROLLO DIAS]]-Cartera1017[[#This Row],[Dias avanzados]])</f>
        <v>119</v>
      </c>
      <c r="DB141" s="28">
        <f ca="1">Cartera1017[[#This Row],[Dias avanzados]]*IFERROR(VLOOKUP(Cartera1017[[#This Row],[ID Mantenimiento]],MANT_HORAS[],2,FALSE),8)</f>
        <v>448</v>
      </c>
      <c r="DC141" s="28">
        <f ca="1">Cartera1017[[#This Row],[Dias faltantes]]*IFERROR(VLOOKUP(Cartera1017[[#This Row],[ID Mantenimiento]],MANT_HORAS[],2,FALSE),8)</f>
        <v>952</v>
      </c>
      <c r="DD141" s="28" t="str">
        <f>IF(Cartera1017[[#This Row],[Fin Producción]]=0,"Por definir",CONCATENATE(YEAR(Cartera1017[[#This Row],[Fin Producción]]),"-",ROUNDUP(MONTH(Cartera1017[[#This Row],[Fin Producción]]),0)))</f>
        <v>2026-12</v>
      </c>
      <c r="DE141" s="18" t="s">
        <v>510</v>
      </c>
      <c r="DF141" s="28"/>
      <c r="DG141" s="28"/>
      <c r="DH141" s="565"/>
    </row>
    <row r="142" spans="1:112" ht="44.25" hidden="1" customHeight="1">
      <c r="A142" s="229" t="s">
        <v>1508</v>
      </c>
      <c r="B142" s="18">
        <v>2993</v>
      </c>
      <c r="C142" s="18" t="s">
        <v>485</v>
      </c>
      <c r="D142" s="18" t="s">
        <v>1509</v>
      </c>
      <c r="E142" s="18" t="s">
        <v>298</v>
      </c>
      <c r="F142" s="33" t="s">
        <v>299</v>
      </c>
      <c r="G142" s="33"/>
      <c r="H142" s="18" t="s">
        <v>108</v>
      </c>
      <c r="I142" s="18" t="s">
        <v>811</v>
      </c>
      <c r="J142" s="18" t="s">
        <v>500</v>
      </c>
      <c r="K142" s="20"/>
      <c r="L142" s="18" t="s">
        <v>528</v>
      </c>
      <c r="M142" s="50" t="s">
        <v>556</v>
      </c>
      <c r="N142" s="50"/>
      <c r="O142" s="18" t="s">
        <v>670</v>
      </c>
      <c r="P142" s="18" t="s">
        <v>495</v>
      </c>
      <c r="Q142" s="18" t="s">
        <v>496</v>
      </c>
      <c r="R142" s="18" t="s">
        <v>531</v>
      </c>
      <c r="S142" s="18"/>
      <c r="T142" s="18"/>
      <c r="U142" s="18"/>
      <c r="V142" s="18"/>
      <c r="W142" s="18"/>
      <c r="X142" s="18"/>
      <c r="Y142" s="80"/>
      <c r="Z142" s="18" t="s">
        <v>532</v>
      </c>
      <c r="AA142" s="20">
        <v>45898</v>
      </c>
      <c r="AB142" s="18" t="s">
        <v>500</v>
      </c>
      <c r="AC142" s="18"/>
      <c r="AD142" s="18" t="s">
        <v>30</v>
      </c>
      <c r="AE142" s="18" t="s">
        <v>109</v>
      </c>
      <c r="AF142" s="18" t="s">
        <v>48</v>
      </c>
      <c r="AG142" s="14" t="str">
        <f>VLOOKUP(AF142,Tabla3[[Estado Requerimiento]:[Macro estado]],2,FALSE)</f>
        <v>02. En Proceso</v>
      </c>
      <c r="AH142" s="18"/>
      <c r="AI142" s="80"/>
      <c r="AJ142" s="80"/>
      <c r="AK142" s="80"/>
      <c r="AL142" s="80"/>
      <c r="AM142" s="80"/>
      <c r="AN142" s="80"/>
      <c r="AO142" s="80"/>
      <c r="AP142" s="81" t="str">
        <f t="shared" si="4"/>
        <v/>
      </c>
      <c r="AQ142" s="80"/>
      <c r="AR142" s="80"/>
      <c r="AS142" s="81" t="str">
        <f t="shared" si="5"/>
        <v/>
      </c>
      <c r="AT142" s="19" t="s">
        <v>1510</v>
      </c>
      <c r="AU142" s="44" t="str">
        <f>VLOOKUP(Cartera1017[[#This Row],[Gerencia]],tbGerencia[#All],3,FALSE)</f>
        <v>TI</v>
      </c>
      <c r="AV142" s="44" t="str">
        <f>IFERROR(VLOOKUP(Cartera1017[[#This Row],[Subgerencia]],Definiciones!$A$90:$B$144,2,FALSE),"")</f>
        <v>ConstrucciónAplicaciones</v>
      </c>
      <c r="AW142" s="44" t="str">
        <f>IF(OR(LEN(Cartera1017[[#This Row],[Fecha de Solicitud]])=0,(Cartera1017[[#This Row],[Fecha de Solicitud]])="No definido"),"No definido",IF(YEAR(Cartera1017[[#This Row],[Fecha de Solicitud]])&lt;2023," &lt;  2023",TEXT(Cartera1017[[#This Row],[Fecha de Solicitud]],"yyyy-mm")))</f>
        <v>No definido</v>
      </c>
      <c r="AX142" s="44" t="str">
        <f>IF(Cartera1017[[#This Row],[Fecha de Priorización Comité]]="","No definido",TEXT(Cartera1017[[#This Row],[Fecha de Priorización Comité]],"yyyy-mm"))</f>
        <v>2025-08</v>
      </c>
      <c r="AY142" s="44" t="str">
        <f>IF(Cartera1017[[#This Row],[Fecha Fin- Desarrollo]]="","No definido",TEXT(Cartera1017[[#This Row],[Fecha Fin- Desarrollo]],"yyyy-mm"))</f>
        <v>No definido</v>
      </c>
      <c r="AZ142" s="44" t="str">
        <f>IF(Cartera1017[[#This Row],[Fecha Fin- Producción]]="","No definido",TEXT(Cartera1017[[#This Row],[Fecha Fin- Producción]],"yyyy-mm"))</f>
        <v>No definido</v>
      </c>
      <c r="BA142" s="44" t="str">
        <f>IF(Cartera1017[[#This Row],[Fecha Fin-Planificada]]="","No definido",TEXT(Cartera1017[[#This Row],[Fecha Fin-Planificada]],"yyyy-mm"))</f>
        <v>No definido</v>
      </c>
      <c r="BB142" s="33"/>
      <c r="BC142" s="66"/>
      <c r="BD142" s="66"/>
      <c r="BE142" s="66"/>
      <c r="BF142" s="127"/>
      <c r="BG142" s="28" t="s">
        <v>535</v>
      </c>
      <c r="BH14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42" s="90" t="str">
        <f>IF(ISNUMBER(Cartera1017[[#This Row],[Duracion en Dias]]),Cartera1017[[#This Row],[Duracion en Dias]]/30, "No Aplica")</f>
        <v>No Aplica</v>
      </c>
      <c r="BJ142" s="109"/>
      <c r="BK142" s="28" t="s">
        <v>506</v>
      </c>
      <c r="BL142" s="110" t="s">
        <v>581</v>
      </c>
      <c r="BM142" s="342">
        <v>45951.534687500003</v>
      </c>
      <c r="BN142" s="227"/>
      <c r="BO142" s="401"/>
      <c r="BP142" s="401"/>
      <c r="BQ14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2" s="14" t="str">
        <f>IFERROR(VLOOKUP(Cartera1017[[#This Row],[Aplicativo]],Tabla76[],2,FALSE),"Sin Aplicativo")</f>
        <v>ATM-Agentes-VISA</v>
      </c>
      <c r="BS142" s="14" t="str">
        <f>IFERROR(VLOOKUP(Cartera1017[[#This Row],[Aplicativo]],Tabla76[],3,FALSE),"Sin Aplicativo")</f>
        <v>Canales Presenciales</v>
      </c>
      <c r="BT142" s="400" t="s">
        <v>521</v>
      </c>
      <c r="BU142" s="33"/>
      <c r="BV142" s="28"/>
      <c r="BW14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2" s="149" t="str">
        <f ca="1">IF(Cartera1017[[#This Row],[Fecha Fin2]]="","No definido",CONCATENATE(TEXT(Cartera1017[[#This Row],[Fecha Fin2]],"mmm")," ",YEAR(Cartera1017[[#This Row],[Fecha Fin2]])))</f>
        <v>No definido</v>
      </c>
      <c r="BZ142" s="28"/>
      <c r="CA142" s="48" t="str">
        <f>IF(Cartera1017[[#This Row],[Estado TI]] = "08. Producción Finalizada","Culminado",IF(Cartera1017[[#This Row],[Estado TI]]= "09. Descartado","Descartado","Activos"))</f>
        <v>Activos</v>
      </c>
      <c r="CB142" s="28"/>
      <c r="CC14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142" s="54" t="str">
        <f>IF(
AND(
Cartera1017[[#This Row],[DEVOLVER 27]]="NO",
NOT(ISBLANK(Cartera1017[[#This Row],[ESTADO NO DEVUELTOS 27]]))
),
"PRE",
"POST"
)</f>
        <v>PRE</v>
      </c>
      <c r="CE142" s="54" t="s">
        <v>509</v>
      </c>
      <c r="CF142" s="399" t="s">
        <v>48</v>
      </c>
      <c r="CG142"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4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2" s="406">
        <f>Cartera1017[[#This Row],[Porcentaje de Avance]]</f>
        <v>0.45</v>
      </c>
      <c r="CK142" s="418">
        <f ca="1">IF(
   OR(
     Cartera1017[[#This Row],[Estado TI]]="09. Descartado",
     Cartera1017[[#This Row],[Comienzo Desarrollo]]="",
     Cartera1017[[#This Row],[Fin Producción]]=""
   ),
   "",
   Cartera1017[[#This Row],[% PLANIFICADO]]-Cartera1017[[#This Row],[% COMPLETADO]]
)</f>
        <v>0.55000000000000004</v>
      </c>
      <c r="CL142" s="418">
        <f ca="1">IF(
   OR(
     Cartera1017[[#This Row],[Estado TI]]="09. Descartado",
     Cartera1017[[#This Row],[Comienzo Desarrollo]]="",
     Cartera1017[[#This Row],[Fin Producción]]="",
     Cartera1017[[#This Row],[% PLANIFICADO]]=0
   ),
   "",
   MIN(Cartera1017[[#This Row],[% COMPLETADO]]/Cartera1017[[#This Row],[% PLANIFICADO]],1.2)
)</f>
        <v>0.45</v>
      </c>
      <c r="CM142" s="423">
        <v>45964</v>
      </c>
      <c r="CN142" s="377">
        <v>46083</v>
      </c>
      <c r="CO142" s="377">
        <v>46109</v>
      </c>
      <c r="CP142" s="377">
        <v>46108</v>
      </c>
      <c r="CQ142" s="377">
        <v>46114</v>
      </c>
      <c r="CR142" s="377">
        <v>46118</v>
      </c>
      <c r="CS142" s="377">
        <v>46122</v>
      </c>
      <c r="CT142" s="44">
        <f>IF(Cartera1017[[#This Row],[Fin Desarrollo]]="",25,IFERROR(NETWORKDAYS(Cartera1017[[#This Row],[Comienzo Desarrollo]],Cartera1017[[#This Row],[Fin Desarrollo]],FERIADOS[Fecha]),""))</f>
        <v>20</v>
      </c>
      <c r="CU14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42" s="44">
        <f>IF(OR(Cartera1017[[#This Row],[Comienzo Desarrollo]]="",Cartera1017[[#This Row],[Fin Desarrollo]]=""),200,IFERROR(Cartera1017[[#This Row],[DURACIÓN DESARROLLO DIAS]]*VLOOKUP(Cartera1017[[#This Row],[ID Mantenimiento]],MANT_HORAS[],2,FALSE),200))</f>
        <v>14.545454545454547</v>
      </c>
      <c r="CW142" s="110"/>
      <c r="CX142" s="110" t="str">
        <f>VLOOKUP(Cartera1017[[#This Row],[Estado TI]],Definiciones!$A$549:$B$559,2,FALSE)</f>
        <v>1. DESARROLLO</v>
      </c>
      <c r="CY142" s="28">
        <f ca="1">1-Cartera1017[[#This Row],[Porcentaje avanzado desarrollo]]</f>
        <v>0</v>
      </c>
      <c r="CZ14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42" s="28">
        <f ca="1">MAX(0,Cartera1017[[#This Row],[DURACIÓN DESARROLLO DIAS]]-Cartera1017[[#This Row],[Dias avanzados]])</f>
        <v>0</v>
      </c>
      <c r="DB142" s="28">
        <f ca="1">Cartera1017[[#This Row],[Dias avanzados]]*IFERROR(VLOOKUP(Cartera1017[[#This Row],[ID Mantenimiento]],MANT_HORAS[],2,FALSE),8)</f>
        <v>14.545454545454547</v>
      </c>
      <c r="DC142" s="28">
        <f ca="1">Cartera1017[[#This Row],[Dias faltantes]]*IFERROR(VLOOKUP(Cartera1017[[#This Row],[ID Mantenimiento]],MANT_HORAS[],2,FALSE),8)</f>
        <v>0</v>
      </c>
      <c r="DD142" s="28" t="str">
        <f>IF(Cartera1017[[#This Row],[Fin Producción]]=0,"Por definir",CONCATENATE(YEAR(Cartera1017[[#This Row],[Fin Producción]]),"-",ROUNDUP(MONTH(Cartera1017[[#This Row],[Fin Producción]]),0)))</f>
        <v>2026-4</v>
      </c>
      <c r="DE142" s="18" t="s">
        <v>510</v>
      </c>
      <c r="DF142" s="28"/>
      <c r="DG142" s="28"/>
      <c r="DH142" s="565"/>
    </row>
    <row r="143" spans="1:112" ht="44.25" hidden="1" customHeight="1">
      <c r="A143" s="229" t="s">
        <v>1511</v>
      </c>
      <c r="B143" s="18">
        <v>2996</v>
      </c>
      <c r="C143" s="18" t="s">
        <v>485</v>
      </c>
      <c r="D143" s="18" t="s">
        <v>1512</v>
      </c>
      <c r="E143" s="18" t="s">
        <v>300</v>
      </c>
      <c r="F143" s="33" t="s">
        <v>301</v>
      </c>
      <c r="G143" s="33"/>
      <c r="H143" s="18" t="s">
        <v>108</v>
      </c>
      <c r="I143" s="18" t="s">
        <v>811</v>
      </c>
      <c r="J143" s="18" t="s">
        <v>500</v>
      </c>
      <c r="K143" s="20"/>
      <c r="L143" s="18" t="s">
        <v>528</v>
      </c>
      <c r="M143" s="50" t="s">
        <v>664</v>
      </c>
      <c r="N143" s="50"/>
      <c r="O143" s="18" t="s">
        <v>530</v>
      </c>
      <c r="P143" s="18" t="s">
        <v>495</v>
      </c>
      <c r="Q143" s="18" t="s">
        <v>496</v>
      </c>
      <c r="R143" s="18" t="s">
        <v>497</v>
      </c>
      <c r="S143" s="18"/>
      <c r="T143" s="18"/>
      <c r="U143" s="18"/>
      <c r="V143" s="18"/>
      <c r="W143" s="18"/>
      <c r="X143" s="18"/>
      <c r="Y143" s="80"/>
      <c r="Z143" s="18" t="s">
        <v>532</v>
      </c>
      <c r="AA143" s="20">
        <v>45898</v>
      </c>
      <c r="AB143" s="18" t="s">
        <v>500</v>
      </c>
      <c r="AC143" s="18"/>
      <c r="AD143" s="18" t="s">
        <v>54</v>
      </c>
      <c r="AE143" s="18" t="s">
        <v>109</v>
      </c>
      <c r="AF143" s="18" t="s">
        <v>48</v>
      </c>
      <c r="AG143" s="14" t="str">
        <f>VLOOKUP(AF143,Tabla3[[Estado Requerimiento]:[Macro estado]],2,FALSE)</f>
        <v>02. En Proceso</v>
      </c>
      <c r="AH143" s="18"/>
      <c r="AI143" s="80"/>
      <c r="AJ143" s="80"/>
      <c r="AK143" s="80">
        <v>45985</v>
      </c>
      <c r="AL143" s="80">
        <v>45960</v>
      </c>
      <c r="AM143" s="80"/>
      <c r="AN143" s="80"/>
      <c r="AO143" s="80"/>
      <c r="AP143" s="81">
        <f t="shared" si="4"/>
        <v>45950</v>
      </c>
      <c r="AQ143" s="80"/>
      <c r="AR143" s="80"/>
      <c r="AS143" s="81">
        <f t="shared" si="5"/>
        <v>45957</v>
      </c>
      <c r="AT143" s="19" t="s">
        <v>1513</v>
      </c>
      <c r="AU143" s="44" t="str">
        <f>VLOOKUP(Cartera1017[[#This Row],[Gerencia]],tbGerencia[#All],3,FALSE)</f>
        <v>TI</v>
      </c>
      <c r="AV143" s="44" t="str">
        <f>IFERROR(VLOOKUP(Cartera1017[[#This Row],[Subgerencia]],Definiciones!$A$90:$B$144,2,FALSE),"")</f>
        <v>ConstrucciónAplicaciones</v>
      </c>
      <c r="AW143" s="44" t="str">
        <f>IF(OR(LEN(Cartera1017[[#This Row],[Fecha de Solicitud]])=0,(Cartera1017[[#This Row],[Fecha de Solicitud]])="No definido"),"No definido",IF(YEAR(Cartera1017[[#This Row],[Fecha de Solicitud]])&lt;2023," &lt;  2023",TEXT(Cartera1017[[#This Row],[Fecha de Solicitud]],"yyyy-mm")))</f>
        <v>No definido</v>
      </c>
      <c r="AX143" s="44" t="str">
        <f>IF(Cartera1017[[#This Row],[Fecha de Priorización Comité]]="","No definido",TEXT(Cartera1017[[#This Row],[Fecha de Priorización Comité]],"yyyy-mm"))</f>
        <v>2025-08</v>
      </c>
      <c r="AY143" s="44" t="str">
        <f>IF(Cartera1017[[#This Row],[Fecha Fin- Desarrollo]]="","No definido",TEXT(Cartera1017[[#This Row],[Fecha Fin- Desarrollo]],"yyyy-mm"))</f>
        <v>2025-10</v>
      </c>
      <c r="AZ143" s="44" t="str">
        <f>IF(Cartera1017[[#This Row],[Fecha Fin- Producción]]="","No definido",TEXT(Cartera1017[[#This Row],[Fecha Fin- Producción]],"yyyy-mm"))</f>
        <v>No definido</v>
      </c>
      <c r="BA143" s="44" t="str">
        <f>IF(Cartera1017[[#This Row],[Fecha Fin-Planificada]]="","No definido",TEXT(Cartera1017[[#This Row],[Fecha Fin-Planificada]],"yyyy-mm"))</f>
        <v>2025-10</v>
      </c>
      <c r="BB143" s="33"/>
      <c r="BC143" s="66"/>
      <c r="BD143" s="66"/>
      <c r="BE143" s="66"/>
      <c r="BF143" s="127"/>
      <c r="BG143" s="28" t="s">
        <v>535</v>
      </c>
      <c r="BH14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3" s="90" t="str">
        <f>IF(ISNUMBER(Cartera1017[[#This Row],[Duracion en Dias]]),Cartera1017[[#This Row],[Duracion en Dias]]/30, "No Aplica")</f>
        <v>No Aplica</v>
      </c>
      <c r="BJ143" s="109"/>
      <c r="BK143" s="28" t="s">
        <v>506</v>
      </c>
      <c r="BL143" s="110" t="s">
        <v>592</v>
      </c>
      <c r="BM143" s="342">
        <v>46155.469907407409</v>
      </c>
      <c r="BN143" s="227"/>
      <c r="BO143" s="401"/>
      <c r="BP143" s="401"/>
      <c r="BQ14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43" s="14" t="str">
        <f>IFERROR(VLOOKUP(Cartera1017[[#This Row],[Aplicativo]],Tabla76[],2,FALSE),"Sin Aplicativo")</f>
        <v>BackOffice</v>
      </c>
      <c r="BS143" s="14" t="str">
        <f>IFERROR(VLOOKUP(Cartera1017[[#This Row],[Aplicativo]],Tabla76[],3,FALSE),"Sin Aplicativo")</f>
        <v>Otros Requerimientos</v>
      </c>
      <c r="BT143" s="400" t="s">
        <v>521</v>
      </c>
      <c r="BU143" s="33"/>
      <c r="BV143" s="28"/>
      <c r="BW14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3" s="149" t="str">
        <f ca="1">IF(Cartera1017[[#This Row],[Fecha Fin2]]="","No definido",CONCATENATE(TEXT(Cartera1017[[#This Row],[Fecha Fin2]],"mmm")," ",YEAR(Cartera1017[[#This Row],[Fecha Fin2]])))</f>
        <v>No definido</v>
      </c>
      <c r="BZ143" s="28"/>
      <c r="CA143" s="48" t="str">
        <f>IF(Cartera1017[[#This Row],[Estado TI]] = "08. Producción Finalizada","Culminado",IF(Cartera1017[[#This Row],[Estado TI]]= "09. Descartado","Descartado","Activos"))</f>
        <v>Activos</v>
      </c>
      <c r="CB143" s="28"/>
      <c r="CC14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143" s="54" t="str">
        <f>IF(
AND(
Cartera1017[[#This Row],[DEVOLVER 27]]="NO",
NOT(ISBLANK(Cartera1017[[#This Row],[ESTADO NO DEVUELTOS 27]]))
),
"PRE",
"POST"
)</f>
        <v>PRE</v>
      </c>
      <c r="CE143" s="54" t="s">
        <v>509</v>
      </c>
      <c r="CF143" s="399" t="s">
        <v>48</v>
      </c>
      <c r="CG143"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4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3" s="406">
        <f>Cartera1017[[#This Row],[Porcentaje de Avance]]</f>
        <v>0.15</v>
      </c>
      <c r="CK143" s="402">
        <f ca="1">IF(
   OR(
     Cartera1017[[#This Row],[Estado TI]]="09. Descartado",
     Cartera1017[[#This Row],[Comienzo Desarrollo]]="",
     Cartera1017[[#This Row],[Fin Producción]]=""
   ),
   "",
   Cartera1017[[#This Row],[% PLANIFICADO]]-Cartera1017[[#This Row],[% COMPLETADO]]
)</f>
        <v>0.85</v>
      </c>
      <c r="CL143" s="402">
        <f ca="1">IF(
   OR(
     Cartera1017[[#This Row],[Estado TI]]="09. Descartado",
     Cartera1017[[#This Row],[Comienzo Desarrollo]]="",
     Cartera1017[[#This Row],[Fin Producción]]="",
     Cartera1017[[#This Row],[% PLANIFICADO]]=0
   ),
   "",
   MIN(Cartera1017[[#This Row],[% COMPLETADO]]/Cartera1017[[#This Row],[% PLANIFICADO]],1.2)
)</f>
        <v>0.15</v>
      </c>
      <c r="CM143" s="427">
        <v>45985</v>
      </c>
      <c r="CN143" s="377">
        <v>46083</v>
      </c>
      <c r="CO143" s="377">
        <v>46104</v>
      </c>
      <c r="CP143" s="377">
        <v>46106</v>
      </c>
      <c r="CQ143" s="377">
        <v>46113</v>
      </c>
      <c r="CR143" s="377">
        <v>46117</v>
      </c>
      <c r="CS143" s="377">
        <v>46127</v>
      </c>
      <c r="CT143" s="44">
        <f>IF(Cartera1017[[#This Row],[Fin Desarrollo]]="",25,IFERROR(NETWORKDAYS(Cartera1017[[#This Row],[Comienzo Desarrollo]],Cartera1017[[#This Row],[Fin Desarrollo]],FERIADOS[Fecha]),""))</f>
        <v>16</v>
      </c>
      <c r="CU14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43" s="44">
        <f>IF(OR(Cartera1017[[#This Row],[Comienzo Desarrollo]]="",Cartera1017[[#This Row],[Fin Desarrollo]]=""),200,IFERROR(Cartera1017[[#This Row],[DURACIÓN DESARROLLO DIAS]]*VLOOKUP(Cartera1017[[#This Row],[ID Mantenimiento]],MANT_HORAS[],2,FALSE),200))</f>
        <v>18.285714285714285</v>
      </c>
      <c r="CW143" s="110"/>
      <c r="CX143" s="110" t="str">
        <f>VLOOKUP(Cartera1017[[#This Row],[Estado TI]],Definiciones!$A$549:$B$559,2,FALSE)</f>
        <v>1. DESARROLLO</v>
      </c>
      <c r="CY143" s="28">
        <f ca="1">1-Cartera1017[[#This Row],[Porcentaje avanzado desarrollo]]</f>
        <v>0</v>
      </c>
      <c r="CZ14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16</v>
      </c>
      <c r="DA143" s="28">
        <f ca="1">MAX(0,Cartera1017[[#This Row],[DURACIÓN DESARROLLO DIAS]]-Cartera1017[[#This Row],[Dias avanzados]])</f>
        <v>0</v>
      </c>
      <c r="DB143" s="28">
        <f ca="1">Cartera1017[[#This Row],[Dias avanzados]]*IFERROR(VLOOKUP(Cartera1017[[#This Row],[ID Mantenimiento]],MANT_HORAS[],2,FALSE),8)</f>
        <v>18.285714285714285</v>
      </c>
      <c r="DC143" s="28">
        <f ca="1">Cartera1017[[#This Row],[Dias faltantes]]*IFERROR(VLOOKUP(Cartera1017[[#This Row],[ID Mantenimiento]],MANT_HORAS[],2,FALSE),8)</f>
        <v>0</v>
      </c>
      <c r="DD143" s="28" t="str">
        <f>IF(Cartera1017[[#This Row],[Fin Producción]]=0,"Por definir",CONCATENATE(YEAR(Cartera1017[[#This Row],[Fin Producción]]),"-",ROUNDUP(MONTH(Cartera1017[[#This Row],[Fin Producción]]),0)))</f>
        <v>2026-4</v>
      </c>
      <c r="DE143" s="18" t="s">
        <v>510</v>
      </c>
      <c r="DF143" s="28"/>
      <c r="DG143" s="28"/>
      <c r="DH143" s="565"/>
    </row>
    <row r="144" spans="1:112" ht="44.25" hidden="1" customHeight="1">
      <c r="A144" s="229" t="s">
        <v>1514</v>
      </c>
      <c r="B144" s="18">
        <v>2997</v>
      </c>
      <c r="C144" s="18" t="s">
        <v>485</v>
      </c>
      <c r="D144" s="18" t="s">
        <v>1515</v>
      </c>
      <c r="E144" s="18" t="s">
        <v>302</v>
      </c>
      <c r="F144" s="33" t="s">
        <v>303</v>
      </c>
      <c r="G144" s="33"/>
      <c r="H144" s="18" t="s">
        <v>108</v>
      </c>
      <c r="I144" s="18" t="s">
        <v>811</v>
      </c>
      <c r="J144" s="18" t="s">
        <v>500</v>
      </c>
      <c r="K144" s="20"/>
      <c r="L144" s="18" t="s">
        <v>528</v>
      </c>
      <c r="M144" s="50" t="s">
        <v>664</v>
      </c>
      <c r="N144" s="50"/>
      <c r="O144" s="18" t="s">
        <v>530</v>
      </c>
      <c r="P144" s="18" t="s">
        <v>495</v>
      </c>
      <c r="Q144" s="18" t="s">
        <v>496</v>
      </c>
      <c r="R144" s="18" t="s">
        <v>497</v>
      </c>
      <c r="S144" s="18"/>
      <c r="T144" s="18"/>
      <c r="U144" s="18"/>
      <c r="V144" s="18"/>
      <c r="W144" s="18"/>
      <c r="X144" s="18"/>
      <c r="Y144" s="80"/>
      <c r="Z144" s="18" t="s">
        <v>532</v>
      </c>
      <c r="AA144" s="20">
        <v>45898</v>
      </c>
      <c r="AB144" s="18" t="s">
        <v>500</v>
      </c>
      <c r="AC144" s="18"/>
      <c r="AD144" s="18" t="s">
        <v>54</v>
      </c>
      <c r="AE144" s="18" t="s">
        <v>109</v>
      </c>
      <c r="AF144" s="18" t="s">
        <v>48</v>
      </c>
      <c r="AG144" s="14" t="str">
        <f>VLOOKUP(AF144,Tabla3[[Estado Requerimiento]:[Macro estado]],2,FALSE)</f>
        <v>02. En Proceso</v>
      </c>
      <c r="AH144" s="18"/>
      <c r="AI144" s="80"/>
      <c r="AJ144" s="80"/>
      <c r="AK144" s="80">
        <v>45896</v>
      </c>
      <c r="AL144" s="80"/>
      <c r="AM144" s="80"/>
      <c r="AN144" s="80"/>
      <c r="AO144" s="80"/>
      <c r="AP144" s="81" t="str">
        <f t="shared" si="4"/>
        <v/>
      </c>
      <c r="AQ144" s="80"/>
      <c r="AR144" s="80"/>
      <c r="AS144" s="81" t="str">
        <f t="shared" si="5"/>
        <v/>
      </c>
      <c r="AT144" s="19" t="s">
        <v>1500</v>
      </c>
      <c r="AU144" s="44" t="str">
        <f>VLOOKUP(Cartera1017[[#This Row],[Gerencia]],tbGerencia[#All],3,FALSE)</f>
        <v>TI</v>
      </c>
      <c r="AV144" s="44" t="str">
        <f>IFERROR(VLOOKUP(Cartera1017[[#This Row],[Subgerencia]],Definiciones!$A$90:$B$144,2,FALSE),"")</f>
        <v>ConstrucciónAplicaciones</v>
      </c>
      <c r="AW144" s="44" t="str">
        <f>IF(OR(LEN(Cartera1017[[#This Row],[Fecha de Solicitud]])=0,(Cartera1017[[#This Row],[Fecha de Solicitud]])="No definido"),"No definido",IF(YEAR(Cartera1017[[#This Row],[Fecha de Solicitud]])&lt;2023," &lt;  2023",TEXT(Cartera1017[[#This Row],[Fecha de Solicitud]],"yyyy-mm")))</f>
        <v>No definido</v>
      </c>
      <c r="AX144" s="44" t="str">
        <f>IF(Cartera1017[[#This Row],[Fecha de Priorización Comité]]="","No definido",TEXT(Cartera1017[[#This Row],[Fecha de Priorización Comité]],"yyyy-mm"))</f>
        <v>2025-08</v>
      </c>
      <c r="AY144" s="44" t="str">
        <f>IF(Cartera1017[[#This Row],[Fecha Fin- Desarrollo]]="","No definido",TEXT(Cartera1017[[#This Row],[Fecha Fin- Desarrollo]],"yyyy-mm"))</f>
        <v>No definido</v>
      </c>
      <c r="AZ144" s="44" t="str">
        <f>IF(Cartera1017[[#This Row],[Fecha Fin- Producción]]="","No definido",TEXT(Cartera1017[[#This Row],[Fecha Fin- Producción]],"yyyy-mm"))</f>
        <v>No definido</v>
      </c>
      <c r="BA144" s="44" t="str">
        <f>IF(Cartera1017[[#This Row],[Fecha Fin-Planificada]]="","No definido",TEXT(Cartera1017[[#This Row],[Fecha Fin-Planificada]],"yyyy-mm"))</f>
        <v>No definido</v>
      </c>
      <c r="BB144" s="33"/>
      <c r="BC144" s="66"/>
      <c r="BD144" s="66"/>
      <c r="BE144" s="66"/>
      <c r="BF144" s="127"/>
      <c r="BG144" s="28" t="s">
        <v>535</v>
      </c>
      <c r="BH14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4" s="90" t="str">
        <f>IF(ISNUMBER(Cartera1017[[#This Row],[Duracion en Dias]]),Cartera1017[[#This Row],[Duracion en Dias]]/30, "No Aplica")</f>
        <v>No Aplica</v>
      </c>
      <c r="BJ144" s="109"/>
      <c r="BK144" s="28" t="s">
        <v>613</v>
      </c>
      <c r="BL144" s="110" t="s">
        <v>592</v>
      </c>
      <c r="BM144" s="342">
        <v>45896.621620370373</v>
      </c>
      <c r="BN144" s="227"/>
      <c r="BO144" s="401"/>
      <c r="BP144" s="401"/>
      <c r="BQ14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4" s="14" t="str">
        <f>IFERROR(VLOOKUP(Cartera1017[[#This Row],[Aplicativo]],Tabla76[],2,FALSE),"Sin Aplicativo")</f>
        <v>BackOffice</v>
      </c>
      <c r="BS144" s="14" t="str">
        <f>IFERROR(VLOOKUP(Cartera1017[[#This Row],[Aplicativo]],Tabla76[],3,FALSE),"Sin Aplicativo")</f>
        <v>Otros Requerimientos</v>
      </c>
      <c r="BT144" s="400" t="s">
        <v>521</v>
      </c>
      <c r="BU144" s="33"/>
      <c r="BV144" s="28"/>
      <c r="BW14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4" s="149" t="str">
        <f ca="1">IF(Cartera1017[[#This Row],[Fecha Fin2]]="","No definido",CONCATENATE(TEXT(Cartera1017[[#This Row],[Fecha Fin2]],"mmm")," ",YEAR(Cartera1017[[#This Row],[Fecha Fin2]])))</f>
        <v>No definido</v>
      </c>
      <c r="BZ144" s="28"/>
      <c r="CA144" s="48" t="str">
        <f>IF(Cartera1017[[#This Row],[Estado TI]] = "08. Producción Finalizada","Culminado",IF(Cartera1017[[#This Row],[Estado TI]]= "09. Descartado","Descartado","Activos"))</f>
        <v>Activos</v>
      </c>
      <c r="CB144" s="28"/>
      <c r="CC14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44" s="54" t="str">
        <f>IF(
AND(
Cartera1017[[#This Row],[DEVOLVER 27]]="NO",
NOT(ISBLANK(Cartera1017[[#This Row],[ESTADO NO DEVUELTOS 27]]))
),
"PRE",
"POST"
)</f>
        <v>PRE</v>
      </c>
      <c r="CE144" s="54" t="s">
        <v>509</v>
      </c>
      <c r="CF144" s="399" t="s">
        <v>48</v>
      </c>
      <c r="CG144"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4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4" s="406">
        <f>Cartera1017[[#This Row],[Porcentaje de Avance]]</f>
        <v>0.25</v>
      </c>
      <c r="CK144" s="402">
        <f ca="1">IF(
   OR(
     Cartera1017[[#This Row],[Estado TI]]="09. Descartado",
     Cartera1017[[#This Row],[Comienzo Desarrollo]]="",
     Cartera1017[[#This Row],[Fin Producción]]=""
   ),
   "",
   Cartera1017[[#This Row],[% PLANIFICADO]]-Cartera1017[[#This Row],[% COMPLETADO]]
)</f>
        <v>0.75</v>
      </c>
      <c r="CL144" s="402">
        <f ca="1">IF(
   OR(
     Cartera1017[[#This Row],[Estado TI]]="09. Descartado",
     Cartera1017[[#This Row],[Comienzo Desarrollo]]="",
     Cartera1017[[#This Row],[Fin Producción]]="",
     Cartera1017[[#This Row],[% PLANIFICADO]]=0
   ),
   "",
   MIN(Cartera1017[[#This Row],[% COMPLETADO]]/Cartera1017[[#This Row],[% PLANIFICADO]],1.2)
)</f>
        <v>0.25</v>
      </c>
      <c r="CM144" s="427">
        <v>45964</v>
      </c>
      <c r="CN144" s="377">
        <v>46083</v>
      </c>
      <c r="CO144" s="377">
        <v>46104</v>
      </c>
      <c r="CP144" s="377">
        <v>46106</v>
      </c>
      <c r="CQ144" s="377">
        <v>46113</v>
      </c>
      <c r="CR144" s="377">
        <v>46118</v>
      </c>
      <c r="CS144" s="377">
        <v>46127</v>
      </c>
      <c r="CT144" s="44">
        <f>IF(Cartera1017[[#This Row],[Fin Desarrollo]]="",25,IFERROR(NETWORKDAYS(Cartera1017[[#This Row],[Comienzo Desarrollo]],Cartera1017[[#This Row],[Fin Desarrollo]],FERIADOS[Fecha]),""))</f>
        <v>16</v>
      </c>
      <c r="CU14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44" s="44">
        <f>IF(OR(Cartera1017[[#This Row],[Comienzo Desarrollo]]="",Cartera1017[[#This Row],[Fin Desarrollo]]=""),200,IFERROR(Cartera1017[[#This Row],[DURACIÓN DESARROLLO DIAS]]*VLOOKUP(Cartera1017[[#This Row],[ID Mantenimiento]],MANT_HORAS[],2,FALSE),200))</f>
        <v>18.285714285714285</v>
      </c>
      <c r="CW144" s="110"/>
      <c r="CX144" s="110" t="str">
        <f>VLOOKUP(Cartera1017[[#This Row],[Estado TI]],Definiciones!$A$549:$B$559,2,FALSE)</f>
        <v>1. DESARROLLO</v>
      </c>
      <c r="CY144" s="28">
        <f ca="1">1-Cartera1017[[#This Row],[Porcentaje avanzado desarrollo]]</f>
        <v>0</v>
      </c>
      <c r="CZ14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16</v>
      </c>
      <c r="DA144" s="28">
        <f ca="1">MAX(0,Cartera1017[[#This Row],[DURACIÓN DESARROLLO DIAS]]-Cartera1017[[#This Row],[Dias avanzados]])</f>
        <v>0</v>
      </c>
      <c r="DB144" s="28">
        <f ca="1">Cartera1017[[#This Row],[Dias avanzados]]*IFERROR(VLOOKUP(Cartera1017[[#This Row],[ID Mantenimiento]],MANT_HORAS[],2,FALSE),8)</f>
        <v>18.285714285714285</v>
      </c>
      <c r="DC144" s="28">
        <f ca="1">Cartera1017[[#This Row],[Dias faltantes]]*IFERROR(VLOOKUP(Cartera1017[[#This Row],[ID Mantenimiento]],MANT_HORAS[],2,FALSE),8)</f>
        <v>0</v>
      </c>
      <c r="DD144" s="28" t="str">
        <f>IF(Cartera1017[[#This Row],[Fin Producción]]=0,"Por definir",CONCATENATE(YEAR(Cartera1017[[#This Row],[Fin Producción]]),"-",ROUNDUP(MONTH(Cartera1017[[#This Row],[Fin Producción]]),0)))</f>
        <v>2026-4</v>
      </c>
      <c r="DE144" s="18" t="s">
        <v>510</v>
      </c>
      <c r="DF144" s="28"/>
      <c r="DG144" s="28"/>
      <c r="DH144" s="565"/>
    </row>
    <row r="145" spans="1:112" ht="44.25" hidden="1" customHeight="1">
      <c r="A145" s="229" t="s">
        <v>1516</v>
      </c>
      <c r="B145" s="18">
        <v>3000</v>
      </c>
      <c r="C145" s="18" t="s">
        <v>485</v>
      </c>
      <c r="D145" s="18" t="s">
        <v>1517</v>
      </c>
      <c r="E145" s="18" t="s">
        <v>304</v>
      </c>
      <c r="F145" s="33" t="s">
        <v>305</v>
      </c>
      <c r="G145" s="33"/>
      <c r="H145" s="18" t="s">
        <v>40</v>
      </c>
      <c r="I145" s="18" t="s">
        <v>490</v>
      </c>
      <c r="J145" s="18" t="s">
        <v>662</v>
      </c>
      <c r="K145" s="20">
        <v>45898</v>
      </c>
      <c r="L145" s="18" t="s">
        <v>1518</v>
      </c>
      <c r="M145" s="50" t="s">
        <v>1323</v>
      </c>
      <c r="N145" s="50"/>
      <c r="O145" s="18" t="s">
        <v>548</v>
      </c>
      <c r="P145" s="18" t="s">
        <v>495</v>
      </c>
      <c r="Q145" s="18" t="s">
        <v>951</v>
      </c>
      <c r="R145" s="18" t="s">
        <v>497</v>
      </c>
      <c r="S145" s="18"/>
      <c r="T145" s="18"/>
      <c r="U145" s="18"/>
      <c r="V145" s="18"/>
      <c r="W145" s="18"/>
      <c r="X145" s="18"/>
      <c r="Y145" s="80"/>
      <c r="Z145" s="18" t="s">
        <v>499</v>
      </c>
      <c r="AA145" s="20">
        <v>45898</v>
      </c>
      <c r="AB145" s="18" t="s">
        <v>500</v>
      </c>
      <c r="AC145" s="18" t="s">
        <v>558</v>
      </c>
      <c r="AD145" s="18" t="s">
        <v>139</v>
      </c>
      <c r="AE145" s="18" t="s">
        <v>41</v>
      </c>
      <c r="AF145" s="18" t="s">
        <v>35</v>
      </c>
      <c r="AG145" s="14" t="str">
        <f>VLOOKUP(AF145,Tabla3[[Estado Requerimiento]:[Macro estado]],2,FALSE)</f>
        <v>02. En Proceso</v>
      </c>
      <c r="AH145" s="18"/>
      <c r="AI145" s="80"/>
      <c r="AJ145" s="80"/>
      <c r="AK145" s="80">
        <v>45901</v>
      </c>
      <c r="AL145" s="80">
        <v>45902</v>
      </c>
      <c r="AM145" s="80"/>
      <c r="AN145" s="80">
        <v>45908</v>
      </c>
      <c r="AO145" s="80">
        <v>45908</v>
      </c>
      <c r="AP145" s="81">
        <f t="shared" si="4"/>
        <v>45902.400000000001</v>
      </c>
      <c r="AQ145" s="80">
        <v>45974</v>
      </c>
      <c r="AR145" s="80"/>
      <c r="AS145" s="81">
        <f t="shared" si="5"/>
        <v>45909.4</v>
      </c>
      <c r="AT145" s="19" t="s">
        <v>1519</v>
      </c>
      <c r="AU145" s="44" t="str">
        <f>VLOOKUP(Cartera1017[[#This Row],[Gerencia]],tbGerencia[#All],3,FALSE)</f>
        <v>Operac.</v>
      </c>
      <c r="AV145" s="44" t="str">
        <f>IFERROR(VLOOKUP(Cartera1017[[#This Row],[Subgerencia]],Definiciones!$A$90:$B$144,2,FALSE),"")</f>
        <v>BancariosRecaudación</v>
      </c>
      <c r="AW145" s="44" t="str">
        <f>IF(OR(LEN(Cartera1017[[#This Row],[Fecha de Solicitud]])=0,(Cartera1017[[#This Row],[Fecha de Solicitud]])="No definido"),"No definido",IF(YEAR(Cartera1017[[#This Row],[Fecha de Solicitud]])&lt;2023," &lt;  2023",TEXT(Cartera1017[[#This Row],[Fecha de Solicitud]],"yyyy-mm")))</f>
        <v>2025-08</v>
      </c>
      <c r="AX145" s="44" t="str">
        <f>IF(Cartera1017[[#This Row],[Fecha de Priorización Comité]]="","No definido",TEXT(Cartera1017[[#This Row],[Fecha de Priorización Comité]],"yyyy-mm"))</f>
        <v>2025-08</v>
      </c>
      <c r="AY145" s="44" t="str">
        <f>IF(Cartera1017[[#This Row],[Fecha Fin- Desarrollo]]="","No definido",TEXT(Cartera1017[[#This Row],[Fecha Fin- Desarrollo]],"yyyy-mm"))</f>
        <v>2025-09</v>
      </c>
      <c r="AZ145" s="44" t="str">
        <f>IF(Cartera1017[[#This Row],[Fecha Fin- Producción]]="","No definido",TEXT(Cartera1017[[#This Row],[Fecha Fin- Producción]],"yyyy-mm"))</f>
        <v>No definido</v>
      </c>
      <c r="BA145" s="44" t="str">
        <f>IF(Cartera1017[[#This Row],[Fecha Fin-Planificada]]="","No definido",TEXT(Cartera1017[[#This Row],[Fecha Fin-Planificada]],"yyyy-mm"))</f>
        <v>2025-09</v>
      </c>
      <c r="BB145" s="33"/>
      <c r="BC145" s="66"/>
      <c r="BD145" s="66"/>
      <c r="BE145" s="66"/>
      <c r="BF145" s="127"/>
      <c r="BG145" s="28" t="s">
        <v>535</v>
      </c>
      <c r="BH14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5" s="90" t="str">
        <f>IF(ISNUMBER(Cartera1017[[#This Row],[Duracion en Dias]]),Cartera1017[[#This Row],[Duracion en Dias]]/30, "No Aplica")</f>
        <v>No Aplica</v>
      </c>
      <c r="BJ145" s="109"/>
      <c r="BK145" s="28" t="s">
        <v>506</v>
      </c>
      <c r="BL145" s="110" t="s">
        <v>583</v>
      </c>
      <c r="BM145" s="342">
        <v>46148.742754629631</v>
      </c>
      <c r="BN145" s="227"/>
      <c r="BO145" s="401"/>
      <c r="BP145" s="401"/>
      <c r="BQ14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45" s="14" t="str">
        <f>IFERROR(VLOOKUP(Cartera1017[[#This Row],[Aplicativo]],Tabla76[],2,FALSE),"Sin Aplicativo")</f>
        <v>BackOffice</v>
      </c>
      <c r="BS145" s="14" t="str">
        <f>IFERROR(VLOOKUP(Cartera1017[[#This Row],[Aplicativo]],Tabla76[],3,FALSE),"Sin Aplicativo")</f>
        <v>Otros Requerimientos</v>
      </c>
      <c r="BT145" s="400" t="s">
        <v>521</v>
      </c>
      <c r="BU145" s="33"/>
      <c r="BV145" s="28"/>
      <c r="BW14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5" s="149" t="str">
        <f ca="1">IF(Cartera1017[[#This Row],[Fecha Fin2]]="","No definido",CONCATENATE(TEXT(Cartera1017[[#This Row],[Fecha Fin2]],"mmm")," ",YEAR(Cartera1017[[#This Row],[Fecha Fin2]])))</f>
        <v>No definido</v>
      </c>
      <c r="BZ145" s="28"/>
      <c r="CA145" s="48" t="str">
        <f>IF(Cartera1017[[#This Row],[Estado TI]] = "08. Producción Finalizada","Culminado",IF(Cartera1017[[#This Row],[Estado TI]]= "09. Descartado","Descartado","Activos"))</f>
        <v>Activos</v>
      </c>
      <c r="CB145" s="28"/>
      <c r="CC14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45" s="54" t="str">
        <f>IF(
AND(
Cartera1017[[#This Row],[DEVOLVER 27]]="NO",
NOT(ISBLANK(Cartera1017[[#This Row],[ESTADO NO DEVUELTOS 27]]))
),
"PRE",
"POST"
)</f>
        <v>PRE</v>
      </c>
      <c r="CE145" s="54" t="s">
        <v>509</v>
      </c>
      <c r="CF145" s="28" t="s">
        <v>42</v>
      </c>
      <c r="CG14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4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5" s="406">
        <f>Cartera1017[[#This Row],[Porcentaje de Avance]]</f>
        <v>0.9</v>
      </c>
      <c r="CK145" s="388">
        <f ca="1">IF(
   OR(
     Cartera1017[[#This Row],[Estado TI]]="09. Descartado",
     Cartera1017[[#This Row],[Comienzo Desarrollo]]="",
     Cartera1017[[#This Row],[Fin Producción]]=""
   ),
   "",
   Cartera1017[[#This Row],[% PLANIFICADO]]-Cartera1017[[#This Row],[% COMPLETADO]]
)</f>
        <v>9.9999999999999978E-2</v>
      </c>
      <c r="CL145" s="388">
        <f ca="1">IF(
   OR(
     Cartera1017[[#This Row],[Estado TI]]="09. Descartado",
     Cartera1017[[#This Row],[Comienzo Desarrollo]]="",
     Cartera1017[[#This Row],[Fin Producción]]="",
     Cartera1017[[#This Row],[% PLANIFICADO]]=0
   ),
   "",
   MIN(Cartera1017[[#This Row],[% COMPLETADO]]/Cartera1017[[#This Row],[% PLANIFICADO]],1.2)
)</f>
        <v>0.9</v>
      </c>
      <c r="CM145" s="377">
        <v>45901</v>
      </c>
      <c r="CN145" s="377">
        <v>45901</v>
      </c>
      <c r="CO145" s="377">
        <v>45902</v>
      </c>
      <c r="CP145" s="377">
        <v>45908</v>
      </c>
      <c r="CQ145" s="377">
        <v>45908</v>
      </c>
      <c r="CR145" s="377">
        <v>45974</v>
      </c>
      <c r="CS145" s="377">
        <v>46108</v>
      </c>
      <c r="CT145" s="44">
        <f>IF(Cartera1017[[#This Row],[Fin Desarrollo]]="",25,IFERROR(NETWORKDAYS(Cartera1017[[#This Row],[Comienzo Desarrollo]],Cartera1017[[#This Row],[Fin Desarrollo]],FERIADOS[Fecha]),""))</f>
        <v>2</v>
      </c>
      <c r="CU14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45" s="44">
        <f>IF(OR(Cartera1017[[#This Row],[Comienzo Desarrollo]]="",Cartera1017[[#This Row],[Fin Desarrollo]]=""),200,IFERROR(Cartera1017[[#This Row],[DURACIÓN DESARROLLO DIAS]]*VLOOKUP(Cartera1017[[#This Row],[ID Mantenimiento]],MANT_HORAS[],2,FALSE),200))</f>
        <v>200</v>
      </c>
      <c r="CW145" s="110"/>
      <c r="CX145" s="110" t="str">
        <f>VLOOKUP(Cartera1017[[#This Row],[Estado TI]],Definiciones!$A$549:$B$559,2,FALSE)</f>
        <v>3. DESPLIEGUE</v>
      </c>
      <c r="CY145" s="28">
        <f ca="1">1-Cartera1017[[#This Row],[Porcentaje avanzado desarrollo]]</f>
        <v>0</v>
      </c>
      <c r="CZ14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DA145" s="28">
        <f ca="1">MAX(0,Cartera1017[[#This Row],[DURACIÓN DESARROLLO DIAS]]-Cartera1017[[#This Row],[Dias avanzados]])</f>
        <v>0</v>
      </c>
      <c r="DB145" s="28">
        <f ca="1">Cartera1017[[#This Row],[Dias avanzados]]*IFERROR(VLOOKUP(Cartera1017[[#This Row],[ID Mantenimiento]],MANT_HORAS[],2,FALSE),8)</f>
        <v>16</v>
      </c>
      <c r="DC145" s="28">
        <f ca="1">Cartera1017[[#This Row],[Dias faltantes]]*IFERROR(VLOOKUP(Cartera1017[[#This Row],[ID Mantenimiento]],MANT_HORAS[],2,FALSE),8)</f>
        <v>0</v>
      </c>
      <c r="DD145" s="28" t="str">
        <f>IF(Cartera1017[[#This Row],[Fin Producción]]=0,"Por definir",CONCATENATE(YEAR(Cartera1017[[#This Row],[Fin Producción]]),"-",ROUNDUP(MONTH(Cartera1017[[#This Row],[Fin Producción]]),0)))</f>
        <v>2026-3</v>
      </c>
      <c r="DE145" s="18" t="s">
        <v>510</v>
      </c>
      <c r="DF145" s="28" t="s">
        <v>1520</v>
      </c>
      <c r="DG145" s="28" t="s">
        <v>659</v>
      </c>
      <c r="DH145" s="565"/>
    </row>
    <row r="146" spans="1:112" ht="44.25" hidden="1" customHeight="1">
      <c r="A146" s="229" t="s">
        <v>1521</v>
      </c>
      <c r="B146" s="18">
        <v>3015</v>
      </c>
      <c r="C146" s="18" t="s">
        <v>485</v>
      </c>
      <c r="D146" s="18" t="s">
        <v>1522</v>
      </c>
      <c r="E146" s="18" t="s">
        <v>306</v>
      </c>
      <c r="F146" s="33" t="s">
        <v>307</v>
      </c>
      <c r="G146" s="18"/>
      <c r="H146" s="18" t="s">
        <v>33</v>
      </c>
      <c r="I146" s="18" t="s">
        <v>727</v>
      </c>
      <c r="J146" s="18" t="s">
        <v>728</v>
      </c>
      <c r="K146" s="20">
        <v>45904</v>
      </c>
      <c r="L146" s="20" t="s">
        <v>528</v>
      </c>
      <c r="M146" s="50" t="s">
        <v>730</v>
      </c>
      <c r="N146" s="50"/>
      <c r="O146" s="20" t="s">
        <v>548</v>
      </c>
      <c r="P146" s="20" t="s">
        <v>731</v>
      </c>
      <c r="Q146" s="20" t="s">
        <v>496</v>
      </c>
      <c r="R146" s="20" t="s">
        <v>599</v>
      </c>
      <c r="S146" s="18" t="s">
        <v>599</v>
      </c>
      <c r="T146" s="18" t="s">
        <v>652</v>
      </c>
      <c r="U146" s="18"/>
      <c r="V146" s="18"/>
      <c r="W146" s="18"/>
      <c r="X146" s="18"/>
      <c r="Y146" s="80">
        <v>45930</v>
      </c>
      <c r="Z146" s="20" t="s">
        <v>499</v>
      </c>
      <c r="AA146" s="20">
        <v>45931</v>
      </c>
      <c r="AB146" s="20" t="s">
        <v>500</v>
      </c>
      <c r="AC146" s="18"/>
      <c r="AD146" s="18" t="s">
        <v>165</v>
      </c>
      <c r="AE146" s="18" t="s">
        <v>34</v>
      </c>
      <c r="AF146" s="18" t="s">
        <v>42</v>
      </c>
      <c r="AG146" s="14" t="str">
        <f>VLOOKUP(AF146,Tabla3[[Estado Requerimiento]:[Macro estado]],2,FALSE)</f>
        <v>02. En Proceso</v>
      </c>
      <c r="AH146" s="18"/>
      <c r="AI146" s="80"/>
      <c r="AJ146" s="80"/>
      <c r="AK146" s="80">
        <v>45904</v>
      </c>
      <c r="AL146" s="80">
        <v>46028</v>
      </c>
      <c r="AM146" s="80"/>
      <c r="AN146" s="80">
        <v>46037</v>
      </c>
      <c r="AO146" s="80">
        <v>46079</v>
      </c>
      <c r="AP146" s="81">
        <f t="shared" si="4"/>
        <v>46077.599999999999</v>
      </c>
      <c r="AQ146" s="80"/>
      <c r="AR146" s="80"/>
      <c r="AS146" s="81">
        <f t="shared" si="5"/>
        <v>46084.6</v>
      </c>
      <c r="AT146" s="198" t="s">
        <v>1523</v>
      </c>
      <c r="AU146" s="44" t="str">
        <f>VLOOKUP(Cartera1017[[#This Row],[Gerencia]],tbGerencia[#All],3,FALSE)</f>
        <v>Productos</v>
      </c>
      <c r="AV146" s="44" t="str">
        <f>IFERROR(VLOOKUP(Cartera1017[[#This Row],[Subgerencia]],Definiciones!$A$90:$B$144,2,FALSE),"")</f>
        <v>BancaPersonal</v>
      </c>
      <c r="AW146" s="44" t="str">
        <f>IF(OR(LEN(Cartera1017[[#This Row],[Fecha de Solicitud]])=0,(Cartera1017[[#This Row],[Fecha de Solicitud]])="No definido"),"No definido",IF(YEAR(Cartera1017[[#This Row],[Fecha de Solicitud]])&lt;2023," &lt;  2023",TEXT(Cartera1017[[#This Row],[Fecha de Solicitud]],"yyyy-mm")))</f>
        <v>2025-09</v>
      </c>
      <c r="AX146" s="44" t="str">
        <f>IF(Cartera1017[[#This Row],[Fecha de Priorización Comité]]="","No definido",TEXT(Cartera1017[[#This Row],[Fecha de Priorización Comité]],"yyyy-mm"))</f>
        <v>2025-10</v>
      </c>
      <c r="AY146" s="44" t="str">
        <f>IF(Cartera1017[[#This Row],[Fecha Fin- Desarrollo]]="","No definido",TEXT(Cartera1017[[#This Row],[Fecha Fin- Desarrollo]],"yyyy-mm"))</f>
        <v>2026-01</v>
      </c>
      <c r="AZ146" s="44" t="str">
        <f>IF(Cartera1017[[#This Row],[Fecha Fin- Producción]]="","No definido",TEXT(Cartera1017[[#This Row],[Fecha Fin- Producción]],"yyyy-mm"))</f>
        <v>No definido</v>
      </c>
      <c r="BA146" s="44" t="str">
        <f>IF(Cartera1017[[#This Row],[Fecha Fin-Planificada]]="","No definido",TEXT(Cartera1017[[#This Row],[Fecha Fin-Planificada]],"yyyy-mm"))</f>
        <v>2026-03</v>
      </c>
      <c r="BB146" s="33"/>
      <c r="BC146" s="66"/>
      <c r="BD146" s="108"/>
      <c r="BE146" s="108"/>
      <c r="BF146" s="127"/>
      <c r="BG146" s="28" t="s">
        <v>543</v>
      </c>
      <c r="BH14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6" s="90" t="str">
        <f>IF(ISNUMBER(Cartera1017[[#This Row],[Duracion en Dias]]),Cartera1017[[#This Row],[Duracion en Dias]]/30, "No Aplica")</f>
        <v>No Aplica</v>
      </c>
      <c r="BJ146" s="109"/>
      <c r="BK146" s="28" t="s">
        <v>506</v>
      </c>
      <c r="BL146" s="110" t="s">
        <v>655</v>
      </c>
      <c r="BM146" s="342">
        <v>46079.657523148147</v>
      </c>
      <c r="BN146" s="227"/>
      <c r="BO146" s="401"/>
      <c r="BP146" s="401"/>
      <c r="BQ14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46" s="14" t="str">
        <f>IFERROR(VLOOKUP(Cartera1017[[#This Row],[Aplicativo]],Tabla76[],2,FALSE),"Sin Aplicativo")</f>
        <v>Tarjeta Tesoro</v>
      </c>
      <c r="BS146" s="14" t="str">
        <f>IFERROR(VLOOKUP(Cartera1017[[#This Row],[Aplicativo]],Tabla76[],3,FALSE),"Sin Aplicativo")</f>
        <v>Productos</v>
      </c>
      <c r="BT146" s="400"/>
      <c r="BU146" s="33"/>
      <c r="BV146" s="28"/>
      <c r="BW14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6" s="149" t="str">
        <f ca="1">IF(Cartera1017[[#This Row],[Fecha Fin2]]="","No definido",CONCATENATE(TEXT(Cartera1017[[#This Row],[Fecha Fin2]],"mmm")," ",YEAR(Cartera1017[[#This Row],[Fecha Fin2]])))</f>
        <v>No definido</v>
      </c>
      <c r="BZ146" s="28"/>
      <c r="CA146" s="48" t="str">
        <f>IF(Cartera1017[[#This Row],[Estado TI]] = "08. Producción Finalizada","Culminado",IF(Cartera1017[[#This Row],[Estado TI]]= "09. Descartado","Descartado","Activos"))</f>
        <v>Activos</v>
      </c>
      <c r="CB146" s="28"/>
      <c r="CC14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146" s="54" t="str">
        <f>IF(
AND(
Cartera1017[[#This Row],[DEVOLVER 27]]="NO",
NOT(ISBLANK(Cartera1017[[#This Row],[ESTADO NO DEVUELTOS 27]]))
),
"PRE",
"POST"
)</f>
        <v>PRE</v>
      </c>
      <c r="CE146" s="54" t="s">
        <v>509</v>
      </c>
      <c r="CF146" s="28" t="s">
        <v>48</v>
      </c>
      <c r="CG14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4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6" s="406">
        <f>Cartera1017[[#This Row],[Porcentaje de Avance]]</f>
        <v>0.85</v>
      </c>
      <c r="CK146" s="388">
        <f ca="1">IF(
   OR(
     Cartera1017[[#This Row],[Estado TI]]="09. Descartado",
     Cartera1017[[#This Row],[Comienzo Desarrollo]]="",
     Cartera1017[[#This Row],[Fin Producción]]=""
   ),
   "",
   Cartera1017[[#This Row],[% PLANIFICADO]]-Cartera1017[[#This Row],[% COMPLETADO]]
)</f>
        <v>0.15000000000000002</v>
      </c>
      <c r="CL146" s="388">
        <f ca="1">IF(
   OR(
     Cartera1017[[#This Row],[Estado TI]]="09. Descartado",
     Cartera1017[[#This Row],[Comienzo Desarrollo]]="",
     Cartera1017[[#This Row],[Fin Producción]]="",
     Cartera1017[[#This Row],[% PLANIFICADO]]=0
   ),
   "",
   MIN(Cartera1017[[#This Row],[% COMPLETADO]]/Cartera1017[[#This Row],[% PLANIFICADO]],1.2)
)</f>
        <v>0.85</v>
      </c>
      <c r="CM146" s="377">
        <v>45904</v>
      </c>
      <c r="CN146" s="377">
        <v>45904</v>
      </c>
      <c r="CO146" s="377">
        <v>46028</v>
      </c>
      <c r="CP146" s="377">
        <v>46037</v>
      </c>
      <c r="CQ146" s="377">
        <v>46098</v>
      </c>
      <c r="CR146" s="377">
        <v>46099</v>
      </c>
      <c r="CS146" s="377">
        <v>46111</v>
      </c>
      <c r="CT146" s="44">
        <f>IF(Cartera1017[[#This Row],[Fin Desarrollo]]="",25,IFERROR(NETWORKDAYS(Cartera1017[[#This Row],[Comienzo Desarrollo]],Cartera1017[[#This Row],[Fin Desarrollo]],FERIADOS[Fecha]),""))</f>
        <v>83</v>
      </c>
      <c r="CU14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46" s="44">
        <f>IF(OR(Cartera1017[[#This Row],[Comienzo Desarrollo]]="",Cartera1017[[#This Row],[Fin Desarrollo]]=""),200,IFERROR(Cartera1017[[#This Row],[DURACIÓN DESARROLLO DIAS]]*VLOOKUP(Cartera1017[[#This Row],[ID Mantenimiento]],MANT_HORAS[],2,FALSE),200))</f>
        <v>200</v>
      </c>
      <c r="CW146" s="110"/>
      <c r="CX146" s="110" t="str">
        <f>VLOOKUP(Cartera1017[[#This Row],[Estado TI]],Definiciones!$A$549:$B$559,2,FALSE)</f>
        <v>2. CALIDAD</v>
      </c>
      <c r="CY146" s="28">
        <f ca="1">1-Cartera1017[[#This Row],[Porcentaje avanzado desarrollo]]</f>
        <v>0</v>
      </c>
      <c r="CZ14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83</v>
      </c>
      <c r="DA146" s="28">
        <f ca="1">MAX(0,Cartera1017[[#This Row],[DURACIÓN DESARROLLO DIAS]]-Cartera1017[[#This Row],[Dias avanzados]])</f>
        <v>0</v>
      </c>
      <c r="DB146" s="28">
        <f ca="1">Cartera1017[[#This Row],[Dias avanzados]]*IFERROR(VLOOKUP(Cartera1017[[#This Row],[ID Mantenimiento]],MANT_HORAS[],2,FALSE),8)</f>
        <v>664</v>
      </c>
      <c r="DC146" s="28">
        <f ca="1">Cartera1017[[#This Row],[Dias faltantes]]*IFERROR(VLOOKUP(Cartera1017[[#This Row],[ID Mantenimiento]],MANT_HORAS[],2,FALSE),8)</f>
        <v>0</v>
      </c>
      <c r="DD146" s="28" t="str">
        <f>IF(Cartera1017[[#This Row],[Fin Producción]]=0,"Por definir",CONCATENATE(YEAR(Cartera1017[[#This Row],[Fin Producción]]),"-",ROUNDUP(MONTH(Cartera1017[[#This Row],[Fin Producción]]),0)))</f>
        <v>2026-3</v>
      </c>
      <c r="DE146" s="18" t="s">
        <v>510</v>
      </c>
      <c r="DF146" s="28" t="s">
        <v>1524</v>
      </c>
      <c r="DG146" s="28" t="s">
        <v>956</v>
      </c>
      <c r="DH146" s="565"/>
    </row>
    <row r="147" spans="1:112" ht="44.25" hidden="1" customHeight="1">
      <c r="A147" s="229" t="s">
        <v>1525</v>
      </c>
      <c r="B147" s="18">
        <v>3020</v>
      </c>
      <c r="C147" s="18" t="s">
        <v>485</v>
      </c>
      <c r="D147" s="18" t="s">
        <v>1526</v>
      </c>
      <c r="E147" s="18" t="s">
        <v>308</v>
      </c>
      <c r="F147" s="396" t="s">
        <v>309</v>
      </c>
      <c r="G147" s="19"/>
      <c r="H147" s="18" t="s">
        <v>40</v>
      </c>
      <c r="I147" s="18" t="s">
        <v>577</v>
      </c>
      <c r="J147" s="18" t="s">
        <v>1118</v>
      </c>
      <c r="K147" s="20">
        <v>45896</v>
      </c>
      <c r="L147" s="50" t="s">
        <v>1527</v>
      </c>
      <c r="M147" s="50" t="s">
        <v>710</v>
      </c>
      <c r="N147" s="50"/>
      <c r="O147" s="18" t="s">
        <v>712</v>
      </c>
      <c r="P147" s="18" t="s">
        <v>549</v>
      </c>
      <c r="Q147" s="18" t="s">
        <v>1127</v>
      </c>
      <c r="R147" s="18" t="s">
        <v>497</v>
      </c>
      <c r="S147" s="18"/>
      <c r="T147" s="18" t="s">
        <v>495</v>
      </c>
      <c r="U147" s="18" t="s">
        <v>495</v>
      </c>
      <c r="V147" s="18" t="s">
        <v>495</v>
      </c>
      <c r="W147" s="18" t="s">
        <v>495</v>
      </c>
      <c r="X147" s="18" t="s">
        <v>495</v>
      </c>
      <c r="Y147" s="80" t="s">
        <v>495</v>
      </c>
      <c r="Z147" s="18" t="s">
        <v>499</v>
      </c>
      <c r="AA147" s="20">
        <v>45931</v>
      </c>
      <c r="AB147" s="18" t="s">
        <v>713</v>
      </c>
      <c r="AC147" s="18" t="s">
        <v>558</v>
      </c>
      <c r="AD147" s="397" t="s">
        <v>310</v>
      </c>
      <c r="AE147" s="18" t="s">
        <v>41</v>
      </c>
      <c r="AF147" s="39" t="s">
        <v>28</v>
      </c>
      <c r="AG147" s="398" t="str">
        <f>VLOOKUP(AF147,Tabla3[[Estado Requerimiento]:[Macro estado]],2,FALSE)</f>
        <v>04. Paralizado</v>
      </c>
      <c r="AH147" s="18" t="s">
        <v>659</v>
      </c>
      <c r="AI147" s="80"/>
      <c r="AJ147" s="80">
        <v>45964</v>
      </c>
      <c r="AK147" s="80">
        <v>45905</v>
      </c>
      <c r="AL147" s="80"/>
      <c r="AM147" s="80"/>
      <c r="AN147" s="80"/>
      <c r="AO147" s="80"/>
      <c r="AP147" s="81" t="str">
        <f t="shared" si="4"/>
        <v/>
      </c>
      <c r="AQ147" s="80"/>
      <c r="AR147" s="80"/>
      <c r="AS147" s="81" t="str">
        <f t="shared" si="5"/>
        <v/>
      </c>
      <c r="AT147" s="19" t="s">
        <v>1528</v>
      </c>
      <c r="AU147" s="44" t="str">
        <f>VLOOKUP(Cartera1017[[#This Row],[Gerencia]],tbGerencia[#All],3,FALSE)</f>
        <v>Operac.</v>
      </c>
      <c r="AV147" s="44" t="str">
        <f>IFERROR(VLOOKUP(Cartera1017[[#This Row],[Subgerencia]],Definiciones!$A$90:$B$144,2,FALSE),"")</f>
        <v>CaptacionesPagaduría</v>
      </c>
      <c r="AW147" s="44" t="str">
        <f>IF(OR(LEN(Cartera1017[[#This Row],[Fecha de Solicitud]])=0,(Cartera1017[[#This Row],[Fecha de Solicitud]])="No definido"),"No definido",IF(YEAR(Cartera1017[[#This Row],[Fecha de Solicitud]])&lt;2023," &lt;  2023",TEXT(Cartera1017[[#This Row],[Fecha de Solicitud]],"yyyy-mm")))</f>
        <v>2025-08</v>
      </c>
      <c r="AX147" s="44" t="str">
        <f>IF(Cartera1017[[#This Row],[Fecha de Priorización Comité]]="","No definido",TEXT(Cartera1017[[#This Row],[Fecha de Priorización Comité]],"yyyy-mm"))</f>
        <v>2025-10</v>
      </c>
      <c r="AY147" s="44" t="str">
        <f>IF(Cartera1017[[#This Row],[Fecha Fin- Desarrollo]]="","No definido",TEXT(Cartera1017[[#This Row],[Fecha Fin- Desarrollo]],"yyyy-mm"))</f>
        <v>No definido</v>
      </c>
      <c r="AZ147" s="44" t="str">
        <f>IF(Cartera1017[[#This Row],[Fecha Fin- Producción]]="","No definido",TEXT(Cartera1017[[#This Row],[Fecha Fin- Producción]],"yyyy-mm"))</f>
        <v>No definido</v>
      </c>
      <c r="BA147" s="44" t="str">
        <f>IF(Cartera1017[[#This Row],[Fecha Fin-Planificada]]="","No definido",TEXT(Cartera1017[[#This Row],[Fecha Fin-Planificada]],"yyyy-mm"))</f>
        <v>No definido</v>
      </c>
      <c r="BB147" s="33"/>
      <c r="BC147" s="66"/>
      <c r="BD147" s="66"/>
      <c r="BE147" s="66"/>
      <c r="BF147" s="127"/>
      <c r="BG147" s="28" t="s">
        <v>543</v>
      </c>
      <c r="BH14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7" s="90" t="str">
        <f>IF(ISNUMBER(Cartera1017[[#This Row],[Duracion en Dias]]),Cartera1017[[#This Row],[Duracion en Dias]]/30, "No Aplica")</f>
        <v>No Aplica</v>
      </c>
      <c r="BJ147" s="109"/>
      <c r="BK147" s="28" t="s">
        <v>1529</v>
      </c>
      <c r="BL147" s="110" t="s">
        <v>562</v>
      </c>
      <c r="BM147" s="342">
        <v>46080.458124999997</v>
      </c>
      <c r="BN147" s="227"/>
      <c r="BO147" s="401"/>
      <c r="BP147" s="401"/>
      <c r="BQ14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7" s="14" t="str">
        <f>IFERROR(VLOOKUP(Cartera1017[[#This Row],[Aplicativo]],Tabla76[],2,FALSE),"Sin Aplicativo")</f>
        <v>Banca Movil</v>
      </c>
      <c r="BS147" s="14" t="str">
        <f>IFERROR(VLOOKUP(Cartera1017[[#This Row],[Aplicativo]],Tabla76[],3,FALSE),"Sin Aplicativo")</f>
        <v>Canales Virtuales</v>
      </c>
      <c r="BT147" s="400"/>
      <c r="BU147" s="33"/>
      <c r="BV147" s="28"/>
      <c r="BW14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7" s="149" t="str">
        <f ca="1">IF(Cartera1017[[#This Row],[Fecha Fin2]]="","No definido",CONCATENATE(TEXT(Cartera1017[[#This Row],[Fecha Fin2]],"mmm")," ",YEAR(Cartera1017[[#This Row],[Fecha Fin2]])))</f>
        <v>No definido</v>
      </c>
      <c r="BZ147" s="28"/>
      <c r="CA147" s="48" t="str">
        <f>IF(Cartera1017[[#This Row],[Estado TI]] = "08. Producción Finalizada","Culminado",IF(Cartera1017[[#This Row],[Estado TI]]= "09. Descartado","Descartado","Activos"))</f>
        <v>Activos</v>
      </c>
      <c r="CB147" s="28" t="s">
        <v>1267</v>
      </c>
      <c r="CC14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47" s="54" t="str">
        <f>IF(
AND(
Cartera1017[[#This Row],[DEVOLVER 27]]="NO",
NOT(ISBLANK(Cartera1017[[#This Row],[ESTADO NO DEVUELTOS 27]]))
),
"PRE",
"POST"
)</f>
        <v>PRE</v>
      </c>
      <c r="CE147" s="54" t="s">
        <v>509</v>
      </c>
      <c r="CF147" s="28" t="s">
        <v>48</v>
      </c>
      <c r="CG14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4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47"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47" s="406">
        <f>Cartera1017[[#This Row],[Porcentaje de Avance]]</f>
        <v>0.12</v>
      </c>
      <c r="CK147" s="388" t="str">
        <f>IF(
   OR(
     Cartera1017[[#This Row],[Estado TI]]="09. Descartado",
     Cartera1017[[#This Row],[Comienzo Desarrollo]]="",
     Cartera1017[[#This Row],[Fin Producción]]=""
   ),
   "",
   Cartera1017[[#This Row],[% PLANIFICADO]]-Cartera1017[[#This Row],[% COMPLETADO]]
)</f>
        <v/>
      </c>
      <c r="CL147" s="388" t="str">
        <f ca="1">IF(
   OR(
     Cartera1017[[#This Row],[Estado TI]]="09. Descartado",
     Cartera1017[[#This Row],[Comienzo Desarrollo]]="",
     Cartera1017[[#This Row],[Fin Producción]]="",
     Cartera1017[[#This Row],[% PLANIFICADO]]=0
   ),
   "",
   MIN(Cartera1017[[#This Row],[% COMPLETADO]]/Cartera1017[[#This Row],[% PLANIFICADO]],1.2)
)</f>
        <v/>
      </c>
      <c r="CM147" s="377"/>
      <c r="CN147" s="377"/>
      <c r="CO147" s="377"/>
      <c r="CP147" s="377"/>
      <c r="CQ147" s="377"/>
      <c r="CR147" s="377"/>
      <c r="CS147" s="377"/>
      <c r="CT147" s="44">
        <f>IF(Cartera1017[[#This Row],[Fin Desarrollo]]="",25,IFERROR(NETWORKDAYS(Cartera1017[[#This Row],[Comienzo Desarrollo]],Cartera1017[[#This Row],[Fin Desarrollo]],FERIADOS[Fecha]),""))</f>
        <v>25</v>
      </c>
      <c r="CU14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47" s="44">
        <f>IF(OR(Cartera1017[[#This Row],[Comienzo Desarrollo]]="",Cartera1017[[#This Row],[Fin Desarrollo]]=""),200,IFERROR(Cartera1017[[#This Row],[DURACIÓN DESARROLLO DIAS]]*VLOOKUP(Cartera1017[[#This Row],[ID Mantenimiento]],MANT_HORAS[],2,FALSE),200))</f>
        <v>200</v>
      </c>
      <c r="CW147" s="110"/>
      <c r="CX147" s="110" t="str">
        <f>VLOOKUP(Cartera1017[[#This Row],[Estado TI]],Definiciones!$A$549:$B$559,2,FALSE)</f>
        <v>6. PARALIZADO</v>
      </c>
      <c r="CY147" s="28">
        <f ca="1">1-Cartera1017[[#This Row],[Porcentaje avanzado desarrollo]]</f>
        <v>0.9</v>
      </c>
      <c r="CZ14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47" s="28">
        <f ca="1">MAX(0,Cartera1017[[#This Row],[DURACIÓN DESARROLLO DIAS]]-Cartera1017[[#This Row],[Dias avanzados]])</f>
        <v>24</v>
      </c>
      <c r="DB147" s="28">
        <f ca="1">Cartera1017[[#This Row],[Dias avanzados]]*IFERROR(VLOOKUP(Cartera1017[[#This Row],[ID Mantenimiento]],MANT_HORAS[],2,FALSE),8)</f>
        <v>8</v>
      </c>
      <c r="DC147" s="28">
        <f ca="1">Cartera1017[[#This Row],[Dias faltantes]]*IFERROR(VLOOKUP(Cartera1017[[#This Row],[ID Mantenimiento]],MANT_HORAS[],2,FALSE),8)</f>
        <v>192</v>
      </c>
      <c r="DD147" s="28" t="str">
        <f>IF(Cartera1017[[#This Row],[Fin Producción]]=0,"Por definir",CONCATENATE(YEAR(Cartera1017[[#This Row],[Fin Producción]]),"-",ROUNDUP(MONTH(Cartera1017[[#This Row],[Fin Producción]]),0)))</f>
        <v>Por definir</v>
      </c>
      <c r="DE147" s="18" t="s">
        <v>510</v>
      </c>
      <c r="DF147" s="28"/>
      <c r="DG147" s="28"/>
      <c r="DH147" s="565"/>
    </row>
    <row r="148" spans="1:112" ht="44.25" hidden="1" customHeight="1">
      <c r="A148" s="229" t="s">
        <v>1530</v>
      </c>
      <c r="B148" s="18">
        <v>3021</v>
      </c>
      <c r="C148" s="18" t="s">
        <v>485</v>
      </c>
      <c r="D148" s="18" t="s">
        <v>1531</v>
      </c>
      <c r="E148" s="18" t="s">
        <v>1532</v>
      </c>
      <c r="F148" s="33" t="s">
        <v>1533</v>
      </c>
      <c r="G148" s="19"/>
      <c r="H148" s="18" t="s">
        <v>40</v>
      </c>
      <c r="I148" s="18" t="s">
        <v>794</v>
      </c>
      <c r="J148" s="18" t="s">
        <v>795</v>
      </c>
      <c r="K148" s="20">
        <v>45904</v>
      </c>
      <c r="L148" s="50" t="s">
        <v>1534</v>
      </c>
      <c r="M148" s="50" t="s">
        <v>1535</v>
      </c>
      <c r="N148" s="50"/>
      <c r="O148" s="18" t="s">
        <v>530</v>
      </c>
      <c r="P148" s="18" t="s">
        <v>495</v>
      </c>
      <c r="Q148" s="18" t="s">
        <v>1127</v>
      </c>
      <c r="R148" s="18" t="s">
        <v>531</v>
      </c>
      <c r="S148" s="18"/>
      <c r="T148" s="18"/>
      <c r="U148" s="18"/>
      <c r="V148" s="18"/>
      <c r="W148" s="18"/>
      <c r="X148" s="18"/>
      <c r="Y148" s="80"/>
      <c r="Z148" s="18" t="s">
        <v>499</v>
      </c>
      <c r="AA148" s="20">
        <v>45931</v>
      </c>
      <c r="AB148" s="18" t="s">
        <v>500</v>
      </c>
      <c r="AC148" s="18"/>
      <c r="AD148" s="18" t="s">
        <v>126</v>
      </c>
      <c r="AE148" s="18" t="s">
        <v>41</v>
      </c>
      <c r="AF148" s="18" t="s">
        <v>53</v>
      </c>
      <c r="AG148" s="14" t="str">
        <f>VLOOKUP(AF148,Tabla3[[Estado Requerimiento]:[Macro estado]],2,FALSE)</f>
        <v>03. Culminado</v>
      </c>
      <c r="AH148" s="18"/>
      <c r="AI148" s="80"/>
      <c r="AJ148" s="80"/>
      <c r="AK148" s="80">
        <v>45912</v>
      </c>
      <c r="AL148" s="80">
        <v>45964</v>
      </c>
      <c r="AM148" s="80"/>
      <c r="AN148" s="80">
        <v>45965</v>
      </c>
      <c r="AO148" s="80">
        <v>45989</v>
      </c>
      <c r="AP148" s="81">
        <f t="shared" si="4"/>
        <v>45984.800000000003</v>
      </c>
      <c r="AQ148" s="80">
        <v>46029</v>
      </c>
      <c r="AR148" s="80">
        <v>46034</v>
      </c>
      <c r="AS148" s="81">
        <f t="shared" si="5"/>
        <v>45991.8</v>
      </c>
      <c r="AT148" s="19" t="s">
        <v>1536</v>
      </c>
      <c r="AU148" s="44" t="str">
        <f>VLOOKUP(Cartera1017[[#This Row],[Gerencia]],tbGerencia[#All],3,FALSE)</f>
        <v>Operac.</v>
      </c>
      <c r="AV148" s="44" t="str">
        <f>IFERROR(VLOOKUP(Cartera1017[[#This Row],[Subgerencia]],Definiciones!$A$90:$B$144,2,FALSE),"")</f>
        <v>Internacional</v>
      </c>
      <c r="AW148" s="44" t="str">
        <f>IF(OR(LEN(Cartera1017[[#This Row],[Fecha de Solicitud]])=0,(Cartera1017[[#This Row],[Fecha de Solicitud]])="No definido"),"No definido",IF(YEAR(Cartera1017[[#This Row],[Fecha de Solicitud]])&lt;2023," &lt;  2023",TEXT(Cartera1017[[#This Row],[Fecha de Solicitud]],"yyyy-mm")))</f>
        <v>2025-09</v>
      </c>
      <c r="AX148" s="44" t="str">
        <f>IF(Cartera1017[[#This Row],[Fecha de Priorización Comité]]="","No definido",TEXT(Cartera1017[[#This Row],[Fecha de Priorización Comité]],"yyyy-mm"))</f>
        <v>2025-10</v>
      </c>
      <c r="AY148" s="44" t="str">
        <f>IF(Cartera1017[[#This Row],[Fecha Fin- Desarrollo]]="","No definido",TEXT(Cartera1017[[#This Row],[Fecha Fin- Desarrollo]],"yyyy-mm"))</f>
        <v>2025-11</v>
      </c>
      <c r="AZ148" s="44" t="str">
        <f>IF(Cartera1017[[#This Row],[Fecha Fin- Producción]]="","No definido",TEXT(Cartera1017[[#This Row],[Fecha Fin- Producción]],"yyyy-mm"))</f>
        <v>2026-01</v>
      </c>
      <c r="BA148" s="44" t="str">
        <f>IF(Cartera1017[[#This Row],[Fecha Fin-Planificada]]="","No definido",TEXT(Cartera1017[[#This Row],[Fecha Fin-Planificada]],"yyyy-mm"))</f>
        <v>2025-11</v>
      </c>
      <c r="BB148" s="33"/>
      <c r="BC148" s="66"/>
      <c r="BD148" s="66"/>
      <c r="BE148" s="66"/>
      <c r="BF148" s="127"/>
      <c r="BG148" s="28" t="s">
        <v>543</v>
      </c>
      <c r="BH14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122</v>
      </c>
      <c r="BI148" s="90">
        <f>IF(ISNUMBER(Cartera1017[[#This Row],[Duracion en Dias]]),Cartera1017[[#This Row],[Duracion en Dias]]/30, "No Aplica")</f>
        <v>4.0666666666666664</v>
      </c>
      <c r="BJ148" s="109"/>
      <c r="BK148" s="28" t="s">
        <v>506</v>
      </c>
      <c r="BL148" s="110" t="s">
        <v>536</v>
      </c>
      <c r="BM148" s="342">
        <v>46034.687268518515</v>
      </c>
      <c r="BN148" s="227"/>
      <c r="BO148" s="401"/>
      <c r="BP148" s="401"/>
      <c r="BQ14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48" s="14" t="str">
        <f>IFERROR(VLOOKUP(Cartera1017[[#This Row],[Aplicativo]],Tabla76[],2,FALSE),"Sin Aplicativo")</f>
        <v>BackOffice</v>
      </c>
      <c r="BS148" s="14" t="str">
        <f>IFERROR(VLOOKUP(Cartera1017[[#This Row],[Aplicativo]],Tabla76[],3,FALSE),"Sin Aplicativo")</f>
        <v>Otros Requerimientos</v>
      </c>
      <c r="BT148" s="400"/>
      <c r="BU148" s="33"/>
      <c r="BV148" s="28"/>
      <c r="BW14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14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48" s="149" t="str">
        <f ca="1">IF(Cartera1017[[#This Row],[Fecha Fin2]]="","No definido",CONCATENATE(TEXT(Cartera1017[[#This Row],[Fecha Fin2]],"mmm")," ",YEAR(Cartera1017[[#This Row],[Fecha Fin2]])))</f>
        <v>Ene 2026</v>
      </c>
      <c r="BZ148" s="28"/>
      <c r="CA148" s="48" t="str">
        <f>IF(Cartera1017[[#This Row],[Estado TI]] = "08. Producción Finalizada","Culminado",IF(Cartera1017[[#This Row],[Estado TI]]= "09. Descartado","Descartado","Activos"))</f>
        <v>Culminado</v>
      </c>
      <c r="CB148" s="28"/>
      <c r="CC14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48" s="54" t="str">
        <f>IF(
AND(
Cartera1017[[#This Row],[DEVOLVER 27]]="NO",
NOT(ISBLANK(Cartera1017[[#This Row],[ESTADO NO DEVUELTOS 27]]))
),
"PRE",
"POST"
)</f>
        <v>PRE</v>
      </c>
      <c r="CE148" s="54" t="s">
        <v>509</v>
      </c>
      <c r="CF148" s="28" t="s">
        <v>48</v>
      </c>
      <c r="CG14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4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4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8" s="406">
        <f>Cartera1017[[#This Row],[Porcentaje de Avance]]</f>
        <v>1</v>
      </c>
      <c r="CK148" s="388">
        <f ca="1">IF(
   OR(
     Cartera1017[[#This Row],[Estado TI]]="09. Descartado",
     Cartera1017[[#This Row],[Comienzo Desarrollo]]="",
     Cartera1017[[#This Row],[Fin Producción]]=""
   ),
   "",
   Cartera1017[[#This Row],[% PLANIFICADO]]-Cartera1017[[#This Row],[% COMPLETADO]]
)</f>
        <v>0</v>
      </c>
      <c r="CL148" s="388">
        <f ca="1">IF(
   OR(
     Cartera1017[[#This Row],[Estado TI]]="09. Descartado",
     Cartera1017[[#This Row],[Comienzo Desarrollo]]="",
     Cartera1017[[#This Row],[Fin Producción]]="",
     Cartera1017[[#This Row],[% PLANIFICADO]]=0
   ),
   "",
   MIN(Cartera1017[[#This Row],[% COMPLETADO]]/Cartera1017[[#This Row],[% PLANIFICADO]],1.2)
)</f>
        <v>1</v>
      </c>
      <c r="CM148" s="377">
        <v>45912</v>
      </c>
      <c r="CN148" s="377">
        <v>45912</v>
      </c>
      <c r="CO148" s="377">
        <v>45964</v>
      </c>
      <c r="CP148" s="377">
        <v>45965</v>
      </c>
      <c r="CQ148" s="377">
        <v>45989</v>
      </c>
      <c r="CR148" s="377">
        <v>46029</v>
      </c>
      <c r="CS148" s="377">
        <v>46038</v>
      </c>
      <c r="CT148" s="44">
        <f>IF(Cartera1017[[#This Row],[Fin Desarrollo]]="",25,IFERROR(NETWORKDAYS(Cartera1017[[#This Row],[Comienzo Desarrollo]],Cartera1017[[#This Row],[Fin Desarrollo]],FERIADOS[Fecha]),""))</f>
        <v>36</v>
      </c>
      <c r="CU14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48" s="44">
        <f>IF(OR(Cartera1017[[#This Row],[Comienzo Desarrollo]]="",Cartera1017[[#This Row],[Fin Desarrollo]]=""),200,IFERROR(Cartera1017[[#This Row],[DURACIÓN DESARROLLO DIAS]]*VLOOKUP(Cartera1017[[#This Row],[ID Mantenimiento]],MANT_HORAS[],2,FALSE),200))</f>
        <v>200</v>
      </c>
      <c r="CW148" s="110"/>
      <c r="CX148" s="110" t="str">
        <f>VLOOKUP(Cartera1017[[#This Row],[Estado TI]],Definiciones!$A$549:$B$559,2,FALSE)</f>
        <v>4. PRODUCCIÓN</v>
      </c>
      <c r="CY148" s="28">
        <f ca="1">1-Cartera1017[[#This Row],[Porcentaje avanzado desarrollo]]</f>
        <v>0</v>
      </c>
      <c r="CZ14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36</v>
      </c>
      <c r="DA148" s="28">
        <f ca="1">MAX(0,Cartera1017[[#This Row],[DURACIÓN DESARROLLO DIAS]]-Cartera1017[[#This Row],[Dias avanzados]])</f>
        <v>0</v>
      </c>
      <c r="DB148" s="28">
        <f ca="1">Cartera1017[[#This Row],[Dias avanzados]]*IFERROR(VLOOKUP(Cartera1017[[#This Row],[ID Mantenimiento]],MANT_HORAS[],2,FALSE),8)</f>
        <v>288</v>
      </c>
      <c r="DC148" s="28">
        <f ca="1">Cartera1017[[#This Row],[Dias faltantes]]*IFERROR(VLOOKUP(Cartera1017[[#This Row],[ID Mantenimiento]],MANT_HORAS[],2,FALSE),8)</f>
        <v>0</v>
      </c>
      <c r="DD148" s="28" t="str">
        <f>IF(Cartera1017[[#This Row],[Fin Producción]]=0,"Por definir",CONCATENATE(YEAR(Cartera1017[[#This Row],[Fin Producción]]),"-",ROUNDUP(MONTH(Cartera1017[[#This Row],[Fin Producción]]),0)))</f>
        <v>2026-1</v>
      </c>
      <c r="DE148" s="18" t="s">
        <v>510</v>
      </c>
      <c r="DF148" s="28"/>
      <c r="DG148" s="28"/>
      <c r="DH148" s="565"/>
    </row>
    <row r="149" spans="1:112" ht="44.25" hidden="1" customHeight="1">
      <c r="A149" s="229" t="s">
        <v>1537</v>
      </c>
      <c r="B149" s="18">
        <v>3022</v>
      </c>
      <c r="C149" s="18" t="s">
        <v>485</v>
      </c>
      <c r="D149" s="18" t="s">
        <v>1538</v>
      </c>
      <c r="E149" s="18" t="s">
        <v>1539</v>
      </c>
      <c r="F149" s="33" t="s">
        <v>1540</v>
      </c>
      <c r="G149" s="19"/>
      <c r="H149" s="18" t="s">
        <v>26</v>
      </c>
      <c r="I149" s="18" t="s">
        <v>539</v>
      </c>
      <c r="J149" s="18" t="s">
        <v>540</v>
      </c>
      <c r="K149" s="20">
        <v>45905</v>
      </c>
      <c r="L149" s="50" t="s">
        <v>1541</v>
      </c>
      <c r="M149" s="50" t="s">
        <v>812</v>
      </c>
      <c r="N149" s="50"/>
      <c r="O149" s="18" t="s">
        <v>530</v>
      </c>
      <c r="P149" s="18" t="s">
        <v>495</v>
      </c>
      <c r="Q149" s="18" t="s">
        <v>496</v>
      </c>
      <c r="R149" s="18" t="s">
        <v>599</v>
      </c>
      <c r="S149" s="18"/>
      <c r="T149" s="18" t="s">
        <v>652</v>
      </c>
      <c r="U149" s="18" t="s">
        <v>1542</v>
      </c>
      <c r="V149" s="18"/>
      <c r="W149" s="18"/>
      <c r="X149" s="18"/>
      <c r="Y149" s="80">
        <v>41730</v>
      </c>
      <c r="Z149" s="18" t="s">
        <v>499</v>
      </c>
      <c r="AA149" s="20">
        <v>45931</v>
      </c>
      <c r="AB149" s="18" t="s">
        <v>500</v>
      </c>
      <c r="AC149" s="18"/>
      <c r="AD149" s="18" t="s">
        <v>30</v>
      </c>
      <c r="AE149" s="18" t="s">
        <v>41</v>
      </c>
      <c r="AF149" s="18" t="s">
        <v>53</v>
      </c>
      <c r="AG149" s="14" t="str">
        <f>VLOOKUP(AF149,Tabla3[[Estado Requerimiento]:[Macro estado]],2,FALSE)</f>
        <v>03. Culminado</v>
      </c>
      <c r="AH149" s="18"/>
      <c r="AI149" s="80"/>
      <c r="AJ149" s="80"/>
      <c r="AK149" s="80">
        <v>45910</v>
      </c>
      <c r="AL149" s="80"/>
      <c r="AM149" s="80"/>
      <c r="AN149" s="80"/>
      <c r="AO149" s="80"/>
      <c r="AP149" s="81" t="str">
        <f t="shared" si="4"/>
        <v/>
      </c>
      <c r="AQ149" s="80">
        <v>45923</v>
      </c>
      <c r="AR149" s="80">
        <v>46035</v>
      </c>
      <c r="AS149" s="81" t="str">
        <f t="shared" si="5"/>
        <v/>
      </c>
      <c r="AT149" s="19" t="s">
        <v>1543</v>
      </c>
      <c r="AU149" s="44" t="str">
        <f>VLOOKUP(Cartera1017[[#This Row],[Gerencia]],tbGerencia[#All],3,FALSE)</f>
        <v>B.Digital</v>
      </c>
      <c r="AV149" s="44" t="str">
        <f>IFERROR(VLOOKUP(Cartera1017[[#This Row],[Subgerencia]],Definiciones!$A$90:$B$144,2,FALSE),"")</f>
        <v>CanalesAlternos</v>
      </c>
      <c r="AW149" s="44" t="str">
        <f>IF(OR(LEN(Cartera1017[[#This Row],[Fecha de Solicitud]])=0,(Cartera1017[[#This Row],[Fecha de Solicitud]])="No definido"),"No definido",IF(YEAR(Cartera1017[[#This Row],[Fecha de Solicitud]])&lt;2023," &lt;  2023",TEXT(Cartera1017[[#This Row],[Fecha de Solicitud]],"yyyy-mm")))</f>
        <v>2025-09</v>
      </c>
      <c r="AX149" s="44" t="str">
        <f>IF(Cartera1017[[#This Row],[Fecha de Priorización Comité]]="","No definido",TEXT(Cartera1017[[#This Row],[Fecha de Priorización Comité]],"yyyy-mm"))</f>
        <v>2025-10</v>
      </c>
      <c r="AY149" s="44" t="str">
        <f>IF(Cartera1017[[#This Row],[Fecha Fin- Desarrollo]]="","No definido",TEXT(Cartera1017[[#This Row],[Fecha Fin- Desarrollo]],"yyyy-mm"))</f>
        <v>No definido</v>
      </c>
      <c r="AZ149" s="44" t="str">
        <f>IF(Cartera1017[[#This Row],[Fecha Fin- Producción]]="","No definido",TEXT(Cartera1017[[#This Row],[Fecha Fin- Producción]],"yyyy-mm"))</f>
        <v>2026-01</v>
      </c>
      <c r="BA149" s="44" t="str">
        <f>IF(Cartera1017[[#This Row],[Fecha Fin-Planificada]]="","No definido",TEXT(Cartera1017[[#This Row],[Fecha Fin-Planificada]],"yyyy-mm"))</f>
        <v>No definido</v>
      </c>
      <c r="BB149" s="33"/>
      <c r="BC149" s="66"/>
      <c r="BD149" s="66"/>
      <c r="BE149" s="66"/>
      <c r="BF149" s="127"/>
      <c r="BG149" s="28" t="s">
        <v>543</v>
      </c>
      <c r="BH14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125</v>
      </c>
      <c r="BI149" s="90">
        <f>IF(ISNUMBER(Cartera1017[[#This Row],[Duracion en Dias]]),Cartera1017[[#This Row],[Duracion en Dias]]/30, "No Aplica")</f>
        <v>4.166666666666667</v>
      </c>
      <c r="BJ149" s="109"/>
      <c r="BK149" s="28" t="s">
        <v>506</v>
      </c>
      <c r="BL149" s="110" t="s">
        <v>636</v>
      </c>
      <c r="BM149" s="342">
        <v>46127.586261574077</v>
      </c>
      <c r="BN149" s="227"/>
      <c r="BO149" s="401"/>
      <c r="BP149" s="401"/>
      <c r="BQ14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49" s="14" t="str">
        <f>IFERROR(VLOOKUP(Cartera1017[[#This Row],[Aplicativo]],Tabla76[],2,FALSE),"Sin Aplicativo")</f>
        <v>ATM-Agentes-VISA</v>
      </c>
      <c r="BS149" s="14" t="str">
        <f>IFERROR(VLOOKUP(Cartera1017[[#This Row],[Aplicativo]],Tabla76[],3,FALSE),"Sin Aplicativo")</f>
        <v>Canales Presenciales</v>
      </c>
      <c r="BT149" s="400"/>
      <c r="BU149" s="33"/>
      <c r="BV149" s="28"/>
      <c r="BW14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4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49" s="149" t="str">
        <f ca="1">IF(Cartera1017[[#This Row],[Fecha Fin2]]="","No definido",CONCATENATE(TEXT(Cartera1017[[#This Row],[Fecha Fin2]],"mmm")," ",YEAR(Cartera1017[[#This Row],[Fecha Fin2]])))</f>
        <v>Ene 2026</v>
      </c>
      <c r="BZ149" s="28"/>
      <c r="CA149" s="48" t="str">
        <f>IF(Cartera1017[[#This Row],[Estado TI]] = "08. Producción Finalizada","Culminado",IF(Cartera1017[[#This Row],[Estado TI]]= "09. Descartado","Descartado","Activos"))</f>
        <v>Culminado</v>
      </c>
      <c r="CB149" s="28"/>
      <c r="CC14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49" s="54" t="str">
        <f>IF(
AND(
Cartera1017[[#This Row],[DEVOLVER 27]]="NO",
NOT(ISBLANK(Cartera1017[[#This Row],[ESTADO NO DEVUELTOS 27]]))
),
"PRE",
"POST"
)</f>
        <v>PRE</v>
      </c>
      <c r="CE149" s="54" t="s">
        <v>509</v>
      </c>
      <c r="CF149" s="28" t="s">
        <v>35</v>
      </c>
      <c r="CG14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4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4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9" s="406">
        <f>Cartera1017[[#This Row],[Porcentaje de Avance]]</f>
        <v>1</v>
      </c>
      <c r="CK149" s="388">
        <f ca="1">IF(
   OR(
     Cartera1017[[#This Row],[Estado TI]]="09. Descartado",
     Cartera1017[[#This Row],[Comienzo Desarrollo]]="",
     Cartera1017[[#This Row],[Fin Producción]]=""
   ),
   "",
   Cartera1017[[#This Row],[% PLANIFICADO]]-Cartera1017[[#This Row],[% COMPLETADO]]
)</f>
        <v>0</v>
      </c>
      <c r="CL149" s="388">
        <f ca="1">IF(
   OR(
     Cartera1017[[#This Row],[Estado TI]]="09. Descartado",
     Cartera1017[[#This Row],[Comienzo Desarrollo]]="",
     Cartera1017[[#This Row],[Fin Producción]]="",
     Cartera1017[[#This Row],[% PLANIFICADO]]=0
   ),
   "",
   MIN(Cartera1017[[#This Row],[% COMPLETADO]]/Cartera1017[[#This Row],[% PLANIFICADO]],1.2)
)</f>
        <v>1</v>
      </c>
      <c r="CM149" s="377">
        <v>45910</v>
      </c>
      <c r="CN149" s="377">
        <v>45910</v>
      </c>
      <c r="CO149" s="377" t="s">
        <v>1143</v>
      </c>
      <c r="CP149" s="377" t="s">
        <v>1143</v>
      </c>
      <c r="CQ149" s="377" t="s">
        <v>1143</v>
      </c>
      <c r="CR149" s="377">
        <v>45923</v>
      </c>
      <c r="CS149" s="377">
        <v>46035</v>
      </c>
      <c r="CT149" s="44">
        <f>IF(Cartera1017[[#This Row],[Fin Desarrollo]]="",25,IFERROR(NETWORKDAYS(Cartera1017[[#This Row],[Comienzo Desarrollo]],Cartera1017[[#This Row],[Fin Desarrollo]],FERIADOS[Fecha]),""))</f>
        <v>25</v>
      </c>
      <c r="CU14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49" s="44">
        <f>IF(OR(Cartera1017[[#This Row],[Comienzo Desarrollo]]="",Cartera1017[[#This Row],[Fin Desarrollo]]=""),200,IFERROR(Cartera1017[[#This Row],[DURACIÓN DESARROLLO DIAS]]*VLOOKUP(Cartera1017[[#This Row],[ID Mantenimiento]],MANT_HORAS[],2,FALSE),200))</f>
        <v>200</v>
      </c>
      <c r="CW149" s="110"/>
      <c r="CX149" s="110" t="str">
        <f>VLOOKUP(Cartera1017[[#This Row],[Estado TI]],Definiciones!$A$549:$B$559,2,FALSE)</f>
        <v>4. PRODUCCIÓN</v>
      </c>
      <c r="CY149" s="28">
        <f ca="1">1-Cartera1017[[#This Row],[Porcentaje avanzado desarrollo]]</f>
        <v>0.9</v>
      </c>
      <c r="CZ14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49" s="28">
        <f ca="1">MAX(0,Cartera1017[[#This Row],[DURACIÓN DESARROLLO DIAS]]-Cartera1017[[#This Row],[Dias avanzados]])</f>
        <v>24</v>
      </c>
      <c r="DB149" s="28">
        <f ca="1">Cartera1017[[#This Row],[Dias avanzados]]*IFERROR(VLOOKUP(Cartera1017[[#This Row],[ID Mantenimiento]],MANT_HORAS[],2,FALSE),8)</f>
        <v>8</v>
      </c>
      <c r="DC149" s="28">
        <f ca="1">Cartera1017[[#This Row],[Dias faltantes]]*IFERROR(VLOOKUP(Cartera1017[[#This Row],[ID Mantenimiento]],MANT_HORAS[],2,FALSE),8)</f>
        <v>192</v>
      </c>
      <c r="DD149" s="28" t="str">
        <f>IF(Cartera1017[[#This Row],[Fin Producción]]=0,"Por definir",CONCATENATE(YEAR(Cartera1017[[#This Row],[Fin Producción]]),"-",ROUNDUP(MONTH(Cartera1017[[#This Row],[Fin Producción]]),0)))</f>
        <v>2026-1</v>
      </c>
      <c r="DE149" s="18" t="s">
        <v>510</v>
      </c>
      <c r="DF149" s="28"/>
      <c r="DG149" s="28"/>
      <c r="DH149" s="565"/>
    </row>
    <row r="150" spans="1:112" ht="44.25" hidden="1" customHeight="1">
      <c r="A150" s="229" t="s">
        <v>1544</v>
      </c>
      <c r="B150" s="18">
        <v>3030</v>
      </c>
      <c r="C150" s="18" t="s">
        <v>485</v>
      </c>
      <c r="D150" s="18" t="s">
        <v>1545</v>
      </c>
      <c r="E150" s="18" t="s">
        <v>311</v>
      </c>
      <c r="F150" s="33" t="s">
        <v>312</v>
      </c>
      <c r="G150" s="19"/>
      <c r="H150" s="18" t="s">
        <v>40</v>
      </c>
      <c r="I150" s="18" t="s">
        <v>577</v>
      </c>
      <c r="J150" s="18" t="s">
        <v>1118</v>
      </c>
      <c r="K150" s="20">
        <v>45715</v>
      </c>
      <c r="L150" s="50" t="s">
        <v>1119</v>
      </c>
      <c r="M150" s="50" t="s">
        <v>890</v>
      </c>
      <c r="N150" s="50"/>
      <c r="O150" s="18" t="s">
        <v>530</v>
      </c>
      <c r="P150" s="18" t="s">
        <v>549</v>
      </c>
      <c r="Q150" s="18" t="s">
        <v>496</v>
      </c>
      <c r="R150" s="18" t="s">
        <v>497</v>
      </c>
      <c r="S150" s="18"/>
      <c r="T150" s="18" t="s">
        <v>495</v>
      </c>
      <c r="U150" s="18" t="s">
        <v>495</v>
      </c>
      <c r="V150" s="18" t="s">
        <v>495</v>
      </c>
      <c r="W150" s="18" t="s">
        <v>495</v>
      </c>
      <c r="X150" s="18" t="s">
        <v>495</v>
      </c>
      <c r="Y150" s="80" t="s">
        <v>495</v>
      </c>
      <c r="Z150" s="18" t="s">
        <v>499</v>
      </c>
      <c r="AA150" s="20">
        <v>45931</v>
      </c>
      <c r="AB150" s="18" t="s">
        <v>500</v>
      </c>
      <c r="AC150" s="18" t="s">
        <v>501</v>
      </c>
      <c r="AD150" s="18" t="s">
        <v>123</v>
      </c>
      <c r="AE150" s="18" t="s">
        <v>41</v>
      </c>
      <c r="AF150" s="18" t="s">
        <v>42</v>
      </c>
      <c r="AG150" s="14" t="str">
        <f>VLOOKUP(AF150,Tabla3[[Estado Requerimiento]:[Macro estado]],2,FALSE)</f>
        <v>02. En Proceso</v>
      </c>
      <c r="AH150" s="18"/>
      <c r="AI150" s="80"/>
      <c r="AJ150" s="80">
        <v>45964</v>
      </c>
      <c r="AK150" s="80">
        <v>45915</v>
      </c>
      <c r="AL150" s="80">
        <v>45992</v>
      </c>
      <c r="AM150" s="80">
        <v>46022</v>
      </c>
      <c r="AN150" s="80">
        <v>46006</v>
      </c>
      <c r="AO150" s="80">
        <v>46055</v>
      </c>
      <c r="AP150" s="81">
        <f t="shared" si="4"/>
        <v>46064.800000000003</v>
      </c>
      <c r="AQ150" s="80"/>
      <c r="AR150" s="80"/>
      <c r="AS150" s="81">
        <f t="shared" si="5"/>
        <v>46071.8</v>
      </c>
      <c r="AT150" s="19" t="s">
        <v>1546</v>
      </c>
      <c r="AU150" s="44" t="str">
        <f>VLOOKUP(Cartera1017[[#This Row],[Gerencia]],tbGerencia[#All],3,FALSE)</f>
        <v>Operac.</v>
      </c>
      <c r="AV150" s="44" t="str">
        <f>IFERROR(VLOOKUP(Cartera1017[[#This Row],[Subgerencia]],Definiciones!$A$90:$B$144,2,FALSE),"")</f>
        <v>CaptacionesPagaduría</v>
      </c>
      <c r="AW150" s="44" t="str">
        <f>IF(OR(LEN(Cartera1017[[#This Row],[Fecha de Solicitud]])=0,(Cartera1017[[#This Row],[Fecha de Solicitud]])="No definido"),"No definido",IF(YEAR(Cartera1017[[#This Row],[Fecha de Solicitud]])&lt;2023," &lt;  2023",TEXT(Cartera1017[[#This Row],[Fecha de Solicitud]],"yyyy-mm")))</f>
        <v>2025-02</v>
      </c>
      <c r="AX150" s="44" t="str">
        <f>IF(Cartera1017[[#This Row],[Fecha de Priorización Comité]]="","No definido",TEXT(Cartera1017[[#This Row],[Fecha de Priorización Comité]],"yyyy-mm"))</f>
        <v>2025-10</v>
      </c>
      <c r="AY150" s="44" t="str">
        <f>IF(Cartera1017[[#This Row],[Fecha Fin- Desarrollo]]="","No definido",TEXT(Cartera1017[[#This Row],[Fecha Fin- Desarrollo]],"yyyy-mm"))</f>
        <v>2025-12</v>
      </c>
      <c r="AZ150" s="44" t="str">
        <f>IF(Cartera1017[[#This Row],[Fecha Fin- Producción]]="","No definido",TEXT(Cartera1017[[#This Row],[Fecha Fin- Producción]],"yyyy-mm"))</f>
        <v>No definido</v>
      </c>
      <c r="BA150" s="44" t="str">
        <f>IF(Cartera1017[[#This Row],[Fecha Fin-Planificada]]="","No definido",TEXT(Cartera1017[[#This Row],[Fecha Fin-Planificada]],"yyyy-mm"))</f>
        <v>2026-02</v>
      </c>
      <c r="BB150" s="33"/>
      <c r="BC150" s="66"/>
      <c r="BD150" s="66"/>
      <c r="BE150" s="66"/>
      <c r="BF150" s="127"/>
      <c r="BG150" s="28" t="s">
        <v>543</v>
      </c>
      <c r="BH15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0" s="90" t="str">
        <f>IF(ISNUMBER(Cartera1017[[#This Row],[Duracion en Dias]]),Cartera1017[[#This Row],[Duracion en Dias]]/30, "No Aplica")</f>
        <v>No Aplica</v>
      </c>
      <c r="BJ150" s="109"/>
      <c r="BK150" s="28" t="s">
        <v>506</v>
      </c>
      <c r="BL150" s="110" t="s">
        <v>655</v>
      </c>
      <c r="BM150" s="342">
        <v>46106.720972222225</v>
      </c>
      <c r="BN150" s="227"/>
      <c r="BO150" s="401"/>
      <c r="BP150" s="401"/>
      <c r="BQ15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0" s="14" t="str">
        <f>IFERROR(VLOOKUP(Cartera1017[[#This Row],[Aplicativo]],Tabla76[],2,FALSE),"Sin Aplicativo")</f>
        <v>BackOffice</v>
      </c>
      <c r="BS150" s="14" t="str">
        <f>IFERROR(VLOOKUP(Cartera1017[[#This Row],[Aplicativo]],Tabla76[],3,FALSE),"Sin Aplicativo")</f>
        <v>Otros Requerimientos</v>
      </c>
      <c r="BT150" s="400"/>
      <c r="BU150" s="33"/>
      <c r="BV150" s="28"/>
      <c r="BW15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0" s="149" t="str">
        <f ca="1">IF(Cartera1017[[#This Row],[Fecha Fin2]]="","No definido",CONCATENATE(TEXT(Cartera1017[[#This Row],[Fecha Fin2]],"mmm")," ",YEAR(Cartera1017[[#This Row],[Fecha Fin2]])))</f>
        <v>No definido</v>
      </c>
      <c r="BZ150" s="28"/>
      <c r="CA150" s="48" t="str">
        <f>IF(Cartera1017[[#This Row],[Estado TI]] = "08. Producción Finalizada","Culminado",IF(Cartera1017[[#This Row],[Estado TI]]= "09. Descartado","Descartado","Activos"))</f>
        <v>Activos</v>
      </c>
      <c r="CB150" s="28"/>
      <c r="CC15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150" s="54" t="str">
        <f>IF(
AND(
Cartera1017[[#This Row],[DEVOLVER 27]]="NO",
NOT(ISBLANK(Cartera1017[[#This Row],[ESTADO NO DEVUELTOS 27]]))
),
"PRE",
"POST"
)</f>
        <v>PRE</v>
      </c>
      <c r="CE150" s="54" t="s">
        <v>509</v>
      </c>
      <c r="CF150" s="28" t="s">
        <v>48</v>
      </c>
      <c r="CG15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5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0" s="406">
        <f>Cartera1017[[#This Row],[Porcentaje de Avance]]</f>
        <v>0.85</v>
      </c>
      <c r="CK150" s="388">
        <f ca="1">IF(
   OR(
     Cartera1017[[#This Row],[Estado TI]]="09. Descartado",
     Cartera1017[[#This Row],[Comienzo Desarrollo]]="",
     Cartera1017[[#This Row],[Fin Producción]]=""
   ),
   "",
   Cartera1017[[#This Row],[% PLANIFICADO]]-Cartera1017[[#This Row],[% COMPLETADO]]
)</f>
        <v>0.15000000000000002</v>
      </c>
      <c r="CL150" s="388">
        <f ca="1">IF(
   OR(
     Cartera1017[[#This Row],[Estado TI]]="09. Descartado",
     Cartera1017[[#This Row],[Comienzo Desarrollo]]="",
     Cartera1017[[#This Row],[Fin Producción]]="",
     Cartera1017[[#This Row],[% PLANIFICADO]]=0
   ),
   "",
   MIN(Cartera1017[[#This Row],[% COMPLETADO]]/Cartera1017[[#This Row],[% PLANIFICADO]],1.2)
)</f>
        <v>0.85</v>
      </c>
      <c r="CM150" s="377">
        <v>45915</v>
      </c>
      <c r="CN150" s="377">
        <v>45915</v>
      </c>
      <c r="CO150" s="377">
        <v>45992</v>
      </c>
      <c r="CP150" s="377">
        <v>46006</v>
      </c>
      <c r="CQ150" s="377">
        <v>46055</v>
      </c>
      <c r="CR150" s="377">
        <v>46072</v>
      </c>
      <c r="CS150" s="377">
        <v>46108</v>
      </c>
      <c r="CT150" s="44">
        <f>IF(Cartera1017[[#This Row],[Fin Desarrollo]]="",25,IFERROR(NETWORKDAYS(Cartera1017[[#This Row],[Comienzo Desarrollo]],Cartera1017[[#This Row],[Fin Desarrollo]],FERIADOS[Fecha]),""))</f>
        <v>55</v>
      </c>
      <c r="CU15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50" s="44">
        <f>IF(OR(Cartera1017[[#This Row],[Comienzo Desarrollo]]="",Cartera1017[[#This Row],[Fin Desarrollo]]=""),200,IFERROR(Cartera1017[[#This Row],[DURACIÓN DESARROLLO DIAS]]*VLOOKUP(Cartera1017[[#This Row],[ID Mantenimiento]],MANT_HORAS[],2,FALSE),200))</f>
        <v>200</v>
      </c>
      <c r="CW150" s="110"/>
      <c r="CX150" s="110" t="str">
        <f>VLOOKUP(Cartera1017[[#This Row],[Estado TI]],Definiciones!$A$549:$B$559,2,FALSE)</f>
        <v>2. CALIDAD</v>
      </c>
      <c r="CY150" s="28">
        <f ca="1">1-Cartera1017[[#This Row],[Porcentaje avanzado desarrollo]]</f>
        <v>0</v>
      </c>
      <c r="CZ15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55</v>
      </c>
      <c r="DA150" s="28">
        <f ca="1">MAX(0,Cartera1017[[#This Row],[DURACIÓN DESARROLLO DIAS]]-Cartera1017[[#This Row],[Dias avanzados]])</f>
        <v>0</v>
      </c>
      <c r="DB150" s="28">
        <f ca="1">Cartera1017[[#This Row],[Dias avanzados]]*IFERROR(VLOOKUP(Cartera1017[[#This Row],[ID Mantenimiento]],MANT_HORAS[],2,FALSE),8)</f>
        <v>440</v>
      </c>
      <c r="DC150" s="28">
        <f ca="1">Cartera1017[[#This Row],[Dias faltantes]]*IFERROR(VLOOKUP(Cartera1017[[#This Row],[ID Mantenimiento]],MANT_HORAS[],2,FALSE),8)</f>
        <v>0</v>
      </c>
      <c r="DD150" s="28" t="str">
        <f>IF(Cartera1017[[#This Row],[Fin Producción]]=0,"Por definir",CONCATENATE(YEAR(Cartera1017[[#This Row],[Fin Producción]]),"-",ROUNDUP(MONTH(Cartera1017[[#This Row],[Fin Producción]]),0)))</f>
        <v>2026-3</v>
      </c>
      <c r="DE150" s="18" t="s">
        <v>510</v>
      </c>
      <c r="DF150" s="28" t="s">
        <v>1547</v>
      </c>
      <c r="DG150" s="28" t="s">
        <v>956</v>
      </c>
      <c r="DH150" s="565"/>
    </row>
    <row r="151" spans="1:112" ht="44.25" hidden="1" customHeight="1">
      <c r="A151" s="229" t="s">
        <v>1548</v>
      </c>
      <c r="B151" s="18">
        <v>3032</v>
      </c>
      <c r="C151" s="18" t="s">
        <v>485</v>
      </c>
      <c r="D151" s="18" t="s">
        <v>1549</v>
      </c>
      <c r="E151" s="18" t="s">
        <v>1550</v>
      </c>
      <c r="F151" s="33" t="s">
        <v>1551</v>
      </c>
      <c r="G151" s="19"/>
      <c r="H151" s="18" t="s">
        <v>40</v>
      </c>
      <c r="I151" s="18" t="s">
        <v>490</v>
      </c>
      <c r="J151" s="18" t="s">
        <v>662</v>
      </c>
      <c r="K151" s="20">
        <v>45915</v>
      </c>
      <c r="L151" s="20" t="s">
        <v>1552</v>
      </c>
      <c r="M151" s="50" t="s">
        <v>1553</v>
      </c>
      <c r="N151" s="50"/>
      <c r="O151" s="18" t="s">
        <v>530</v>
      </c>
      <c r="P151" s="20" t="s">
        <v>495</v>
      </c>
      <c r="Q151" s="20" t="s">
        <v>822</v>
      </c>
      <c r="R151" s="20" t="s">
        <v>497</v>
      </c>
      <c r="S151" s="18"/>
      <c r="T151" s="18" t="s">
        <v>495</v>
      </c>
      <c r="U151" s="18" t="s">
        <v>495</v>
      </c>
      <c r="V151" s="18" t="s">
        <v>495</v>
      </c>
      <c r="W151" s="18" t="s">
        <v>495</v>
      </c>
      <c r="X151" s="18" t="s">
        <v>495</v>
      </c>
      <c r="Y151" s="80" t="s">
        <v>495</v>
      </c>
      <c r="Z151" s="20" t="s">
        <v>499</v>
      </c>
      <c r="AA151" s="20">
        <v>45931</v>
      </c>
      <c r="AB151" s="20" t="s">
        <v>500</v>
      </c>
      <c r="AC151" s="18" t="s">
        <v>558</v>
      </c>
      <c r="AD151" s="18" t="s">
        <v>139</v>
      </c>
      <c r="AE151" s="18" t="s">
        <v>41</v>
      </c>
      <c r="AF151" s="18" t="s">
        <v>502</v>
      </c>
      <c r="AG151" s="14" t="str">
        <f>VLOOKUP(AF151,Tabla3[[Estado Requerimiento]:[Macro estado]],2,FALSE)</f>
        <v>05. Descartado</v>
      </c>
      <c r="AH151" s="18"/>
      <c r="AI151" s="80"/>
      <c r="AJ151" s="80">
        <v>45964</v>
      </c>
      <c r="AK151" s="80">
        <v>46031</v>
      </c>
      <c r="AL151" s="80">
        <v>46031</v>
      </c>
      <c r="AM151" s="80">
        <v>46022</v>
      </c>
      <c r="AN151" s="80"/>
      <c r="AO151" s="80"/>
      <c r="AP151" s="81">
        <f t="shared" si="4"/>
        <v>46018.400000000001</v>
      </c>
      <c r="AQ151" s="80"/>
      <c r="AR151" s="80"/>
      <c r="AS151" s="81">
        <f t="shared" si="5"/>
        <v>46025.4</v>
      </c>
      <c r="AT151" s="19" t="s">
        <v>1554</v>
      </c>
      <c r="AU151" s="44" t="str">
        <f>VLOOKUP(Cartera1017[[#This Row],[Gerencia]],tbGerencia[#All],3,FALSE)</f>
        <v>Operac.</v>
      </c>
      <c r="AV151" s="44" t="str">
        <f>IFERROR(VLOOKUP(Cartera1017[[#This Row],[Subgerencia]],Definiciones!$A$90:$B$144,2,FALSE),"")</f>
        <v>BancariosRecaudación</v>
      </c>
      <c r="AW151" s="44" t="str">
        <f>IF(OR(LEN(Cartera1017[[#This Row],[Fecha de Solicitud]])=0,(Cartera1017[[#This Row],[Fecha de Solicitud]])="No definido"),"No definido",IF(YEAR(Cartera1017[[#This Row],[Fecha de Solicitud]])&lt;2023," &lt;  2023",TEXT(Cartera1017[[#This Row],[Fecha de Solicitud]],"yyyy-mm")))</f>
        <v>2025-09</v>
      </c>
      <c r="AX151" s="44" t="str">
        <f>IF(Cartera1017[[#This Row],[Fecha de Priorización Comité]]="","No definido",TEXT(Cartera1017[[#This Row],[Fecha de Priorización Comité]],"yyyy-mm"))</f>
        <v>2025-10</v>
      </c>
      <c r="AY151" s="44" t="str">
        <f>IF(Cartera1017[[#This Row],[Fecha Fin- Desarrollo]]="","No definido",TEXT(Cartera1017[[#This Row],[Fecha Fin- Desarrollo]],"yyyy-mm"))</f>
        <v>2026-01</v>
      </c>
      <c r="AZ151" s="44" t="str">
        <f>IF(Cartera1017[[#This Row],[Fecha Fin- Producción]]="","No definido",TEXT(Cartera1017[[#This Row],[Fecha Fin- Producción]],"yyyy-mm"))</f>
        <v>No definido</v>
      </c>
      <c r="BA151" s="44" t="str">
        <f>IF(Cartera1017[[#This Row],[Fecha Fin-Planificada]]="","No definido",TEXT(Cartera1017[[#This Row],[Fecha Fin-Planificada]],"yyyy-mm"))</f>
        <v>2026-01</v>
      </c>
      <c r="BB151" s="33"/>
      <c r="BC151" s="108"/>
      <c r="BD151" s="108"/>
      <c r="BE151" s="108"/>
      <c r="BF151" s="127"/>
      <c r="BG151" s="28" t="s">
        <v>543</v>
      </c>
      <c r="BH15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1" s="90" t="str">
        <f>IF(ISNUMBER(Cartera1017[[#This Row],[Duracion en Dias]]),Cartera1017[[#This Row],[Duracion en Dias]]/30, "No Aplica")</f>
        <v>No Aplica</v>
      </c>
      <c r="BJ151" s="109"/>
      <c r="BK151" s="28" t="s">
        <v>506</v>
      </c>
      <c r="BL151" s="110" t="s">
        <v>507</v>
      </c>
      <c r="BM151" s="342">
        <v>46031.50675925926</v>
      </c>
      <c r="BN151" s="227"/>
      <c r="BO151" s="401"/>
      <c r="BP151" s="401"/>
      <c r="BQ15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1" s="14" t="str">
        <f>IFERROR(VLOOKUP(Cartera1017[[#This Row],[Aplicativo]],Tabla76[],2,FALSE),"Sin Aplicativo")</f>
        <v>BackOffice</v>
      </c>
      <c r="BS151" s="14" t="str">
        <f>IFERROR(VLOOKUP(Cartera1017[[#This Row],[Aplicativo]],Tabla76[],3,FALSE),"Sin Aplicativo")</f>
        <v>Otros Requerimientos</v>
      </c>
      <c r="BT151" s="400"/>
      <c r="BU151" s="33"/>
      <c r="BV151" s="28"/>
      <c r="BW15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1" s="149" t="str">
        <f ca="1">IF(Cartera1017[[#This Row],[Fecha Fin2]]="","No definido",CONCATENATE(TEXT(Cartera1017[[#This Row],[Fecha Fin2]],"mmm")," ",YEAR(Cartera1017[[#This Row],[Fecha Fin2]])))</f>
        <v>No definido</v>
      </c>
      <c r="BZ151" s="28"/>
      <c r="CA151" s="48" t="str">
        <f>IF(Cartera1017[[#This Row],[Estado TI]] = "08. Producción Finalizada","Culminado",IF(Cartera1017[[#This Row],[Estado TI]]= "09. Descartado","Descartado","Activos"))</f>
        <v>Descartado</v>
      </c>
      <c r="CB151" s="28"/>
      <c r="CC15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151" s="54" t="str">
        <f>IF(
AND(
Cartera1017[[#This Row],[DEVOLVER 27]]="NO",
NOT(ISBLANK(Cartera1017[[#This Row],[ESTADO NO DEVUELTOS 27]]))
),
"PRE",
"POST"
)</f>
        <v>PRE</v>
      </c>
      <c r="CE151" s="54" t="s">
        <v>509</v>
      </c>
      <c r="CF151" s="28" t="s">
        <v>48</v>
      </c>
      <c r="CG15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5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151"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51" s="406">
        <f>Cartera1017[[#This Row],[Porcentaje de Avance]]</f>
        <v>-0.01</v>
      </c>
      <c r="CK151" s="388" t="str">
        <f>IF(
   OR(
     Cartera1017[[#This Row],[Estado TI]]="09. Descartado",
     Cartera1017[[#This Row],[Comienzo Desarrollo]]="",
     Cartera1017[[#This Row],[Fin Producción]]=""
   ),
   "",
   Cartera1017[[#This Row],[% PLANIFICADO]]-Cartera1017[[#This Row],[% COMPLETADO]]
)</f>
        <v/>
      </c>
      <c r="CL151" s="388" t="str">
        <f ca="1">IF(
   OR(
     Cartera1017[[#This Row],[Estado TI]]="09. Descartado",
     Cartera1017[[#This Row],[Comienzo Desarrollo]]="",
     Cartera1017[[#This Row],[Fin Producción]]="",
     Cartera1017[[#This Row],[% PLANIFICADO]]=0
   ),
   "",
   MIN(Cartera1017[[#This Row],[% COMPLETADO]]/Cartera1017[[#This Row],[% PLANIFICADO]],1.2)
)</f>
        <v/>
      </c>
      <c r="CM151" s="377"/>
      <c r="CN151" s="377"/>
      <c r="CO151" s="377"/>
      <c r="CP151" s="377"/>
      <c r="CQ151" s="377"/>
      <c r="CR151" s="377"/>
      <c r="CS151" s="377"/>
      <c r="CT151" s="44">
        <f>IF(Cartera1017[[#This Row],[Fin Desarrollo]]="",25,IFERROR(NETWORKDAYS(Cartera1017[[#This Row],[Comienzo Desarrollo]],Cartera1017[[#This Row],[Fin Desarrollo]],FERIADOS[Fecha]),""))</f>
        <v>25</v>
      </c>
      <c r="CU15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51" s="44">
        <f>IF(OR(Cartera1017[[#This Row],[Comienzo Desarrollo]]="",Cartera1017[[#This Row],[Fin Desarrollo]]=""),200,IFERROR(Cartera1017[[#This Row],[DURACIÓN DESARROLLO DIAS]]*VLOOKUP(Cartera1017[[#This Row],[ID Mantenimiento]],MANT_HORAS[],2,FALSE),200))</f>
        <v>200</v>
      </c>
      <c r="CW151" s="110"/>
      <c r="CX151" s="110" t="str">
        <f>VLOOKUP(Cartera1017[[#This Row],[Estado TI]],Definiciones!$A$549:$B$559,2,FALSE)</f>
        <v>5. DESCARTADO</v>
      </c>
      <c r="CY151" s="28">
        <f ca="1">1-Cartera1017[[#This Row],[Porcentaje avanzado desarrollo]]</f>
        <v>0.9</v>
      </c>
      <c r="CZ15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51" s="28">
        <f ca="1">MAX(0,Cartera1017[[#This Row],[DURACIÓN DESARROLLO DIAS]]-Cartera1017[[#This Row],[Dias avanzados]])</f>
        <v>24</v>
      </c>
      <c r="DB151" s="28">
        <f ca="1">Cartera1017[[#This Row],[Dias avanzados]]*IFERROR(VLOOKUP(Cartera1017[[#This Row],[ID Mantenimiento]],MANT_HORAS[],2,FALSE),8)</f>
        <v>8</v>
      </c>
      <c r="DC151" s="28">
        <f ca="1">Cartera1017[[#This Row],[Dias faltantes]]*IFERROR(VLOOKUP(Cartera1017[[#This Row],[ID Mantenimiento]],MANT_HORAS[],2,FALSE),8)</f>
        <v>192</v>
      </c>
      <c r="DD151" s="28" t="str">
        <f>IF(Cartera1017[[#This Row],[Fin Producción]]=0,"Por definir",CONCATENATE(YEAR(Cartera1017[[#This Row],[Fin Producción]]),"-",ROUNDUP(MONTH(Cartera1017[[#This Row],[Fin Producción]]),0)))</f>
        <v>Por definir</v>
      </c>
      <c r="DE151" s="18" t="s">
        <v>510</v>
      </c>
      <c r="DF151" s="28"/>
      <c r="DG151" s="28"/>
      <c r="DH151" s="565"/>
    </row>
    <row r="152" spans="1:112" ht="44.25" hidden="1" customHeight="1">
      <c r="A152" s="229" t="s">
        <v>1555</v>
      </c>
      <c r="B152" s="18">
        <v>3036</v>
      </c>
      <c r="C152" s="18" t="s">
        <v>485</v>
      </c>
      <c r="D152" s="18" t="s">
        <v>1556</v>
      </c>
      <c r="E152" s="18" t="s">
        <v>313</v>
      </c>
      <c r="F152" s="19" t="s">
        <v>314</v>
      </c>
      <c r="G152" s="19"/>
      <c r="H152" s="18" t="s">
        <v>26</v>
      </c>
      <c r="I152" s="18" t="s">
        <v>539</v>
      </c>
      <c r="J152" s="18" t="s">
        <v>554</v>
      </c>
      <c r="K152" s="20"/>
      <c r="L152" s="18" t="s">
        <v>1557</v>
      </c>
      <c r="M152" s="50" t="s">
        <v>770</v>
      </c>
      <c r="N152" s="50"/>
      <c r="O152" s="18" t="s">
        <v>642</v>
      </c>
      <c r="P152" s="18" t="s">
        <v>495</v>
      </c>
      <c r="Q152" s="18" t="s">
        <v>496</v>
      </c>
      <c r="R152" s="18" t="s">
        <v>531</v>
      </c>
      <c r="S152" s="18"/>
      <c r="T152" s="18"/>
      <c r="U152" s="18"/>
      <c r="V152" s="18"/>
      <c r="W152" s="18"/>
      <c r="X152" s="18"/>
      <c r="Y152" s="80"/>
      <c r="Z152" s="18" t="s">
        <v>499</v>
      </c>
      <c r="AA152" s="20">
        <v>45931</v>
      </c>
      <c r="AB152" s="18" t="s">
        <v>500</v>
      </c>
      <c r="AC152" s="18"/>
      <c r="AD152" s="18" t="s">
        <v>30</v>
      </c>
      <c r="AE152" s="18" t="s">
        <v>27</v>
      </c>
      <c r="AF152" s="18" t="s">
        <v>48</v>
      </c>
      <c r="AG152" s="14" t="str">
        <f>VLOOKUP(AF152,Tabla3[[Estado Requerimiento]:[Macro estado]],2,FALSE)</f>
        <v>02. En Proceso</v>
      </c>
      <c r="AH152" s="18"/>
      <c r="AI152" s="80"/>
      <c r="AJ152" s="80"/>
      <c r="AK152" s="80">
        <v>45917</v>
      </c>
      <c r="AL152" s="80"/>
      <c r="AM152" s="80"/>
      <c r="AN152" s="80"/>
      <c r="AO152" s="80"/>
      <c r="AP152" s="81" t="str">
        <f t="shared" si="4"/>
        <v/>
      </c>
      <c r="AQ152" s="80"/>
      <c r="AR152" s="80"/>
      <c r="AS152" s="81" t="str">
        <f t="shared" si="5"/>
        <v/>
      </c>
      <c r="AT152" s="19" t="s">
        <v>1558</v>
      </c>
      <c r="AU152" s="44" t="str">
        <f>VLOOKUP(Cartera1017[[#This Row],[Gerencia]],tbGerencia[#All],3,FALSE)</f>
        <v>B.Digital</v>
      </c>
      <c r="AV152" s="44" t="str">
        <f>IFERROR(VLOOKUP(Cartera1017[[#This Row],[Subgerencia]],Definiciones!$A$90:$B$144,2,FALSE),"")</f>
        <v>CanalesAlternos</v>
      </c>
      <c r="AW152" s="44" t="str">
        <f>IF(OR(LEN(Cartera1017[[#This Row],[Fecha de Solicitud]])=0,(Cartera1017[[#This Row],[Fecha de Solicitud]])="No definido"),"No definido",IF(YEAR(Cartera1017[[#This Row],[Fecha de Solicitud]])&lt;2023," &lt;  2023",TEXT(Cartera1017[[#This Row],[Fecha de Solicitud]],"yyyy-mm")))</f>
        <v>No definido</v>
      </c>
      <c r="AX152" s="44" t="str">
        <f>IF(Cartera1017[[#This Row],[Fecha de Priorización Comité]]="","No definido",TEXT(Cartera1017[[#This Row],[Fecha de Priorización Comité]],"yyyy-mm"))</f>
        <v>2025-10</v>
      </c>
      <c r="AY152" s="44" t="str">
        <f>IF(Cartera1017[[#This Row],[Fecha Fin- Desarrollo]]="","No definido",TEXT(Cartera1017[[#This Row],[Fecha Fin- Desarrollo]],"yyyy-mm"))</f>
        <v>No definido</v>
      </c>
      <c r="AZ152" s="44" t="str">
        <f>IF(Cartera1017[[#This Row],[Fecha Fin- Producción]]="","No definido",TEXT(Cartera1017[[#This Row],[Fecha Fin- Producción]],"yyyy-mm"))</f>
        <v>No definido</v>
      </c>
      <c r="BA152" s="44" t="str">
        <f>IF(Cartera1017[[#This Row],[Fecha Fin-Planificada]]="","No definido",TEXT(Cartera1017[[#This Row],[Fecha Fin-Planificada]],"yyyy-mm"))</f>
        <v>No definido</v>
      </c>
      <c r="BB152" s="33"/>
      <c r="BC152" s="108"/>
      <c r="BD152" s="108"/>
      <c r="BE152" s="108"/>
      <c r="BF152" s="127"/>
      <c r="BG152" s="28" t="s">
        <v>543</v>
      </c>
      <c r="BH15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2" s="90" t="str">
        <f>IF(ISNUMBER(Cartera1017[[#This Row],[Duracion en Dias]]),Cartera1017[[#This Row],[Duracion en Dias]]/30, "No Aplica")</f>
        <v>No Aplica</v>
      </c>
      <c r="BJ152" s="109"/>
      <c r="BK152" s="28" t="s">
        <v>613</v>
      </c>
      <c r="BL152" s="110" t="s">
        <v>592</v>
      </c>
      <c r="BM152" s="342">
        <v>45917.632071759261</v>
      </c>
      <c r="BN152" s="227"/>
      <c r="BO152" s="401"/>
      <c r="BP152" s="401"/>
      <c r="BQ15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52" s="14" t="str">
        <f>IFERROR(VLOOKUP(Cartera1017[[#This Row],[Aplicativo]],Tabla76[],2,FALSE),"Sin Aplicativo")</f>
        <v>ATM-Agentes-VISA</v>
      </c>
      <c r="BS152" s="14" t="str">
        <f>IFERROR(VLOOKUP(Cartera1017[[#This Row],[Aplicativo]],Tabla76[],3,FALSE),"Sin Aplicativo")</f>
        <v>Canales Presenciales</v>
      </c>
      <c r="BT152" s="400"/>
      <c r="BU152" s="33"/>
      <c r="BV152" s="28"/>
      <c r="BW15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2" s="149" t="str">
        <f ca="1">IF(Cartera1017[[#This Row],[Fecha Fin2]]="","No definido",CONCATENATE(TEXT(Cartera1017[[#This Row],[Fecha Fin2]],"mmm")," ",YEAR(Cartera1017[[#This Row],[Fecha Fin2]])))</f>
        <v>No definido</v>
      </c>
      <c r="BZ152" s="28"/>
      <c r="CA152" s="48" t="str">
        <f>IF(Cartera1017[[#This Row],[Estado TI]] = "08. Producción Finalizada","Culminado",IF(Cartera1017[[#This Row],[Estado TI]]= "09. Descartado","Descartado","Activos"))</f>
        <v>Activos</v>
      </c>
      <c r="CB152" s="28" t="s">
        <v>645</v>
      </c>
      <c r="CC15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52" s="54" t="str">
        <f>IF(
AND(
Cartera1017[[#This Row],[DEVOLVER 27]]="NO",
NOT(ISBLANK(Cartera1017[[#This Row],[ESTADO NO DEVUELTOS 27]]))
),
"PRE",
"POST"
)</f>
        <v>PRE</v>
      </c>
      <c r="CE152" s="54" t="s">
        <v>509</v>
      </c>
      <c r="CF152" s="28" t="s">
        <v>48</v>
      </c>
      <c r="CG15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5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2" s="406">
        <f>Cartera1017[[#This Row],[Porcentaje de Avance]]</f>
        <v>0.25</v>
      </c>
      <c r="CK152" s="388">
        <f ca="1">IF(
   OR(
     Cartera1017[[#This Row],[Estado TI]]="09. Descartado",
     Cartera1017[[#This Row],[Comienzo Desarrollo]]="",
     Cartera1017[[#This Row],[Fin Producción]]=""
   ),
   "",
   Cartera1017[[#This Row],[% PLANIFICADO]]-Cartera1017[[#This Row],[% COMPLETADO]]
)</f>
        <v>0.75</v>
      </c>
      <c r="CL152" s="388">
        <f ca="1">IF(
   OR(
     Cartera1017[[#This Row],[Estado TI]]="09. Descartado",
     Cartera1017[[#This Row],[Comienzo Desarrollo]]="",
     Cartera1017[[#This Row],[Fin Producción]]="",
     Cartera1017[[#This Row],[% PLANIFICADO]]=0
   ),
   "",
   MIN(Cartera1017[[#This Row],[% COMPLETADO]]/Cartera1017[[#This Row],[% PLANIFICADO]],1.2)
)</f>
        <v>0.25</v>
      </c>
      <c r="CM152" s="377">
        <v>45964</v>
      </c>
      <c r="CN152" s="377">
        <v>46083</v>
      </c>
      <c r="CO152" s="377">
        <v>46109</v>
      </c>
      <c r="CP152" s="377">
        <v>46108</v>
      </c>
      <c r="CQ152" s="377">
        <v>46114</v>
      </c>
      <c r="CR152" s="377">
        <v>46118</v>
      </c>
      <c r="CS152" s="377">
        <v>46122</v>
      </c>
      <c r="CT152" s="44">
        <f>IF(Cartera1017[[#This Row],[Fin Desarrollo]]="",25,IFERROR(NETWORKDAYS(Cartera1017[[#This Row],[Comienzo Desarrollo]],Cartera1017[[#This Row],[Fin Desarrollo]],FERIADOS[Fecha]),""))</f>
        <v>20</v>
      </c>
      <c r="CU15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52" s="44">
        <f>IF(OR(Cartera1017[[#This Row],[Comienzo Desarrollo]]="",Cartera1017[[#This Row],[Fin Desarrollo]]=""),200,IFERROR(Cartera1017[[#This Row],[DURACIÓN DESARROLLO DIAS]]*VLOOKUP(Cartera1017[[#This Row],[ID Mantenimiento]],MANT_HORAS[],2,FALSE),200))</f>
        <v>14.545454545454547</v>
      </c>
      <c r="CW152" s="110" t="s">
        <v>544</v>
      </c>
      <c r="CX152" s="110" t="str">
        <f>VLOOKUP(Cartera1017[[#This Row],[Estado TI]],Definiciones!$A$549:$B$559,2,FALSE)</f>
        <v>1. DESARROLLO</v>
      </c>
      <c r="CY152" s="28">
        <f ca="1">1-Cartera1017[[#This Row],[Porcentaje avanzado desarrollo]]</f>
        <v>0</v>
      </c>
      <c r="CZ15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52" s="28">
        <f ca="1">MAX(0,Cartera1017[[#This Row],[DURACIÓN DESARROLLO DIAS]]-Cartera1017[[#This Row],[Dias avanzados]])</f>
        <v>0</v>
      </c>
      <c r="DB152" s="28">
        <f ca="1">Cartera1017[[#This Row],[Dias avanzados]]*IFERROR(VLOOKUP(Cartera1017[[#This Row],[ID Mantenimiento]],MANT_HORAS[],2,FALSE),8)</f>
        <v>14.545454545454547</v>
      </c>
      <c r="DC152" s="28">
        <f ca="1">Cartera1017[[#This Row],[Dias faltantes]]*IFERROR(VLOOKUP(Cartera1017[[#This Row],[ID Mantenimiento]],MANT_HORAS[],2,FALSE),8)</f>
        <v>0</v>
      </c>
      <c r="DD152" s="28" t="str">
        <f>IF(Cartera1017[[#This Row],[Fin Producción]]=0,"Por definir",CONCATENATE(YEAR(Cartera1017[[#This Row],[Fin Producción]]),"-",ROUNDUP(MONTH(Cartera1017[[#This Row],[Fin Producción]]),0)))</f>
        <v>2026-4</v>
      </c>
      <c r="DE152" s="18" t="s">
        <v>510</v>
      </c>
      <c r="DF152" s="28"/>
      <c r="DG152" s="28"/>
      <c r="DH152" s="565"/>
    </row>
    <row r="153" spans="1:112" ht="44.25" hidden="1" customHeight="1">
      <c r="A153" s="229" t="s">
        <v>1559</v>
      </c>
      <c r="B153" s="18">
        <v>3042</v>
      </c>
      <c r="C153" s="18" t="s">
        <v>485</v>
      </c>
      <c r="D153" s="18" t="s">
        <v>1560</v>
      </c>
      <c r="E153" s="18" t="s">
        <v>1561</v>
      </c>
      <c r="F153" s="33" t="s">
        <v>1562</v>
      </c>
      <c r="G153" s="19"/>
      <c r="H153" s="18" t="s">
        <v>40</v>
      </c>
      <c r="I153" s="18" t="s">
        <v>490</v>
      </c>
      <c r="J153" s="18" t="s">
        <v>1336</v>
      </c>
      <c r="K153" s="20">
        <v>45915</v>
      </c>
      <c r="L153" s="18" t="s">
        <v>1563</v>
      </c>
      <c r="M153" s="50" t="s">
        <v>1564</v>
      </c>
      <c r="N153" s="50"/>
      <c r="O153" s="18" t="s">
        <v>530</v>
      </c>
      <c r="P153" s="18" t="s">
        <v>1336</v>
      </c>
      <c r="Q153" s="18" t="s">
        <v>496</v>
      </c>
      <c r="R153" s="18" t="s">
        <v>497</v>
      </c>
      <c r="S153" s="18"/>
      <c r="T153" s="18" t="s">
        <v>495</v>
      </c>
      <c r="U153" s="18" t="s">
        <v>495</v>
      </c>
      <c r="V153" s="18" t="s">
        <v>495</v>
      </c>
      <c r="W153" s="18" t="s">
        <v>495</v>
      </c>
      <c r="X153" s="18" t="s">
        <v>495</v>
      </c>
      <c r="Y153" s="80" t="s">
        <v>495</v>
      </c>
      <c r="Z153" s="18" t="s">
        <v>499</v>
      </c>
      <c r="AA153" s="20">
        <v>45931</v>
      </c>
      <c r="AB153" s="18" t="s">
        <v>500</v>
      </c>
      <c r="AC153" s="18" t="s">
        <v>558</v>
      </c>
      <c r="AD153" s="18" t="s">
        <v>1565</v>
      </c>
      <c r="AE153" s="18" t="s">
        <v>41</v>
      </c>
      <c r="AF153" s="18" t="s">
        <v>502</v>
      </c>
      <c r="AG153" s="14" t="str">
        <f>VLOOKUP(AF153,Tabla3[[Estado Requerimiento]:[Macro estado]],2,FALSE)</f>
        <v>05. Descartado</v>
      </c>
      <c r="AH153" s="18"/>
      <c r="AI153" s="80"/>
      <c r="AJ153" s="80">
        <v>45964</v>
      </c>
      <c r="AK153" s="80">
        <v>45923</v>
      </c>
      <c r="AL153" s="80"/>
      <c r="AM153" s="80">
        <v>46052</v>
      </c>
      <c r="AN153" s="80"/>
      <c r="AO153" s="80"/>
      <c r="AP153" s="81">
        <f t="shared" si="4"/>
        <v>46103.6</v>
      </c>
      <c r="AQ153" s="80"/>
      <c r="AR153" s="80"/>
      <c r="AS153" s="81">
        <f t="shared" si="5"/>
        <v>46110.6</v>
      </c>
      <c r="AT153" s="19" t="s">
        <v>1566</v>
      </c>
      <c r="AU153" s="44" t="str">
        <f>VLOOKUP(Cartera1017[[#This Row],[Gerencia]],tbGerencia[#All],3,FALSE)</f>
        <v>Operac.</v>
      </c>
      <c r="AV153" s="44" t="str">
        <f>IFERROR(VLOOKUP(Cartera1017[[#This Row],[Subgerencia]],Definiciones!$A$90:$B$144,2,FALSE),"")</f>
        <v>BancariosRecaudación</v>
      </c>
      <c r="AW153" s="44" t="str">
        <f>IF(OR(LEN(Cartera1017[[#This Row],[Fecha de Solicitud]])=0,(Cartera1017[[#This Row],[Fecha de Solicitud]])="No definido"),"No definido",IF(YEAR(Cartera1017[[#This Row],[Fecha de Solicitud]])&lt;2023," &lt;  2023",TEXT(Cartera1017[[#This Row],[Fecha de Solicitud]],"yyyy-mm")))</f>
        <v>2025-09</v>
      </c>
      <c r="AX153" s="44" t="str">
        <f>IF(Cartera1017[[#This Row],[Fecha de Priorización Comité]]="","No definido",TEXT(Cartera1017[[#This Row],[Fecha de Priorización Comité]],"yyyy-mm"))</f>
        <v>2025-10</v>
      </c>
      <c r="AY153" s="44" t="str">
        <f>IF(Cartera1017[[#This Row],[Fecha Fin- Desarrollo]]="","No definido",TEXT(Cartera1017[[#This Row],[Fecha Fin- Desarrollo]],"yyyy-mm"))</f>
        <v>No definido</v>
      </c>
      <c r="AZ153" s="44" t="str">
        <f>IF(Cartera1017[[#This Row],[Fecha Fin- Producción]]="","No definido",TEXT(Cartera1017[[#This Row],[Fecha Fin- Producción]],"yyyy-mm"))</f>
        <v>No definido</v>
      </c>
      <c r="BA153" s="44" t="str">
        <f>IF(Cartera1017[[#This Row],[Fecha Fin-Planificada]]="","No definido",TEXT(Cartera1017[[#This Row],[Fecha Fin-Planificada]],"yyyy-mm"))</f>
        <v>2026-03</v>
      </c>
      <c r="BB153" s="33"/>
      <c r="BC153" s="108"/>
      <c r="BD153" s="108"/>
      <c r="BE153" s="108"/>
      <c r="BF153" s="127"/>
      <c r="BG153" s="28" t="s">
        <v>543</v>
      </c>
      <c r="BH15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3" s="90" t="str">
        <f>IF(ISNUMBER(Cartera1017[[#This Row],[Duracion en Dias]]),Cartera1017[[#This Row],[Duracion en Dias]]/30, "No Aplica")</f>
        <v>No Aplica</v>
      </c>
      <c r="BJ153" s="109"/>
      <c r="BK153" s="28" t="s">
        <v>1567</v>
      </c>
      <c r="BL153" s="110" t="s">
        <v>507</v>
      </c>
      <c r="BM153" s="342">
        <v>46058.402951388889</v>
      </c>
      <c r="BN153" s="227"/>
      <c r="BO153" s="401"/>
      <c r="BP153" s="401"/>
      <c r="BQ15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3" s="14" t="str">
        <f>IFERROR(VLOOKUP(Cartera1017[[#This Row],[Aplicativo]],Tabla76[],2,FALSE),"Sin Aplicativo")</f>
        <v>BackOffice</v>
      </c>
      <c r="BS153" s="14" t="str">
        <f>IFERROR(VLOOKUP(Cartera1017[[#This Row],[Aplicativo]],Tabla76[],3,FALSE),"Sin Aplicativo")</f>
        <v>Otros Requerimientos</v>
      </c>
      <c r="BT153" s="400"/>
      <c r="BU153" s="33"/>
      <c r="BV153" s="28"/>
      <c r="BW15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3" s="149" t="str">
        <f ca="1">IF(Cartera1017[[#This Row],[Fecha Fin2]]="","No definido",CONCATENATE(TEXT(Cartera1017[[#This Row],[Fecha Fin2]],"mmm")," ",YEAR(Cartera1017[[#This Row],[Fecha Fin2]])))</f>
        <v>No definido</v>
      </c>
      <c r="BZ153" s="28"/>
      <c r="CA153" s="48" t="str">
        <f>IF(Cartera1017[[#This Row],[Estado TI]] = "08. Producción Finalizada","Culminado",IF(Cartera1017[[#This Row],[Estado TI]]= "09. Descartado","Descartado","Activos"))</f>
        <v>Descartado</v>
      </c>
      <c r="CB153" s="28"/>
      <c r="CC15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153" s="54" t="str">
        <f>IF(
AND(
Cartera1017[[#This Row],[DEVOLVER 27]]="NO",
NOT(ISBLANK(Cartera1017[[#This Row],[ESTADO NO DEVUELTOS 27]]))
),
"PRE",
"POST"
)</f>
        <v>PRE</v>
      </c>
      <c r="CE153" s="54" t="s">
        <v>509</v>
      </c>
      <c r="CF153" s="28" t="s">
        <v>48</v>
      </c>
      <c r="CG15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5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153"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53" s="406">
        <f>Cartera1017[[#This Row],[Porcentaje de Avance]]</f>
        <v>-0.01</v>
      </c>
      <c r="CK153" s="388" t="str">
        <f>IF(
   OR(
     Cartera1017[[#This Row],[Estado TI]]="09. Descartado",
     Cartera1017[[#This Row],[Comienzo Desarrollo]]="",
     Cartera1017[[#This Row],[Fin Producción]]=""
   ),
   "",
   Cartera1017[[#This Row],[% PLANIFICADO]]-Cartera1017[[#This Row],[% COMPLETADO]]
)</f>
        <v/>
      </c>
      <c r="CL153" s="388" t="str">
        <f ca="1">IF(
   OR(
     Cartera1017[[#This Row],[Estado TI]]="09. Descartado",
     Cartera1017[[#This Row],[Comienzo Desarrollo]]="",
     Cartera1017[[#This Row],[Fin Producción]]="",
     Cartera1017[[#This Row],[% PLANIFICADO]]=0
   ),
   "",
   MIN(Cartera1017[[#This Row],[% COMPLETADO]]/Cartera1017[[#This Row],[% PLANIFICADO]],1.2)
)</f>
        <v/>
      </c>
      <c r="CM153" s="377"/>
      <c r="CN153" s="377"/>
      <c r="CO153" s="377"/>
      <c r="CP153" s="377"/>
      <c r="CQ153" s="377"/>
      <c r="CR153" s="377"/>
      <c r="CS153" s="377"/>
      <c r="CT153" s="44">
        <f>IF(Cartera1017[[#This Row],[Fin Desarrollo]]="",25,IFERROR(NETWORKDAYS(Cartera1017[[#This Row],[Comienzo Desarrollo]],Cartera1017[[#This Row],[Fin Desarrollo]],FERIADOS[Fecha]),""))</f>
        <v>25</v>
      </c>
      <c r="CU15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53" s="44">
        <f>IF(OR(Cartera1017[[#This Row],[Comienzo Desarrollo]]="",Cartera1017[[#This Row],[Fin Desarrollo]]=""),200,IFERROR(Cartera1017[[#This Row],[DURACIÓN DESARROLLO DIAS]]*VLOOKUP(Cartera1017[[#This Row],[ID Mantenimiento]],MANT_HORAS[],2,FALSE),200))</f>
        <v>200</v>
      </c>
      <c r="CW153" s="110"/>
      <c r="CX153" s="110" t="str">
        <f>VLOOKUP(Cartera1017[[#This Row],[Estado TI]],Definiciones!$A$549:$B$559,2,FALSE)</f>
        <v>5. DESCARTADO</v>
      </c>
      <c r="CY153" s="28">
        <f ca="1">1-Cartera1017[[#This Row],[Porcentaje avanzado desarrollo]]</f>
        <v>0.9</v>
      </c>
      <c r="CZ15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53" s="28">
        <f ca="1">MAX(0,Cartera1017[[#This Row],[DURACIÓN DESARROLLO DIAS]]-Cartera1017[[#This Row],[Dias avanzados]])</f>
        <v>24</v>
      </c>
      <c r="DB153" s="28">
        <f ca="1">Cartera1017[[#This Row],[Dias avanzados]]*IFERROR(VLOOKUP(Cartera1017[[#This Row],[ID Mantenimiento]],MANT_HORAS[],2,FALSE),8)</f>
        <v>8</v>
      </c>
      <c r="DC153" s="28">
        <f ca="1">Cartera1017[[#This Row],[Dias faltantes]]*IFERROR(VLOOKUP(Cartera1017[[#This Row],[ID Mantenimiento]],MANT_HORAS[],2,FALSE),8)</f>
        <v>192</v>
      </c>
      <c r="DD153" s="28" t="str">
        <f>IF(Cartera1017[[#This Row],[Fin Producción]]=0,"Por definir",CONCATENATE(YEAR(Cartera1017[[#This Row],[Fin Producción]]),"-",ROUNDUP(MONTH(Cartera1017[[#This Row],[Fin Producción]]),0)))</f>
        <v>Por definir</v>
      </c>
      <c r="DE153" s="18" t="s">
        <v>510</v>
      </c>
      <c r="DF153" s="28"/>
      <c r="DG153" s="28"/>
      <c r="DH153" s="565"/>
    </row>
    <row r="154" spans="1:112" ht="44.25" hidden="1" customHeight="1">
      <c r="A154" s="229" t="s">
        <v>1568</v>
      </c>
      <c r="B154" s="18">
        <v>3052</v>
      </c>
      <c r="C154" s="18" t="s">
        <v>485</v>
      </c>
      <c r="D154" s="18" t="s">
        <v>1569</v>
      </c>
      <c r="E154" s="18" t="s">
        <v>1570</v>
      </c>
      <c r="F154" s="33" t="s">
        <v>1571</v>
      </c>
      <c r="G154" s="19"/>
      <c r="H154" s="18" t="s">
        <v>40</v>
      </c>
      <c r="I154" s="18" t="s">
        <v>577</v>
      </c>
      <c r="J154" s="18" t="s">
        <v>922</v>
      </c>
      <c r="K154" s="20">
        <v>45819</v>
      </c>
      <c r="L154" s="18" t="s">
        <v>1572</v>
      </c>
      <c r="M154" s="50" t="s">
        <v>664</v>
      </c>
      <c r="N154" s="50"/>
      <c r="O154" s="18" t="s">
        <v>494</v>
      </c>
      <c r="P154" s="18" t="s">
        <v>797</v>
      </c>
      <c r="Q154" s="18" t="s">
        <v>496</v>
      </c>
      <c r="R154" s="18" t="s">
        <v>497</v>
      </c>
      <c r="S154" s="18"/>
      <c r="T154" s="18"/>
      <c r="U154" s="18"/>
      <c r="V154" s="18"/>
      <c r="W154" s="18"/>
      <c r="X154" s="18"/>
      <c r="Y154" s="80"/>
      <c r="Z154" s="18" t="s">
        <v>499</v>
      </c>
      <c r="AA154" s="20">
        <v>45931</v>
      </c>
      <c r="AB154" s="18" t="s">
        <v>500</v>
      </c>
      <c r="AC154" s="18" t="s">
        <v>558</v>
      </c>
      <c r="AD154" s="18" t="s">
        <v>54</v>
      </c>
      <c r="AE154" s="18" t="s">
        <v>41</v>
      </c>
      <c r="AF154" s="18" t="s">
        <v>53</v>
      </c>
      <c r="AG154" s="14" t="str">
        <f>VLOOKUP(AF154,Tabla3[[Estado Requerimiento]:[Macro estado]],2,FALSE)</f>
        <v>03. Culminado</v>
      </c>
      <c r="AH154" s="18"/>
      <c r="AI154" s="80"/>
      <c r="AJ154" s="80"/>
      <c r="AK154" s="80">
        <v>45926</v>
      </c>
      <c r="AL154" s="80">
        <v>46008</v>
      </c>
      <c r="AM154" s="80"/>
      <c r="AN154" s="80">
        <v>46013</v>
      </c>
      <c r="AO154" s="80">
        <v>46031</v>
      </c>
      <c r="AP154" s="81">
        <f t="shared" si="4"/>
        <v>46040.800000000003</v>
      </c>
      <c r="AQ154" s="80">
        <v>46036</v>
      </c>
      <c r="AR154" s="80">
        <v>46043</v>
      </c>
      <c r="AS154" s="81">
        <f t="shared" si="5"/>
        <v>46047.8</v>
      </c>
      <c r="AT154" s="19" t="s">
        <v>1573</v>
      </c>
      <c r="AU154" s="44" t="str">
        <f>VLOOKUP(Cartera1017[[#This Row],[Gerencia]],tbGerencia[#All],3,FALSE)</f>
        <v>Operac.</v>
      </c>
      <c r="AV154" s="44" t="str">
        <f>IFERROR(VLOOKUP(Cartera1017[[#This Row],[Subgerencia]],Definiciones!$A$90:$B$144,2,FALSE),"")</f>
        <v>CaptacionesPagaduría</v>
      </c>
      <c r="AW154" s="44" t="str">
        <f>IF(OR(LEN(Cartera1017[[#This Row],[Fecha de Solicitud]])=0,(Cartera1017[[#This Row],[Fecha de Solicitud]])="No definido"),"No definido",IF(YEAR(Cartera1017[[#This Row],[Fecha de Solicitud]])&lt;2023," &lt;  2023",TEXT(Cartera1017[[#This Row],[Fecha de Solicitud]],"yyyy-mm")))</f>
        <v>2025-06</v>
      </c>
      <c r="AX154" s="44" t="str">
        <f>IF(Cartera1017[[#This Row],[Fecha de Priorización Comité]]="","No definido",TEXT(Cartera1017[[#This Row],[Fecha de Priorización Comité]],"yyyy-mm"))</f>
        <v>2025-10</v>
      </c>
      <c r="AY154" s="44" t="str">
        <f>IF(Cartera1017[[#This Row],[Fecha Fin- Desarrollo]]="","No definido",TEXT(Cartera1017[[#This Row],[Fecha Fin- Desarrollo]],"yyyy-mm"))</f>
        <v>2025-12</v>
      </c>
      <c r="AZ154" s="44" t="str">
        <f>IF(Cartera1017[[#This Row],[Fecha Fin- Producción]]="","No definido",TEXT(Cartera1017[[#This Row],[Fecha Fin- Producción]],"yyyy-mm"))</f>
        <v>2026-01</v>
      </c>
      <c r="BA154" s="44" t="str">
        <f>IF(Cartera1017[[#This Row],[Fecha Fin-Planificada]]="","No definido",TEXT(Cartera1017[[#This Row],[Fecha Fin-Planificada]],"yyyy-mm"))</f>
        <v>2026-01</v>
      </c>
      <c r="BB154" s="33"/>
      <c r="BC154" s="108"/>
      <c r="BD154" s="108"/>
      <c r="BE154" s="108"/>
      <c r="BF154" s="127"/>
      <c r="BG154" s="28" t="s">
        <v>543</v>
      </c>
      <c r="BH15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117</v>
      </c>
      <c r="BI154" s="90">
        <f>IF(ISNUMBER(Cartera1017[[#This Row],[Duracion en Dias]]),Cartera1017[[#This Row],[Duracion en Dias]]/30, "No Aplica")</f>
        <v>3.9</v>
      </c>
      <c r="BJ154" s="109"/>
      <c r="BK154" s="28" t="s">
        <v>506</v>
      </c>
      <c r="BL154" s="110" t="s">
        <v>536</v>
      </c>
      <c r="BM154" s="342">
        <v>46043.483124999999</v>
      </c>
      <c r="BN154" s="227"/>
      <c r="BO154" s="401"/>
      <c r="BP154" s="401"/>
      <c r="BQ15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54" s="14" t="str">
        <f>IFERROR(VLOOKUP(Cartera1017[[#This Row],[Aplicativo]],Tabla76[],2,FALSE),"Sin Aplicativo")</f>
        <v>BackOffice</v>
      </c>
      <c r="BS154" s="14" t="str">
        <f>IFERROR(VLOOKUP(Cartera1017[[#This Row],[Aplicativo]],Tabla76[],3,FALSE),"Sin Aplicativo")</f>
        <v>Otros Requerimientos</v>
      </c>
      <c r="BT154" s="400"/>
      <c r="BU154" s="33"/>
      <c r="BV154" s="28"/>
      <c r="BW15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15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54" s="149" t="str">
        <f ca="1">IF(Cartera1017[[#This Row],[Fecha Fin2]]="","No definido",CONCATENATE(TEXT(Cartera1017[[#This Row],[Fecha Fin2]],"mmm")," ",YEAR(Cartera1017[[#This Row],[Fecha Fin2]])))</f>
        <v>Ene 2026</v>
      </c>
      <c r="BZ154" s="28"/>
      <c r="CA154" s="48" t="str">
        <f>IF(Cartera1017[[#This Row],[Estado TI]] = "08. Producción Finalizada","Culminado",IF(Cartera1017[[#This Row],[Estado TI]]= "09. Descartado","Descartado","Activos"))</f>
        <v>Culminado</v>
      </c>
      <c r="CB154" s="28"/>
      <c r="CC15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54" s="54" t="str">
        <f>IF(
AND(
Cartera1017[[#This Row],[DEVOLVER 27]]="NO",
NOT(ISBLANK(Cartera1017[[#This Row],[ESTADO NO DEVUELTOS 27]]))
),
"PRE",
"POST"
)</f>
        <v>POST</v>
      </c>
      <c r="CE154" s="54" t="s">
        <v>523</v>
      </c>
      <c r="CF154" s="28" t="s">
        <v>524</v>
      </c>
      <c r="CG15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5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5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4" s="406">
        <f>Cartera1017[[#This Row],[Porcentaje de Avance]]</f>
        <v>1</v>
      </c>
      <c r="CK154" s="388">
        <f ca="1">IF(
   OR(
     Cartera1017[[#This Row],[Estado TI]]="09. Descartado",
     Cartera1017[[#This Row],[Comienzo Desarrollo]]="",
     Cartera1017[[#This Row],[Fin Producción]]=""
   ),
   "",
   Cartera1017[[#This Row],[% PLANIFICADO]]-Cartera1017[[#This Row],[% COMPLETADO]]
)</f>
        <v>0</v>
      </c>
      <c r="CL154" s="388">
        <f ca="1">IF(
   OR(
     Cartera1017[[#This Row],[Estado TI]]="09. Descartado",
     Cartera1017[[#This Row],[Comienzo Desarrollo]]="",
     Cartera1017[[#This Row],[Fin Producción]]="",
     Cartera1017[[#This Row],[% PLANIFICADO]]=0
   ),
   "",
   MIN(Cartera1017[[#This Row],[% COMPLETADO]]/Cartera1017[[#This Row],[% PLANIFICADO]],1.2)
)</f>
        <v>1</v>
      </c>
      <c r="CM154" s="377">
        <v>45926</v>
      </c>
      <c r="CN154" s="377">
        <v>45926</v>
      </c>
      <c r="CO154" s="377">
        <v>46008</v>
      </c>
      <c r="CP154" s="377">
        <v>46013</v>
      </c>
      <c r="CQ154" s="377">
        <v>46031</v>
      </c>
      <c r="CR154" s="377">
        <v>46036</v>
      </c>
      <c r="CS154" s="377">
        <v>46059</v>
      </c>
      <c r="CT154" s="44">
        <f>IF(Cartera1017[[#This Row],[Fin Desarrollo]]="",25,IFERROR(NETWORKDAYS(Cartera1017[[#This Row],[Comienzo Desarrollo]],Cartera1017[[#This Row],[Fin Desarrollo]],FERIADOS[Fecha]),""))</f>
        <v>57</v>
      </c>
      <c r="CU15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54" s="44">
        <f>IF(OR(Cartera1017[[#This Row],[Comienzo Desarrollo]]="",Cartera1017[[#This Row],[Fin Desarrollo]]=""),200,IFERROR(Cartera1017[[#This Row],[DURACIÓN DESARROLLO DIAS]]*VLOOKUP(Cartera1017[[#This Row],[ID Mantenimiento]],MANT_HORAS[],2,FALSE),200))</f>
        <v>200</v>
      </c>
      <c r="CW154" s="110"/>
      <c r="CX154" s="110" t="str">
        <f>VLOOKUP(Cartera1017[[#This Row],[Estado TI]],Definiciones!$A$549:$B$559,2,FALSE)</f>
        <v>4. PRODUCCIÓN</v>
      </c>
      <c r="CY154" s="28">
        <f ca="1">1-Cartera1017[[#This Row],[Porcentaje avanzado desarrollo]]</f>
        <v>0</v>
      </c>
      <c r="CZ15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57</v>
      </c>
      <c r="DA154" s="28">
        <f ca="1">MAX(0,Cartera1017[[#This Row],[DURACIÓN DESARROLLO DIAS]]-Cartera1017[[#This Row],[Dias avanzados]])</f>
        <v>0</v>
      </c>
      <c r="DB154" s="28">
        <f ca="1">Cartera1017[[#This Row],[Dias avanzados]]*IFERROR(VLOOKUP(Cartera1017[[#This Row],[ID Mantenimiento]],MANT_HORAS[],2,FALSE),8)</f>
        <v>456</v>
      </c>
      <c r="DC154" s="28">
        <f ca="1">Cartera1017[[#This Row],[Dias faltantes]]*IFERROR(VLOOKUP(Cartera1017[[#This Row],[ID Mantenimiento]],MANT_HORAS[],2,FALSE),8)</f>
        <v>0</v>
      </c>
      <c r="DD154" s="28" t="str">
        <f>IF(Cartera1017[[#This Row],[Fin Producción]]=0,"Por definir",CONCATENATE(YEAR(Cartera1017[[#This Row],[Fin Producción]]),"-",ROUNDUP(MONTH(Cartera1017[[#This Row],[Fin Producción]]),0)))</f>
        <v>2026-2</v>
      </c>
      <c r="DE154" s="18" t="s">
        <v>510</v>
      </c>
      <c r="DF154" s="28"/>
      <c r="DG154" s="28"/>
      <c r="DH154" s="565"/>
    </row>
    <row r="155" spans="1:112" ht="44.25" hidden="1" customHeight="1">
      <c r="A155" s="229" t="s">
        <v>1574</v>
      </c>
      <c r="B155" s="18">
        <v>3059</v>
      </c>
      <c r="C155" s="18" t="s">
        <v>485</v>
      </c>
      <c r="D155" s="18" t="s">
        <v>1575</v>
      </c>
      <c r="E155" s="18" t="s">
        <v>315</v>
      </c>
      <c r="F155" s="33" t="s">
        <v>316</v>
      </c>
      <c r="G155" s="19"/>
      <c r="H155" s="18" t="s">
        <v>108</v>
      </c>
      <c r="I155" s="18" t="s">
        <v>811</v>
      </c>
      <c r="J155" s="18" t="s">
        <v>500</v>
      </c>
      <c r="K155" s="20"/>
      <c r="L155" s="50"/>
      <c r="M155" s="50" t="s">
        <v>1576</v>
      </c>
      <c r="N155" s="50"/>
      <c r="O155" s="18" t="s">
        <v>530</v>
      </c>
      <c r="P155" s="18" t="s">
        <v>495</v>
      </c>
      <c r="Q155" s="18" t="s">
        <v>496</v>
      </c>
      <c r="R155" s="18" t="s">
        <v>497</v>
      </c>
      <c r="S155" s="18"/>
      <c r="T155" s="18"/>
      <c r="U155" s="18"/>
      <c r="V155" s="18"/>
      <c r="W155" s="18"/>
      <c r="X155" s="18"/>
      <c r="Y155" s="80"/>
      <c r="Z155" s="18" t="s">
        <v>532</v>
      </c>
      <c r="AA155" s="20">
        <v>45931</v>
      </c>
      <c r="AB155" s="18" t="s">
        <v>500</v>
      </c>
      <c r="AC155" s="18"/>
      <c r="AD155" s="18" t="s">
        <v>317</v>
      </c>
      <c r="AE155" s="18" t="s">
        <v>109</v>
      </c>
      <c r="AF155" s="18" t="s">
        <v>35</v>
      </c>
      <c r="AG155" s="14" t="str">
        <f>VLOOKUP(AF155,Tabla3[[Estado Requerimiento]:[Macro estado]],2,FALSE)</f>
        <v>02. En Proceso</v>
      </c>
      <c r="AH155" s="18"/>
      <c r="AI155" s="80"/>
      <c r="AJ155" s="80"/>
      <c r="AK155" s="80">
        <v>45929</v>
      </c>
      <c r="AL155" s="80">
        <v>45991</v>
      </c>
      <c r="AM155" s="80"/>
      <c r="AN155" s="80">
        <v>45994</v>
      </c>
      <c r="AO155" s="80">
        <v>46011</v>
      </c>
      <c r="AP155" s="81">
        <f t="shared" si="4"/>
        <v>46015.8</v>
      </c>
      <c r="AQ155" s="80">
        <v>46036</v>
      </c>
      <c r="AR155" s="80"/>
      <c r="AS155" s="81">
        <f t="shared" si="5"/>
        <v>46022.8</v>
      </c>
      <c r="AT155" s="19" t="s">
        <v>1577</v>
      </c>
      <c r="AU155" s="44" t="str">
        <f>VLOOKUP(Cartera1017[[#This Row],[Gerencia]],tbGerencia[#All],3,FALSE)</f>
        <v>TI</v>
      </c>
      <c r="AV155" s="44" t="str">
        <f>IFERROR(VLOOKUP(Cartera1017[[#This Row],[Subgerencia]],Definiciones!$A$90:$B$144,2,FALSE),"")</f>
        <v>ConstrucciónAplicaciones</v>
      </c>
      <c r="AW155" s="44" t="str">
        <f>IF(OR(LEN(Cartera1017[[#This Row],[Fecha de Solicitud]])=0,(Cartera1017[[#This Row],[Fecha de Solicitud]])="No definido"),"No definido",IF(YEAR(Cartera1017[[#This Row],[Fecha de Solicitud]])&lt;2023," &lt;  2023",TEXT(Cartera1017[[#This Row],[Fecha de Solicitud]],"yyyy-mm")))</f>
        <v>No definido</v>
      </c>
      <c r="AX155" s="44" t="str">
        <f>IF(Cartera1017[[#This Row],[Fecha de Priorización Comité]]="","No definido",TEXT(Cartera1017[[#This Row],[Fecha de Priorización Comité]],"yyyy-mm"))</f>
        <v>2025-10</v>
      </c>
      <c r="AY155" s="44" t="str">
        <f>IF(Cartera1017[[#This Row],[Fecha Fin- Desarrollo]]="","No definido",TEXT(Cartera1017[[#This Row],[Fecha Fin- Desarrollo]],"yyyy-mm"))</f>
        <v>2025-11</v>
      </c>
      <c r="AZ155" s="44" t="str">
        <f>IF(Cartera1017[[#This Row],[Fecha Fin- Producción]]="","No definido",TEXT(Cartera1017[[#This Row],[Fecha Fin- Producción]],"yyyy-mm"))</f>
        <v>No definido</v>
      </c>
      <c r="BA155" s="44" t="str">
        <f>IF(Cartera1017[[#This Row],[Fecha Fin-Planificada]]="","No definido",TEXT(Cartera1017[[#This Row],[Fecha Fin-Planificada]],"yyyy-mm"))</f>
        <v>2025-12</v>
      </c>
      <c r="BB155" s="33"/>
      <c r="BC155" s="108"/>
      <c r="BD155" s="108"/>
      <c r="BE155" s="108"/>
      <c r="BF155" s="127"/>
      <c r="BG155" s="28" t="s">
        <v>543</v>
      </c>
      <c r="BH15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5" s="90" t="str">
        <f>IF(ISNUMBER(Cartera1017[[#This Row],[Duracion en Dias]]),Cartera1017[[#This Row],[Duracion en Dias]]/30, "No Aplica")</f>
        <v>No Aplica</v>
      </c>
      <c r="BJ155" s="109"/>
      <c r="BK155" s="28" t="s">
        <v>506</v>
      </c>
      <c r="BL155" s="110" t="s">
        <v>734</v>
      </c>
      <c r="BM155" s="342">
        <v>46036.747071759259</v>
      </c>
      <c r="BN155" s="227"/>
      <c r="BO155" s="401"/>
      <c r="BP155" s="401"/>
      <c r="BQ15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5" s="14" t="str">
        <f>IFERROR(VLOOKUP(Cartera1017[[#This Row],[Aplicativo]],Tabla76[],2,FALSE),"Sin Aplicativo")</f>
        <v>Sin Aplicativo</v>
      </c>
      <c r="BS155" s="14" t="str">
        <f>IFERROR(VLOOKUP(Cartera1017[[#This Row],[Aplicativo]],Tabla76[],3,FALSE),"Sin Aplicativo")</f>
        <v>Sin Aplicativo</v>
      </c>
      <c r="BT155" s="400"/>
      <c r="BU155" s="33"/>
      <c r="BV155" s="28"/>
      <c r="BW15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5" s="149" t="str">
        <f ca="1">IF(Cartera1017[[#This Row],[Fecha Fin2]]="","No definido",CONCATENATE(TEXT(Cartera1017[[#This Row],[Fecha Fin2]],"mmm")," ",YEAR(Cartera1017[[#This Row],[Fecha Fin2]])))</f>
        <v>No definido</v>
      </c>
      <c r="BZ155" s="28"/>
      <c r="CA155" s="48" t="str">
        <f>IF(Cartera1017[[#This Row],[Estado TI]] = "08. Producción Finalizada","Culminado",IF(Cartera1017[[#This Row],[Estado TI]]= "09. Descartado","Descartado","Activos"))</f>
        <v>Activos</v>
      </c>
      <c r="CB155" s="28"/>
      <c r="CC15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55" s="54" t="str">
        <f>IF(
AND(
Cartera1017[[#This Row],[DEVOLVER 27]]="NO",
NOT(ISBLANK(Cartera1017[[#This Row],[ESTADO NO DEVUELTOS 27]]))
),
"PRE",
"POST"
)</f>
        <v>POST</v>
      </c>
      <c r="CE155" s="54" t="s">
        <v>1489</v>
      </c>
      <c r="CF155" s="28" t="s">
        <v>524</v>
      </c>
      <c r="CG15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55"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5" s="406">
        <f>Cartera1017[[#This Row],[Porcentaje de Avance]]</f>
        <v>0.9</v>
      </c>
      <c r="CK155" s="388">
        <f ca="1">IF(
   OR(
     Cartera1017[[#This Row],[Estado TI]]="09. Descartado",
     Cartera1017[[#This Row],[Comienzo Desarrollo]]="",
     Cartera1017[[#This Row],[Fin Producción]]=""
   ),
   "",
   Cartera1017[[#This Row],[% PLANIFICADO]]-Cartera1017[[#This Row],[% COMPLETADO]]
)</f>
        <v>9.9999999999999978E-2</v>
      </c>
      <c r="CL155" s="388">
        <f ca="1">IF(
   OR(
     Cartera1017[[#This Row],[Estado TI]]="09. Descartado",
     Cartera1017[[#This Row],[Comienzo Desarrollo]]="",
     Cartera1017[[#This Row],[Fin Producción]]="",
     Cartera1017[[#This Row],[% PLANIFICADO]]=0
   ),
   "",
   MIN(Cartera1017[[#This Row],[% COMPLETADO]]/Cartera1017[[#This Row],[% PLANIFICADO]],1.2)
)</f>
        <v>0.9</v>
      </c>
      <c r="CM155" s="377">
        <v>45929</v>
      </c>
      <c r="CN155" s="377">
        <v>45929</v>
      </c>
      <c r="CO155" s="377">
        <v>45991</v>
      </c>
      <c r="CP155" s="377">
        <v>45994</v>
      </c>
      <c r="CQ155" s="377">
        <v>46011</v>
      </c>
      <c r="CR155" s="377">
        <v>46036</v>
      </c>
      <c r="CS155" s="377">
        <v>46108</v>
      </c>
      <c r="CT155" s="44">
        <f>IF(Cartera1017[[#This Row],[Fin Desarrollo]]="",25,IFERROR(NETWORKDAYS(Cartera1017[[#This Row],[Comienzo Desarrollo]],Cartera1017[[#This Row],[Fin Desarrollo]],FERIADOS[Fecha]),""))</f>
        <v>44</v>
      </c>
      <c r="CU15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55" s="44">
        <f>IF(OR(Cartera1017[[#This Row],[Comienzo Desarrollo]]="",Cartera1017[[#This Row],[Fin Desarrollo]]=""),200,IFERROR(Cartera1017[[#This Row],[DURACIÓN DESARROLLO DIAS]]*VLOOKUP(Cartera1017[[#This Row],[ID Mantenimiento]],MANT_HORAS[],2,FALSE),200))</f>
        <v>200</v>
      </c>
      <c r="CW155" s="110"/>
      <c r="CX155" s="110" t="str">
        <f>VLOOKUP(Cartera1017[[#This Row],[Estado TI]],Definiciones!$A$549:$B$559,2,FALSE)</f>
        <v>3. DESPLIEGUE</v>
      </c>
      <c r="CY155" s="28">
        <f ca="1">1-Cartera1017[[#This Row],[Porcentaje avanzado desarrollo]]</f>
        <v>0</v>
      </c>
      <c r="CZ15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44</v>
      </c>
      <c r="DA155" s="28">
        <f ca="1">MAX(0,Cartera1017[[#This Row],[DURACIÓN DESARROLLO DIAS]]-Cartera1017[[#This Row],[Dias avanzados]])</f>
        <v>0</v>
      </c>
      <c r="DB155" s="28">
        <f ca="1">Cartera1017[[#This Row],[Dias avanzados]]*IFERROR(VLOOKUP(Cartera1017[[#This Row],[ID Mantenimiento]],MANT_HORAS[],2,FALSE),8)</f>
        <v>352</v>
      </c>
      <c r="DC155" s="28">
        <f ca="1">Cartera1017[[#This Row],[Dias faltantes]]*IFERROR(VLOOKUP(Cartera1017[[#This Row],[ID Mantenimiento]],MANT_HORAS[],2,FALSE),8)</f>
        <v>0</v>
      </c>
      <c r="DD155" s="28" t="str">
        <f>IF(Cartera1017[[#This Row],[Fin Producción]]=0,"Por definir",CONCATENATE(YEAR(Cartera1017[[#This Row],[Fin Producción]]),"-",ROUNDUP(MONTH(Cartera1017[[#This Row],[Fin Producción]]),0)))</f>
        <v>2026-3</v>
      </c>
      <c r="DE155" s="18" t="s">
        <v>510</v>
      </c>
      <c r="DF155" s="28" t="s">
        <v>1578</v>
      </c>
      <c r="DG155" s="28" t="s">
        <v>659</v>
      </c>
      <c r="DH155" s="565"/>
    </row>
    <row r="156" spans="1:112" ht="44.25" hidden="1" customHeight="1">
      <c r="A156" s="229" t="s">
        <v>1579</v>
      </c>
      <c r="B156" s="18">
        <v>3062</v>
      </c>
      <c r="C156" s="18" t="s">
        <v>485</v>
      </c>
      <c r="D156" s="18" t="s">
        <v>1580</v>
      </c>
      <c r="E156" s="18" t="s">
        <v>318</v>
      </c>
      <c r="F156" s="33" t="s">
        <v>319</v>
      </c>
      <c r="G156" s="19"/>
      <c r="H156" s="18" t="s">
        <v>40</v>
      </c>
      <c r="I156" s="18" t="s">
        <v>490</v>
      </c>
      <c r="J156" s="18" t="s">
        <v>662</v>
      </c>
      <c r="K156" s="20"/>
      <c r="L156" s="18"/>
      <c r="M156" s="50" t="s">
        <v>1581</v>
      </c>
      <c r="N156" s="114" t="s">
        <v>598</v>
      </c>
      <c r="O156" s="18" t="s">
        <v>548</v>
      </c>
      <c r="P156" s="18" t="s">
        <v>495</v>
      </c>
      <c r="Q156" s="18" t="s">
        <v>1582</v>
      </c>
      <c r="R156" s="18" t="s">
        <v>599</v>
      </c>
      <c r="S156" s="18"/>
      <c r="T156" s="18" t="s">
        <v>600</v>
      </c>
      <c r="U156" s="18" t="s">
        <v>915</v>
      </c>
      <c r="V156" s="18"/>
      <c r="W156" s="18"/>
      <c r="X156" s="18"/>
      <c r="Y156" s="80">
        <v>45291</v>
      </c>
      <c r="Z156" s="18" t="s">
        <v>532</v>
      </c>
      <c r="AA156" s="20">
        <v>45931</v>
      </c>
      <c r="AB156" s="18" t="s">
        <v>500</v>
      </c>
      <c r="AC156" s="18"/>
      <c r="AD156" s="53" t="s">
        <v>162</v>
      </c>
      <c r="AE156" s="18" t="s">
        <v>47</v>
      </c>
      <c r="AF156" s="18" t="s">
        <v>53</v>
      </c>
      <c r="AG156" s="14" t="str">
        <f>VLOOKUP(AF156,Tabla3[[Estado Requerimiento]:[Macro estado]],2,FALSE)</f>
        <v>03. Culminado</v>
      </c>
      <c r="AH156" s="18"/>
      <c r="AI156" s="80"/>
      <c r="AJ156" s="80"/>
      <c r="AK156" s="80">
        <v>45929</v>
      </c>
      <c r="AL156" s="80">
        <v>45933</v>
      </c>
      <c r="AM156" s="80"/>
      <c r="AN156" s="80">
        <v>45939</v>
      </c>
      <c r="AO156" s="80">
        <v>46041</v>
      </c>
      <c r="AP156" s="81">
        <f t="shared" si="4"/>
        <v>45934.6</v>
      </c>
      <c r="AQ156" s="80">
        <v>46070</v>
      </c>
      <c r="AR156" s="80">
        <v>46106</v>
      </c>
      <c r="AS156" s="81">
        <f t="shared" si="5"/>
        <v>45941.599999999999</v>
      </c>
      <c r="AT156" s="19" t="s">
        <v>1583</v>
      </c>
      <c r="AU156" s="44" t="str">
        <f>VLOOKUP(Cartera1017[[#This Row],[Gerencia]],tbGerencia[#All],3,FALSE)</f>
        <v>Operac.</v>
      </c>
      <c r="AV156" s="44" t="str">
        <f>IFERROR(VLOOKUP(Cartera1017[[#This Row],[Subgerencia]],Definiciones!$A$90:$B$144,2,FALSE),"")</f>
        <v>BancariosRecaudación</v>
      </c>
      <c r="AW156" s="44" t="str">
        <f>IF(OR(LEN(Cartera1017[[#This Row],[Fecha de Solicitud]])=0,(Cartera1017[[#This Row],[Fecha de Solicitud]])="No definido"),"No definido",IF(YEAR(Cartera1017[[#This Row],[Fecha de Solicitud]])&lt;2023," &lt;  2023",TEXT(Cartera1017[[#This Row],[Fecha de Solicitud]],"yyyy-mm")))</f>
        <v>No definido</v>
      </c>
      <c r="AX156" s="44" t="str">
        <f>IF(Cartera1017[[#This Row],[Fecha de Priorización Comité]]="","No definido",TEXT(Cartera1017[[#This Row],[Fecha de Priorización Comité]],"yyyy-mm"))</f>
        <v>2025-10</v>
      </c>
      <c r="AY156" s="44" t="str">
        <f>IF(Cartera1017[[#This Row],[Fecha Fin- Desarrollo]]="","No definido",TEXT(Cartera1017[[#This Row],[Fecha Fin- Desarrollo]],"yyyy-mm"))</f>
        <v>2025-10</v>
      </c>
      <c r="AZ156" s="44" t="str">
        <f>IF(Cartera1017[[#This Row],[Fecha Fin- Producción]]="","No definido",TEXT(Cartera1017[[#This Row],[Fecha Fin- Producción]],"yyyy-mm"))</f>
        <v>2026-03</v>
      </c>
      <c r="BA156" s="44" t="str">
        <f>IF(Cartera1017[[#This Row],[Fecha Fin-Planificada]]="","No definido",TEXT(Cartera1017[[#This Row],[Fecha Fin-Planificada]],"yyyy-mm"))</f>
        <v>2025-10</v>
      </c>
      <c r="BB156" s="33"/>
      <c r="BC156" s="108"/>
      <c r="BD156" s="108"/>
      <c r="BE156" s="108"/>
      <c r="BF156" s="127"/>
      <c r="BG156" s="28" t="s">
        <v>543</v>
      </c>
      <c r="BH15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177</v>
      </c>
      <c r="BI156" s="90">
        <f>IF(ISNUMBER(Cartera1017[[#This Row],[Duracion en Dias]]),Cartera1017[[#This Row],[Duracion en Dias]]/30, "No Aplica")</f>
        <v>5.9</v>
      </c>
      <c r="BJ156" s="109"/>
      <c r="BK156" s="28" t="s">
        <v>506</v>
      </c>
      <c r="BL156" s="110" t="s">
        <v>536</v>
      </c>
      <c r="BM156" s="342">
        <v>46125.455208333333</v>
      </c>
      <c r="BN156" s="227"/>
      <c r="BO156" s="401"/>
      <c r="BP156" s="401"/>
      <c r="BQ15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56" s="14" t="str">
        <f>IFERROR(VLOOKUP(Cartera1017[[#This Row],[Aplicativo]],Tabla76[],2,FALSE),"Sin Aplicativo")</f>
        <v>BackOffice</v>
      </c>
      <c r="BS156" s="14" t="str">
        <f>IFERROR(VLOOKUP(Cartera1017[[#This Row],[Aplicativo]],Tabla76[],3,FALSE),"Sin Aplicativo")</f>
        <v>Otros Requerimientos</v>
      </c>
      <c r="BT156" s="400"/>
      <c r="BU156" s="33"/>
      <c r="BV156" s="28"/>
      <c r="BW15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46106</v>
      </c>
      <c r="BX15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56" s="149" t="str">
        <f ca="1">IF(Cartera1017[[#This Row],[Fecha Fin2]]="","No definido",CONCATENATE(TEXT(Cartera1017[[#This Row],[Fecha Fin2]],"mmm")," ",YEAR(Cartera1017[[#This Row],[Fecha Fin2]])))</f>
        <v>Mar 2026</v>
      </c>
      <c r="BZ156" s="28"/>
      <c r="CA156" s="48" t="str">
        <f>IF(Cartera1017[[#This Row],[Estado TI]] = "08. Producción Finalizada","Culminado",IF(Cartera1017[[#This Row],[Estado TI]]= "09. Descartado","Descartado","Activos"))</f>
        <v>Culminado</v>
      </c>
      <c r="CB156" s="28"/>
      <c r="CC15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56" s="54" t="str">
        <f>IF(
AND(
Cartera1017[[#This Row],[DEVOLVER 27]]="NO",
NOT(ISBLANK(Cartera1017[[#This Row],[ESTADO NO DEVUELTOS 27]]))
),
"PRE",
"POST"
)</f>
        <v>PRE</v>
      </c>
      <c r="CE156" s="54" t="s">
        <v>509</v>
      </c>
      <c r="CF156" s="28" t="s">
        <v>87</v>
      </c>
      <c r="CG15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5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5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6" s="406">
        <f>Cartera1017[[#This Row],[Porcentaje de Avance]]</f>
        <v>1</v>
      </c>
      <c r="CK156" s="388">
        <f ca="1">IF(
   OR(
     Cartera1017[[#This Row],[Estado TI]]="09. Descartado",
     Cartera1017[[#This Row],[Comienzo Desarrollo]]="",
     Cartera1017[[#This Row],[Fin Producción]]=""
   ),
   "",
   Cartera1017[[#This Row],[% PLANIFICADO]]-Cartera1017[[#This Row],[% COMPLETADO]]
)</f>
        <v>0</v>
      </c>
      <c r="CL156" s="388">
        <f ca="1">IF(
   OR(
     Cartera1017[[#This Row],[Estado TI]]="09. Descartado",
     Cartera1017[[#This Row],[Comienzo Desarrollo]]="",
     Cartera1017[[#This Row],[Fin Producción]]="",
     Cartera1017[[#This Row],[% PLANIFICADO]]=0
   ),
   "",
   MIN(Cartera1017[[#This Row],[% COMPLETADO]]/Cartera1017[[#This Row],[% PLANIFICADO]],1.2)
)</f>
        <v>1</v>
      </c>
      <c r="CM156" s="377">
        <v>46037</v>
      </c>
      <c r="CN156" s="377">
        <v>46037</v>
      </c>
      <c r="CO156" s="377">
        <v>46052</v>
      </c>
      <c r="CP156" s="377">
        <v>46055</v>
      </c>
      <c r="CQ156" s="377">
        <v>46083</v>
      </c>
      <c r="CR156" s="377">
        <v>46084</v>
      </c>
      <c r="CS156" s="377">
        <v>46108</v>
      </c>
      <c r="CT156" s="44">
        <f>IF(Cartera1017[[#This Row],[Fin Desarrollo]]="",25,IFERROR(NETWORKDAYS(Cartera1017[[#This Row],[Comienzo Desarrollo]],Cartera1017[[#This Row],[Fin Desarrollo]],FERIADOS[Fecha]),""))</f>
        <v>12</v>
      </c>
      <c r="CU15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56" s="44">
        <f>IF(OR(Cartera1017[[#This Row],[Comienzo Desarrollo]]="",Cartera1017[[#This Row],[Fin Desarrollo]]=""),200,IFERROR(Cartera1017[[#This Row],[DURACIÓN DESARROLLO DIAS]]*VLOOKUP(Cartera1017[[#This Row],[ID Mantenimiento]],MANT_HORAS[],2,FALSE),200))</f>
        <v>200</v>
      </c>
      <c r="CW156" s="110"/>
      <c r="CX156" s="110" t="str">
        <f>VLOOKUP(Cartera1017[[#This Row],[Estado TI]],Definiciones!$A$549:$B$559,2,FALSE)</f>
        <v>4. PRODUCCIÓN</v>
      </c>
      <c r="CY156" s="28">
        <f ca="1">1-Cartera1017[[#This Row],[Porcentaje avanzado desarrollo]]</f>
        <v>0</v>
      </c>
      <c r="CZ15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v>
      </c>
      <c r="DA156" s="28">
        <f ca="1">MAX(0,Cartera1017[[#This Row],[DURACIÓN DESARROLLO DIAS]]-Cartera1017[[#This Row],[Dias avanzados]])</f>
        <v>0</v>
      </c>
      <c r="DB156" s="28">
        <f ca="1">Cartera1017[[#This Row],[Dias avanzados]]*IFERROR(VLOOKUP(Cartera1017[[#This Row],[ID Mantenimiento]],MANT_HORAS[],2,FALSE),8)</f>
        <v>96</v>
      </c>
      <c r="DC156" s="28">
        <f ca="1">Cartera1017[[#This Row],[Dias faltantes]]*IFERROR(VLOOKUP(Cartera1017[[#This Row],[ID Mantenimiento]],MANT_HORAS[],2,FALSE),8)</f>
        <v>0</v>
      </c>
      <c r="DD156" s="28" t="str">
        <f>IF(Cartera1017[[#This Row],[Fin Producción]]=0,"Por definir",CONCATENATE(YEAR(Cartera1017[[#This Row],[Fin Producción]]),"-",ROUNDUP(MONTH(Cartera1017[[#This Row],[Fin Producción]]),0)))</f>
        <v>2026-3</v>
      </c>
      <c r="DE156" s="18" t="s">
        <v>510</v>
      </c>
      <c r="DF156" s="28"/>
      <c r="DG156" s="28"/>
      <c r="DH156" s="565"/>
    </row>
    <row r="157" spans="1:112" ht="44.25" hidden="1" customHeight="1">
      <c r="A157" s="229" t="s">
        <v>1584</v>
      </c>
      <c r="B157" s="18">
        <v>3063</v>
      </c>
      <c r="C157" s="18" t="s">
        <v>485</v>
      </c>
      <c r="D157" s="18" t="s">
        <v>1585</v>
      </c>
      <c r="E157" s="18" t="s">
        <v>320</v>
      </c>
      <c r="F157" s="33" t="s">
        <v>321</v>
      </c>
      <c r="G157" s="19"/>
      <c r="H157" s="18" t="s">
        <v>40</v>
      </c>
      <c r="I157" s="18" t="s">
        <v>577</v>
      </c>
      <c r="J157" s="18" t="s">
        <v>578</v>
      </c>
      <c r="K157" s="20">
        <v>45915</v>
      </c>
      <c r="L157" s="18" t="s">
        <v>1586</v>
      </c>
      <c r="M157" s="50" t="s">
        <v>1587</v>
      </c>
      <c r="N157" s="50"/>
      <c r="O157" s="18" t="s">
        <v>1264</v>
      </c>
      <c r="P157" s="18" t="s">
        <v>549</v>
      </c>
      <c r="Q157" s="18" t="s">
        <v>496</v>
      </c>
      <c r="R157" s="18" t="s">
        <v>497</v>
      </c>
      <c r="S157" s="18"/>
      <c r="T157" s="18" t="s">
        <v>495</v>
      </c>
      <c r="U157" s="18" t="s">
        <v>495</v>
      </c>
      <c r="V157" s="18" t="s">
        <v>495</v>
      </c>
      <c r="W157" s="18" t="s">
        <v>495</v>
      </c>
      <c r="X157" s="18" t="s">
        <v>495</v>
      </c>
      <c r="Y157" s="80" t="s">
        <v>495</v>
      </c>
      <c r="Z157" s="18" t="s">
        <v>532</v>
      </c>
      <c r="AA157" s="20">
        <v>45931</v>
      </c>
      <c r="AB157" s="18" t="s">
        <v>500</v>
      </c>
      <c r="AC157" s="18" t="s">
        <v>501</v>
      </c>
      <c r="AD157" s="18" t="s">
        <v>54</v>
      </c>
      <c r="AE157" s="18" t="s">
        <v>41</v>
      </c>
      <c r="AF157" s="18" t="s">
        <v>48</v>
      </c>
      <c r="AG157" s="14" t="str">
        <f>VLOOKUP(AF157,Tabla3[[Estado Requerimiento]:[Macro estado]],2,FALSE)</f>
        <v>02. En Proceso</v>
      </c>
      <c r="AH157" s="18"/>
      <c r="AI157" s="80"/>
      <c r="AJ157" s="80">
        <v>45964</v>
      </c>
      <c r="AK157" s="80">
        <v>45922</v>
      </c>
      <c r="AL157" s="80"/>
      <c r="AM157" s="80">
        <v>46022</v>
      </c>
      <c r="AN157" s="80"/>
      <c r="AO157" s="80"/>
      <c r="AP157" s="81">
        <f t="shared" si="4"/>
        <v>46062</v>
      </c>
      <c r="AQ157" s="80"/>
      <c r="AR157" s="80"/>
      <c r="AS157" s="81">
        <f t="shared" si="5"/>
        <v>46069</v>
      </c>
      <c r="AT157" s="19" t="s">
        <v>1588</v>
      </c>
      <c r="AU157" s="44" t="str">
        <f>VLOOKUP(Cartera1017[[#This Row],[Gerencia]],tbGerencia[#All],3,FALSE)</f>
        <v>Operac.</v>
      </c>
      <c r="AV157" s="44" t="str">
        <f>IFERROR(VLOOKUP(Cartera1017[[#This Row],[Subgerencia]],Definiciones!$A$90:$B$144,2,FALSE),"")</f>
        <v>CaptacionesPagaduría</v>
      </c>
      <c r="AW157" s="44" t="str">
        <f>IF(OR(LEN(Cartera1017[[#This Row],[Fecha de Solicitud]])=0,(Cartera1017[[#This Row],[Fecha de Solicitud]])="No definido"),"No definido",IF(YEAR(Cartera1017[[#This Row],[Fecha de Solicitud]])&lt;2023," &lt;  2023",TEXT(Cartera1017[[#This Row],[Fecha de Solicitud]],"yyyy-mm")))</f>
        <v>2025-09</v>
      </c>
      <c r="AX157" s="44" t="str">
        <f>IF(Cartera1017[[#This Row],[Fecha de Priorización Comité]]="","No definido",TEXT(Cartera1017[[#This Row],[Fecha de Priorización Comité]],"yyyy-mm"))</f>
        <v>2025-10</v>
      </c>
      <c r="AY157" s="44" t="str">
        <f>IF(Cartera1017[[#This Row],[Fecha Fin- Desarrollo]]="","No definido",TEXT(Cartera1017[[#This Row],[Fecha Fin- Desarrollo]],"yyyy-mm"))</f>
        <v>No definido</v>
      </c>
      <c r="AZ157" s="44" t="str">
        <f>IF(Cartera1017[[#This Row],[Fecha Fin- Producción]]="","No definido",TEXT(Cartera1017[[#This Row],[Fecha Fin- Producción]],"yyyy-mm"))</f>
        <v>No definido</v>
      </c>
      <c r="BA157" s="44" t="str">
        <f>IF(Cartera1017[[#This Row],[Fecha Fin-Planificada]]="","No definido",TEXT(Cartera1017[[#This Row],[Fecha Fin-Planificada]],"yyyy-mm"))</f>
        <v>2026-02</v>
      </c>
      <c r="BB157" s="33"/>
      <c r="BC157" s="108"/>
      <c r="BD157" s="108"/>
      <c r="BE157" s="108"/>
      <c r="BF157" s="127"/>
      <c r="BG157" s="28" t="s">
        <v>543</v>
      </c>
      <c r="BH15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7" s="90" t="str">
        <f>IF(ISNUMBER(Cartera1017[[#This Row],[Duracion en Dias]]),Cartera1017[[#This Row],[Duracion en Dias]]/30, "No Aplica")</f>
        <v>No Aplica</v>
      </c>
      <c r="BJ157" s="109"/>
      <c r="BK157" s="28" t="s">
        <v>613</v>
      </c>
      <c r="BL157" s="110" t="s">
        <v>592</v>
      </c>
      <c r="BM157" s="342">
        <v>45922.782627314817</v>
      </c>
      <c r="BN157" s="227"/>
      <c r="BO157" s="401"/>
      <c r="BP157" s="401"/>
      <c r="BQ15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7" s="14" t="str">
        <f>IFERROR(VLOOKUP(Cartera1017[[#This Row],[Aplicativo]],Tabla76[],2,FALSE),"Sin Aplicativo")</f>
        <v>Banca Empresarial</v>
      </c>
      <c r="BS157" s="14" t="str">
        <f>IFERROR(VLOOKUP(Cartera1017[[#This Row],[Aplicativo]],Tabla76[],3,FALSE),"Sin Aplicativo")</f>
        <v>Canales Virtuales</v>
      </c>
      <c r="BT157" s="400"/>
      <c r="BU157" s="33"/>
      <c r="BV157" s="28"/>
      <c r="BW15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7" s="149" t="str">
        <f ca="1">IF(Cartera1017[[#This Row],[Fecha Fin2]]="","No definido",CONCATENATE(TEXT(Cartera1017[[#This Row],[Fecha Fin2]],"mmm")," ",YEAR(Cartera1017[[#This Row],[Fecha Fin2]])))</f>
        <v>No definido</v>
      </c>
      <c r="BZ157" s="28"/>
      <c r="CA157" s="48" t="str">
        <f>IF(Cartera1017[[#This Row],[Estado TI]] = "08. Producción Finalizada","Culminado",IF(Cartera1017[[#This Row],[Estado TI]]= "09. Descartado","Descartado","Activos"))</f>
        <v>Activos</v>
      </c>
      <c r="CB157" s="28"/>
      <c r="CC157" s="406">
        <v>0.39</v>
      </c>
      <c r="CD157" s="54" t="str">
        <f>IF(
AND(
Cartera1017[[#This Row],[DEVOLVER 27]]="NO",
NOT(ISBLANK(Cartera1017[[#This Row],[ESTADO NO DEVUELTOS 27]]))
),
"PRE",
"POST"
)</f>
        <v>PRE</v>
      </c>
      <c r="CE157" s="54" t="s">
        <v>509</v>
      </c>
      <c r="CF157" s="28" t="s">
        <v>48</v>
      </c>
      <c r="CG15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RIESGO 🟡</v>
      </c>
      <c r="CI15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0.45238095238095238</v>
      </c>
      <c r="CJ157" s="406">
        <v>0.39</v>
      </c>
      <c r="CK157" s="388">
        <f ca="1">IF(
   OR(
     Cartera1017[[#This Row],[Estado TI]]="09. Descartado",
     Cartera1017[[#This Row],[Comienzo Desarrollo]]="",
     Cartera1017[[#This Row],[Fin Producción]]=""
   ),
   "",
   Cartera1017[[#This Row],[% PLANIFICADO]]-Cartera1017[[#This Row],[% COMPLETADO]]
)</f>
        <v>6.238095238095237E-2</v>
      </c>
      <c r="CL157" s="388">
        <f ca="1">IF(
   OR(
     Cartera1017[[#This Row],[Estado TI]]="09. Descartado",
     Cartera1017[[#This Row],[Comienzo Desarrollo]]="",
     Cartera1017[[#This Row],[Fin Producción]]="",
     Cartera1017[[#This Row],[% PLANIFICADO]]=0
   ),
   "",
   MIN(Cartera1017[[#This Row],[% COMPLETADO]]/Cartera1017[[#This Row],[% PLANIFICADO]],1.2)
)</f>
        <v>0.86210526315789471</v>
      </c>
      <c r="CM157" s="377">
        <v>45922</v>
      </c>
      <c r="CN157" s="377">
        <v>46083</v>
      </c>
      <c r="CO157" s="377">
        <v>46167</v>
      </c>
      <c r="CP157" s="377">
        <v>46168</v>
      </c>
      <c r="CQ157" s="377">
        <v>46234</v>
      </c>
      <c r="CR157" s="377">
        <v>46237</v>
      </c>
      <c r="CS157" s="377">
        <v>46262</v>
      </c>
      <c r="CT157" s="44">
        <f>IF(Cartera1017[[#This Row],[Fin Desarrollo]]="",25,IFERROR(NETWORKDAYS(Cartera1017[[#This Row],[Comienzo Desarrollo]],Cartera1017[[#This Row],[Fin Desarrollo]],FERIADOS[Fecha]),""))</f>
        <v>60</v>
      </c>
      <c r="CU15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0.93442622950819676</v>
      </c>
      <c r="CV157" s="44">
        <f>IF(OR(Cartera1017[[#This Row],[Comienzo Desarrollo]]="",Cartera1017[[#This Row],[Fin Desarrollo]]=""),200,IFERROR(Cartera1017[[#This Row],[DURACIÓN DESARROLLO DIAS]]*VLOOKUP(Cartera1017[[#This Row],[ID Mantenimiento]],MANT_HORAS[],2,FALSE),200))</f>
        <v>68.571428571428569</v>
      </c>
      <c r="CW157" s="110"/>
      <c r="CX157" s="110" t="str">
        <f>VLOOKUP(Cartera1017[[#This Row],[Estado TI]],Definiciones!$A$549:$B$559,2,FALSE)</f>
        <v>1. DESARROLLO</v>
      </c>
      <c r="CY157" s="28">
        <f ca="1">1-Cartera1017[[#This Row],[Porcentaje avanzado desarrollo]]</f>
        <v>6.557377049180324E-2</v>
      </c>
      <c r="CZ15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56</v>
      </c>
      <c r="DA157" s="28">
        <f ca="1">MAX(0,Cartera1017[[#This Row],[DURACIÓN DESARROLLO DIAS]]-Cartera1017[[#This Row],[Dias avanzados]])</f>
        <v>4</v>
      </c>
      <c r="DB157" s="28">
        <f ca="1">Cartera1017[[#This Row],[Dias avanzados]]*IFERROR(VLOOKUP(Cartera1017[[#This Row],[ID Mantenimiento]],MANT_HORAS[],2,FALSE),8)</f>
        <v>64</v>
      </c>
      <c r="DC157" s="28">
        <f ca="1">Cartera1017[[#This Row],[Dias faltantes]]*IFERROR(VLOOKUP(Cartera1017[[#This Row],[ID Mantenimiento]],MANT_HORAS[],2,FALSE),8)</f>
        <v>4.5714285714285712</v>
      </c>
      <c r="DD157" s="28" t="str">
        <f>IF(Cartera1017[[#This Row],[Fin Producción]]=0,"Por definir",CONCATENATE(YEAR(Cartera1017[[#This Row],[Fin Producción]]),"-",ROUNDUP(MONTH(Cartera1017[[#This Row],[Fin Producción]]),0)))</f>
        <v>2026-8</v>
      </c>
      <c r="DE157" s="18" t="s">
        <v>510</v>
      </c>
      <c r="DF157" s="28"/>
      <c r="DG157" s="28"/>
      <c r="DH157" s="565"/>
    </row>
    <row r="158" spans="1:112" ht="44.25" hidden="1" customHeight="1">
      <c r="A158" s="229" t="s">
        <v>1589</v>
      </c>
      <c r="B158" s="18">
        <v>2966</v>
      </c>
      <c r="C158" s="18" t="s">
        <v>485</v>
      </c>
      <c r="D158" s="18" t="s">
        <v>1590</v>
      </c>
      <c r="E158" s="18" t="s">
        <v>322</v>
      </c>
      <c r="F158" s="19" t="s">
        <v>323</v>
      </c>
      <c r="G158" s="19"/>
      <c r="H158" s="18" t="s">
        <v>26</v>
      </c>
      <c r="I158" s="18" t="s">
        <v>539</v>
      </c>
      <c r="J158" s="18" t="s">
        <v>540</v>
      </c>
      <c r="K158" s="20">
        <v>45861</v>
      </c>
      <c r="L158" s="18" t="s">
        <v>1591</v>
      </c>
      <c r="M158" s="50" t="s">
        <v>710</v>
      </c>
      <c r="N158" s="50"/>
      <c r="O158" s="18" t="s">
        <v>712</v>
      </c>
      <c r="P158" s="18" t="s">
        <v>495</v>
      </c>
      <c r="Q158" s="18" t="s">
        <v>496</v>
      </c>
      <c r="R158" s="18" t="s">
        <v>497</v>
      </c>
      <c r="S158" s="18"/>
      <c r="T158" s="18"/>
      <c r="U158" s="18"/>
      <c r="V158" s="18"/>
      <c r="W158" s="18"/>
      <c r="X158" s="18"/>
      <c r="Y158" s="80"/>
      <c r="Z158" s="18" t="s">
        <v>499</v>
      </c>
      <c r="AA158" s="20">
        <v>45972</v>
      </c>
      <c r="AB158" s="18" t="s">
        <v>713</v>
      </c>
      <c r="AC158" s="18"/>
      <c r="AD158" s="18" t="s">
        <v>324</v>
      </c>
      <c r="AE158" s="18" t="s">
        <v>27</v>
      </c>
      <c r="AF158" s="18" t="s">
        <v>87</v>
      </c>
      <c r="AG158" s="14" t="str">
        <f>VLOOKUP(AF158,Tabla3[[Estado Requerimiento]:[Macro estado]],2,FALSE)</f>
        <v>02. En Proceso</v>
      </c>
      <c r="AH158" s="18" t="s">
        <v>837</v>
      </c>
      <c r="AI158" s="80"/>
      <c r="AJ158" s="80"/>
      <c r="AK158" s="80">
        <v>45945</v>
      </c>
      <c r="AL158" s="80">
        <v>46136</v>
      </c>
      <c r="AM158" s="80"/>
      <c r="AN158" s="80">
        <v>46147</v>
      </c>
      <c r="AO158" s="80"/>
      <c r="AP158" s="81">
        <f t="shared" si="4"/>
        <v>46212.4</v>
      </c>
      <c r="AQ158" s="80"/>
      <c r="AR158" s="80"/>
      <c r="AS158" s="81">
        <f t="shared" si="5"/>
        <v>46219.4</v>
      </c>
      <c r="AT158" s="19" t="s">
        <v>1592</v>
      </c>
      <c r="AU158" s="44" t="str">
        <f>VLOOKUP(Cartera1017[[#This Row],[Gerencia]],tbGerencia[#All],3,FALSE)</f>
        <v>B.Digital</v>
      </c>
      <c r="AV158" s="44" t="str">
        <f>IFERROR(VLOOKUP(Cartera1017[[#This Row],[Subgerencia]],Definiciones!$A$90:$B$144,2,FALSE),"")</f>
        <v>CanalesAlternos</v>
      </c>
      <c r="AW158" s="44" t="str">
        <f>IF(OR(LEN(Cartera1017[[#This Row],[Fecha de Solicitud]])=0,(Cartera1017[[#This Row],[Fecha de Solicitud]])="No definido"),"No definido",IF(YEAR(Cartera1017[[#This Row],[Fecha de Solicitud]])&lt;2023," &lt;  2023",TEXT(Cartera1017[[#This Row],[Fecha de Solicitud]],"yyyy-mm")))</f>
        <v>2025-07</v>
      </c>
      <c r="AX158" s="44" t="str">
        <f>IF(Cartera1017[[#This Row],[Fecha de Priorización Comité]]="","No definido",TEXT(Cartera1017[[#This Row],[Fecha de Priorización Comité]],"yyyy-mm"))</f>
        <v>2025-11</v>
      </c>
      <c r="AY158" s="44" t="str">
        <f>IF(Cartera1017[[#This Row],[Fecha Fin- Desarrollo]]="","No definido",TEXT(Cartera1017[[#This Row],[Fecha Fin- Desarrollo]],"yyyy-mm"))</f>
        <v>2026-04</v>
      </c>
      <c r="AZ158" s="44" t="str">
        <f>IF(Cartera1017[[#This Row],[Fecha Fin- Producción]]="","No definido",TEXT(Cartera1017[[#This Row],[Fecha Fin- Producción]],"yyyy-mm"))</f>
        <v>No definido</v>
      </c>
      <c r="BA158" s="44" t="str">
        <f>IF(Cartera1017[[#This Row],[Fecha Fin-Planificada]]="","No definido",TEXT(Cartera1017[[#This Row],[Fecha Fin-Planificada]],"yyyy-mm"))</f>
        <v>2026-07</v>
      </c>
      <c r="BB158" s="33"/>
      <c r="BC158" s="108"/>
      <c r="BD158" s="108"/>
      <c r="BE158" s="108"/>
      <c r="BF158" s="127"/>
      <c r="BG158" s="28" t="s">
        <v>543</v>
      </c>
      <c r="BH15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8" s="90" t="str">
        <f>IF(ISNUMBER(Cartera1017[[#This Row],[Duracion en Dias]]),Cartera1017[[#This Row],[Duracion en Dias]]/30, "No Aplica")</f>
        <v>No Aplica</v>
      </c>
      <c r="BJ158" s="109"/>
      <c r="BK158" s="28" t="s">
        <v>506</v>
      </c>
      <c r="BL158" s="110" t="s">
        <v>1260</v>
      </c>
      <c r="BM158" s="342">
        <v>46147.405763888892</v>
      </c>
      <c r="BN158" s="227"/>
      <c r="BO158" s="401"/>
      <c r="BP158" s="401"/>
      <c r="BQ15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2026-Q3</v>
      </c>
      <c r="BR158" s="14" t="str">
        <f>IFERROR(VLOOKUP(Cartera1017[[#This Row],[Aplicativo]],Tabla76[],2,FALSE),"Sin Aplicativo")</f>
        <v>Banca Movil</v>
      </c>
      <c r="BS158" s="14" t="str">
        <f>IFERROR(VLOOKUP(Cartera1017[[#This Row],[Aplicativo]],Tabla76[],3,FALSE),"Sin Aplicativo")</f>
        <v>Canales Virtuales</v>
      </c>
      <c r="BT158" s="400"/>
      <c r="BU158" s="33"/>
      <c r="BV158" s="28"/>
      <c r="BW15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46219.4</v>
      </c>
      <c r="BX15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2026-3</v>
      </c>
      <c r="BY158" s="149" t="str">
        <f ca="1">IF(Cartera1017[[#This Row],[Fecha Fin2]]="","No definido",CONCATENATE(TEXT(Cartera1017[[#This Row],[Fecha Fin2]],"mmm")," ",YEAR(Cartera1017[[#This Row],[Fecha Fin2]])))</f>
        <v>Jul 2026</v>
      </c>
      <c r="BZ158" s="28"/>
      <c r="CA158" s="48" t="str">
        <f>IF(Cartera1017[[#This Row],[Estado TI]] = "08. Producción Finalizada","Culminado",IF(Cartera1017[[#This Row],[Estado TI]]= "09. Descartado","Descartado","Activos"))</f>
        <v>Activos</v>
      </c>
      <c r="CB158" s="28"/>
      <c r="CC15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158" s="54" t="str">
        <f>IF(
AND(
Cartera1017[[#This Row],[DEVOLVER 27]]="NO",
NOT(ISBLANK(Cartera1017[[#This Row],[ESTADO NO DEVUELTOS 27]]))
),
"PRE",
"POST"
)</f>
        <v>POST</v>
      </c>
      <c r="CE158" s="408" t="s">
        <v>509</v>
      </c>
      <c r="CF158" s="28"/>
      <c r="CG15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5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0.91935483870967738</v>
      </c>
      <c r="CJ158" s="406">
        <f>Cartera1017[[#This Row],[Porcentaje de Avance]]</f>
        <v>0.7</v>
      </c>
      <c r="CK158" s="388">
        <f ca="1">IF(
   OR(
     Cartera1017[[#This Row],[Estado TI]]="09. Descartado",
     Cartera1017[[#This Row],[Comienzo Desarrollo]]="",
     Cartera1017[[#This Row],[Fin Producción]]=""
   ),
   "",
   Cartera1017[[#This Row],[% PLANIFICADO]]-Cartera1017[[#This Row],[% COMPLETADO]]
)</f>
        <v>0.21935483870967742</v>
      </c>
      <c r="CL158" s="388">
        <f ca="1">IF(
   OR(
     Cartera1017[[#This Row],[Estado TI]]="09. Descartado",
     Cartera1017[[#This Row],[Comienzo Desarrollo]]="",
     Cartera1017[[#This Row],[Fin Producción]]="",
     Cartera1017[[#This Row],[% PLANIFICADO]]=0
   ),
   "",
   MIN(Cartera1017[[#This Row],[% COMPLETADO]]/Cartera1017[[#This Row],[% PLANIFICADO]],1.2)
)</f>
        <v>0.76140350877192986</v>
      </c>
      <c r="CM158" s="377">
        <v>45964</v>
      </c>
      <c r="CN158" s="377">
        <v>46083</v>
      </c>
      <c r="CO158" s="377">
        <v>46108</v>
      </c>
      <c r="CP158" s="377">
        <v>46111</v>
      </c>
      <c r="CQ158" s="377">
        <v>46141</v>
      </c>
      <c r="CR158" s="377">
        <v>46142</v>
      </c>
      <c r="CS158" s="377">
        <v>46169</v>
      </c>
      <c r="CT158" s="44">
        <f>IF(Cartera1017[[#This Row],[Fin Desarrollo]]="",25,IFERROR(NETWORKDAYS(Cartera1017[[#This Row],[Comienzo Desarrollo]],Cartera1017[[#This Row],[Fin Desarrollo]],FERIADOS[Fecha]),""))</f>
        <v>20</v>
      </c>
      <c r="CU15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58" s="44">
        <f>IF(OR(Cartera1017[[#This Row],[Comienzo Desarrollo]]="",Cartera1017[[#This Row],[Fin Desarrollo]]=""),200,IFERROR(Cartera1017[[#This Row],[DURACIÓN DESARROLLO DIAS]]*VLOOKUP(Cartera1017[[#This Row],[ID Mantenimiento]],MANT_HORAS[],2,FALSE),200))</f>
        <v>200</v>
      </c>
      <c r="CW158" s="110"/>
      <c r="CX158" s="110" t="str">
        <f>VLOOKUP(Cartera1017[[#This Row],[Estado TI]],Definiciones!$A$549:$B$559,2,FALSE)</f>
        <v>2. CALIDAD</v>
      </c>
      <c r="CY158" s="28">
        <f ca="1">1-Cartera1017[[#This Row],[Porcentaje avanzado desarrollo]]</f>
        <v>0</v>
      </c>
      <c r="CZ15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58" s="28">
        <f ca="1">MAX(0,Cartera1017[[#This Row],[DURACIÓN DESARROLLO DIAS]]-Cartera1017[[#This Row],[Dias avanzados]])</f>
        <v>0</v>
      </c>
      <c r="DB158" s="28">
        <f ca="1">Cartera1017[[#This Row],[Dias avanzados]]*IFERROR(VLOOKUP(Cartera1017[[#This Row],[ID Mantenimiento]],MANT_HORAS[],2,FALSE),8)</f>
        <v>160</v>
      </c>
      <c r="DC158" s="28">
        <f ca="1">Cartera1017[[#This Row],[Dias faltantes]]*IFERROR(VLOOKUP(Cartera1017[[#This Row],[ID Mantenimiento]],MANT_HORAS[],2,FALSE),8)</f>
        <v>0</v>
      </c>
      <c r="DD158" s="28" t="str">
        <f>IF(Cartera1017[[#This Row],[Fin Producción]]=0,"Por definir",CONCATENATE(YEAR(Cartera1017[[#This Row],[Fin Producción]]),"-",ROUNDUP(MONTH(Cartera1017[[#This Row],[Fin Producción]]),0)))</f>
        <v>2026-5</v>
      </c>
      <c r="DE158" s="18" t="s">
        <v>510</v>
      </c>
      <c r="DF158" s="28"/>
      <c r="DG158" s="28"/>
      <c r="DH158" s="565"/>
    </row>
    <row r="159" spans="1:112" ht="44.25" hidden="1" customHeight="1">
      <c r="A159" s="229" t="s">
        <v>1593</v>
      </c>
      <c r="B159" s="18">
        <v>3037</v>
      </c>
      <c r="C159" s="18" t="s">
        <v>485</v>
      </c>
      <c r="D159" s="18" t="s">
        <v>1594</v>
      </c>
      <c r="E159" s="18" t="s">
        <v>325</v>
      </c>
      <c r="F159" s="19" t="s">
        <v>326</v>
      </c>
      <c r="G159" s="19"/>
      <c r="H159" s="18" t="s">
        <v>40</v>
      </c>
      <c r="I159" s="18" t="s">
        <v>490</v>
      </c>
      <c r="J159" s="18" t="s">
        <v>662</v>
      </c>
      <c r="K159" s="20">
        <v>45917</v>
      </c>
      <c r="L159" s="18" t="s">
        <v>1595</v>
      </c>
      <c r="M159" s="50" t="s">
        <v>914</v>
      </c>
      <c r="N159" s="50"/>
      <c r="O159" s="18" t="s">
        <v>548</v>
      </c>
      <c r="P159" s="18" t="s">
        <v>495</v>
      </c>
      <c r="Q159" s="18" t="s">
        <v>496</v>
      </c>
      <c r="R159" s="18" t="s">
        <v>497</v>
      </c>
      <c r="S159" s="18"/>
      <c r="T159" s="18" t="s">
        <v>495</v>
      </c>
      <c r="U159" s="18" t="s">
        <v>495</v>
      </c>
      <c r="V159" s="18" t="s">
        <v>495</v>
      </c>
      <c r="W159" s="18" t="s">
        <v>495</v>
      </c>
      <c r="X159" s="18" t="s">
        <v>495</v>
      </c>
      <c r="Y159" s="80" t="s">
        <v>495</v>
      </c>
      <c r="Z159" s="18" t="s">
        <v>499</v>
      </c>
      <c r="AA159" s="20">
        <v>45972</v>
      </c>
      <c r="AB159" s="18" t="s">
        <v>500</v>
      </c>
      <c r="AC159" s="18" t="s">
        <v>558</v>
      </c>
      <c r="AD159" s="18" t="s">
        <v>210</v>
      </c>
      <c r="AE159" s="18" t="s">
        <v>41</v>
      </c>
      <c r="AF159" s="18" t="s">
        <v>48</v>
      </c>
      <c r="AG159" s="14" t="str">
        <f>VLOOKUP(AF159,Tabla3[[Estado Requerimiento]:[Macro estado]],2,FALSE)</f>
        <v>02. En Proceso</v>
      </c>
      <c r="AH159" s="18"/>
      <c r="AI159" s="80"/>
      <c r="AJ159" s="80">
        <v>45964</v>
      </c>
      <c r="AK159" s="80">
        <v>45932</v>
      </c>
      <c r="AL159" s="80"/>
      <c r="AM159" s="80">
        <v>46022</v>
      </c>
      <c r="AN159" s="80"/>
      <c r="AO159" s="80"/>
      <c r="AP159" s="81">
        <f t="shared" si="4"/>
        <v>46058</v>
      </c>
      <c r="AQ159" s="80"/>
      <c r="AR159" s="80"/>
      <c r="AS159" s="81">
        <f t="shared" si="5"/>
        <v>46065</v>
      </c>
      <c r="AT159" s="19" t="s">
        <v>1596</v>
      </c>
      <c r="AU159" s="44" t="str">
        <f>VLOOKUP(Cartera1017[[#This Row],[Gerencia]],tbGerencia[#All],3,FALSE)</f>
        <v>Operac.</v>
      </c>
      <c r="AV159" s="44" t="str">
        <f>IFERROR(VLOOKUP(Cartera1017[[#This Row],[Subgerencia]],Definiciones!$A$90:$B$144,2,FALSE),"")</f>
        <v>BancariosRecaudación</v>
      </c>
      <c r="AW159" s="44" t="str">
        <f>IF(OR(LEN(Cartera1017[[#This Row],[Fecha de Solicitud]])=0,(Cartera1017[[#This Row],[Fecha de Solicitud]])="No definido"),"No definido",IF(YEAR(Cartera1017[[#This Row],[Fecha de Solicitud]])&lt;2023," &lt;  2023",TEXT(Cartera1017[[#This Row],[Fecha de Solicitud]],"yyyy-mm")))</f>
        <v>2025-09</v>
      </c>
      <c r="AX159" s="44" t="str">
        <f>IF(Cartera1017[[#This Row],[Fecha de Priorización Comité]]="","No definido",TEXT(Cartera1017[[#This Row],[Fecha de Priorización Comité]],"yyyy-mm"))</f>
        <v>2025-11</v>
      </c>
      <c r="AY159" s="44" t="str">
        <f>IF(Cartera1017[[#This Row],[Fecha Fin- Desarrollo]]="","No definido",TEXT(Cartera1017[[#This Row],[Fecha Fin- Desarrollo]],"yyyy-mm"))</f>
        <v>No definido</v>
      </c>
      <c r="AZ159" s="44" t="str">
        <f>IF(Cartera1017[[#This Row],[Fecha Fin- Producción]]="","No definido",TEXT(Cartera1017[[#This Row],[Fecha Fin- Producción]],"yyyy-mm"))</f>
        <v>No definido</v>
      </c>
      <c r="BA159" s="44" t="str">
        <f>IF(Cartera1017[[#This Row],[Fecha Fin-Planificada]]="","No definido",TEXT(Cartera1017[[#This Row],[Fecha Fin-Planificada]],"yyyy-mm"))</f>
        <v>2026-02</v>
      </c>
      <c r="BB159" s="33"/>
      <c r="BC159" s="108"/>
      <c r="BD159" s="108"/>
      <c r="BE159" s="108"/>
      <c r="BF159" s="127"/>
      <c r="BG159" s="28" t="s">
        <v>543</v>
      </c>
      <c r="BH15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9" s="90" t="str">
        <f>IF(ISNUMBER(Cartera1017[[#This Row],[Duracion en Dias]]),Cartera1017[[#This Row],[Duracion en Dias]]/30, "No Aplica")</f>
        <v>No Aplica</v>
      </c>
      <c r="BJ159" s="109"/>
      <c r="BK159" s="28" t="s">
        <v>1529</v>
      </c>
      <c r="BL159" s="110" t="s">
        <v>592</v>
      </c>
      <c r="BM159" s="342">
        <v>45933.609699074077</v>
      </c>
      <c r="BN159" s="227"/>
      <c r="BO159" s="401"/>
      <c r="BP159" s="401"/>
      <c r="BQ15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9" s="14" t="str">
        <f>IFERROR(VLOOKUP(Cartera1017[[#This Row],[Aplicativo]],Tabla76[],2,FALSE),"Sin Aplicativo")</f>
        <v>Créditos Hipotecarios</v>
      </c>
      <c r="BS159" s="14" t="str">
        <f>IFERROR(VLOOKUP(Cartera1017[[#This Row],[Aplicativo]],Tabla76[],3,FALSE),"Sin Aplicativo")</f>
        <v>Productos</v>
      </c>
      <c r="BT159" s="400"/>
      <c r="BU159" s="33"/>
      <c r="BV159" s="28"/>
      <c r="BW15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9" s="149" t="str">
        <f ca="1">IF(Cartera1017[[#This Row],[Fecha Fin2]]="","No definido",CONCATENATE(TEXT(Cartera1017[[#This Row],[Fecha Fin2]],"mmm")," ",YEAR(Cartera1017[[#This Row],[Fecha Fin2]])))</f>
        <v>No definido</v>
      </c>
      <c r="BZ159" s="28"/>
      <c r="CA159" s="48" t="str">
        <f>IF(Cartera1017[[#This Row],[Estado TI]] = "08. Producción Finalizada","Culminado",IF(Cartera1017[[#This Row],[Estado TI]]= "09. Descartado","Descartado","Activos"))</f>
        <v>Activos</v>
      </c>
      <c r="CB159" s="28"/>
      <c r="CC15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59" s="54" t="str">
        <f>IF(
AND(
Cartera1017[[#This Row],[DEVOLVER 27]]="NO",
NOT(ISBLANK(Cartera1017[[#This Row],[ESTADO NO DEVUELTOS 27]]))
),
"PRE",
"POST"
)</f>
        <v>POST</v>
      </c>
      <c r="CE159" s="408" t="s">
        <v>509</v>
      </c>
      <c r="CF159" s="28"/>
      <c r="CG15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59" s="389">
        <v>0.25</v>
      </c>
      <c r="CJ159" s="406">
        <f>Cartera1017[[#This Row],[Porcentaje de Avance]]</f>
        <v>0.25</v>
      </c>
      <c r="CK159" s="388">
        <f>IF(
   OR(
     Cartera1017[[#This Row],[Estado TI]]="09. Descartado",
     Cartera1017[[#This Row],[Comienzo Desarrollo]]="",
     Cartera1017[[#This Row],[Fin Producción]]=""
   ),
   "",
   Cartera1017[[#This Row],[% PLANIFICADO]]-Cartera1017[[#This Row],[% COMPLETADO]]
)</f>
        <v>0</v>
      </c>
      <c r="CL159" s="388">
        <f>IF(
   OR(
     Cartera1017[[#This Row],[Estado TI]]="09. Descartado",
     Cartera1017[[#This Row],[Comienzo Desarrollo]]="",
     Cartera1017[[#This Row],[Fin Producción]]="",
     Cartera1017[[#This Row],[% PLANIFICADO]]=0
   ),
   "",
   MIN(Cartera1017[[#This Row],[% COMPLETADO]]/Cartera1017[[#This Row],[% PLANIFICADO]],1.2)
)</f>
        <v>1</v>
      </c>
      <c r="CM159" s="377">
        <v>45932</v>
      </c>
      <c r="CN159" s="377">
        <v>46083</v>
      </c>
      <c r="CO159" s="377">
        <v>46171</v>
      </c>
      <c r="CP159" s="377">
        <v>46174</v>
      </c>
      <c r="CQ159" s="377">
        <v>46203</v>
      </c>
      <c r="CR159" s="377">
        <v>46204</v>
      </c>
      <c r="CS159" s="377">
        <v>46206</v>
      </c>
      <c r="CT159" s="44">
        <f>IF(Cartera1017[[#This Row],[Fin Desarrollo]]="",25,IFERROR(NETWORKDAYS(Cartera1017[[#This Row],[Comienzo Desarrollo]],Cartera1017[[#This Row],[Fin Desarrollo]],FERIADOS[Fecha]),""))</f>
        <v>64</v>
      </c>
      <c r="CU15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0.87692307692307692</v>
      </c>
      <c r="CV159" s="44">
        <f>IF(OR(Cartera1017[[#This Row],[Comienzo Desarrollo]]="",Cartera1017[[#This Row],[Fin Desarrollo]]=""),200,IFERROR(Cartera1017[[#This Row],[DURACIÓN DESARROLLO DIAS]]*VLOOKUP(Cartera1017[[#This Row],[ID Mantenimiento]],MANT_HORAS[],2,FALSE),200))</f>
        <v>128</v>
      </c>
      <c r="CW159" s="110"/>
      <c r="CX159" s="110" t="str">
        <f>VLOOKUP(Cartera1017[[#This Row],[Estado TI]],Definiciones!$A$549:$B$559,2,FALSE)</f>
        <v>1. DESARROLLO</v>
      </c>
      <c r="CY159" s="28">
        <f ca="1">1-Cartera1017[[#This Row],[Porcentaje avanzado desarrollo]]</f>
        <v>0.12307692307692308</v>
      </c>
      <c r="CZ15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56</v>
      </c>
      <c r="DA159" s="28">
        <f ca="1">MAX(0,Cartera1017[[#This Row],[DURACIÓN DESARROLLO DIAS]]-Cartera1017[[#This Row],[Dias avanzados]])</f>
        <v>8</v>
      </c>
      <c r="DB159" s="28">
        <f ca="1">Cartera1017[[#This Row],[Dias avanzados]]*IFERROR(VLOOKUP(Cartera1017[[#This Row],[ID Mantenimiento]],MANT_HORAS[],2,FALSE),8)</f>
        <v>112</v>
      </c>
      <c r="DC159" s="28">
        <f ca="1">Cartera1017[[#This Row],[Dias faltantes]]*IFERROR(VLOOKUP(Cartera1017[[#This Row],[ID Mantenimiento]],MANT_HORAS[],2,FALSE),8)</f>
        <v>16</v>
      </c>
      <c r="DD159" s="28" t="str">
        <f>IF(Cartera1017[[#This Row],[Fin Producción]]=0,"Por definir",CONCATENATE(YEAR(Cartera1017[[#This Row],[Fin Producción]]),"-",ROUNDUP(MONTH(Cartera1017[[#This Row],[Fin Producción]]),0)))</f>
        <v>2026-7</v>
      </c>
      <c r="DE159" s="18" t="s">
        <v>510</v>
      </c>
      <c r="DF159" s="28"/>
      <c r="DG159" s="28"/>
      <c r="DH159" s="565"/>
    </row>
    <row r="160" spans="1:112" ht="44.25" hidden="1" customHeight="1">
      <c r="A160" s="229" t="s">
        <v>1597</v>
      </c>
      <c r="B160" s="18">
        <v>3060</v>
      </c>
      <c r="C160" s="18" t="s">
        <v>485</v>
      </c>
      <c r="D160" s="18" t="s">
        <v>1598</v>
      </c>
      <c r="E160" s="18" t="s">
        <v>327</v>
      </c>
      <c r="F160" s="19" t="s">
        <v>328</v>
      </c>
      <c r="G160" s="19"/>
      <c r="H160" s="18" t="s">
        <v>108</v>
      </c>
      <c r="I160" s="18" t="s">
        <v>811</v>
      </c>
      <c r="J160" s="18" t="s">
        <v>500</v>
      </c>
      <c r="K160" s="20"/>
      <c r="L160" s="18"/>
      <c r="M160" s="50" t="s">
        <v>1599</v>
      </c>
      <c r="N160" s="50"/>
      <c r="O160" s="18" t="s">
        <v>530</v>
      </c>
      <c r="P160" s="18" t="s">
        <v>797</v>
      </c>
      <c r="Q160" s="18" t="s">
        <v>496</v>
      </c>
      <c r="R160" s="18" t="s">
        <v>497</v>
      </c>
      <c r="S160" s="18"/>
      <c r="T160" s="18"/>
      <c r="U160" s="18"/>
      <c r="V160" s="18"/>
      <c r="W160" s="18"/>
      <c r="X160" s="18"/>
      <c r="Y160" s="80"/>
      <c r="Z160" s="18" t="s">
        <v>532</v>
      </c>
      <c r="AA160" s="20">
        <v>45972</v>
      </c>
      <c r="AB160" s="18" t="s">
        <v>500</v>
      </c>
      <c r="AC160" s="18"/>
      <c r="AD160" s="18" t="s">
        <v>165</v>
      </c>
      <c r="AE160" s="18" t="s">
        <v>109</v>
      </c>
      <c r="AF160" s="18" t="s">
        <v>53</v>
      </c>
      <c r="AG160" s="14" t="str">
        <f>VLOOKUP(AF160,Tabla3[[Estado Requerimiento]:[Macro estado]],2,FALSE)</f>
        <v>03. Culminado</v>
      </c>
      <c r="AH160" s="18"/>
      <c r="AI160" s="80"/>
      <c r="AJ160" s="80"/>
      <c r="AK160" s="80">
        <v>45947</v>
      </c>
      <c r="AL160" s="80">
        <v>45958</v>
      </c>
      <c r="AM160" s="80"/>
      <c r="AN160" s="80">
        <v>45964</v>
      </c>
      <c r="AO160" s="80">
        <v>46104</v>
      </c>
      <c r="AP160" s="81">
        <f t="shared" si="4"/>
        <v>45962.400000000001</v>
      </c>
      <c r="AQ160" s="80">
        <v>46119</v>
      </c>
      <c r="AR160" s="80">
        <v>46128</v>
      </c>
      <c r="AS160" s="81">
        <f t="shared" si="5"/>
        <v>45969.4</v>
      </c>
      <c r="AT160" s="19" t="s">
        <v>1600</v>
      </c>
      <c r="AU160" s="44" t="str">
        <f>VLOOKUP(Cartera1017[[#This Row],[Gerencia]],tbGerencia[#All],3,FALSE)</f>
        <v>TI</v>
      </c>
      <c r="AV160" s="44" t="str">
        <f>IFERROR(VLOOKUP(Cartera1017[[#This Row],[Subgerencia]],Definiciones!$A$90:$B$144,2,FALSE),"")</f>
        <v>ConstrucciónAplicaciones</v>
      </c>
      <c r="AW160" s="44" t="str">
        <f>IF(OR(LEN(Cartera1017[[#This Row],[Fecha de Solicitud]])=0,(Cartera1017[[#This Row],[Fecha de Solicitud]])="No definido"),"No definido",IF(YEAR(Cartera1017[[#This Row],[Fecha de Solicitud]])&lt;2023," &lt;  2023",TEXT(Cartera1017[[#This Row],[Fecha de Solicitud]],"yyyy-mm")))</f>
        <v>No definido</v>
      </c>
      <c r="AX160" s="44" t="str">
        <f>IF(Cartera1017[[#This Row],[Fecha de Priorización Comité]]="","No definido",TEXT(Cartera1017[[#This Row],[Fecha de Priorización Comité]],"yyyy-mm"))</f>
        <v>2025-11</v>
      </c>
      <c r="AY160" s="44" t="str">
        <f>IF(Cartera1017[[#This Row],[Fecha Fin- Desarrollo]]="","No definido",TEXT(Cartera1017[[#This Row],[Fecha Fin- Desarrollo]],"yyyy-mm"))</f>
        <v>2025-10</v>
      </c>
      <c r="AZ160" s="44" t="str">
        <f>IF(Cartera1017[[#This Row],[Fecha Fin- Producción]]="","No definido",TEXT(Cartera1017[[#This Row],[Fecha Fin- Producción]],"yyyy-mm"))</f>
        <v>2026-04</v>
      </c>
      <c r="BA160" s="44" t="str">
        <f>IF(Cartera1017[[#This Row],[Fecha Fin-Planificada]]="","No definido",TEXT(Cartera1017[[#This Row],[Fecha Fin-Planificada]],"yyyy-mm"))</f>
        <v>2025-11</v>
      </c>
      <c r="BB160" s="33"/>
      <c r="BC160" s="108"/>
      <c r="BD160" s="108"/>
      <c r="BE160" s="108"/>
      <c r="BF160" s="127"/>
      <c r="BG160" s="28" t="s">
        <v>543</v>
      </c>
      <c r="BH16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181</v>
      </c>
      <c r="BI160" s="90">
        <f>IF(ISNUMBER(Cartera1017[[#This Row],[Duracion en Dias]]),Cartera1017[[#This Row],[Duracion en Dias]]/30, "No Aplica")</f>
        <v>6.0333333333333332</v>
      </c>
      <c r="BJ160" s="109"/>
      <c r="BK160" s="28" t="s">
        <v>506</v>
      </c>
      <c r="BL160" s="110" t="s">
        <v>536</v>
      </c>
      <c r="BM160" s="342">
        <v>46128.372615740744</v>
      </c>
      <c r="BN160" s="227"/>
      <c r="BO160" s="401"/>
      <c r="BP160" s="401"/>
      <c r="BQ16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60" s="14" t="str">
        <f>IFERROR(VLOOKUP(Cartera1017[[#This Row],[Aplicativo]],Tabla76[],2,FALSE),"Sin Aplicativo")</f>
        <v>Sin Aplicativo</v>
      </c>
      <c r="BS160" s="14" t="str">
        <f>IFERROR(VLOOKUP(Cartera1017[[#This Row],[Aplicativo]],Tabla76[],3,FALSE),"Sin Aplicativo")</f>
        <v>Sin Aplicativo</v>
      </c>
      <c r="BT160" s="400"/>
      <c r="BU160" s="33"/>
      <c r="BV160" s="28"/>
      <c r="BW16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46128</v>
      </c>
      <c r="BX16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60" s="149" t="str">
        <f ca="1">IF(Cartera1017[[#This Row],[Fecha Fin2]]="","No definido",CONCATENATE(TEXT(Cartera1017[[#This Row],[Fecha Fin2]],"mmm")," ",YEAR(Cartera1017[[#This Row],[Fecha Fin2]])))</f>
        <v>Abr 2026</v>
      </c>
      <c r="BZ160" s="28"/>
      <c r="CA160" s="48" t="str">
        <f>IF(Cartera1017[[#This Row],[Estado TI]] = "08. Producción Finalizada","Culminado",IF(Cartera1017[[#This Row],[Estado TI]]= "09. Descartado","Descartado","Activos"))</f>
        <v>Culminado</v>
      </c>
      <c r="CB160" s="28"/>
      <c r="CC16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60" s="54" t="str">
        <f>IF(
AND(
Cartera1017[[#This Row],[DEVOLVER 27]]="NO",
NOT(ISBLANK(Cartera1017[[#This Row],[ESTADO NO DEVUELTOS 27]]))
),
"PRE",
"POST"
)</f>
        <v>POST</v>
      </c>
      <c r="CE160" s="410" t="s">
        <v>509</v>
      </c>
      <c r="CF160" s="28"/>
      <c r="CG16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6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6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0" s="406">
        <f>Cartera1017[[#This Row],[Porcentaje de Avance]]</f>
        <v>1</v>
      </c>
      <c r="CK160" s="388">
        <f ca="1">IF(
   OR(
     Cartera1017[[#This Row],[Estado TI]]="09. Descartado",
     Cartera1017[[#This Row],[Comienzo Desarrollo]]="",
     Cartera1017[[#This Row],[Fin Producción]]=""
   ),
   "",
   Cartera1017[[#This Row],[% PLANIFICADO]]-Cartera1017[[#This Row],[% COMPLETADO]]
)</f>
        <v>0</v>
      </c>
      <c r="CL160" s="388">
        <f ca="1">IF(
   OR(
     Cartera1017[[#This Row],[Estado TI]]="09. Descartado",
     Cartera1017[[#This Row],[Comienzo Desarrollo]]="",
     Cartera1017[[#This Row],[Fin Producción]]="",
     Cartera1017[[#This Row],[% PLANIFICADO]]=0
   ),
   "",
   MIN(Cartera1017[[#This Row],[% COMPLETADO]]/Cartera1017[[#This Row],[% PLANIFICADO]],1.2)
)</f>
        <v>1</v>
      </c>
      <c r="CM160" s="377">
        <v>45947</v>
      </c>
      <c r="CN160" s="377">
        <v>45947</v>
      </c>
      <c r="CO160" s="377">
        <v>45958</v>
      </c>
      <c r="CP160" s="377">
        <v>45964</v>
      </c>
      <c r="CQ160" s="377">
        <v>45996</v>
      </c>
      <c r="CR160" s="377">
        <v>46072</v>
      </c>
      <c r="CS160" s="377">
        <v>46108</v>
      </c>
      <c r="CT160" s="44">
        <f>IF(Cartera1017[[#This Row],[Fin Desarrollo]]="",25,IFERROR(NETWORKDAYS(Cartera1017[[#This Row],[Comienzo Desarrollo]],Cartera1017[[#This Row],[Fin Desarrollo]],FERIADOS[Fecha]),""))</f>
        <v>8</v>
      </c>
      <c r="CU16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60" s="44">
        <f>IF(OR(Cartera1017[[#This Row],[Comienzo Desarrollo]]="",Cartera1017[[#This Row],[Fin Desarrollo]]=""),200,IFERROR(Cartera1017[[#This Row],[DURACIÓN DESARROLLO DIAS]]*VLOOKUP(Cartera1017[[#This Row],[ID Mantenimiento]],MANT_HORAS[],2,FALSE),200))</f>
        <v>200</v>
      </c>
      <c r="CW160" s="110"/>
      <c r="CX160" s="110" t="str">
        <f>VLOOKUP(Cartera1017[[#This Row],[Estado TI]],Definiciones!$A$549:$B$559,2,FALSE)</f>
        <v>4. PRODUCCIÓN</v>
      </c>
      <c r="CY160" s="28">
        <f ca="1">1-Cartera1017[[#This Row],[Porcentaje avanzado desarrollo]]</f>
        <v>0</v>
      </c>
      <c r="CZ16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v>
      </c>
      <c r="DA160" s="28">
        <f ca="1">MAX(0,Cartera1017[[#This Row],[DURACIÓN DESARROLLO DIAS]]-Cartera1017[[#This Row],[Dias avanzados]])</f>
        <v>0</v>
      </c>
      <c r="DB160" s="28">
        <f ca="1">Cartera1017[[#This Row],[Dias avanzados]]*IFERROR(VLOOKUP(Cartera1017[[#This Row],[ID Mantenimiento]],MANT_HORAS[],2,FALSE),8)</f>
        <v>64</v>
      </c>
      <c r="DC160" s="28">
        <f ca="1">Cartera1017[[#This Row],[Dias faltantes]]*IFERROR(VLOOKUP(Cartera1017[[#This Row],[ID Mantenimiento]],MANT_HORAS[],2,FALSE),8)</f>
        <v>0</v>
      </c>
      <c r="DD160" s="28" t="str">
        <f>IF(Cartera1017[[#This Row],[Fin Producción]]=0,"Por definir",CONCATENATE(YEAR(Cartera1017[[#This Row],[Fin Producción]]),"-",ROUNDUP(MONTH(Cartera1017[[#This Row],[Fin Producción]]),0)))</f>
        <v>2026-3</v>
      </c>
      <c r="DE160" s="18" t="s">
        <v>510</v>
      </c>
      <c r="DF160" s="28"/>
      <c r="DG160" s="28"/>
      <c r="DH160" s="565"/>
    </row>
    <row r="161" spans="1:112" ht="44.25" hidden="1" customHeight="1">
      <c r="A161" s="229" t="s">
        <v>1601</v>
      </c>
      <c r="B161" s="18">
        <v>3061</v>
      </c>
      <c r="C161" s="18" t="s">
        <v>485</v>
      </c>
      <c r="D161" s="18" t="s">
        <v>1602</v>
      </c>
      <c r="E161" s="18" t="s">
        <v>329</v>
      </c>
      <c r="F161" s="35" t="s">
        <v>330</v>
      </c>
      <c r="G161" s="19"/>
      <c r="H161" s="18" t="s">
        <v>108</v>
      </c>
      <c r="I161" s="18" t="s">
        <v>811</v>
      </c>
      <c r="J161" s="18" t="s">
        <v>500</v>
      </c>
      <c r="K161" s="20"/>
      <c r="L161" s="18"/>
      <c r="M161" s="50" t="s">
        <v>1398</v>
      </c>
      <c r="N161" s="50"/>
      <c r="O161" s="18" t="s">
        <v>530</v>
      </c>
      <c r="P161" s="18" t="s">
        <v>797</v>
      </c>
      <c r="Q161" s="18" t="s">
        <v>496</v>
      </c>
      <c r="R161" s="18" t="s">
        <v>497</v>
      </c>
      <c r="S161" s="18"/>
      <c r="T161" s="18"/>
      <c r="U161" s="18"/>
      <c r="V161" s="18"/>
      <c r="W161" s="18"/>
      <c r="X161" s="18"/>
      <c r="Y161" s="80"/>
      <c r="Z161" s="18" t="s">
        <v>532</v>
      </c>
      <c r="AA161" s="20">
        <v>45972</v>
      </c>
      <c r="AB161" s="18" t="s">
        <v>500</v>
      </c>
      <c r="AC161" s="18"/>
      <c r="AD161" s="360" t="s">
        <v>139</v>
      </c>
      <c r="AE161" s="18" t="s">
        <v>109</v>
      </c>
      <c r="AF161" s="39" t="s">
        <v>28</v>
      </c>
      <c r="AG161" s="395" t="str">
        <f>VLOOKUP(AF161,Tabla3[[Estado Requerimiento]:[Macro estado]],2,FALSE)</f>
        <v>04. Paralizado</v>
      </c>
      <c r="AH161" s="18" t="s">
        <v>837</v>
      </c>
      <c r="AI161" s="80"/>
      <c r="AJ161" s="80"/>
      <c r="AK161" s="80">
        <v>46079</v>
      </c>
      <c r="AL161" s="80">
        <v>45960</v>
      </c>
      <c r="AM161" s="80"/>
      <c r="AN161" s="80">
        <v>45965</v>
      </c>
      <c r="AO161" s="80"/>
      <c r="AP161" s="81">
        <f t="shared" si="4"/>
        <v>45912.4</v>
      </c>
      <c r="AQ161" s="80"/>
      <c r="AR161" s="80"/>
      <c r="AS161" s="81">
        <f t="shared" si="5"/>
        <v>45919.4</v>
      </c>
      <c r="AT161" s="19" t="s">
        <v>1603</v>
      </c>
      <c r="AU161" s="44" t="str">
        <f>VLOOKUP(Cartera1017[[#This Row],[Gerencia]],tbGerencia[#All],3,FALSE)</f>
        <v>TI</v>
      </c>
      <c r="AV161" s="44" t="str">
        <f>IFERROR(VLOOKUP(Cartera1017[[#This Row],[Subgerencia]],Definiciones!$A$90:$B$144,2,FALSE),"")</f>
        <v>ConstrucciónAplicaciones</v>
      </c>
      <c r="AW161" s="44" t="str">
        <f>IF(OR(LEN(Cartera1017[[#This Row],[Fecha de Solicitud]])=0,(Cartera1017[[#This Row],[Fecha de Solicitud]])="No definido"),"No definido",IF(YEAR(Cartera1017[[#This Row],[Fecha de Solicitud]])&lt;2023," &lt;  2023",TEXT(Cartera1017[[#This Row],[Fecha de Solicitud]],"yyyy-mm")))</f>
        <v>No definido</v>
      </c>
      <c r="AX161" s="44" t="str">
        <f>IF(Cartera1017[[#This Row],[Fecha de Priorización Comité]]="","No definido",TEXT(Cartera1017[[#This Row],[Fecha de Priorización Comité]],"yyyy-mm"))</f>
        <v>2025-11</v>
      </c>
      <c r="AY161" s="44" t="str">
        <f>IF(Cartera1017[[#This Row],[Fecha Fin- Desarrollo]]="","No definido",TEXT(Cartera1017[[#This Row],[Fecha Fin- Desarrollo]],"yyyy-mm"))</f>
        <v>2025-10</v>
      </c>
      <c r="AZ161" s="44" t="str">
        <f>IF(Cartera1017[[#This Row],[Fecha Fin- Producción]]="","No definido",TEXT(Cartera1017[[#This Row],[Fecha Fin- Producción]],"yyyy-mm"))</f>
        <v>No definido</v>
      </c>
      <c r="BA161" s="44" t="str">
        <f>IF(Cartera1017[[#This Row],[Fecha Fin-Planificada]]="","No definido",TEXT(Cartera1017[[#This Row],[Fecha Fin-Planificada]],"yyyy-mm"))</f>
        <v>2025-09</v>
      </c>
      <c r="BB161" s="33"/>
      <c r="BC161" s="108"/>
      <c r="BD161" s="108"/>
      <c r="BE161" s="108"/>
      <c r="BF161" s="127"/>
      <c r="BG161" s="28" t="s">
        <v>543</v>
      </c>
      <c r="BH16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1" s="90" t="str">
        <f>IF(ISNUMBER(Cartera1017[[#This Row],[Duracion en Dias]]),Cartera1017[[#This Row],[Duracion en Dias]]/30, "No Aplica")</f>
        <v>No Aplica</v>
      </c>
      <c r="BJ161" s="109"/>
      <c r="BK161" s="28" t="s">
        <v>506</v>
      </c>
      <c r="BL161" s="110" t="s">
        <v>562</v>
      </c>
      <c r="BM161" s="342">
        <v>46079.657060185185</v>
      </c>
      <c r="BN161" s="227"/>
      <c r="BO161" s="401"/>
      <c r="BP161" s="401"/>
      <c r="BQ16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1" s="14" t="str">
        <f>IFERROR(VLOOKUP(Cartera1017[[#This Row],[Aplicativo]],Tabla76[],2,FALSE),"Sin Aplicativo")</f>
        <v>Sin Aplicativo</v>
      </c>
      <c r="BS161" s="14" t="str">
        <f>IFERROR(VLOOKUP(Cartera1017[[#This Row],[Aplicativo]],Tabla76[],3,FALSE),"Sin Aplicativo")</f>
        <v>Sin Aplicativo</v>
      </c>
      <c r="BT161" s="400"/>
      <c r="BU161" s="33"/>
      <c r="BV161" s="28"/>
      <c r="BW16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1" s="149" t="str">
        <f ca="1">IF(Cartera1017[[#This Row],[Fecha Fin2]]="","No definido",CONCATENATE(TEXT(Cartera1017[[#This Row],[Fecha Fin2]],"mmm")," ",YEAR(Cartera1017[[#This Row],[Fecha Fin2]])))</f>
        <v>No definido</v>
      </c>
      <c r="BZ161" s="28"/>
      <c r="CA161" s="48" t="str">
        <f>IF(Cartera1017[[#This Row],[Estado TI]] = "08. Producción Finalizada","Culminado",IF(Cartera1017[[#This Row],[Estado TI]]= "09. Descartado","Descartado","Activos"))</f>
        <v>Activos</v>
      </c>
      <c r="CB161" s="28"/>
      <c r="CC16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61" s="54" t="str">
        <f>IF(
AND(
Cartera1017[[#This Row],[DEVOLVER 27]]="NO",
NOT(ISBLANK(Cartera1017[[#This Row],[ESTADO NO DEVUELTOS 27]]))
),
"PRE",
"POST"
)</f>
        <v>POST</v>
      </c>
      <c r="CE161" s="410" t="s">
        <v>509</v>
      </c>
      <c r="CF161" s="28"/>
      <c r="CG16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6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61"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61" s="406">
        <f>Cartera1017[[#This Row],[Porcentaje de Avance]]</f>
        <v>0.12</v>
      </c>
      <c r="CK161" s="388" t="str">
        <f>IF(
   OR(
     Cartera1017[[#This Row],[Estado TI]]="09. Descartado",
     Cartera1017[[#This Row],[Comienzo Desarrollo]]="",
     Cartera1017[[#This Row],[Fin Producción]]=""
   ),
   "",
   Cartera1017[[#This Row],[% PLANIFICADO]]-Cartera1017[[#This Row],[% COMPLETADO]]
)</f>
        <v/>
      </c>
      <c r="CL161" s="388" t="str">
        <f ca="1">IF(
   OR(
     Cartera1017[[#This Row],[Estado TI]]="09. Descartado",
     Cartera1017[[#This Row],[Comienzo Desarrollo]]="",
     Cartera1017[[#This Row],[Fin Producción]]="",
     Cartera1017[[#This Row],[% PLANIFICADO]]=0
   ),
   "",
   MIN(Cartera1017[[#This Row],[% COMPLETADO]]/Cartera1017[[#This Row],[% PLANIFICADO]],1.2)
)</f>
        <v/>
      </c>
      <c r="CM161" s="377"/>
      <c r="CN161" s="377"/>
      <c r="CO161" s="377"/>
      <c r="CP161" s="377"/>
      <c r="CQ161" s="377"/>
      <c r="CR161" s="377"/>
      <c r="CS161" s="377">
        <v>46173</v>
      </c>
      <c r="CT161" s="44">
        <f>IF(Cartera1017[[#This Row],[Fin Desarrollo]]="",25,IFERROR(NETWORKDAYS(Cartera1017[[#This Row],[Comienzo Desarrollo]],Cartera1017[[#This Row],[Fin Desarrollo]],FERIADOS[Fecha]),""))</f>
        <v>25</v>
      </c>
      <c r="CU16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61" s="44">
        <f>IF(OR(Cartera1017[[#This Row],[Comienzo Desarrollo]]="",Cartera1017[[#This Row],[Fin Desarrollo]]=""),200,IFERROR(Cartera1017[[#This Row],[DURACIÓN DESARROLLO DIAS]]*VLOOKUP(Cartera1017[[#This Row],[ID Mantenimiento]],MANT_HORAS[],2,FALSE),200))</f>
        <v>200</v>
      </c>
      <c r="CW161" s="110"/>
      <c r="CX161" s="110" t="str">
        <f>VLOOKUP(Cartera1017[[#This Row],[Estado TI]],Definiciones!$A$549:$B$559,2,FALSE)</f>
        <v>6. PARALIZADO</v>
      </c>
      <c r="CY161" s="28">
        <f ca="1">1-Cartera1017[[#This Row],[Porcentaje avanzado desarrollo]]</f>
        <v>0.9</v>
      </c>
      <c r="CZ16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61" s="28">
        <f ca="1">MAX(0,Cartera1017[[#This Row],[DURACIÓN DESARROLLO DIAS]]-Cartera1017[[#This Row],[Dias avanzados]])</f>
        <v>24</v>
      </c>
      <c r="DB161" s="28">
        <f ca="1">Cartera1017[[#This Row],[Dias avanzados]]*IFERROR(VLOOKUP(Cartera1017[[#This Row],[ID Mantenimiento]],MANT_HORAS[],2,FALSE),8)</f>
        <v>8</v>
      </c>
      <c r="DC161" s="28">
        <f ca="1">Cartera1017[[#This Row],[Dias faltantes]]*IFERROR(VLOOKUP(Cartera1017[[#This Row],[ID Mantenimiento]],MANT_HORAS[],2,FALSE),8)</f>
        <v>192</v>
      </c>
      <c r="DD161" s="28" t="str">
        <f>IF(Cartera1017[[#This Row],[Fin Producción]]=0,"Por definir",CONCATENATE(YEAR(Cartera1017[[#This Row],[Fin Producción]]),"-",ROUNDUP(MONTH(Cartera1017[[#This Row],[Fin Producción]]),0)))</f>
        <v>2026-5</v>
      </c>
      <c r="DE161" s="18" t="s">
        <v>510</v>
      </c>
      <c r="DF161" s="28"/>
      <c r="DG161" s="28"/>
      <c r="DH161" s="565"/>
    </row>
    <row r="162" spans="1:112" ht="44.25" hidden="1" customHeight="1">
      <c r="A162" s="229" t="s">
        <v>1604</v>
      </c>
      <c r="B162" s="18">
        <v>3082</v>
      </c>
      <c r="C162" s="18" t="s">
        <v>485</v>
      </c>
      <c r="D162" s="18" t="s">
        <v>1605</v>
      </c>
      <c r="E162" s="18" t="s">
        <v>331</v>
      </c>
      <c r="F162" s="19" t="s">
        <v>332</v>
      </c>
      <c r="G162" s="19"/>
      <c r="H162" s="18" t="s">
        <v>33</v>
      </c>
      <c r="I162" s="18" t="s">
        <v>1606</v>
      </c>
      <c r="J162" s="18" t="s">
        <v>1607</v>
      </c>
      <c r="K162" s="20">
        <v>45943</v>
      </c>
      <c r="L162" s="18" t="s">
        <v>1608</v>
      </c>
      <c r="M162" s="50" t="s">
        <v>905</v>
      </c>
      <c r="N162" s="50"/>
      <c r="O162" s="18" t="s">
        <v>530</v>
      </c>
      <c r="P162" s="18" t="s">
        <v>1193</v>
      </c>
      <c r="Q162" s="18" t="s">
        <v>495</v>
      </c>
      <c r="R162" s="18" t="s">
        <v>497</v>
      </c>
      <c r="S162" s="18"/>
      <c r="T162" s="18"/>
      <c r="U162" s="18"/>
      <c r="V162" s="18"/>
      <c r="W162" s="18"/>
      <c r="X162" s="18"/>
      <c r="Y162" s="80"/>
      <c r="Z162" s="18" t="s">
        <v>499</v>
      </c>
      <c r="AA162" s="20">
        <v>45972</v>
      </c>
      <c r="AB162" s="18" t="s">
        <v>500</v>
      </c>
      <c r="AC162" s="18"/>
      <c r="AD162" s="18" t="s">
        <v>150</v>
      </c>
      <c r="AE162" s="18" t="s">
        <v>34</v>
      </c>
      <c r="AF162" s="18" t="s">
        <v>53</v>
      </c>
      <c r="AG162" s="14" t="str">
        <f>VLOOKUP(AF162,Tabla3[[Estado Requerimiento]:[Macro estado]],2,FALSE)</f>
        <v>03. Culminado</v>
      </c>
      <c r="AH162" s="18"/>
      <c r="AI162" s="80"/>
      <c r="AJ162" s="80"/>
      <c r="AK162" s="80">
        <v>45947</v>
      </c>
      <c r="AL162" s="80">
        <v>45951</v>
      </c>
      <c r="AM162" s="80"/>
      <c r="AN162" s="80">
        <v>45952</v>
      </c>
      <c r="AO162" s="80">
        <v>45957</v>
      </c>
      <c r="AP162" s="81">
        <f t="shared" si="4"/>
        <v>45952.6</v>
      </c>
      <c r="AQ162" s="80">
        <v>45959</v>
      </c>
      <c r="AR162" s="80">
        <v>46076</v>
      </c>
      <c r="AS162" s="81">
        <f t="shared" si="5"/>
        <v>45959.6</v>
      </c>
      <c r="AT162" s="19" t="s">
        <v>1609</v>
      </c>
      <c r="AU162" s="44" t="str">
        <f>VLOOKUP(Cartera1017[[#This Row],[Gerencia]],tbGerencia[#All],3,FALSE)</f>
        <v>Productos</v>
      </c>
      <c r="AV162" s="44" t="str">
        <f>IFERROR(VLOOKUP(Cartera1017[[#This Row],[Subgerencia]],Definiciones!$A$90:$B$144,2,FALSE),"")</f>
        <v>BancaInstitucional</v>
      </c>
      <c r="AW162" s="44" t="str">
        <f>IF(OR(LEN(Cartera1017[[#This Row],[Fecha de Solicitud]])=0,(Cartera1017[[#This Row],[Fecha de Solicitud]])="No definido"),"No definido",IF(YEAR(Cartera1017[[#This Row],[Fecha de Solicitud]])&lt;2023," &lt;  2023",TEXT(Cartera1017[[#This Row],[Fecha de Solicitud]],"yyyy-mm")))</f>
        <v>2025-10</v>
      </c>
      <c r="AX162" s="44" t="str">
        <f>IF(Cartera1017[[#This Row],[Fecha de Priorización Comité]]="","No definido",TEXT(Cartera1017[[#This Row],[Fecha de Priorización Comité]],"yyyy-mm"))</f>
        <v>2025-11</v>
      </c>
      <c r="AY162" s="44" t="str">
        <f>IF(Cartera1017[[#This Row],[Fecha Fin- Desarrollo]]="","No definido",TEXT(Cartera1017[[#This Row],[Fecha Fin- Desarrollo]],"yyyy-mm"))</f>
        <v>2025-10</v>
      </c>
      <c r="AZ162" s="44" t="str">
        <f>IF(Cartera1017[[#This Row],[Fecha Fin- Producción]]="","No definido",TEXT(Cartera1017[[#This Row],[Fecha Fin- Producción]],"yyyy-mm"))</f>
        <v>2026-02</v>
      </c>
      <c r="BA162" s="44" t="str">
        <f>IF(Cartera1017[[#This Row],[Fecha Fin-Planificada]]="","No definido",TEXT(Cartera1017[[#This Row],[Fecha Fin-Planificada]],"yyyy-mm"))</f>
        <v>2025-10</v>
      </c>
      <c r="BB162" s="33"/>
      <c r="BC162" s="108"/>
      <c r="BD162" s="108"/>
      <c r="BE162" s="108"/>
      <c r="BF162" s="127"/>
      <c r="BG162" s="28" t="s">
        <v>543</v>
      </c>
      <c r="BH16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129</v>
      </c>
      <c r="BI162" s="90">
        <f>IF(ISNUMBER(Cartera1017[[#This Row],[Duracion en Dias]]),Cartera1017[[#This Row],[Duracion en Dias]]/30, "No Aplica")</f>
        <v>4.3</v>
      </c>
      <c r="BJ162" s="109"/>
      <c r="BK162" s="28" t="s">
        <v>506</v>
      </c>
      <c r="BL162" s="110" t="s">
        <v>636</v>
      </c>
      <c r="BM162" s="342">
        <v>46076.674166666664</v>
      </c>
      <c r="BN162" s="227"/>
      <c r="BO162" s="401"/>
      <c r="BP162" s="401"/>
      <c r="BQ16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62" s="14" t="str">
        <f>IFERROR(VLOOKUP(Cartera1017[[#This Row],[Aplicativo]],Tabla76[],2,FALSE),"Sin Aplicativo")</f>
        <v>BackOffice</v>
      </c>
      <c r="BS162" s="14" t="str">
        <f>IFERROR(VLOOKUP(Cartera1017[[#This Row],[Aplicativo]],Tabla76[],3,FALSE),"Sin Aplicativo")</f>
        <v>Otros Requerimientos</v>
      </c>
      <c r="BT162" s="400"/>
      <c r="BU162" s="33"/>
      <c r="BV162" s="28"/>
      <c r="BW16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46076</v>
      </c>
      <c r="BX16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62" s="149" t="str">
        <f ca="1">IF(Cartera1017[[#This Row],[Fecha Fin2]]="","No definido",CONCATENATE(TEXT(Cartera1017[[#This Row],[Fecha Fin2]],"mmm")," ",YEAR(Cartera1017[[#This Row],[Fecha Fin2]])))</f>
        <v>Feb 2026</v>
      </c>
      <c r="BZ162" s="28"/>
      <c r="CA162" s="48" t="str">
        <f>IF(Cartera1017[[#This Row],[Estado TI]] = "08. Producción Finalizada","Culminado",IF(Cartera1017[[#This Row],[Estado TI]]= "09. Descartado","Descartado","Activos"))</f>
        <v>Culminado</v>
      </c>
      <c r="CB162" s="28"/>
      <c r="CC16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62" s="54" t="str">
        <f>IF(
AND(
Cartera1017[[#This Row],[DEVOLVER 27]]="NO",
NOT(ISBLANK(Cartera1017[[#This Row],[ESTADO NO DEVUELTOS 27]]))
),
"PRE",
"POST"
)</f>
        <v>POST</v>
      </c>
      <c r="CE162" s="410" t="s">
        <v>509</v>
      </c>
      <c r="CF162" s="28"/>
      <c r="CG16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6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6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2" s="406">
        <f>Cartera1017[[#This Row],[Porcentaje de Avance]]</f>
        <v>1</v>
      </c>
      <c r="CK162" s="388">
        <f ca="1">IF(
   OR(
     Cartera1017[[#This Row],[Estado TI]]="09. Descartado",
     Cartera1017[[#This Row],[Comienzo Desarrollo]]="",
     Cartera1017[[#This Row],[Fin Producción]]=""
   ),
   "",
   Cartera1017[[#This Row],[% PLANIFICADO]]-Cartera1017[[#This Row],[% COMPLETADO]]
)</f>
        <v>0</v>
      </c>
      <c r="CL162" s="388">
        <f ca="1">IF(
   OR(
     Cartera1017[[#This Row],[Estado TI]]="09. Descartado",
     Cartera1017[[#This Row],[Comienzo Desarrollo]]="",
     Cartera1017[[#This Row],[Fin Producción]]="",
     Cartera1017[[#This Row],[% PLANIFICADO]]=0
   ),
   "",
   MIN(Cartera1017[[#This Row],[% COMPLETADO]]/Cartera1017[[#This Row],[% PLANIFICADO]],1.2)
)</f>
        <v>1</v>
      </c>
      <c r="CM162" s="377">
        <v>45947</v>
      </c>
      <c r="CN162" s="377">
        <v>45947</v>
      </c>
      <c r="CO162" s="377">
        <v>45951</v>
      </c>
      <c r="CP162" s="377">
        <v>45952</v>
      </c>
      <c r="CQ162" s="377">
        <v>45957</v>
      </c>
      <c r="CR162" s="377">
        <v>45959</v>
      </c>
      <c r="CS162" s="377">
        <v>46076</v>
      </c>
      <c r="CT162" s="44">
        <f>IF(Cartera1017[[#This Row],[Fin Desarrollo]]="",25,IFERROR(NETWORKDAYS(Cartera1017[[#This Row],[Comienzo Desarrollo]],Cartera1017[[#This Row],[Fin Desarrollo]],FERIADOS[Fecha]),""))</f>
        <v>3</v>
      </c>
      <c r="CU16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62" s="44">
        <f>IF(OR(Cartera1017[[#This Row],[Comienzo Desarrollo]]="",Cartera1017[[#This Row],[Fin Desarrollo]]=""),200,IFERROR(Cartera1017[[#This Row],[DURACIÓN DESARROLLO DIAS]]*VLOOKUP(Cartera1017[[#This Row],[ID Mantenimiento]],MANT_HORAS[],2,FALSE),200))</f>
        <v>200</v>
      </c>
      <c r="CW162" s="110"/>
      <c r="CX162" s="110" t="str">
        <f>VLOOKUP(Cartera1017[[#This Row],[Estado TI]],Definiciones!$A$549:$B$559,2,FALSE)</f>
        <v>4. PRODUCCIÓN</v>
      </c>
      <c r="CY162" s="28">
        <f ca="1">1-Cartera1017[[#This Row],[Porcentaje avanzado desarrollo]]</f>
        <v>0</v>
      </c>
      <c r="CZ16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v>
      </c>
      <c r="DA162" s="28">
        <f ca="1">MAX(0,Cartera1017[[#This Row],[DURACIÓN DESARROLLO DIAS]]-Cartera1017[[#This Row],[Dias avanzados]])</f>
        <v>0</v>
      </c>
      <c r="DB162" s="28">
        <f ca="1">Cartera1017[[#This Row],[Dias avanzados]]*IFERROR(VLOOKUP(Cartera1017[[#This Row],[ID Mantenimiento]],MANT_HORAS[],2,FALSE),8)</f>
        <v>24</v>
      </c>
      <c r="DC162" s="28">
        <f ca="1">Cartera1017[[#This Row],[Dias faltantes]]*IFERROR(VLOOKUP(Cartera1017[[#This Row],[ID Mantenimiento]],MANT_HORAS[],2,FALSE),8)</f>
        <v>0</v>
      </c>
      <c r="DD162" s="28" t="str">
        <f>IF(Cartera1017[[#This Row],[Fin Producción]]=0,"Por definir",CONCATENATE(YEAR(Cartera1017[[#This Row],[Fin Producción]]),"-",ROUNDUP(MONTH(Cartera1017[[#This Row],[Fin Producción]]),0)))</f>
        <v>2026-2</v>
      </c>
      <c r="DE162" s="18" t="s">
        <v>510</v>
      </c>
      <c r="DF162" s="28"/>
      <c r="DG162" s="28"/>
      <c r="DH162" s="565"/>
    </row>
    <row r="163" spans="1:112" ht="44.25" hidden="1" customHeight="1">
      <c r="A163" s="229" t="s">
        <v>1610</v>
      </c>
      <c r="B163" s="18">
        <v>3092</v>
      </c>
      <c r="C163" s="18" t="s">
        <v>485</v>
      </c>
      <c r="D163" s="18" t="s">
        <v>1611</v>
      </c>
      <c r="E163" s="18" t="s">
        <v>333</v>
      </c>
      <c r="F163" s="33" t="s">
        <v>334</v>
      </c>
      <c r="G163" s="19"/>
      <c r="H163" s="18" t="s">
        <v>26</v>
      </c>
      <c r="I163" s="18" t="s">
        <v>539</v>
      </c>
      <c r="J163" s="18" t="s">
        <v>554</v>
      </c>
      <c r="K163" s="66">
        <v>45960</v>
      </c>
      <c r="L163" s="33" t="s">
        <v>1612</v>
      </c>
      <c r="M163" s="50" t="s">
        <v>770</v>
      </c>
      <c r="N163" s="50"/>
      <c r="O163" s="18" t="s">
        <v>642</v>
      </c>
      <c r="P163" s="18" t="s">
        <v>495</v>
      </c>
      <c r="Q163" s="18"/>
      <c r="R163" s="18" t="s">
        <v>531</v>
      </c>
      <c r="S163" s="18"/>
      <c r="T163" s="18"/>
      <c r="U163" s="18"/>
      <c r="V163" s="18"/>
      <c r="W163" s="18"/>
      <c r="X163" s="18"/>
      <c r="Y163" s="80"/>
      <c r="Z163" s="18" t="s">
        <v>499</v>
      </c>
      <c r="AA163" s="20">
        <v>45972</v>
      </c>
      <c r="AB163" s="18" t="s">
        <v>500</v>
      </c>
      <c r="AC163" s="18"/>
      <c r="AD163" s="18" t="s">
        <v>30</v>
      </c>
      <c r="AE163" s="18" t="s">
        <v>27</v>
      </c>
      <c r="AF163" s="18" t="s">
        <v>48</v>
      </c>
      <c r="AG163" s="14" t="str">
        <f>VLOOKUP(AF163,Tabla3[[Estado Requerimiento]:[Macro estado]],2,FALSE)</f>
        <v>02. En Proceso</v>
      </c>
      <c r="AH163" s="18"/>
      <c r="AI163" s="80"/>
      <c r="AJ163" s="80"/>
      <c r="AK163" s="80">
        <v>45961</v>
      </c>
      <c r="AL163" s="80"/>
      <c r="AM163" s="80"/>
      <c r="AN163" s="80"/>
      <c r="AO163" s="80"/>
      <c r="AP163" s="81" t="str">
        <f t="shared" si="4"/>
        <v/>
      </c>
      <c r="AQ163" s="80"/>
      <c r="AR163" s="80"/>
      <c r="AS163" s="81" t="str">
        <f t="shared" si="5"/>
        <v/>
      </c>
      <c r="AT163" s="19" t="s">
        <v>1613</v>
      </c>
      <c r="AU163" s="44" t="str">
        <f>VLOOKUP(Cartera1017[[#This Row],[Gerencia]],tbGerencia[#All],3,FALSE)</f>
        <v>B.Digital</v>
      </c>
      <c r="AV163" s="44" t="str">
        <f>IFERROR(VLOOKUP(Cartera1017[[#This Row],[Subgerencia]],Definiciones!$A$90:$B$144,2,FALSE),"")</f>
        <v>CanalesAlternos</v>
      </c>
      <c r="AW163" s="44" t="str">
        <f>IF(OR(LEN(Cartera1017[[#This Row],[Fecha de Solicitud]])=0,(Cartera1017[[#This Row],[Fecha de Solicitud]])="No definido"),"No definido",IF(YEAR(Cartera1017[[#This Row],[Fecha de Solicitud]])&lt;2023," &lt;  2023",TEXT(Cartera1017[[#This Row],[Fecha de Solicitud]],"yyyy-mm")))</f>
        <v>2025-10</v>
      </c>
      <c r="AX163" s="44" t="str">
        <f>IF(Cartera1017[[#This Row],[Fecha de Priorización Comité]]="","No definido",TEXT(Cartera1017[[#This Row],[Fecha de Priorización Comité]],"yyyy-mm"))</f>
        <v>2025-11</v>
      </c>
      <c r="AY163" s="44" t="str">
        <f>IF(Cartera1017[[#This Row],[Fecha Fin- Desarrollo]]="","No definido",TEXT(Cartera1017[[#This Row],[Fecha Fin- Desarrollo]],"yyyy-mm"))</f>
        <v>No definido</v>
      </c>
      <c r="AZ163" s="44" t="str">
        <f>IF(Cartera1017[[#This Row],[Fecha Fin- Producción]]="","No definido",TEXT(Cartera1017[[#This Row],[Fecha Fin- Producción]],"yyyy-mm"))</f>
        <v>No definido</v>
      </c>
      <c r="BA163" s="44" t="str">
        <f>IF(Cartera1017[[#This Row],[Fecha Fin-Planificada]]="","No definido",TEXT(Cartera1017[[#This Row],[Fecha Fin-Planificada]],"yyyy-mm"))</f>
        <v>No definido</v>
      </c>
      <c r="BB163" s="33"/>
      <c r="BC163" s="108"/>
      <c r="BD163" s="108"/>
      <c r="BE163" s="108"/>
      <c r="BF163" s="127"/>
      <c r="BG163" s="28" t="s">
        <v>543</v>
      </c>
      <c r="BH16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3" s="90" t="str">
        <f>IF(ISNUMBER(Cartera1017[[#This Row],[Duracion en Dias]]),Cartera1017[[#This Row],[Duracion en Dias]]/30, "No Aplica")</f>
        <v>No Aplica</v>
      </c>
      <c r="BJ163" s="109"/>
      <c r="BK163" s="28" t="s">
        <v>613</v>
      </c>
      <c r="BL163" s="110" t="s">
        <v>592</v>
      </c>
      <c r="BM163" s="342">
        <v>45972.660532407404</v>
      </c>
      <c r="BN163" s="227"/>
      <c r="BO163" s="401"/>
      <c r="BP163" s="401"/>
      <c r="BQ16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63" s="14" t="str">
        <f>IFERROR(VLOOKUP(Cartera1017[[#This Row],[Aplicativo]],Tabla76[],2,FALSE),"Sin Aplicativo")</f>
        <v>ATM-Agentes-VISA</v>
      </c>
      <c r="BS163" s="14" t="str">
        <f>IFERROR(VLOOKUP(Cartera1017[[#This Row],[Aplicativo]],Tabla76[],3,FALSE),"Sin Aplicativo")</f>
        <v>Canales Presenciales</v>
      </c>
      <c r="BT163" s="400"/>
      <c r="BU163" s="33"/>
      <c r="BV163" s="28"/>
      <c r="BW16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3" s="149" t="str">
        <f ca="1">IF(Cartera1017[[#This Row],[Fecha Fin2]]="","No definido",CONCATENATE(TEXT(Cartera1017[[#This Row],[Fecha Fin2]],"mmm")," ",YEAR(Cartera1017[[#This Row],[Fecha Fin2]])))</f>
        <v>No definido</v>
      </c>
      <c r="BZ163" s="28"/>
      <c r="CA163" s="48" t="str">
        <f>IF(Cartera1017[[#This Row],[Estado TI]] = "08. Producción Finalizada","Culminado",IF(Cartera1017[[#This Row],[Estado TI]]= "09. Descartado","Descartado","Activos"))</f>
        <v>Activos</v>
      </c>
      <c r="CB163" s="28"/>
      <c r="CC16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63" s="54" t="str">
        <f>IF(
AND(
Cartera1017[[#This Row],[DEVOLVER 27]]="NO",
NOT(ISBLANK(Cartera1017[[#This Row],[ESTADO NO DEVUELTOS 27]]))
),
"PRE",
"POST"
)</f>
        <v>POST</v>
      </c>
      <c r="CE163" s="415" t="s">
        <v>509</v>
      </c>
      <c r="CF163" s="28"/>
      <c r="CG16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6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3" s="406">
        <f>Cartera1017[[#This Row],[Porcentaje de Avance]]</f>
        <v>0.25</v>
      </c>
      <c r="CK163" s="388">
        <f ca="1">IF(
   OR(
     Cartera1017[[#This Row],[Estado TI]]="09. Descartado",
     Cartera1017[[#This Row],[Comienzo Desarrollo]]="",
     Cartera1017[[#This Row],[Fin Producción]]=""
   ),
   "",
   Cartera1017[[#This Row],[% PLANIFICADO]]-Cartera1017[[#This Row],[% COMPLETADO]]
)</f>
        <v>0.75</v>
      </c>
      <c r="CL163" s="388">
        <f ca="1">IF(
   OR(
     Cartera1017[[#This Row],[Estado TI]]="09. Descartado",
     Cartera1017[[#This Row],[Comienzo Desarrollo]]="",
     Cartera1017[[#This Row],[Fin Producción]]="",
     Cartera1017[[#This Row],[% PLANIFICADO]]=0
   ),
   "",
   MIN(Cartera1017[[#This Row],[% COMPLETADO]]/Cartera1017[[#This Row],[% PLANIFICADO]],1.2)
)</f>
        <v>0.25</v>
      </c>
      <c r="CM163" s="377">
        <v>45964</v>
      </c>
      <c r="CN163" s="377">
        <v>46083</v>
      </c>
      <c r="CO163" s="377">
        <v>46109</v>
      </c>
      <c r="CP163" s="377">
        <v>46108</v>
      </c>
      <c r="CQ163" s="377">
        <v>46114</v>
      </c>
      <c r="CR163" s="377">
        <v>46118</v>
      </c>
      <c r="CS163" s="377">
        <v>46122</v>
      </c>
      <c r="CT163" s="44">
        <f>IF(Cartera1017[[#This Row],[Fin Desarrollo]]="",25,IFERROR(NETWORKDAYS(Cartera1017[[#This Row],[Comienzo Desarrollo]],Cartera1017[[#This Row],[Fin Desarrollo]],FERIADOS[Fecha]),""))</f>
        <v>20</v>
      </c>
      <c r="CU16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63" s="44">
        <f>IF(OR(Cartera1017[[#This Row],[Comienzo Desarrollo]]="",Cartera1017[[#This Row],[Fin Desarrollo]]=""),200,IFERROR(Cartera1017[[#This Row],[DURACIÓN DESARROLLO DIAS]]*VLOOKUP(Cartera1017[[#This Row],[ID Mantenimiento]],MANT_HORAS[],2,FALSE),200))</f>
        <v>14.545454545454547</v>
      </c>
      <c r="CW163" s="110"/>
      <c r="CX163" s="110" t="str">
        <f>VLOOKUP(Cartera1017[[#This Row],[Estado TI]],Definiciones!$A$549:$B$559,2,FALSE)</f>
        <v>1. DESARROLLO</v>
      </c>
      <c r="CY163" s="28">
        <f ca="1">1-Cartera1017[[#This Row],[Porcentaje avanzado desarrollo]]</f>
        <v>0</v>
      </c>
      <c r="CZ16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63" s="28">
        <f ca="1">MAX(0,Cartera1017[[#This Row],[DURACIÓN DESARROLLO DIAS]]-Cartera1017[[#This Row],[Dias avanzados]])</f>
        <v>0</v>
      </c>
      <c r="DB163" s="28">
        <f ca="1">Cartera1017[[#This Row],[Dias avanzados]]*IFERROR(VLOOKUP(Cartera1017[[#This Row],[ID Mantenimiento]],MANT_HORAS[],2,FALSE),8)</f>
        <v>14.545454545454547</v>
      </c>
      <c r="DC163" s="28">
        <f ca="1">Cartera1017[[#This Row],[Dias faltantes]]*IFERROR(VLOOKUP(Cartera1017[[#This Row],[ID Mantenimiento]],MANT_HORAS[],2,FALSE),8)</f>
        <v>0</v>
      </c>
      <c r="DD163" s="28" t="str">
        <f>IF(Cartera1017[[#This Row],[Fin Producción]]=0,"Por definir",CONCATENATE(YEAR(Cartera1017[[#This Row],[Fin Producción]]),"-",ROUNDUP(MONTH(Cartera1017[[#This Row],[Fin Producción]]),0)))</f>
        <v>2026-4</v>
      </c>
      <c r="DE163" s="18" t="s">
        <v>510</v>
      </c>
      <c r="DF163" s="28"/>
      <c r="DG163" s="28"/>
      <c r="DH163" s="565"/>
    </row>
    <row r="164" spans="1:112" ht="44.25" hidden="1" customHeight="1">
      <c r="A164" s="229" t="s">
        <v>1614</v>
      </c>
      <c r="B164" s="18">
        <v>3096</v>
      </c>
      <c r="C164" s="18" t="s">
        <v>485</v>
      </c>
      <c r="D164" s="18" t="s">
        <v>1615</v>
      </c>
      <c r="E164" s="18" t="s">
        <v>335</v>
      </c>
      <c r="F164" s="33" t="s">
        <v>336</v>
      </c>
      <c r="G164" s="19"/>
      <c r="H164" s="18" t="s">
        <v>33</v>
      </c>
      <c r="I164" s="18" t="s">
        <v>727</v>
      </c>
      <c r="J164" s="18" t="s">
        <v>1616</v>
      </c>
      <c r="K164" s="20">
        <v>45964</v>
      </c>
      <c r="L164" s="50" t="s">
        <v>1617</v>
      </c>
      <c r="M164" s="50" t="s">
        <v>1618</v>
      </c>
      <c r="N164" s="50"/>
      <c r="O164" s="18" t="s">
        <v>548</v>
      </c>
      <c r="P164" s="18" t="s">
        <v>495</v>
      </c>
      <c r="Q164" s="18" t="s">
        <v>495</v>
      </c>
      <c r="R164" s="18" t="s">
        <v>531</v>
      </c>
      <c r="S164" s="18"/>
      <c r="T164" s="18"/>
      <c r="U164" s="18"/>
      <c r="V164" s="18"/>
      <c r="W164" s="18"/>
      <c r="X164" s="18"/>
      <c r="Y164" s="80"/>
      <c r="Z164" s="18" t="s">
        <v>499</v>
      </c>
      <c r="AA164" s="20">
        <v>45972</v>
      </c>
      <c r="AB164" s="18" t="s">
        <v>500</v>
      </c>
      <c r="AC164" s="18"/>
      <c r="AD164" s="18" t="s">
        <v>150</v>
      </c>
      <c r="AE164" s="18" t="s">
        <v>34</v>
      </c>
      <c r="AF164" s="18" t="s">
        <v>42</v>
      </c>
      <c r="AG164" s="14" t="str">
        <f>VLOOKUP(AF164,Tabla3[[Estado Requerimiento]:[Macro estado]],2,FALSE)</f>
        <v>02. En Proceso</v>
      </c>
      <c r="AH164" s="18"/>
      <c r="AI164" s="80"/>
      <c r="AJ164" s="80"/>
      <c r="AK164" s="80">
        <v>45967</v>
      </c>
      <c r="AL164" s="80">
        <v>46017</v>
      </c>
      <c r="AM164" s="80"/>
      <c r="AN164" s="80">
        <v>46030</v>
      </c>
      <c r="AO164" s="80">
        <v>46045</v>
      </c>
      <c r="AP164" s="81">
        <f t="shared" si="4"/>
        <v>46037</v>
      </c>
      <c r="AQ164" s="80"/>
      <c r="AR164" s="80"/>
      <c r="AS164" s="81">
        <f t="shared" si="5"/>
        <v>46044</v>
      </c>
      <c r="AT164" s="19" t="s">
        <v>1619</v>
      </c>
      <c r="AU164" s="44" t="str">
        <f>VLOOKUP(Cartera1017[[#This Row],[Gerencia]],tbGerencia[#All],3,FALSE)</f>
        <v>Productos</v>
      </c>
      <c r="AV164" s="44" t="str">
        <f>IFERROR(VLOOKUP(Cartera1017[[#This Row],[Subgerencia]],Definiciones!$A$90:$B$144,2,FALSE),"")</f>
        <v>BancaPersonal</v>
      </c>
      <c r="AW164" s="44" t="str">
        <f>IF(OR(LEN(Cartera1017[[#This Row],[Fecha de Solicitud]])=0,(Cartera1017[[#This Row],[Fecha de Solicitud]])="No definido"),"No definido",IF(YEAR(Cartera1017[[#This Row],[Fecha de Solicitud]])&lt;2023," &lt;  2023",TEXT(Cartera1017[[#This Row],[Fecha de Solicitud]],"yyyy-mm")))</f>
        <v>2025-11</v>
      </c>
      <c r="AX164" s="44" t="str">
        <f>IF(Cartera1017[[#This Row],[Fecha de Priorización Comité]]="","No definido",TEXT(Cartera1017[[#This Row],[Fecha de Priorización Comité]],"yyyy-mm"))</f>
        <v>2025-11</v>
      </c>
      <c r="AY164" s="44" t="str">
        <f>IF(Cartera1017[[#This Row],[Fecha Fin- Desarrollo]]="","No definido",TEXT(Cartera1017[[#This Row],[Fecha Fin- Desarrollo]],"yyyy-mm"))</f>
        <v>2025-12</v>
      </c>
      <c r="AZ164" s="44" t="str">
        <f>IF(Cartera1017[[#This Row],[Fecha Fin- Producción]]="","No definido",TEXT(Cartera1017[[#This Row],[Fecha Fin- Producción]],"yyyy-mm"))</f>
        <v>No definido</v>
      </c>
      <c r="BA164" s="44" t="str">
        <f>IF(Cartera1017[[#This Row],[Fecha Fin-Planificada]]="","No definido",TEXT(Cartera1017[[#This Row],[Fecha Fin-Planificada]],"yyyy-mm"))</f>
        <v>2026-01</v>
      </c>
      <c r="BB164" s="33"/>
      <c r="BC164" s="108"/>
      <c r="BD164" s="108"/>
      <c r="BE164" s="108"/>
      <c r="BF164" s="127"/>
      <c r="BG164" s="28" t="s">
        <v>543</v>
      </c>
      <c r="BH16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4" s="90" t="str">
        <f>IF(ISNUMBER(Cartera1017[[#This Row],[Duracion en Dias]]),Cartera1017[[#This Row],[Duracion en Dias]]/30, "No Aplica")</f>
        <v>No Aplica</v>
      </c>
      <c r="BJ164" s="109"/>
      <c r="BK164" s="28" t="s">
        <v>506</v>
      </c>
      <c r="BL164" s="110" t="s">
        <v>655</v>
      </c>
      <c r="BM164" s="342">
        <v>46045.662361111114</v>
      </c>
      <c r="BN164" s="227"/>
      <c r="BO164" s="401"/>
      <c r="BP164" s="401"/>
      <c r="BQ16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4" s="14" t="str">
        <f>IFERROR(VLOOKUP(Cartera1017[[#This Row],[Aplicativo]],Tabla76[],2,FALSE),"Sin Aplicativo")</f>
        <v>BackOffice</v>
      </c>
      <c r="BS164" s="14" t="str">
        <f>IFERROR(VLOOKUP(Cartera1017[[#This Row],[Aplicativo]],Tabla76[],3,FALSE),"Sin Aplicativo")</f>
        <v>Otros Requerimientos</v>
      </c>
      <c r="BT164" s="400"/>
      <c r="BU164" s="33"/>
      <c r="BV164" s="28"/>
      <c r="BW16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4" s="149" t="str">
        <f ca="1">IF(Cartera1017[[#This Row],[Fecha Fin2]]="","No definido",CONCATENATE(TEXT(Cartera1017[[#This Row],[Fecha Fin2]],"mmm")," ",YEAR(Cartera1017[[#This Row],[Fecha Fin2]])))</f>
        <v>No definido</v>
      </c>
      <c r="BZ164" s="28"/>
      <c r="CA164" s="48" t="str">
        <f>IF(Cartera1017[[#This Row],[Estado TI]] = "08. Producción Finalizada","Culminado",IF(Cartera1017[[#This Row],[Estado TI]]= "09. Descartado","Descartado","Activos"))</f>
        <v>Activos</v>
      </c>
      <c r="CB164" s="28"/>
      <c r="CC16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164" s="54" t="str">
        <f>IF(
AND(
Cartera1017[[#This Row],[DEVOLVER 27]]="NO",
NOT(ISBLANK(Cartera1017[[#This Row],[ESTADO NO DEVUELTOS 27]]))
),
"PRE",
"POST"
)</f>
        <v>POST</v>
      </c>
      <c r="CE164" s="415" t="s">
        <v>509</v>
      </c>
      <c r="CF164" s="28"/>
      <c r="CG16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6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4" s="406">
        <f>Cartera1017[[#This Row],[Porcentaje de Avance]]</f>
        <v>0.85</v>
      </c>
      <c r="CK164" s="388">
        <f ca="1">IF(
   OR(
     Cartera1017[[#This Row],[Estado TI]]="09. Descartado",
     Cartera1017[[#This Row],[Comienzo Desarrollo]]="",
     Cartera1017[[#This Row],[Fin Producción]]=""
   ),
   "",
   Cartera1017[[#This Row],[% PLANIFICADO]]-Cartera1017[[#This Row],[% COMPLETADO]]
)</f>
        <v>0.15000000000000002</v>
      </c>
      <c r="CL164" s="388">
        <f ca="1">IF(
   OR(
     Cartera1017[[#This Row],[Estado TI]]="09. Descartado",
     Cartera1017[[#This Row],[Comienzo Desarrollo]]="",
     Cartera1017[[#This Row],[Fin Producción]]="",
     Cartera1017[[#This Row],[% PLANIFICADO]]=0
   ),
   "",
   MIN(Cartera1017[[#This Row],[% COMPLETADO]]/Cartera1017[[#This Row],[% PLANIFICADO]],1.2)
)</f>
        <v>0.85</v>
      </c>
      <c r="CM164" s="377">
        <v>45967</v>
      </c>
      <c r="CN164" s="377">
        <v>45967</v>
      </c>
      <c r="CO164" s="377">
        <v>46017</v>
      </c>
      <c r="CP164" s="377">
        <v>46030</v>
      </c>
      <c r="CQ164" s="377">
        <v>46045</v>
      </c>
      <c r="CR164" s="377">
        <v>46072</v>
      </c>
      <c r="CS164" s="377">
        <v>46108</v>
      </c>
      <c r="CT164" s="44">
        <f>IF(Cartera1017[[#This Row],[Fin Desarrollo]]="",25,IFERROR(NETWORKDAYS(Cartera1017[[#This Row],[Comienzo Desarrollo]],Cartera1017[[#This Row],[Fin Desarrollo]],FERIADOS[Fecha]),""))</f>
        <v>34</v>
      </c>
      <c r="CU16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64" s="44">
        <f>IF(OR(Cartera1017[[#This Row],[Comienzo Desarrollo]]="",Cartera1017[[#This Row],[Fin Desarrollo]]=""),200,IFERROR(Cartera1017[[#This Row],[DURACIÓN DESARROLLO DIAS]]*VLOOKUP(Cartera1017[[#This Row],[ID Mantenimiento]],MANT_HORAS[],2,FALSE),200))</f>
        <v>200</v>
      </c>
      <c r="CW164" s="110"/>
      <c r="CX164" s="110" t="str">
        <f>VLOOKUP(Cartera1017[[#This Row],[Estado TI]],Definiciones!$A$549:$B$559,2,FALSE)</f>
        <v>2. CALIDAD</v>
      </c>
      <c r="CY164" s="28">
        <f ca="1">1-Cartera1017[[#This Row],[Porcentaje avanzado desarrollo]]</f>
        <v>0</v>
      </c>
      <c r="CZ16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34</v>
      </c>
      <c r="DA164" s="28">
        <f ca="1">MAX(0,Cartera1017[[#This Row],[DURACIÓN DESARROLLO DIAS]]-Cartera1017[[#This Row],[Dias avanzados]])</f>
        <v>0</v>
      </c>
      <c r="DB164" s="28">
        <f ca="1">Cartera1017[[#This Row],[Dias avanzados]]*IFERROR(VLOOKUP(Cartera1017[[#This Row],[ID Mantenimiento]],MANT_HORAS[],2,FALSE),8)</f>
        <v>272</v>
      </c>
      <c r="DC164" s="28">
        <f ca="1">Cartera1017[[#This Row],[Dias faltantes]]*IFERROR(VLOOKUP(Cartera1017[[#This Row],[ID Mantenimiento]],MANT_HORAS[],2,FALSE),8)</f>
        <v>0</v>
      </c>
      <c r="DD164" s="28" t="str">
        <f>IF(Cartera1017[[#This Row],[Fin Producción]]=0,"Por definir",CONCATENATE(YEAR(Cartera1017[[#This Row],[Fin Producción]]),"-",ROUNDUP(MONTH(Cartera1017[[#This Row],[Fin Producción]]),0)))</f>
        <v>2026-3</v>
      </c>
      <c r="DE164" s="18" t="s">
        <v>510</v>
      </c>
      <c r="DF164" s="28" t="s">
        <v>1620</v>
      </c>
      <c r="DG164" s="28" t="s">
        <v>956</v>
      </c>
      <c r="DH164" s="565"/>
    </row>
    <row r="165" spans="1:112" ht="44.25" hidden="1" customHeight="1">
      <c r="A165" s="229" t="s">
        <v>1621</v>
      </c>
      <c r="B165" s="18">
        <v>3066</v>
      </c>
      <c r="C165" s="18" t="s">
        <v>485</v>
      </c>
      <c r="D165" s="18" t="s">
        <v>1622</v>
      </c>
      <c r="E165" s="18" t="s">
        <v>337</v>
      </c>
      <c r="F165" s="525" t="s">
        <v>338</v>
      </c>
      <c r="G165" s="19"/>
      <c r="H165" s="18" t="s">
        <v>33</v>
      </c>
      <c r="I165" s="18" t="s">
        <v>727</v>
      </c>
      <c r="J165" s="18" t="s">
        <v>728</v>
      </c>
      <c r="K165" s="20">
        <v>45929</v>
      </c>
      <c r="L165" s="50" t="s">
        <v>1623</v>
      </c>
      <c r="M165" s="50" t="s">
        <v>730</v>
      </c>
      <c r="N165" s="50"/>
      <c r="O165" s="18" t="s">
        <v>548</v>
      </c>
      <c r="P165" s="18" t="s">
        <v>731</v>
      </c>
      <c r="Q165" s="18" t="s">
        <v>495</v>
      </c>
      <c r="R165" s="18" t="s">
        <v>599</v>
      </c>
      <c r="S165" s="18"/>
      <c r="T165" s="18" t="s">
        <v>652</v>
      </c>
      <c r="U165" s="18"/>
      <c r="V165" s="18"/>
      <c r="W165" s="18"/>
      <c r="X165" s="18"/>
      <c r="Y165" s="80">
        <v>45901</v>
      </c>
      <c r="Z165" s="18" t="s">
        <v>499</v>
      </c>
      <c r="AA165" s="20">
        <v>45972</v>
      </c>
      <c r="AB165" s="18" t="s">
        <v>500</v>
      </c>
      <c r="AC165" s="18"/>
      <c r="AD165" s="360" t="s">
        <v>150</v>
      </c>
      <c r="AE165" s="18" t="s">
        <v>34</v>
      </c>
      <c r="AF165" s="39" t="s">
        <v>28</v>
      </c>
      <c r="AG165" s="395" t="str">
        <f>VLOOKUP(AF165,Tabla3[[Estado Requerimiento]:[Macro estado]],2,FALSE)</f>
        <v>04. Paralizado</v>
      </c>
      <c r="AH165" s="18" t="s">
        <v>659</v>
      </c>
      <c r="AI165" s="80"/>
      <c r="AJ165" s="80"/>
      <c r="AK165" s="80">
        <v>46079</v>
      </c>
      <c r="AL165" s="80">
        <v>46017</v>
      </c>
      <c r="AM165" s="80"/>
      <c r="AN165" s="80"/>
      <c r="AO165" s="80"/>
      <c r="AP165" s="81">
        <f t="shared" si="4"/>
        <v>45992.2</v>
      </c>
      <c r="AQ165" s="80"/>
      <c r="AR165" s="80"/>
      <c r="AS165" s="81">
        <f t="shared" si="5"/>
        <v>45999.199999999997</v>
      </c>
      <c r="AT165" s="19" t="s">
        <v>1624</v>
      </c>
      <c r="AU165" s="44" t="str">
        <f>VLOOKUP(Cartera1017[[#This Row],[Gerencia]],tbGerencia[#All],3,FALSE)</f>
        <v>Productos</v>
      </c>
      <c r="AV165" s="44" t="str">
        <f>IFERROR(VLOOKUP(Cartera1017[[#This Row],[Subgerencia]],Definiciones!$A$90:$B$144,2,FALSE),"")</f>
        <v>BancaPersonal</v>
      </c>
      <c r="AW165" s="44" t="str">
        <f>IF(OR(LEN(Cartera1017[[#This Row],[Fecha de Solicitud]])=0,(Cartera1017[[#This Row],[Fecha de Solicitud]])="No definido"),"No definido",IF(YEAR(Cartera1017[[#This Row],[Fecha de Solicitud]])&lt;2023," &lt;  2023",TEXT(Cartera1017[[#This Row],[Fecha de Solicitud]],"yyyy-mm")))</f>
        <v>2025-09</v>
      </c>
      <c r="AX165" s="44" t="str">
        <f>IF(Cartera1017[[#This Row],[Fecha de Priorización Comité]]="","No definido",TEXT(Cartera1017[[#This Row],[Fecha de Priorización Comité]],"yyyy-mm"))</f>
        <v>2025-11</v>
      </c>
      <c r="AY165" s="44" t="str">
        <f>IF(Cartera1017[[#This Row],[Fecha Fin- Desarrollo]]="","No definido",TEXT(Cartera1017[[#This Row],[Fecha Fin- Desarrollo]],"yyyy-mm"))</f>
        <v>2025-12</v>
      </c>
      <c r="AZ165" s="44" t="str">
        <f>IF(Cartera1017[[#This Row],[Fecha Fin- Producción]]="","No definido",TEXT(Cartera1017[[#This Row],[Fecha Fin- Producción]],"yyyy-mm"))</f>
        <v>No definido</v>
      </c>
      <c r="BA165" s="44" t="str">
        <f>IF(Cartera1017[[#This Row],[Fecha Fin-Planificada]]="","No definido",TEXT(Cartera1017[[#This Row],[Fecha Fin-Planificada]],"yyyy-mm"))</f>
        <v>2025-12</v>
      </c>
      <c r="BB165" s="33"/>
      <c r="BC165" s="66"/>
      <c r="BD165" s="66"/>
      <c r="BE165" s="66"/>
      <c r="BF165" s="127"/>
      <c r="BG165" s="28" t="s">
        <v>543</v>
      </c>
      <c r="BH16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5" s="90" t="str">
        <f>IF(ISNUMBER(Cartera1017[[#This Row],[Duracion en Dias]]),Cartera1017[[#This Row],[Duracion en Dias]]/30, "No Aplica")</f>
        <v>No Aplica</v>
      </c>
      <c r="BJ165" s="109"/>
      <c r="BK165" s="28" t="s">
        <v>506</v>
      </c>
      <c r="BL165" s="110" t="s">
        <v>562</v>
      </c>
      <c r="BM165" s="342">
        <v>46079.74322916667</v>
      </c>
      <c r="BN165" s="227"/>
      <c r="BO165" s="401"/>
      <c r="BP165" s="401"/>
      <c r="BQ16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5" s="14" t="str">
        <f>IFERROR(VLOOKUP(Cartera1017[[#This Row],[Aplicativo]],Tabla76[],2,FALSE),"Sin Aplicativo")</f>
        <v>Tarjeta Tesoro</v>
      </c>
      <c r="BS165" s="14" t="str">
        <f>IFERROR(VLOOKUP(Cartera1017[[#This Row],[Aplicativo]],Tabla76[],3,FALSE),"Sin Aplicativo")</f>
        <v>Productos</v>
      </c>
      <c r="BT165" s="400"/>
      <c r="BU165" s="33"/>
      <c r="BV165" s="28"/>
      <c r="BW16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5" s="149" t="str">
        <f ca="1">IF(Cartera1017[[#This Row],[Fecha Fin2]]="","No definido",CONCATENATE(TEXT(Cartera1017[[#This Row],[Fecha Fin2]],"mmm")," ",YEAR(Cartera1017[[#This Row],[Fecha Fin2]])))</f>
        <v>No definido</v>
      </c>
      <c r="BZ165" s="28"/>
      <c r="CA165" s="48" t="str">
        <f>IF(Cartera1017[[#This Row],[Estado TI]] = "08. Producción Finalizada","Culminado",IF(Cartera1017[[#This Row],[Estado TI]]= "09. Descartado","Descartado","Activos"))</f>
        <v>Activos</v>
      </c>
      <c r="CB165" s="28"/>
      <c r="CC16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65" s="54" t="str">
        <f>IF(
AND(
Cartera1017[[#This Row],[DEVOLVER 27]]="NO",
NOT(ISBLANK(Cartera1017[[#This Row],[ESTADO NO DEVUELTOS 27]]))
),
"PRE",
"POST"
)</f>
        <v>POST</v>
      </c>
      <c r="CE165" s="54" t="s">
        <v>509</v>
      </c>
      <c r="CF165" s="28"/>
      <c r="CG16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6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65"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65" s="406">
        <f>Cartera1017[[#This Row],[Porcentaje de Avance]]</f>
        <v>0.12</v>
      </c>
      <c r="CK165" s="402" t="str">
        <f>IF(
   OR(
     Cartera1017[[#This Row],[Estado TI]]="09. Descartado",
     Cartera1017[[#This Row],[Comienzo Desarrollo]]="",
     Cartera1017[[#This Row],[Fin Producción]]=""
   ),
   "",
   Cartera1017[[#This Row],[% PLANIFICADO]]-Cartera1017[[#This Row],[% COMPLETADO]]
)</f>
        <v/>
      </c>
      <c r="CL165" s="402" t="str">
        <f ca="1">IF(
   OR(
     Cartera1017[[#This Row],[Estado TI]]="09. Descartado",
     Cartera1017[[#This Row],[Comienzo Desarrollo]]="",
     Cartera1017[[#This Row],[Fin Producción]]="",
     Cartera1017[[#This Row],[% PLANIFICADO]]=0
   ),
   "",
   MIN(Cartera1017[[#This Row],[% COMPLETADO]]/Cartera1017[[#This Row],[% PLANIFICADO]],1.2)
)</f>
        <v/>
      </c>
      <c r="CM165" s="427"/>
      <c r="CN165" s="427"/>
      <c r="CO165" s="427"/>
      <c r="CP165" s="427"/>
      <c r="CQ165" s="427"/>
      <c r="CR165" s="427"/>
      <c r="CS165" s="427">
        <v>46356</v>
      </c>
      <c r="CT165" s="44">
        <f>IF(Cartera1017[[#This Row],[Fin Desarrollo]]="",25,IFERROR(NETWORKDAYS(Cartera1017[[#This Row],[Comienzo Desarrollo]],Cartera1017[[#This Row],[Fin Desarrollo]],FERIADOS[Fecha]),""))</f>
        <v>25</v>
      </c>
      <c r="CU16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65" s="44">
        <f>IF(OR(Cartera1017[[#This Row],[Comienzo Desarrollo]]="",Cartera1017[[#This Row],[Fin Desarrollo]]=""),200,IFERROR(Cartera1017[[#This Row],[DURACIÓN DESARROLLO DIAS]]*VLOOKUP(Cartera1017[[#This Row],[ID Mantenimiento]],MANT_HORAS[],2,FALSE),200))</f>
        <v>200</v>
      </c>
      <c r="CW165" s="110"/>
      <c r="CX165" s="110" t="str">
        <f>VLOOKUP(Cartera1017[[#This Row],[Estado TI]],Definiciones!$A$549:$B$559,2,FALSE)</f>
        <v>6. PARALIZADO</v>
      </c>
      <c r="CY165" s="28">
        <f ca="1">1-Cartera1017[[#This Row],[Porcentaje avanzado desarrollo]]</f>
        <v>0.9</v>
      </c>
      <c r="CZ16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65" s="28">
        <f ca="1">MAX(0,Cartera1017[[#This Row],[DURACIÓN DESARROLLO DIAS]]-Cartera1017[[#This Row],[Dias avanzados]])</f>
        <v>24</v>
      </c>
      <c r="DB165" s="28">
        <f ca="1">Cartera1017[[#This Row],[Dias avanzados]]*IFERROR(VLOOKUP(Cartera1017[[#This Row],[ID Mantenimiento]],MANT_HORAS[],2,FALSE),8)</f>
        <v>8</v>
      </c>
      <c r="DC165" s="28">
        <f ca="1">Cartera1017[[#This Row],[Dias faltantes]]*IFERROR(VLOOKUP(Cartera1017[[#This Row],[ID Mantenimiento]],MANT_HORAS[],2,FALSE),8)</f>
        <v>192</v>
      </c>
      <c r="DD165" s="28" t="str">
        <f>IF(Cartera1017[[#This Row],[Fin Producción]]=0,"Por definir",CONCATENATE(YEAR(Cartera1017[[#This Row],[Fin Producción]]),"-",ROUNDUP(MONTH(Cartera1017[[#This Row],[Fin Producción]]),0)))</f>
        <v>2026-11</v>
      </c>
      <c r="DE165" s="18" t="s">
        <v>510</v>
      </c>
      <c r="DF165" s="28"/>
      <c r="DG165" s="28"/>
      <c r="DH165" s="565"/>
    </row>
    <row r="166" spans="1:112" ht="44.25" hidden="1" customHeight="1">
      <c r="A166" s="229" t="s">
        <v>1625</v>
      </c>
      <c r="B166" s="18">
        <v>3103</v>
      </c>
      <c r="C166" s="18" t="s">
        <v>485</v>
      </c>
      <c r="D166" s="18" t="s">
        <v>1626</v>
      </c>
      <c r="E166" s="18" t="s">
        <v>341</v>
      </c>
      <c r="F166" s="33" t="s">
        <v>342</v>
      </c>
      <c r="G166" s="19"/>
      <c r="H166" s="18" t="s">
        <v>33</v>
      </c>
      <c r="I166" s="18" t="s">
        <v>727</v>
      </c>
      <c r="J166" s="18" t="s">
        <v>1148</v>
      </c>
      <c r="K166" s="20"/>
      <c r="L166" s="50" t="s">
        <v>528</v>
      </c>
      <c r="M166" s="50" t="s">
        <v>1149</v>
      </c>
      <c r="N166" s="50"/>
      <c r="O166" s="18" t="s">
        <v>548</v>
      </c>
      <c r="P166" s="18" t="s">
        <v>495</v>
      </c>
      <c r="Q166" s="18" t="s">
        <v>496</v>
      </c>
      <c r="R166" s="18" t="s">
        <v>497</v>
      </c>
      <c r="S166" s="18"/>
      <c r="T166" s="18"/>
      <c r="U166" s="18"/>
      <c r="V166" s="18"/>
      <c r="W166" s="18"/>
      <c r="X166" s="18"/>
      <c r="Y166" s="80"/>
      <c r="Z166" s="18" t="s">
        <v>532</v>
      </c>
      <c r="AA166" s="20">
        <v>45972</v>
      </c>
      <c r="AB166" s="18" t="s">
        <v>500</v>
      </c>
      <c r="AC166" s="18"/>
      <c r="AD166" s="18" t="s">
        <v>165</v>
      </c>
      <c r="AE166" s="18" t="s">
        <v>34</v>
      </c>
      <c r="AF166" s="18" t="s">
        <v>42</v>
      </c>
      <c r="AG166" s="14" t="str">
        <f>VLOOKUP(AF166,Tabla3[[Estado Requerimiento]:[Macro estado]],2,FALSE)</f>
        <v>02. En Proceso</v>
      </c>
      <c r="AH166" s="18"/>
      <c r="AI166" s="80"/>
      <c r="AJ166" s="80"/>
      <c r="AK166" s="80">
        <v>45957</v>
      </c>
      <c r="AL166" s="80">
        <v>46034</v>
      </c>
      <c r="AM166" s="80"/>
      <c r="AN166" s="80">
        <v>46037</v>
      </c>
      <c r="AO166" s="80">
        <v>46059</v>
      </c>
      <c r="AP166" s="81">
        <f t="shared" si="4"/>
        <v>46064.800000000003</v>
      </c>
      <c r="AQ166" s="80"/>
      <c r="AR166" s="80"/>
      <c r="AS166" s="81">
        <f t="shared" si="5"/>
        <v>46071.8</v>
      </c>
      <c r="AT166" s="19" t="s">
        <v>1627</v>
      </c>
      <c r="AU166" s="44" t="str">
        <f>VLOOKUP(Cartera1017[[#This Row],[Gerencia]],tbGerencia[#All],3,FALSE)</f>
        <v>Productos</v>
      </c>
      <c r="AV166" s="44" t="str">
        <f>IFERROR(VLOOKUP(Cartera1017[[#This Row],[Subgerencia]],Definiciones!$A$90:$B$144,2,FALSE),"")</f>
        <v>BancaPersonal</v>
      </c>
      <c r="AW166" s="44" t="str">
        <f>IF(OR(LEN(Cartera1017[[#This Row],[Fecha de Solicitud]])=0,(Cartera1017[[#This Row],[Fecha de Solicitud]])="No definido"),"No definido",IF(YEAR(Cartera1017[[#This Row],[Fecha de Solicitud]])&lt;2023," &lt;  2023",TEXT(Cartera1017[[#This Row],[Fecha de Solicitud]],"yyyy-mm")))</f>
        <v>No definido</v>
      </c>
      <c r="AX166" s="44" t="str">
        <f>IF(Cartera1017[[#This Row],[Fecha de Priorización Comité]]="","No definido",TEXT(Cartera1017[[#This Row],[Fecha de Priorización Comité]],"yyyy-mm"))</f>
        <v>2025-11</v>
      </c>
      <c r="AY166" s="44" t="str">
        <f>IF(Cartera1017[[#This Row],[Fecha Fin- Desarrollo]]="","No definido",TEXT(Cartera1017[[#This Row],[Fecha Fin- Desarrollo]],"yyyy-mm"))</f>
        <v>2026-01</v>
      </c>
      <c r="AZ166" s="44" t="str">
        <f>IF(Cartera1017[[#This Row],[Fecha Fin- Producción]]="","No definido",TEXT(Cartera1017[[#This Row],[Fecha Fin- Producción]],"yyyy-mm"))</f>
        <v>No definido</v>
      </c>
      <c r="BA166" s="44" t="str">
        <f>IF(Cartera1017[[#This Row],[Fecha Fin-Planificada]]="","No definido",TEXT(Cartera1017[[#This Row],[Fecha Fin-Planificada]],"yyyy-mm"))</f>
        <v>2026-02</v>
      </c>
      <c r="BB166" s="33"/>
      <c r="BC166" s="66"/>
      <c r="BD166" s="66"/>
      <c r="BE166" s="66"/>
      <c r="BF166" s="127"/>
      <c r="BG166" s="28" t="s">
        <v>543</v>
      </c>
      <c r="BH16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6" s="90" t="str">
        <f>IF(ISNUMBER(Cartera1017[[#This Row],[Duracion en Dias]]),Cartera1017[[#This Row],[Duracion en Dias]]/30, "No Aplica")</f>
        <v>No Aplica</v>
      </c>
      <c r="BJ166" s="109"/>
      <c r="BK166" s="28" t="s">
        <v>506</v>
      </c>
      <c r="BL166" s="110" t="s">
        <v>655</v>
      </c>
      <c r="BM166" s="342">
        <v>46106.682986111111</v>
      </c>
      <c r="BN166" s="227"/>
      <c r="BO166" s="401"/>
      <c r="BP166" s="401"/>
      <c r="BQ16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6" s="14" t="str">
        <f>IFERROR(VLOOKUP(Cartera1017[[#This Row],[Aplicativo]],Tabla76[],2,FALSE),"Sin Aplicativo")</f>
        <v>Préstamos Multired</v>
      </c>
      <c r="BS166" s="14" t="str">
        <f>IFERROR(VLOOKUP(Cartera1017[[#This Row],[Aplicativo]],Tabla76[],3,FALSE),"Sin Aplicativo")</f>
        <v>Productos</v>
      </c>
      <c r="BT166" s="400"/>
      <c r="BU166" s="33"/>
      <c r="BV166" s="28"/>
      <c r="BW16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6" s="149" t="str">
        <f ca="1">IF(Cartera1017[[#This Row],[Fecha Fin2]]="","No definido",CONCATENATE(TEXT(Cartera1017[[#This Row],[Fecha Fin2]],"mmm")," ",YEAR(Cartera1017[[#This Row],[Fecha Fin2]])))</f>
        <v>No definido</v>
      </c>
      <c r="BZ166" s="28"/>
      <c r="CA166" s="48" t="str">
        <f>IF(Cartera1017[[#This Row],[Estado TI]] = "08. Producción Finalizada","Culminado",IF(Cartera1017[[#This Row],[Estado TI]]= "09. Descartado","Descartado","Activos"))</f>
        <v>Activos</v>
      </c>
      <c r="CB166" s="28"/>
      <c r="CC16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166" s="54" t="str">
        <f>IF(
AND(
Cartera1017[[#This Row],[DEVOLVER 27]]="NO",
NOT(ISBLANK(Cartera1017[[#This Row],[ESTADO NO DEVUELTOS 27]]))
),
"PRE",
"POST"
)</f>
        <v>POST</v>
      </c>
      <c r="CE166" s="54" t="s">
        <v>509</v>
      </c>
      <c r="CF166" s="28"/>
      <c r="CG16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6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6" s="406">
        <f>Cartera1017[[#This Row],[Porcentaje de Avance]]</f>
        <v>0.85</v>
      </c>
      <c r="CK166" s="388">
        <f ca="1">IF(
   OR(
     Cartera1017[[#This Row],[Estado TI]]="09. Descartado",
     Cartera1017[[#This Row],[Comienzo Desarrollo]]="",
     Cartera1017[[#This Row],[Fin Producción]]=""
   ),
   "",
   Cartera1017[[#This Row],[% PLANIFICADO]]-Cartera1017[[#This Row],[% COMPLETADO]]
)</f>
        <v>0.15000000000000002</v>
      </c>
      <c r="CL166" s="388">
        <f ca="1">IF(
   OR(
     Cartera1017[[#This Row],[Estado TI]]="09. Descartado",
     Cartera1017[[#This Row],[Comienzo Desarrollo]]="",
     Cartera1017[[#This Row],[Fin Producción]]="",
     Cartera1017[[#This Row],[% PLANIFICADO]]=0
   ),
   "",
   MIN(Cartera1017[[#This Row],[% COMPLETADO]]/Cartera1017[[#This Row],[% PLANIFICADO]],1.2)
)</f>
        <v>0.85</v>
      </c>
      <c r="CM166" s="377">
        <v>45957</v>
      </c>
      <c r="CN166" s="377">
        <v>45957</v>
      </c>
      <c r="CO166" s="377">
        <v>46034</v>
      </c>
      <c r="CP166" s="377">
        <v>46037</v>
      </c>
      <c r="CQ166" s="377">
        <v>46059</v>
      </c>
      <c r="CR166" s="377">
        <v>46072</v>
      </c>
      <c r="CS166" s="377">
        <v>46108</v>
      </c>
      <c r="CT166" s="44">
        <f>IF(Cartera1017[[#This Row],[Fin Desarrollo]]="",25,IFERROR(NETWORKDAYS(Cartera1017[[#This Row],[Comienzo Desarrollo]],Cartera1017[[#This Row],[Fin Desarrollo]],FERIADOS[Fecha]),""))</f>
        <v>51</v>
      </c>
      <c r="CU16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66" s="44">
        <f>IF(OR(Cartera1017[[#This Row],[Comienzo Desarrollo]]="",Cartera1017[[#This Row],[Fin Desarrollo]]=""),200,IFERROR(Cartera1017[[#This Row],[DURACIÓN DESARROLLO DIAS]]*VLOOKUP(Cartera1017[[#This Row],[ID Mantenimiento]],MANT_HORAS[],2,FALSE),200))</f>
        <v>200</v>
      </c>
      <c r="CW166" s="110"/>
      <c r="CX166" s="110" t="str">
        <f>VLOOKUP(Cartera1017[[#This Row],[Estado TI]],Definiciones!$A$549:$B$559,2,FALSE)</f>
        <v>2. CALIDAD</v>
      </c>
      <c r="CY166" s="28">
        <f ca="1">1-Cartera1017[[#This Row],[Porcentaje avanzado desarrollo]]</f>
        <v>0</v>
      </c>
      <c r="CZ16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51</v>
      </c>
      <c r="DA166" s="28">
        <f ca="1">MAX(0,Cartera1017[[#This Row],[DURACIÓN DESARROLLO DIAS]]-Cartera1017[[#This Row],[Dias avanzados]])</f>
        <v>0</v>
      </c>
      <c r="DB166" s="28">
        <f ca="1">Cartera1017[[#This Row],[Dias avanzados]]*IFERROR(VLOOKUP(Cartera1017[[#This Row],[ID Mantenimiento]],MANT_HORAS[],2,FALSE),8)</f>
        <v>408</v>
      </c>
      <c r="DC166" s="28">
        <f ca="1">Cartera1017[[#This Row],[Dias faltantes]]*IFERROR(VLOOKUP(Cartera1017[[#This Row],[ID Mantenimiento]],MANT_HORAS[],2,FALSE),8)</f>
        <v>0</v>
      </c>
      <c r="DD166" s="28" t="str">
        <f>IF(Cartera1017[[#This Row],[Fin Producción]]=0,"Por definir",CONCATENATE(YEAR(Cartera1017[[#This Row],[Fin Producción]]),"-",ROUNDUP(MONTH(Cartera1017[[#This Row],[Fin Producción]]),0)))</f>
        <v>2026-3</v>
      </c>
      <c r="DE166" s="18" t="s">
        <v>510</v>
      </c>
      <c r="DF166" s="28" t="s">
        <v>1628</v>
      </c>
      <c r="DG166" s="28" t="s">
        <v>1109</v>
      </c>
      <c r="DH166" s="565"/>
    </row>
    <row r="167" spans="1:112" ht="44.25" hidden="1" customHeight="1">
      <c r="A167" s="229" t="s">
        <v>1629</v>
      </c>
      <c r="B167" s="18">
        <v>3105</v>
      </c>
      <c r="C167" s="18" t="s">
        <v>485</v>
      </c>
      <c r="D167" s="18" t="s">
        <v>1630</v>
      </c>
      <c r="E167" s="18" t="s">
        <v>343</v>
      </c>
      <c r="F167" s="33" t="s">
        <v>344</v>
      </c>
      <c r="G167" s="19"/>
      <c r="H167" s="18" t="s">
        <v>108</v>
      </c>
      <c r="I167" s="18" t="s">
        <v>811</v>
      </c>
      <c r="J167" s="18" t="s">
        <v>500</v>
      </c>
      <c r="K167" s="20"/>
      <c r="L167" s="50" t="s">
        <v>528</v>
      </c>
      <c r="M167" s="50" t="s">
        <v>1631</v>
      </c>
      <c r="N167" s="50"/>
      <c r="O167" s="18" t="s">
        <v>642</v>
      </c>
      <c r="P167" s="18" t="s">
        <v>495</v>
      </c>
      <c r="Q167" s="18" t="s">
        <v>496</v>
      </c>
      <c r="R167" s="18" t="s">
        <v>497</v>
      </c>
      <c r="S167" s="18"/>
      <c r="T167" s="18"/>
      <c r="U167" s="18"/>
      <c r="V167" s="18"/>
      <c r="W167" s="18"/>
      <c r="X167" s="18"/>
      <c r="Y167" s="80"/>
      <c r="Z167" s="18" t="s">
        <v>532</v>
      </c>
      <c r="AA167" s="20">
        <v>45972</v>
      </c>
      <c r="AB167" s="18" t="s">
        <v>500</v>
      </c>
      <c r="AC167" s="18"/>
      <c r="AD167" s="18" t="s">
        <v>317</v>
      </c>
      <c r="AE167" s="18" t="s">
        <v>109</v>
      </c>
      <c r="AF167" s="18" t="s">
        <v>48</v>
      </c>
      <c r="AG167" s="14" t="str">
        <f>VLOOKUP(AF167,Tabla3[[Estado Requerimiento]:[Macro estado]],2,FALSE)</f>
        <v>02. En Proceso</v>
      </c>
      <c r="AH167" s="18"/>
      <c r="AI167" s="80"/>
      <c r="AJ167" s="80"/>
      <c r="AK167" s="80">
        <v>45937</v>
      </c>
      <c r="AL167" s="80"/>
      <c r="AM167" s="80"/>
      <c r="AN167" s="80"/>
      <c r="AO167" s="80"/>
      <c r="AP167" s="81" t="str">
        <f t="shared" si="4"/>
        <v/>
      </c>
      <c r="AQ167" s="80"/>
      <c r="AR167" s="80"/>
      <c r="AS167" s="81" t="str">
        <f t="shared" si="5"/>
        <v/>
      </c>
      <c r="AT167" s="19" t="s">
        <v>1632</v>
      </c>
      <c r="AU167" s="44" t="str">
        <f>VLOOKUP(Cartera1017[[#This Row],[Gerencia]],tbGerencia[#All],3,FALSE)</f>
        <v>TI</v>
      </c>
      <c r="AV167" s="44" t="str">
        <f>IFERROR(VLOOKUP(Cartera1017[[#This Row],[Subgerencia]],Definiciones!$A$90:$B$144,2,FALSE),"")</f>
        <v>ConstrucciónAplicaciones</v>
      </c>
      <c r="AW167" s="44" t="str">
        <f>IF(OR(LEN(Cartera1017[[#This Row],[Fecha de Solicitud]])=0,(Cartera1017[[#This Row],[Fecha de Solicitud]])="No definido"),"No definido",IF(YEAR(Cartera1017[[#This Row],[Fecha de Solicitud]])&lt;2023," &lt;  2023",TEXT(Cartera1017[[#This Row],[Fecha de Solicitud]],"yyyy-mm")))</f>
        <v>No definido</v>
      </c>
      <c r="AX167" s="44" t="str">
        <f>IF(Cartera1017[[#This Row],[Fecha de Priorización Comité]]="","No definido",TEXT(Cartera1017[[#This Row],[Fecha de Priorización Comité]],"yyyy-mm"))</f>
        <v>2025-11</v>
      </c>
      <c r="AY167" s="44" t="str">
        <f>IF(Cartera1017[[#This Row],[Fecha Fin- Desarrollo]]="","No definido",TEXT(Cartera1017[[#This Row],[Fecha Fin- Desarrollo]],"yyyy-mm"))</f>
        <v>No definido</v>
      </c>
      <c r="AZ167" s="44" t="str">
        <f>IF(Cartera1017[[#This Row],[Fecha Fin- Producción]]="","No definido",TEXT(Cartera1017[[#This Row],[Fecha Fin- Producción]],"yyyy-mm"))</f>
        <v>No definido</v>
      </c>
      <c r="BA167" s="44" t="str">
        <f>IF(Cartera1017[[#This Row],[Fecha Fin-Planificada]]="","No definido",TEXT(Cartera1017[[#This Row],[Fecha Fin-Planificada]],"yyyy-mm"))</f>
        <v>No definido</v>
      </c>
      <c r="BB167" s="33"/>
      <c r="BC167" s="66"/>
      <c r="BD167" s="66"/>
      <c r="BE167" s="66"/>
      <c r="BF167" s="127"/>
      <c r="BG167" s="28" t="s">
        <v>543</v>
      </c>
      <c r="BH16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7" s="90" t="str">
        <f>IF(ISNUMBER(Cartera1017[[#This Row],[Duracion en Dias]]),Cartera1017[[#This Row],[Duracion en Dias]]/30, "No Aplica")</f>
        <v>No Aplica</v>
      </c>
      <c r="BJ167" s="109"/>
      <c r="BK167" s="28" t="s">
        <v>1115</v>
      </c>
      <c r="BL167" s="110" t="s">
        <v>592</v>
      </c>
      <c r="BM167" s="342">
        <v>45937.712152777778</v>
      </c>
      <c r="BN167" s="227"/>
      <c r="BO167" s="401"/>
      <c r="BP167" s="401"/>
      <c r="BQ16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67" s="14" t="str">
        <f>IFERROR(VLOOKUP(Cartera1017[[#This Row],[Aplicativo]],Tabla76[],2,FALSE),"Sin Aplicativo")</f>
        <v>Extractores de Sentinel</v>
      </c>
      <c r="BS167" s="14" t="str">
        <f>IFERROR(VLOOKUP(Cartera1017[[#This Row],[Aplicativo]],Tabla76[],3,FALSE),"Sin Aplicativo")</f>
        <v>Otros Requerimientos</v>
      </c>
      <c r="BT167" s="400"/>
      <c r="BU167" s="33"/>
      <c r="BV167" s="28"/>
      <c r="BW16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7" s="149" t="str">
        <f ca="1">IF(Cartera1017[[#This Row],[Fecha Fin2]]="","No definido",CONCATENATE(TEXT(Cartera1017[[#This Row],[Fecha Fin2]],"mmm")," ",YEAR(Cartera1017[[#This Row],[Fecha Fin2]])))</f>
        <v>No definido</v>
      </c>
      <c r="BZ167" s="28"/>
      <c r="CA167" s="48" t="str">
        <f>IF(Cartera1017[[#This Row],[Estado TI]] = "08. Producción Finalizada","Culminado",IF(Cartera1017[[#This Row],[Estado TI]]= "09. Descartado","Descartado","Activos"))</f>
        <v>Activos</v>
      </c>
      <c r="CB167" s="28"/>
      <c r="CC16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167" s="54" t="str">
        <f>IF(
AND(
Cartera1017[[#This Row],[DEVOLVER 27]]="NO",
NOT(ISBLANK(Cartera1017[[#This Row],[ESTADO NO DEVUELTOS 27]]))
),
"PRE",
"POST"
)</f>
        <v>POST</v>
      </c>
      <c r="CE167" s="54" t="s">
        <v>509</v>
      </c>
      <c r="CF167" s="28"/>
      <c r="CG16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6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7" s="406">
        <f>Cartera1017[[#This Row],[Porcentaje de Avance]]</f>
        <v>0.15</v>
      </c>
      <c r="CK167" s="388">
        <f ca="1">IF(
   OR(
     Cartera1017[[#This Row],[Estado TI]]="09. Descartado",
     Cartera1017[[#This Row],[Comienzo Desarrollo]]="",
     Cartera1017[[#This Row],[Fin Producción]]=""
   ),
   "",
   Cartera1017[[#This Row],[% PLANIFICADO]]-Cartera1017[[#This Row],[% COMPLETADO]]
)</f>
        <v>0.85</v>
      </c>
      <c r="CL167" s="388">
        <f ca="1">IF(
   OR(
     Cartera1017[[#This Row],[Estado TI]]="09. Descartado",
     Cartera1017[[#This Row],[Comienzo Desarrollo]]="",
     Cartera1017[[#This Row],[Fin Producción]]="",
     Cartera1017[[#This Row],[% PLANIFICADO]]=0
   ),
   "",
   MIN(Cartera1017[[#This Row],[% COMPLETADO]]/Cartera1017[[#This Row],[% PLANIFICADO]],1.2)
)</f>
        <v>0.15</v>
      </c>
      <c r="CM167" s="377">
        <v>45964</v>
      </c>
      <c r="CN167" s="377">
        <v>46083</v>
      </c>
      <c r="CO167" s="377">
        <v>46094</v>
      </c>
      <c r="CP167" s="377">
        <v>46097</v>
      </c>
      <c r="CQ167" s="377">
        <v>46127</v>
      </c>
      <c r="CR167" s="377">
        <v>46132</v>
      </c>
      <c r="CS167" s="377">
        <v>46136</v>
      </c>
      <c r="CT167" s="44">
        <f>IF(Cartera1017[[#This Row],[Fin Desarrollo]]="",25,IFERROR(NETWORKDAYS(Cartera1017[[#This Row],[Comienzo Desarrollo]],Cartera1017[[#This Row],[Fin Desarrollo]],FERIADOS[Fecha]),""))</f>
        <v>10</v>
      </c>
      <c r="CU16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67" s="44">
        <f>IF(OR(Cartera1017[[#This Row],[Comienzo Desarrollo]]="",Cartera1017[[#This Row],[Fin Desarrollo]]=""),200,IFERROR(Cartera1017[[#This Row],[DURACIÓN DESARROLLO DIAS]]*VLOOKUP(Cartera1017[[#This Row],[ID Mantenimiento]],MANT_HORAS[],2,FALSE),200))</f>
        <v>80</v>
      </c>
      <c r="CW167" s="110"/>
      <c r="CX167" s="110" t="str">
        <f>VLOOKUP(Cartera1017[[#This Row],[Estado TI]],Definiciones!$A$549:$B$559,2,FALSE)</f>
        <v>1. DESARROLLO</v>
      </c>
      <c r="CY167" s="28">
        <f ca="1">1-Cartera1017[[#This Row],[Porcentaje avanzado desarrollo]]</f>
        <v>0</v>
      </c>
      <c r="CZ16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DA167" s="28">
        <f ca="1">MAX(0,Cartera1017[[#This Row],[DURACIÓN DESARROLLO DIAS]]-Cartera1017[[#This Row],[Dias avanzados]])</f>
        <v>0</v>
      </c>
      <c r="DB167" s="28">
        <f ca="1">Cartera1017[[#This Row],[Dias avanzados]]*IFERROR(VLOOKUP(Cartera1017[[#This Row],[ID Mantenimiento]],MANT_HORAS[],2,FALSE),8)</f>
        <v>80</v>
      </c>
      <c r="DC167" s="28">
        <f ca="1">Cartera1017[[#This Row],[Dias faltantes]]*IFERROR(VLOOKUP(Cartera1017[[#This Row],[ID Mantenimiento]],MANT_HORAS[],2,FALSE),8)</f>
        <v>0</v>
      </c>
      <c r="DD167" s="28" t="str">
        <f>IF(Cartera1017[[#This Row],[Fin Producción]]=0,"Por definir",CONCATENATE(YEAR(Cartera1017[[#This Row],[Fin Producción]]),"-",ROUNDUP(MONTH(Cartera1017[[#This Row],[Fin Producción]]),0)))</f>
        <v>2026-4</v>
      </c>
      <c r="DE167" s="18" t="s">
        <v>510</v>
      </c>
      <c r="DF167" s="28"/>
      <c r="DG167" s="28"/>
      <c r="DH167" s="565"/>
    </row>
    <row r="168" spans="1:112" ht="44.25" hidden="1" customHeight="1">
      <c r="A168" s="229" t="s">
        <v>1633</v>
      </c>
      <c r="B168" s="18">
        <v>3106</v>
      </c>
      <c r="C168" s="18" t="s">
        <v>485</v>
      </c>
      <c r="D168" s="18" t="s">
        <v>1634</v>
      </c>
      <c r="E168" s="18" t="s">
        <v>345</v>
      </c>
      <c r="F168" s="33" t="s">
        <v>346</v>
      </c>
      <c r="G168" s="19"/>
      <c r="H168" s="18" t="s">
        <v>33</v>
      </c>
      <c r="I168" s="18" t="s">
        <v>727</v>
      </c>
      <c r="J168" s="18" t="s">
        <v>728</v>
      </c>
      <c r="K168" s="20"/>
      <c r="L168" s="50" t="s">
        <v>528</v>
      </c>
      <c r="M168" s="50" t="s">
        <v>730</v>
      </c>
      <c r="N168" s="50"/>
      <c r="O168" s="18" t="s">
        <v>530</v>
      </c>
      <c r="P168" s="18" t="s">
        <v>731</v>
      </c>
      <c r="Q168" s="18" t="s">
        <v>496</v>
      </c>
      <c r="R168" s="18" t="s">
        <v>497</v>
      </c>
      <c r="S168" s="18"/>
      <c r="T168" s="18"/>
      <c r="U168" s="18"/>
      <c r="V168" s="18"/>
      <c r="W168" s="18"/>
      <c r="X168" s="18"/>
      <c r="Y168" s="80"/>
      <c r="Z168" s="18" t="s">
        <v>532</v>
      </c>
      <c r="AA168" s="20">
        <v>45972</v>
      </c>
      <c r="AB168" s="18" t="s">
        <v>500</v>
      </c>
      <c r="AC168" s="18"/>
      <c r="AD168" s="18" t="s">
        <v>150</v>
      </c>
      <c r="AE168" s="18" t="s">
        <v>34</v>
      </c>
      <c r="AF168" s="18" t="s">
        <v>48</v>
      </c>
      <c r="AG168" s="14" t="str">
        <f>VLOOKUP(AF168,Tabla3[[Estado Requerimiento]:[Macro estado]],2,FALSE)</f>
        <v>02. En Proceso</v>
      </c>
      <c r="AH168" s="18"/>
      <c r="AI168" s="80"/>
      <c r="AJ168" s="80"/>
      <c r="AK168" s="80">
        <v>45944</v>
      </c>
      <c r="AL168" s="80"/>
      <c r="AM168" s="80"/>
      <c r="AN168" s="80"/>
      <c r="AO168" s="80"/>
      <c r="AP168" s="81" t="str">
        <f t="shared" si="4"/>
        <v/>
      </c>
      <c r="AQ168" s="80"/>
      <c r="AR168" s="80"/>
      <c r="AS168" s="81" t="str">
        <f t="shared" si="5"/>
        <v/>
      </c>
      <c r="AT168" s="19" t="s">
        <v>1635</v>
      </c>
      <c r="AU168" s="44" t="str">
        <f>VLOOKUP(Cartera1017[[#This Row],[Gerencia]],tbGerencia[#All],3,FALSE)</f>
        <v>Productos</v>
      </c>
      <c r="AV168" s="44" t="str">
        <f>IFERROR(VLOOKUP(Cartera1017[[#This Row],[Subgerencia]],Definiciones!$A$90:$B$144,2,FALSE),"")</f>
        <v>BancaPersonal</v>
      </c>
      <c r="AW168" s="44" t="str">
        <f>IF(OR(LEN(Cartera1017[[#This Row],[Fecha de Solicitud]])=0,(Cartera1017[[#This Row],[Fecha de Solicitud]])="No definido"),"No definido",IF(YEAR(Cartera1017[[#This Row],[Fecha de Solicitud]])&lt;2023," &lt;  2023",TEXT(Cartera1017[[#This Row],[Fecha de Solicitud]],"yyyy-mm")))</f>
        <v>No definido</v>
      </c>
      <c r="AX168" s="44" t="str">
        <f>IF(Cartera1017[[#This Row],[Fecha de Priorización Comité]]="","No definido",TEXT(Cartera1017[[#This Row],[Fecha de Priorización Comité]],"yyyy-mm"))</f>
        <v>2025-11</v>
      </c>
      <c r="AY168" s="44" t="str">
        <f>IF(Cartera1017[[#This Row],[Fecha Fin- Desarrollo]]="","No definido",TEXT(Cartera1017[[#This Row],[Fecha Fin- Desarrollo]],"yyyy-mm"))</f>
        <v>No definido</v>
      </c>
      <c r="AZ168" s="44" t="str">
        <f>IF(Cartera1017[[#This Row],[Fecha Fin- Producción]]="","No definido",TEXT(Cartera1017[[#This Row],[Fecha Fin- Producción]],"yyyy-mm"))</f>
        <v>No definido</v>
      </c>
      <c r="BA168" s="44" t="str">
        <f>IF(Cartera1017[[#This Row],[Fecha Fin-Planificada]]="","No definido",TEXT(Cartera1017[[#This Row],[Fecha Fin-Planificada]],"yyyy-mm"))</f>
        <v>No definido</v>
      </c>
      <c r="BB168" s="33"/>
      <c r="BC168" s="66"/>
      <c r="BD168" s="66"/>
      <c r="BE168" s="66"/>
      <c r="BF168" s="127"/>
      <c r="BG168" s="28" t="s">
        <v>543</v>
      </c>
      <c r="BH16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8" s="90" t="str">
        <f>IF(ISNUMBER(Cartera1017[[#This Row],[Duracion en Dias]]),Cartera1017[[#This Row],[Duracion en Dias]]/30, "No Aplica")</f>
        <v>No Aplica</v>
      </c>
      <c r="BJ168" s="109"/>
      <c r="BK168" s="28" t="s">
        <v>1115</v>
      </c>
      <c r="BL168" s="110" t="s">
        <v>592</v>
      </c>
      <c r="BM168" s="342">
        <v>45944.429861111108</v>
      </c>
      <c r="BN168" s="227"/>
      <c r="BO168" s="401"/>
      <c r="BP168" s="401"/>
      <c r="BQ16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68" s="14" t="str">
        <f>IFERROR(VLOOKUP(Cartera1017[[#This Row],[Aplicativo]],Tabla76[],2,FALSE),"Sin Aplicativo")</f>
        <v>Tarjeta Tesoro</v>
      </c>
      <c r="BS168" s="14" t="str">
        <f>IFERROR(VLOOKUP(Cartera1017[[#This Row],[Aplicativo]],Tabla76[],3,FALSE),"Sin Aplicativo")</f>
        <v>Productos</v>
      </c>
      <c r="BT168" s="400"/>
      <c r="BU168" s="33"/>
      <c r="BV168" s="28"/>
      <c r="BW16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8" s="149" t="str">
        <f ca="1">IF(Cartera1017[[#This Row],[Fecha Fin2]]="","No definido",CONCATENATE(TEXT(Cartera1017[[#This Row],[Fecha Fin2]],"mmm")," ",YEAR(Cartera1017[[#This Row],[Fecha Fin2]])))</f>
        <v>No definido</v>
      </c>
      <c r="BZ168" s="28"/>
      <c r="CA168" s="48" t="str">
        <f>IF(Cartera1017[[#This Row],[Estado TI]] = "08. Producción Finalizada","Culminado",IF(Cartera1017[[#This Row],[Estado TI]]= "09. Descartado","Descartado","Activos"))</f>
        <v>Activos</v>
      </c>
      <c r="CB168" s="28"/>
      <c r="CC16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168" s="54" t="str">
        <f>IF(
AND(
Cartera1017[[#This Row],[DEVOLVER 27]]="NO",
NOT(ISBLANK(Cartera1017[[#This Row],[ESTADO NO DEVUELTOS 27]]))
),
"PRE",
"POST"
)</f>
        <v>POST</v>
      </c>
      <c r="CE168" s="54" t="s">
        <v>509</v>
      </c>
      <c r="CF168" s="28"/>
      <c r="CG16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6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8" s="406">
        <f>Cartera1017[[#This Row],[Porcentaje de Avance]]</f>
        <v>0.15</v>
      </c>
      <c r="CK168" s="402">
        <f ca="1">IF(
   OR(
     Cartera1017[[#This Row],[Estado TI]]="09. Descartado",
     Cartera1017[[#This Row],[Comienzo Desarrollo]]="",
     Cartera1017[[#This Row],[Fin Producción]]=""
   ),
   "",
   Cartera1017[[#This Row],[% PLANIFICADO]]-Cartera1017[[#This Row],[% COMPLETADO]]
)</f>
        <v>0.85</v>
      </c>
      <c r="CL168" s="402">
        <f ca="1">IF(
   OR(
     Cartera1017[[#This Row],[Estado TI]]="09. Descartado",
     Cartera1017[[#This Row],[Comienzo Desarrollo]]="",
     Cartera1017[[#This Row],[Fin Producción]]="",
     Cartera1017[[#This Row],[% PLANIFICADO]]=0
   ),
   "",
   MIN(Cartera1017[[#This Row],[% COMPLETADO]]/Cartera1017[[#This Row],[% PLANIFICADO]],1.2)
)</f>
        <v>0.15</v>
      </c>
      <c r="CM168" s="427">
        <v>45944</v>
      </c>
      <c r="CN168" s="377">
        <v>46083</v>
      </c>
      <c r="CO168" s="377">
        <v>46091</v>
      </c>
      <c r="CP168" s="403">
        <v>46093</v>
      </c>
      <c r="CQ168" s="403">
        <v>46124</v>
      </c>
      <c r="CR168" s="403">
        <v>46125</v>
      </c>
      <c r="CS168" s="403">
        <v>46129</v>
      </c>
      <c r="CT168" s="44">
        <f>IF(Cartera1017[[#This Row],[Fin Desarrollo]]="",25,IFERROR(NETWORKDAYS(Cartera1017[[#This Row],[Comienzo Desarrollo]],Cartera1017[[#This Row],[Fin Desarrollo]],FERIADOS[Fecha]),""))</f>
        <v>7</v>
      </c>
      <c r="CU16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68" s="44">
        <f>IF(OR(Cartera1017[[#This Row],[Comienzo Desarrollo]]="",Cartera1017[[#This Row],[Fin Desarrollo]]=""),200,IFERROR(Cartera1017[[#This Row],[DURACIÓN DESARROLLO DIAS]]*VLOOKUP(Cartera1017[[#This Row],[ID Mantenimiento]],MANT_HORAS[],2,FALSE),200))</f>
        <v>11.200000000000001</v>
      </c>
      <c r="CW168" s="110"/>
      <c r="CX168" s="110" t="str">
        <f>VLOOKUP(Cartera1017[[#This Row],[Estado TI]],Definiciones!$A$549:$B$559,2,FALSE)</f>
        <v>1. DESARROLLO</v>
      </c>
      <c r="CY168" s="28">
        <f ca="1">1-Cartera1017[[#This Row],[Porcentaje avanzado desarrollo]]</f>
        <v>0</v>
      </c>
      <c r="CZ16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DA168" s="28">
        <f ca="1">MAX(0,Cartera1017[[#This Row],[DURACIÓN DESARROLLO DIAS]]-Cartera1017[[#This Row],[Dias avanzados]])</f>
        <v>0</v>
      </c>
      <c r="DB168" s="28">
        <f ca="1">Cartera1017[[#This Row],[Dias avanzados]]*IFERROR(VLOOKUP(Cartera1017[[#This Row],[ID Mantenimiento]],MANT_HORAS[],2,FALSE),8)</f>
        <v>11.200000000000001</v>
      </c>
      <c r="DC168" s="28">
        <f ca="1">Cartera1017[[#This Row],[Dias faltantes]]*IFERROR(VLOOKUP(Cartera1017[[#This Row],[ID Mantenimiento]],MANT_HORAS[],2,FALSE),8)</f>
        <v>0</v>
      </c>
      <c r="DD168" s="28" t="str">
        <f>IF(Cartera1017[[#This Row],[Fin Producción]]=0,"Por definir",CONCATENATE(YEAR(Cartera1017[[#This Row],[Fin Producción]]),"-",ROUNDUP(MONTH(Cartera1017[[#This Row],[Fin Producción]]),0)))</f>
        <v>2026-4</v>
      </c>
      <c r="DE168" s="18" t="s">
        <v>510</v>
      </c>
      <c r="DF168" s="28"/>
      <c r="DG168" s="28"/>
      <c r="DH168" s="565"/>
    </row>
    <row r="169" spans="1:112" ht="44.25" hidden="1" customHeight="1">
      <c r="A169" s="229" t="s">
        <v>1636</v>
      </c>
      <c r="B169" s="18">
        <v>3107</v>
      </c>
      <c r="C169" s="18" t="s">
        <v>485</v>
      </c>
      <c r="D169" s="18" t="s">
        <v>1637</v>
      </c>
      <c r="E169" s="18" t="s">
        <v>347</v>
      </c>
      <c r="F169" s="33" t="s">
        <v>348</v>
      </c>
      <c r="G169" s="19"/>
      <c r="H169" s="18" t="s">
        <v>108</v>
      </c>
      <c r="I169" s="18" t="s">
        <v>811</v>
      </c>
      <c r="J169" s="18" t="s">
        <v>500</v>
      </c>
      <c r="K169" s="20"/>
      <c r="L169" s="50" t="s">
        <v>528</v>
      </c>
      <c r="M169" s="50" t="s">
        <v>968</v>
      </c>
      <c r="N169" s="50"/>
      <c r="O169" s="18" t="s">
        <v>530</v>
      </c>
      <c r="P169" s="18" t="s">
        <v>495</v>
      </c>
      <c r="Q169" s="18" t="s">
        <v>496</v>
      </c>
      <c r="R169" s="18" t="s">
        <v>497</v>
      </c>
      <c r="S169" s="18"/>
      <c r="T169" s="18"/>
      <c r="U169" s="18"/>
      <c r="V169" s="18"/>
      <c r="W169" s="18"/>
      <c r="X169" s="18"/>
      <c r="Y169" s="80"/>
      <c r="Z169" s="18" t="s">
        <v>532</v>
      </c>
      <c r="AA169" s="20">
        <v>45972</v>
      </c>
      <c r="AB169" s="18" t="s">
        <v>500</v>
      </c>
      <c r="AC169" s="18"/>
      <c r="AD169" s="18" t="s">
        <v>123</v>
      </c>
      <c r="AE169" s="18" t="s">
        <v>27</v>
      </c>
      <c r="AF169" s="18" t="s">
        <v>53</v>
      </c>
      <c r="AG169" s="14" t="str">
        <f>VLOOKUP(AF169,Tabla3[[Estado Requerimiento]:[Macro estado]],2,FALSE)</f>
        <v>03. Culminado</v>
      </c>
      <c r="AH169" s="18"/>
      <c r="AI169" s="80"/>
      <c r="AJ169" s="80"/>
      <c r="AK169" s="80">
        <v>45944</v>
      </c>
      <c r="AL169" s="80"/>
      <c r="AM169" s="80"/>
      <c r="AN169" s="80"/>
      <c r="AO169" s="80"/>
      <c r="AP169" s="81" t="str">
        <f t="shared" si="4"/>
        <v/>
      </c>
      <c r="AQ169" s="80">
        <v>46045</v>
      </c>
      <c r="AR169" s="80">
        <v>46051</v>
      </c>
      <c r="AS169" s="81" t="str">
        <f t="shared" si="5"/>
        <v/>
      </c>
      <c r="AT169" s="19" t="s">
        <v>1638</v>
      </c>
      <c r="AU169" s="44" t="str">
        <f>VLOOKUP(Cartera1017[[#This Row],[Gerencia]],tbGerencia[#All],3,FALSE)</f>
        <v>TI</v>
      </c>
      <c r="AV169" s="44" t="str">
        <f>IFERROR(VLOOKUP(Cartera1017[[#This Row],[Subgerencia]],Definiciones!$A$90:$B$144,2,FALSE),"")</f>
        <v>ConstrucciónAplicaciones</v>
      </c>
      <c r="AW169" s="44" t="str">
        <f>IF(OR(LEN(Cartera1017[[#This Row],[Fecha de Solicitud]])=0,(Cartera1017[[#This Row],[Fecha de Solicitud]])="No definido"),"No definido",IF(YEAR(Cartera1017[[#This Row],[Fecha de Solicitud]])&lt;2023," &lt;  2023",TEXT(Cartera1017[[#This Row],[Fecha de Solicitud]],"yyyy-mm")))</f>
        <v>No definido</v>
      </c>
      <c r="AX169" s="44" t="str">
        <f>IF(Cartera1017[[#This Row],[Fecha de Priorización Comité]]="","No definido",TEXT(Cartera1017[[#This Row],[Fecha de Priorización Comité]],"yyyy-mm"))</f>
        <v>2025-11</v>
      </c>
      <c r="AY169" s="44" t="str">
        <f>IF(Cartera1017[[#This Row],[Fecha Fin- Desarrollo]]="","No definido",TEXT(Cartera1017[[#This Row],[Fecha Fin- Desarrollo]],"yyyy-mm"))</f>
        <v>No definido</v>
      </c>
      <c r="AZ169" s="44" t="str">
        <f>IF(Cartera1017[[#This Row],[Fecha Fin- Producción]]="","No definido",TEXT(Cartera1017[[#This Row],[Fecha Fin- Producción]],"yyyy-mm"))</f>
        <v>2026-01</v>
      </c>
      <c r="BA169" s="44" t="str">
        <f>IF(Cartera1017[[#This Row],[Fecha Fin-Planificada]]="","No definido",TEXT(Cartera1017[[#This Row],[Fecha Fin-Planificada]],"yyyy-mm"))</f>
        <v>No definido</v>
      </c>
      <c r="BB169" s="33"/>
      <c r="BC169" s="66"/>
      <c r="BD169" s="66"/>
      <c r="BE169" s="66"/>
      <c r="BF169" s="127"/>
      <c r="BG169" s="28" t="s">
        <v>543</v>
      </c>
      <c r="BH16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107</v>
      </c>
      <c r="BI169" s="90">
        <f>IF(ISNUMBER(Cartera1017[[#This Row],[Duracion en Dias]]),Cartera1017[[#This Row],[Duracion en Dias]]/30, "No Aplica")</f>
        <v>3.5666666666666669</v>
      </c>
      <c r="BJ169" s="109"/>
      <c r="BK169" s="28" t="s">
        <v>506</v>
      </c>
      <c r="BL169" s="110" t="s">
        <v>1639</v>
      </c>
      <c r="BM169" s="342">
        <v>46051.695104166669</v>
      </c>
      <c r="BN169" s="227"/>
      <c r="BO169" s="401"/>
      <c r="BP169" s="401"/>
      <c r="BQ16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69" s="14" t="str">
        <f>IFERROR(VLOOKUP(Cartera1017[[#This Row],[Aplicativo]],Tabla76[],2,FALSE),"Sin Aplicativo")</f>
        <v>ATM-Agentes-VISA</v>
      </c>
      <c r="BS169" s="14" t="str">
        <f>IFERROR(VLOOKUP(Cartera1017[[#This Row],[Aplicativo]],Tabla76[],3,FALSE),"Sin Aplicativo")</f>
        <v>Canales Presenciales</v>
      </c>
      <c r="BT169" s="400"/>
      <c r="BU169" s="33"/>
      <c r="BV169" s="28"/>
      <c r="BW16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46051</v>
      </c>
      <c r="BX16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69" s="149" t="str">
        <f ca="1">IF(Cartera1017[[#This Row],[Fecha Fin2]]="","No definido",CONCATENATE(TEXT(Cartera1017[[#This Row],[Fecha Fin2]],"mmm")," ",YEAR(Cartera1017[[#This Row],[Fecha Fin2]])))</f>
        <v>Ene 2026</v>
      </c>
      <c r="BZ169" s="28"/>
      <c r="CA169" s="48" t="str">
        <f>IF(Cartera1017[[#This Row],[Estado TI]] = "08. Producción Finalizada","Culminado",IF(Cartera1017[[#This Row],[Estado TI]]= "09. Descartado","Descartado","Activos"))</f>
        <v>Culminado</v>
      </c>
      <c r="CB169" s="28"/>
      <c r="CC16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69" s="54" t="str">
        <f>IF(
AND(
Cartera1017[[#This Row],[DEVOLVER 27]]="NO",
NOT(ISBLANK(Cartera1017[[#This Row],[ESTADO NO DEVUELTOS 27]]))
),
"PRE",
"POST"
)</f>
        <v>POST</v>
      </c>
      <c r="CE169" s="54" t="s">
        <v>509</v>
      </c>
      <c r="CF169" s="28"/>
      <c r="CG16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6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6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9" s="406">
        <f>Cartera1017[[#This Row],[Porcentaje de Avance]]</f>
        <v>1</v>
      </c>
      <c r="CK169" s="388">
        <f ca="1">IF(
   OR(
     Cartera1017[[#This Row],[Estado TI]]="09. Descartado",
     Cartera1017[[#This Row],[Comienzo Desarrollo]]="",
     Cartera1017[[#This Row],[Fin Producción]]=""
   ),
   "",
   Cartera1017[[#This Row],[% PLANIFICADO]]-Cartera1017[[#This Row],[% COMPLETADO]]
)</f>
        <v>0</v>
      </c>
      <c r="CL169" s="388">
        <f ca="1">IF(
   OR(
     Cartera1017[[#This Row],[Estado TI]]="09. Descartado",
     Cartera1017[[#This Row],[Comienzo Desarrollo]]="",
     Cartera1017[[#This Row],[Fin Producción]]="",
     Cartera1017[[#This Row],[% PLANIFICADO]]=0
   ),
   "",
   MIN(Cartera1017[[#This Row],[% COMPLETADO]]/Cartera1017[[#This Row],[% PLANIFICADO]],1.2)
)</f>
        <v>1</v>
      </c>
      <c r="CM169" s="377">
        <v>45944</v>
      </c>
      <c r="CN169" s="377">
        <v>45944</v>
      </c>
      <c r="CO169" s="377" t="s">
        <v>1143</v>
      </c>
      <c r="CP169" s="377" t="s">
        <v>1143</v>
      </c>
      <c r="CQ169" s="377" t="s">
        <v>1143</v>
      </c>
      <c r="CR169" s="377">
        <v>46045</v>
      </c>
      <c r="CS169" s="377">
        <v>46051</v>
      </c>
      <c r="CT169" s="44">
        <f>IF(Cartera1017[[#This Row],[Fin Desarrollo]]="",25,IFERROR(NETWORKDAYS(Cartera1017[[#This Row],[Comienzo Desarrollo]],Cartera1017[[#This Row],[Fin Desarrollo]],FERIADOS[Fecha]),""))</f>
        <v>25</v>
      </c>
      <c r="CU16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69" s="44">
        <f>IF(OR(Cartera1017[[#This Row],[Comienzo Desarrollo]]="",Cartera1017[[#This Row],[Fin Desarrollo]]=""),200,IFERROR(Cartera1017[[#This Row],[DURACIÓN DESARROLLO DIAS]]*VLOOKUP(Cartera1017[[#This Row],[ID Mantenimiento]],MANT_HORAS[],2,FALSE),200))</f>
        <v>200</v>
      </c>
      <c r="CW169" s="110"/>
      <c r="CX169" s="110" t="str">
        <f>VLOOKUP(Cartera1017[[#This Row],[Estado TI]],Definiciones!$A$549:$B$559,2,FALSE)</f>
        <v>4. PRODUCCIÓN</v>
      </c>
      <c r="CY169" s="28">
        <f ca="1">1-Cartera1017[[#This Row],[Porcentaje avanzado desarrollo]]</f>
        <v>0.9</v>
      </c>
      <c r="CZ16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69" s="28">
        <f ca="1">MAX(0,Cartera1017[[#This Row],[DURACIÓN DESARROLLO DIAS]]-Cartera1017[[#This Row],[Dias avanzados]])</f>
        <v>24</v>
      </c>
      <c r="DB169" s="28">
        <f ca="1">Cartera1017[[#This Row],[Dias avanzados]]*IFERROR(VLOOKUP(Cartera1017[[#This Row],[ID Mantenimiento]],MANT_HORAS[],2,FALSE),8)</f>
        <v>8</v>
      </c>
      <c r="DC169" s="28">
        <f ca="1">Cartera1017[[#This Row],[Dias faltantes]]*IFERROR(VLOOKUP(Cartera1017[[#This Row],[ID Mantenimiento]],MANT_HORAS[],2,FALSE),8)</f>
        <v>192</v>
      </c>
      <c r="DD169" s="28" t="str">
        <f>IF(Cartera1017[[#This Row],[Fin Producción]]=0,"Por definir",CONCATENATE(YEAR(Cartera1017[[#This Row],[Fin Producción]]),"-",ROUNDUP(MONTH(Cartera1017[[#This Row],[Fin Producción]]),0)))</f>
        <v>2026-1</v>
      </c>
      <c r="DE169" s="18" t="s">
        <v>510</v>
      </c>
      <c r="DF169" s="28"/>
      <c r="DG169" s="28"/>
      <c r="DH169" s="565"/>
    </row>
    <row r="170" spans="1:112" ht="44.25" hidden="1" customHeight="1">
      <c r="A170" s="229" t="s">
        <v>1640</v>
      </c>
      <c r="B170" s="18">
        <v>3109</v>
      </c>
      <c r="C170" s="18" t="s">
        <v>485</v>
      </c>
      <c r="D170" s="18" t="s">
        <v>1641</v>
      </c>
      <c r="E170" s="18" t="s">
        <v>349</v>
      </c>
      <c r="F170" s="33" t="s">
        <v>350</v>
      </c>
      <c r="G170" s="19"/>
      <c r="H170" s="18" t="s">
        <v>33</v>
      </c>
      <c r="I170" s="18" t="s">
        <v>727</v>
      </c>
      <c r="J170" s="18" t="s">
        <v>1148</v>
      </c>
      <c r="K170" s="20"/>
      <c r="L170" s="50" t="s">
        <v>528</v>
      </c>
      <c r="M170" s="50" t="s">
        <v>1149</v>
      </c>
      <c r="N170" s="50"/>
      <c r="O170" s="18" t="s">
        <v>548</v>
      </c>
      <c r="P170" s="18" t="s">
        <v>1077</v>
      </c>
      <c r="Q170" s="18" t="s">
        <v>496</v>
      </c>
      <c r="R170" s="18" t="s">
        <v>497</v>
      </c>
      <c r="S170" s="18"/>
      <c r="T170" s="18"/>
      <c r="U170" s="18"/>
      <c r="V170" s="18"/>
      <c r="W170" s="18"/>
      <c r="X170" s="18"/>
      <c r="Y170" s="80"/>
      <c r="Z170" s="18" t="s">
        <v>532</v>
      </c>
      <c r="AA170" s="20">
        <v>45972</v>
      </c>
      <c r="AB170" s="18" t="s">
        <v>500</v>
      </c>
      <c r="AC170" s="18"/>
      <c r="AD170" s="18" t="s">
        <v>165</v>
      </c>
      <c r="AE170" s="18" t="s">
        <v>34</v>
      </c>
      <c r="AF170" s="18" t="s">
        <v>53</v>
      </c>
      <c r="AG170" s="14" t="str">
        <f>VLOOKUP(AF170,Tabla3[[Estado Requerimiento]:[Macro estado]],2,FALSE)</f>
        <v>03. Culminado</v>
      </c>
      <c r="AH170" s="18"/>
      <c r="AI170" s="80"/>
      <c r="AJ170" s="80"/>
      <c r="AK170" s="80">
        <v>45957</v>
      </c>
      <c r="AL170" s="80">
        <v>46028</v>
      </c>
      <c r="AM170" s="80"/>
      <c r="AN170" s="80">
        <v>46029</v>
      </c>
      <c r="AO170" s="80">
        <v>46079</v>
      </c>
      <c r="AP170" s="81">
        <f t="shared" si="4"/>
        <v>46056.4</v>
      </c>
      <c r="AQ170" s="80">
        <v>46090</v>
      </c>
      <c r="AR170" s="80">
        <v>46108</v>
      </c>
      <c r="AS170" s="81">
        <f t="shared" si="5"/>
        <v>46063.4</v>
      </c>
      <c r="AT170" s="19" t="s">
        <v>1642</v>
      </c>
      <c r="AU170" s="44" t="str">
        <f>VLOOKUP(Cartera1017[[#This Row],[Gerencia]],tbGerencia[#All],3,FALSE)</f>
        <v>Productos</v>
      </c>
      <c r="AV170" s="44" t="str">
        <f>IFERROR(VLOOKUP(Cartera1017[[#This Row],[Subgerencia]],Definiciones!$A$90:$B$144,2,FALSE),"")</f>
        <v>BancaPersonal</v>
      </c>
      <c r="AW170" s="44" t="str">
        <f>IF(OR(LEN(Cartera1017[[#This Row],[Fecha de Solicitud]])=0,(Cartera1017[[#This Row],[Fecha de Solicitud]])="No definido"),"No definido",IF(YEAR(Cartera1017[[#This Row],[Fecha de Solicitud]])&lt;2023," &lt;  2023",TEXT(Cartera1017[[#This Row],[Fecha de Solicitud]],"yyyy-mm")))</f>
        <v>No definido</v>
      </c>
      <c r="AX170" s="44" t="str">
        <f>IF(Cartera1017[[#This Row],[Fecha de Priorización Comité]]="","No definido",TEXT(Cartera1017[[#This Row],[Fecha de Priorización Comité]],"yyyy-mm"))</f>
        <v>2025-11</v>
      </c>
      <c r="AY170" s="44" t="str">
        <f>IF(Cartera1017[[#This Row],[Fecha Fin- Desarrollo]]="","No definido",TEXT(Cartera1017[[#This Row],[Fecha Fin- Desarrollo]],"yyyy-mm"))</f>
        <v>2026-01</v>
      </c>
      <c r="AZ170" s="44" t="str">
        <f>IF(Cartera1017[[#This Row],[Fecha Fin- Producción]]="","No definido",TEXT(Cartera1017[[#This Row],[Fecha Fin- Producción]],"yyyy-mm"))</f>
        <v>2026-03</v>
      </c>
      <c r="BA170" s="44" t="str">
        <f>IF(Cartera1017[[#This Row],[Fecha Fin-Planificada]]="","No definido",TEXT(Cartera1017[[#This Row],[Fecha Fin-Planificada]],"yyyy-mm"))</f>
        <v>2026-02</v>
      </c>
      <c r="BB170" s="33"/>
      <c r="BC170" s="66"/>
      <c r="BD170" s="66"/>
      <c r="BE170" s="66"/>
      <c r="BF170" s="127"/>
      <c r="BG170" s="28" t="s">
        <v>543</v>
      </c>
      <c r="BH17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151</v>
      </c>
      <c r="BI170" s="90">
        <f>IF(ISNUMBER(Cartera1017[[#This Row],[Duracion en Dias]]),Cartera1017[[#This Row],[Duracion en Dias]]/30, "No Aplica")</f>
        <v>5.0333333333333332</v>
      </c>
      <c r="BJ170" s="109"/>
      <c r="BK170" s="28" t="s">
        <v>506</v>
      </c>
      <c r="BL170" s="110" t="s">
        <v>536</v>
      </c>
      <c r="BM170" s="342">
        <v>46108.446932870371</v>
      </c>
      <c r="BN170" s="227"/>
      <c r="BO170" s="401"/>
      <c r="BP170" s="401"/>
      <c r="BQ17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70" s="14" t="str">
        <f>IFERROR(VLOOKUP(Cartera1017[[#This Row],[Aplicativo]],Tabla76[],2,FALSE),"Sin Aplicativo")</f>
        <v>Préstamos Multired</v>
      </c>
      <c r="BS170" s="14" t="str">
        <f>IFERROR(VLOOKUP(Cartera1017[[#This Row],[Aplicativo]],Tabla76[],3,FALSE),"Sin Aplicativo")</f>
        <v>Productos</v>
      </c>
      <c r="BT170" s="400"/>
      <c r="BU170" s="33"/>
      <c r="BV170" s="28"/>
      <c r="BW17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46108</v>
      </c>
      <c r="BX17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70" s="149" t="str">
        <f ca="1">IF(Cartera1017[[#This Row],[Fecha Fin2]]="","No definido",CONCATENATE(TEXT(Cartera1017[[#This Row],[Fecha Fin2]],"mmm")," ",YEAR(Cartera1017[[#This Row],[Fecha Fin2]])))</f>
        <v>Mar 2026</v>
      </c>
      <c r="BZ170" s="28"/>
      <c r="CA170" s="48" t="str">
        <f>IF(Cartera1017[[#This Row],[Estado TI]] = "08. Producción Finalizada","Culminado",IF(Cartera1017[[#This Row],[Estado TI]]= "09. Descartado","Descartado","Activos"))</f>
        <v>Culminado</v>
      </c>
      <c r="CB170" s="28"/>
      <c r="CC17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70" s="54" t="str">
        <f>IF(
AND(
Cartera1017[[#This Row],[DEVOLVER 27]]="NO",
NOT(ISBLANK(Cartera1017[[#This Row],[ESTADO NO DEVUELTOS 27]]))
),
"PRE",
"POST"
)</f>
        <v>POST</v>
      </c>
      <c r="CE170" s="54" t="s">
        <v>509</v>
      </c>
      <c r="CF170" s="28"/>
      <c r="CG17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7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7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0" s="406">
        <f>Cartera1017[[#This Row],[Porcentaje de Avance]]</f>
        <v>1</v>
      </c>
      <c r="CK170" s="388">
        <f ca="1">IF(
   OR(
     Cartera1017[[#This Row],[Estado TI]]="09. Descartado",
     Cartera1017[[#This Row],[Comienzo Desarrollo]]="",
     Cartera1017[[#This Row],[Fin Producción]]=""
   ),
   "",
   Cartera1017[[#This Row],[% PLANIFICADO]]-Cartera1017[[#This Row],[% COMPLETADO]]
)</f>
        <v>0</v>
      </c>
      <c r="CL170" s="388">
        <f ca="1">IF(
   OR(
     Cartera1017[[#This Row],[Estado TI]]="09. Descartado",
     Cartera1017[[#This Row],[Comienzo Desarrollo]]="",
     Cartera1017[[#This Row],[Fin Producción]]="",
     Cartera1017[[#This Row],[% PLANIFICADO]]=0
   ),
   "",
   MIN(Cartera1017[[#This Row],[% COMPLETADO]]/Cartera1017[[#This Row],[% PLANIFICADO]],1.2)
)</f>
        <v>1</v>
      </c>
      <c r="CM170" s="377">
        <v>45957</v>
      </c>
      <c r="CN170" s="377">
        <v>45957</v>
      </c>
      <c r="CO170" s="377">
        <v>46028</v>
      </c>
      <c r="CP170" s="377">
        <v>46029</v>
      </c>
      <c r="CQ170" s="377">
        <v>46097</v>
      </c>
      <c r="CR170" s="377">
        <v>46098</v>
      </c>
      <c r="CS170" s="377">
        <v>46108</v>
      </c>
      <c r="CT170" s="44">
        <f>IF(Cartera1017[[#This Row],[Fin Desarrollo]]="",25,IFERROR(NETWORKDAYS(Cartera1017[[#This Row],[Comienzo Desarrollo]],Cartera1017[[#This Row],[Fin Desarrollo]],FERIADOS[Fecha]),""))</f>
        <v>47</v>
      </c>
      <c r="CU17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70" s="44">
        <f>IF(OR(Cartera1017[[#This Row],[Comienzo Desarrollo]]="",Cartera1017[[#This Row],[Fin Desarrollo]]=""),200,IFERROR(Cartera1017[[#This Row],[DURACIÓN DESARROLLO DIAS]]*VLOOKUP(Cartera1017[[#This Row],[ID Mantenimiento]],MANT_HORAS[],2,FALSE),200))</f>
        <v>200</v>
      </c>
      <c r="CW170" s="110"/>
      <c r="CX170" s="110" t="str">
        <f>VLOOKUP(Cartera1017[[#This Row],[Estado TI]],Definiciones!$A$549:$B$559,2,FALSE)</f>
        <v>4. PRODUCCIÓN</v>
      </c>
      <c r="CY170" s="28">
        <f ca="1">1-Cartera1017[[#This Row],[Porcentaje avanzado desarrollo]]</f>
        <v>0</v>
      </c>
      <c r="CZ17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47</v>
      </c>
      <c r="DA170" s="28">
        <f ca="1">MAX(0,Cartera1017[[#This Row],[DURACIÓN DESARROLLO DIAS]]-Cartera1017[[#This Row],[Dias avanzados]])</f>
        <v>0</v>
      </c>
      <c r="DB170" s="28">
        <f ca="1">Cartera1017[[#This Row],[Dias avanzados]]*IFERROR(VLOOKUP(Cartera1017[[#This Row],[ID Mantenimiento]],MANT_HORAS[],2,FALSE),8)</f>
        <v>376</v>
      </c>
      <c r="DC170" s="28">
        <f ca="1">Cartera1017[[#This Row],[Dias faltantes]]*IFERROR(VLOOKUP(Cartera1017[[#This Row],[ID Mantenimiento]],MANT_HORAS[],2,FALSE),8)</f>
        <v>0</v>
      </c>
      <c r="DD170" s="28" t="str">
        <f>IF(Cartera1017[[#This Row],[Fin Producción]]=0,"Por definir",CONCATENATE(YEAR(Cartera1017[[#This Row],[Fin Producción]]),"-",ROUNDUP(MONTH(Cartera1017[[#This Row],[Fin Producción]]),0)))</f>
        <v>2026-3</v>
      </c>
      <c r="DE170" s="18" t="s">
        <v>510</v>
      </c>
      <c r="DF170" s="28"/>
      <c r="DG170" s="28"/>
      <c r="DH170" s="565"/>
    </row>
    <row r="171" spans="1:112" s="376" customFormat="1" ht="44.25" hidden="1" customHeight="1">
      <c r="A171" s="229" t="s">
        <v>1643</v>
      </c>
      <c r="B171" s="18">
        <v>3115</v>
      </c>
      <c r="C171" s="18" t="s">
        <v>485</v>
      </c>
      <c r="D171" s="18" t="s">
        <v>1644</v>
      </c>
      <c r="E171" s="18" t="s">
        <v>352</v>
      </c>
      <c r="F171" s="33" t="s">
        <v>353</v>
      </c>
      <c r="G171" s="18"/>
      <c r="H171" s="18" t="s">
        <v>108</v>
      </c>
      <c r="I171" s="18" t="s">
        <v>1645</v>
      </c>
      <c r="J171" s="18" t="s">
        <v>1646</v>
      </c>
      <c r="K171" s="20">
        <v>45968</v>
      </c>
      <c r="L171" s="50" t="s">
        <v>1647</v>
      </c>
      <c r="M171" s="50" t="s">
        <v>710</v>
      </c>
      <c r="N171" s="50"/>
      <c r="O171" s="18" t="s">
        <v>712</v>
      </c>
      <c r="P171" s="18" t="s">
        <v>495</v>
      </c>
      <c r="Q171" s="18" t="s">
        <v>496</v>
      </c>
      <c r="R171" s="18" t="s">
        <v>531</v>
      </c>
      <c r="S171" s="18"/>
      <c r="T171" s="18"/>
      <c r="U171" s="18"/>
      <c r="V171" s="18"/>
      <c r="W171" s="18"/>
      <c r="X171" s="18"/>
      <c r="Y171" s="80"/>
      <c r="Z171" s="18" t="s">
        <v>499</v>
      </c>
      <c r="AA171" s="20">
        <v>46003</v>
      </c>
      <c r="AB171" s="18" t="s">
        <v>713</v>
      </c>
      <c r="AC171" s="18"/>
      <c r="AD171" s="18" t="s">
        <v>324</v>
      </c>
      <c r="AE171" s="18" t="s">
        <v>109</v>
      </c>
      <c r="AF171" s="18" t="s">
        <v>48</v>
      </c>
      <c r="AG171" s="14" t="str">
        <f>VLOOKUP(AF171,Tabla3[[Estado Requerimiento]:[Macro estado]],2,FALSE)</f>
        <v>02. En Proceso</v>
      </c>
      <c r="AH171" s="18"/>
      <c r="AI171" s="80"/>
      <c r="AJ171" s="80"/>
      <c r="AK171" s="80">
        <v>45988</v>
      </c>
      <c r="AL171" s="80"/>
      <c r="AM171" s="80"/>
      <c r="AN171" s="80"/>
      <c r="AO171" s="80"/>
      <c r="AP171" s="81" t="str">
        <f t="shared" si="4"/>
        <v/>
      </c>
      <c r="AQ171" s="80"/>
      <c r="AR171" s="80"/>
      <c r="AS171" s="81" t="str">
        <f t="shared" si="5"/>
        <v/>
      </c>
      <c r="AT171" s="19" t="s">
        <v>1648</v>
      </c>
      <c r="AU171" s="44" t="str">
        <f>VLOOKUP(Cartera1017[[#This Row],[Gerencia]],tbGerencia[#All],3,FALSE)</f>
        <v>TI</v>
      </c>
      <c r="AV171" s="44" t="str">
        <f>IFERROR(VLOOKUP(Cartera1017[[#This Row],[Subgerencia]],Definiciones!$A$90:$B$144,2,FALSE),"")</f>
        <v/>
      </c>
      <c r="AW171" s="44" t="str">
        <f>IF(OR(LEN(Cartera1017[[#This Row],[Fecha de Solicitud]])=0,(Cartera1017[[#This Row],[Fecha de Solicitud]])="No definido"),"No definido",IF(YEAR(Cartera1017[[#This Row],[Fecha de Solicitud]])&lt;2023," &lt;  2023",TEXT(Cartera1017[[#This Row],[Fecha de Solicitud]],"yyyy-mm")))</f>
        <v>2025-11</v>
      </c>
      <c r="AX171" s="44" t="str">
        <f>IF(Cartera1017[[#This Row],[Fecha de Priorización Comité]]="","No definido",TEXT(Cartera1017[[#This Row],[Fecha de Priorización Comité]],"yyyy-mm"))</f>
        <v>2025-12</v>
      </c>
      <c r="AY171" s="44" t="str">
        <f>IF(Cartera1017[[#This Row],[Fecha Fin- Desarrollo]]="","No definido",TEXT(Cartera1017[[#This Row],[Fecha Fin- Desarrollo]],"yyyy-mm"))</f>
        <v>No definido</v>
      </c>
      <c r="AZ171" s="44" t="str">
        <f>IF(Cartera1017[[#This Row],[Fecha Fin- Producción]]="","No definido",TEXT(Cartera1017[[#This Row],[Fecha Fin- Producción]],"yyyy-mm"))</f>
        <v>No definido</v>
      </c>
      <c r="BA171" s="44" t="str">
        <f>IF(Cartera1017[[#This Row],[Fecha Fin-Planificada]]="","No definido",TEXT(Cartera1017[[#This Row],[Fecha Fin-Planificada]],"yyyy-mm"))</f>
        <v>No definido</v>
      </c>
      <c r="BB171" s="33"/>
      <c r="BC171" s="108"/>
      <c r="BD171" s="108"/>
      <c r="BE171" s="108"/>
      <c r="BF171" s="127"/>
      <c r="BG171" s="28" t="s">
        <v>543</v>
      </c>
      <c r="BH17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1" s="90" t="str">
        <f>IF(ISNUMBER(Cartera1017[[#This Row],[Duracion en Dias]]),Cartera1017[[#This Row],[Duracion en Dias]]/30, "No Aplica")</f>
        <v>No Aplica</v>
      </c>
      <c r="BJ171" s="109"/>
      <c r="BK171" s="28" t="s">
        <v>613</v>
      </c>
      <c r="BL171" s="110" t="s">
        <v>592</v>
      </c>
      <c r="BM171" s="342">
        <v>46147.682268518518</v>
      </c>
      <c r="BN171" s="227"/>
      <c r="BO171" s="98"/>
      <c r="BP171" s="401"/>
      <c r="BQ17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71" s="14" t="str">
        <f>IFERROR(VLOOKUP(Cartera1017[[#This Row],[Aplicativo]],Tabla76[],2,FALSE),"Sin Aplicativo")</f>
        <v>Banca Movil</v>
      </c>
      <c r="BS171" s="14" t="str">
        <f>IFERROR(VLOOKUP(Cartera1017[[#This Row],[Aplicativo]],Tabla76[],3,FALSE),"Sin Aplicativo")</f>
        <v>Canales Virtuales</v>
      </c>
      <c r="BT171" s="400"/>
      <c r="BU171" s="28"/>
      <c r="BV171" s="28"/>
      <c r="BW17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1" s="149" t="str">
        <f ca="1">IF(Cartera1017[[#This Row],[Fecha Fin2]]="","No definido",CONCATENATE(TEXT(Cartera1017[[#This Row],[Fecha Fin2]],"mmm")," ",YEAR(Cartera1017[[#This Row],[Fecha Fin2]])))</f>
        <v>No definido</v>
      </c>
      <c r="BZ171" s="28"/>
      <c r="CA171" s="48" t="str">
        <f>IF(Cartera1017[[#This Row],[Estado TI]] = "08. Producción Finalizada","Culminado",IF(Cartera1017[[#This Row],[Estado TI]]= "09. Descartado","Descartado","Activos"))</f>
        <v>Activos</v>
      </c>
      <c r="CB171" s="28"/>
      <c r="CC17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71" s="54" t="str">
        <f>IF(
AND(
Cartera1017[[#This Row],[DEVOLVER 27]]="NO",
NOT(ISBLANK(Cartera1017[[#This Row],[ESTADO NO DEVUELTOS 27]]))
),
"PRE",
"POST"
)</f>
        <v>POST</v>
      </c>
      <c r="CE171" s="54" t="s">
        <v>509</v>
      </c>
      <c r="CF171" s="28"/>
      <c r="CG17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7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1" s="406">
        <f>Cartera1017[[#This Row],[Porcentaje de Avance]]</f>
        <v>0.25</v>
      </c>
      <c r="CK171" s="388">
        <f ca="1">IF(
   OR(
     Cartera1017[[#This Row],[Estado TI]]="09. Descartado",
     Cartera1017[[#This Row],[Comienzo Desarrollo]]="",
     Cartera1017[[#This Row],[Fin Producción]]=""
   ),
   "",
   Cartera1017[[#This Row],[% PLANIFICADO]]-Cartera1017[[#This Row],[% COMPLETADO]]
)</f>
        <v>0.75</v>
      </c>
      <c r="CL171" s="388">
        <f ca="1">IF(
   OR(
     Cartera1017[[#This Row],[Estado TI]]="09. Descartado",
     Cartera1017[[#This Row],[Comienzo Desarrollo]]="",
     Cartera1017[[#This Row],[Fin Producción]]="",
     Cartera1017[[#This Row],[% PLANIFICADO]]=0
   ),
   "",
   MIN(Cartera1017[[#This Row],[% COMPLETADO]]/Cartera1017[[#This Row],[% PLANIFICADO]],1.2)
)</f>
        <v>0.25</v>
      </c>
      <c r="CM171" s="377">
        <v>45988</v>
      </c>
      <c r="CN171" s="377">
        <v>46083</v>
      </c>
      <c r="CO171" s="377">
        <v>46105</v>
      </c>
      <c r="CP171" s="377">
        <v>46107</v>
      </c>
      <c r="CQ171" s="377">
        <v>46111</v>
      </c>
      <c r="CR171" s="377">
        <v>46113</v>
      </c>
      <c r="CS171" s="377">
        <v>46118</v>
      </c>
      <c r="CT171" s="44">
        <f>IF(Cartera1017[[#This Row],[Fin Desarrollo]]="",25,IFERROR(NETWORKDAYS(Cartera1017[[#This Row],[Comienzo Desarrollo]],Cartera1017[[#This Row],[Fin Desarrollo]],FERIADOS[Fecha]),""))</f>
        <v>17</v>
      </c>
      <c r="CU17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71" s="44">
        <f>IF(OR(Cartera1017[[#This Row],[Comienzo Desarrollo]]="",Cartera1017[[#This Row],[Fin Desarrollo]]=""),200,IFERROR(Cartera1017[[#This Row],[DURACIÓN DESARROLLO DIAS]]*VLOOKUP(Cartera1017[[#This Row],[ID Mantenimiento]],MANT_HORAS[],2,FALSE),200))</f>
        <v>68</v>
      </c>
      <c r="CW171" s="110"/>
      <c r="CX171" s="110" t="str">
        <f>VLOOKUP(Cartera1017[[#This Row],[Estado TI]],Definiciones!$A$549:$B$559,2,FALSE)</f>
        <v>1. DESARROLLO</v>
      </c>
      <c r="CY171" s="28">
        <f ca="1">1-Cartera1017[[#This Row],[Porcentaje avanzado desarrollo]]</f>
        <v>0</v>
      </c>
      <c r="CZ17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17</v>
      </c>
      <c r="DA171" s="28">
        <f ca="1">MAX(0,Cartera1017[[#This Row],[DURACIÓN DESARROLLO DIAS]]-Cartera1017[[#This Row],[Dias avanzados]])</f>
        <v>0</v>
      </c>
      <c r="DB171" s="28">
        <f ca="1">Cartera1017[[#This Row],[Dias avanzados]]*IFERROR(VLOOKUP(Cartera1017[[#This Row],[ID Mantenimiento]],MANT_HORAS[],2,FALSE),8)</f>
        <v>68</v>
      </c>
      <c r="DC171" s="28">
        <f ca="1">Cartera1017[[#This Row],[Dias faltantes]]*IFERROR(VLOOKUP(Cartera1017[[#This Row],[ID Mantenimiento]],MANT_HORAS[],2,FALSE),8)</f>
        <v>0</v>
      </c>
      <c r="DD171" s="28" t="str">
        <f>IF(Cartera1017[[#This Row],[Fin Producción]]=0,"Por definir",CONCATENATE(YEAR(Cartera1017[[#This Row],[Fin Producción]]),"-",ROUNDUP(MONTH(Cartera1017[[#This Row],[Fin Producción]]),0)))</f>
        <v>2026-4</v>
      </c>
      <c r="DE171" s="18" t="s">
        <v>510</v>
      </c>
      <c r="DF171" s="28"/>
      <c r="DG171" s="28"/>
      <c r="DH171" s="565"/>
    </row>
    <row r="172" spans="1:112" s="376" customFormat="1" ht="44.25" hidden="1" customHeight="1">
      <c r="A172" s="229" t="s">
        <v>1649</v>
      </c>
      <c r="B172" s="18">
        <v>3116</v>
      </c>
      <c r="C172" s="18" t="s">
        <v>485</v>
      </c>
      <c r="D172" s="18" t="s">
        <v>1650</v>
      </c>
      <c r="E172" s="18" t="s">
        <v>354</v>
      </c>
      <c r="F172" s="18" t="s">
        <v>355</v>
      </c>
      <c r="G172" s="18"/>
      <c r="H172" s="18" t="s">
        <v>40</v>
      </c>
      <c r="I172" s="18" t="s">
        <v>842</v>
      </c>
      <c r="J172" s="18" t="s">
        <v>1494</v>
      </c>
      <c r="K172" s="20">
        <v>45985</v>
      </c>
      <c r="L172" s="50" t="s">
        <v>1651</v>
      </c>
      <c r="M172" s="50" t="s">
        <v>1496</v>
      </c>
      <c r="N172" s="50"/>
      <c r="O172" s="18" t="s">
        <v>548</v>
      </c>
      <c r="P172" s="18" t="s">
        <v>495</v>
      </c>
      <c r="Q172" s="18" t="s">
        <v>496</v>
      </c>
      <c r="R172" s="18" t="s">
        <v>497</v>
      </c>
      <c r="S172" s="18"/>
      <c r="T172" s="18"/>
      <c r="U172" s="18"/>
      <c r="V172" s="18"/>
      <c r="W172" s="18"/>
      <c r="X172" s="18"/>
      <c r="Y172" s="80" t="s">
        <v>495</v>
      </c>
      <c r="Z172" s="18" t="s">
        <v>499</v>
      </c>
      <c r="AA172" s="20">
        <v>46003</v>
      </c>
      <c r="AB172" s="18" t="s">
        <v>533</v>
      </c>
      <c r="AC172" s="18" t="s">
        <v>501</v>
      </c>
      <c r="AD172" s="228" t="s">
        <v>356</v>
      </c>
      <c r="AE172" s="18" t="s">
        <v>41</v>
      </c>
      <c r="AF172" s="18" t="s">
        <v>53</v>
      </c>
      <c r="AG172" s="14" t="str">
        <f>VLOOKUP(AF172,Tabla3[[Estado Requerimiento]:[Macro estado]],2,FALSE)</f>
        <v>03. Culminado</v>
      </c>
      <c r="AH172" s="18"/>
      <c r="AI172" s="80"/>
      <c r="AJ172" s="80"/>
      <c r="AK172" s="80">
        <v>46002</v>
      </c>
      <c r="AL172" s="80">
        <v>46034</v>
      </c>
      <c r="AM172" s="80"/>
      <c r="AN172" s="80">
        <v>46036</v>
      </c>
      <c r="AO172" s="80">
        <v>46050</v>
      </c>
      <c r="AP172" s="81">
        <f t="shared" si="4"/>
        <v>46046.8</v>
      </c>
      <c r="AQ172" s="80">
        <v>46065</v>
      </c>
      <c r="AR172" s="80">
        <v>46065</v>
      </c>
      <c r="AS172" s="81">
        <f t="shared" si="5"/>
        <v>46053.8</v>
      </c>
      <c r="AT172" s="19" t="s">
        <v>1652</v>
      </c>
      <c r="AU172" s="44" t="str">
        <f>VLOOKUP(Cartera1017[[#This Row],[Gerencia]],tbGerencia[#All],3,FALSE)</f>
        <v>Operac.</v>
      </c>
      <c r="AV172" s="44" t="str">
        <f>IFERROR(VLOOKUP(Cartera1017[[#This Row],[Subgerencia]],Definiciones!$A$90:$B$144,2,FALSE),"")</f>
        <v>CajaValores</v>
      </c>
      <c r="AW172" s="44" t="str">
        <f>IF(OR(LEN(Cartera1017[[#This Row],[Fecha de Solicitud]])=0,(Cartera1017[[#This Row],[Fecha de Solicitud]])="No definido"),"No definido",IF(YEAR(Cartera1017[[#This Row],[Fecha de Solicitud]])&lt;2023," &lt;  2023",TEXT(Cartera1017[[#This Row],[Fecha de Solicitud]],"yyyy-mm")))</f>
        <v>2025-11</v>
      </c>
      <c r="AX172" s="44" t="str">
        <f>IF(Cartera1017[[#This Row],[Fecha de Priorización Comité]]="","No definido",TEXT(Cartera1017[[#This Row],[Fecha de Priorización Comité]],"yyyy-mm"))</f>
        <v>2025-12</v>
      </c>
      <c r="AY172" s="44" t="str">
        <f>IF(Cartera1017[[#This Row],[Fecha Fin- Desarrollo]]="","No definido",TEXT(Cartera1017[[#This Row],[Fecha Fin- Desarrollo]],"yyyy-mm"))</f>
        <v>2026-01</v>
      </c>
      <c r="AZ172" s="44" t="str">
        <f>IF(Cartera1017[[#This Row],[Fecha Fin- Producción]]="","No definido",TEXT(Cartera1017[[#This Row],[Fecha Fin- Producción]],"yyyy-mm"))</f>
        <v>2026-02</v>
      </c>
      <c r="BA172" s="44" t="str">
        <f>IF(Cartera1017[[#This Row],[Fecha Fin-Planificada]]="","No definido",TEXT(Cartera1017[[#This Row],[Fecha Fin-Planificada]],"yyyy-mm"))</f>
        <v>2026-01</v>
      </c>
      <c r="BB172" s="33"/>
      <c r="BC172" s="108"/>
      <c r="BD172" s="108"/>
      <c r="BE172" s="108"/>
      <c r="BF172" s="127"/>
      <c r="BG172" s="28" t="s">
        <v>543</v>
      </c>
      <c r="BH17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63</v>
      </c>
      <c r="BI172" s="90">
        <f>IF(ISNUMBER(Cartera1017[[#This Row],[Duracion en Dias]]),Cartera1017[[#This Row],[Duracion en Dias]]/30, "No Aplica")</f>
        <v>2.1</v>
      </c>
      <c r="BJ172" s="109"/>
      <c r="BK172" s="28" t="s">
        <v>506</v>
      </c>
      <c r="BL172" s="110" t="s">
        <v>536</v>
      </c>
      <c r="BM172" s="342">
        <v>46065.658703703702</v>
      </c>
      <c r="BN172" s="227"/>
      <c r="BO172" s="98"/>
      <c r="BP172" s="401"/>
      <c r="BQ17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72" s="14" t="str">
        <f>IFERROR(VLOOKUP(Cartera1017[[#This Row],[Aplicativo]],Tabla76[],2,FALSE),"Sin Aplicativo")</f>
        <v>BackOffice</v>
      </c>
      <c r="BS172" s="14" t="str">
        <f>IFERROR(VLOOKUP(Cartera1017[[#This Row],[Aplicativo]],Tabla76[],3,FALSE),"Sin Aplicativo")</f>
        <v>Otros Requerimientos</v>
      </c>
      <c r="BT172" s="400"/>
      <c r="BU172" s="28"/>
      <c r="BV172" s="28"/>
      <c r="BW17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46065</v>
      </c>
      <c r="BX17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72" s="149" t="str">
        <f ca="1">IF(Cartera1017[[#This Row],[Fecha Fin2]]="","No definido",CONCATENATE(TEXT(Cartera1017[[#This Row],[Fecha Fin2]],"mmm")," ",YEAR(Cartera1017[[#This Row],[Fecha Fin2]])))</f>
        <v>Feb 2026</v>
      </c>
      <c r="BZ172" s="28"/>
      <c r="CA172" s="48" t="str">
        <f>IF(Cartera1017[[#This Row],[Estado TI]] = "08. Producción Finalizada","Culminado",IF(Cartera1017[[#This Row],[Estado TI]]= "09. Descartado","Descartado","Activos"))</f>
        <v>Culminado</v>
      </c>
      <c r="CB172" s="28"/>
      <c r="CC17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72" s="54" t="str">
        <f>IF(
AND(
Cartera1017[[#This Row],[DEVOLVER 27]]="NO",
NOT(ISBLANK(Cartera1017[[#This Row],[ESTADO NO DEVUELTOS 27]]))
),
"PRE",
"POST"
)</f>
        <v>POST</v>
      </c>
      <c r="CE172" s="54" t="s">
        <v>509</v>
      </c>
      <c r="CF172" s="28"/>
      <c r="CG17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7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7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2" s="406">
        <f>Cartera1017[[#This Row],[Porcentaje de Avance]]</f>
        <v>1</v>
      </c>
      <c r="CK172" s="388">
        <f ca="1">IF(
   OR(
     Cartera1017[[#This Row],[Estado TI]]="09. Descartado",
     Cartera1017[[#This Row],[Comienzo Desarrollo]]="",
     Cartera1017[[#This Row],[Fin Producción]]=""
   ),
   "",
   Cartera1017[[#This Row],[% PLANIFICADO]]-Cartera1017[[#This Row],[% COMPLETADO]]
)</f>
        <v>0</v>
      </c>
      <c r="CL172" s="388">
        <f ca="1">IF(
   OR(
     Cartera1017[[#This Row],[Estado TI]]="09. Descartado",
     Cartera1017[[#This Row],[Comienzo Desarrollo]]="",
     Cartera1017[[#This Row],[Fin Producción]]="",
     Cartera1017[[#This Row],[% PLANIFICADO]]=0
   ),
   "",
   MIN(Cartera1017[[#This Row],[% COMPLETADO]]/Cartera1017[[#This Row],[% PLANIFICADO]],1.2)
)</f>
        <v>1</v>
      </c>
      <c r="CM172" s="377">
        <v>46002</v>
      </c>
      <c r="CN172" s="377">
        <v>46002</v>
      </c>
      <c r="CO172" s="377">
        <v>46034</v>
      </c>
      <c r="CP172" s="377">
        <v>46036</v>
      </c>
      <c r="CQ172" s="377">
        <v>46050</v>
      </c>
      <c r="CR172" s="377">
        <v>46065</v>
      </c>
      <c r="CS172" s="377">
        <v>46087</v>
      </c>
      <c r="CT172" s="44">
        <f>IF(Cartera1017[[#This Row],[Fin Desarrollo]]="",25,IFERROR(NETWORKDAYS(Cartera1017[[#This Row],[Comienzo Desarrollo]],Cartera1017[[#This Row],[Fin Desarrollo]],FERIADOS[Fecha]),""))</f>
        <v>19</v>
      </c>
      <c r="CU17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72" s="44">
        <f>IF(OR(Cartera1017[[#This Row],[Comienzo Desarrollo]]="",Cartera1017[[#This Row],[Fin Desarrollo]]=""),200,IFERROR(Cartera1017[[#This Row],[DURACIÓN DESARROLLO DIAS]]*VLOOKUP(Cartera1017[[#This Row],[ID Mantenimiento]],MANT_HORAS[],2,FALSE),200))</f>
        <v>200</v>
      </c>
      <c r="CW172" s="110"/>
      <c r="CX172" s="110" t="str">
        <f>VLOOKUP(Cartera1017[[#This Row],[Estado TI]],Definiciones!$A$549:$B$559,2,FALSE)</f>
        <v>4. PRODUCCIÓN</v>
      </c>
      <c r="CY172" s="28">
        <f ca="1">1-Cartera1017[[#This Row],[Porcentaje avanzado desarrollo]]</f>
        <v>0</v>
      </c>
      <c r="CZ17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v>
      </c>
      <c r="DA172" s="28">
        <f ca="1">MAX(0,Cartera1017[[#This Row],[DURACIÓN DESARROLLO DIAS]]-Cartera1017[[#This Row],[Dias avanzados]])</f>
        <v>0</v>
      </c>
      <c r="DB172" s="28">
        <f ca="1">Cartera1017[[#This Row],[Dias avanzados]]*IFERROR(VLOOKUP(Cartera1017[[#This Row],[ID Mantenimiento]],MANT_HORAS[],2,FALSE),8)</f>
        <v>152</v>
      </c>
      <c r="DC172" s="28">
        <f ca="1">Cartera1017[[#This Row],[Dias faltantes]]*IFERROR(VLOOKUP(Cartera1017[[#This Row],[ID Mantenimiento]],MANT_HORAS[],2,FALSE),8)</f>
        <v>0</v>
      </c>
      <c r="DD172" s="28" t="str">
        <f>IF(Cartera1017[[#This Row],[Fin Producción]]=0,"Por definir",CONCATENATE(YEAR(Cartera1017[[#This Row],[Fin Producción]]),"-",ROUNDUP(MONTH(Cartera1017[[#This Row],[Fin Producción]]),0)))</f>
        <v>2026-3</v>
      </c>
      <c r="DE172" s="18" t="s">
        <v>510</v>
      </c>
      <c r="DF172" s="28"/>
      <c r="DG172" s="28"/>
      <c r="DH172" s="565"/>
    </row>
    <row r="173" spans="1:112" s="376" customFormat="1" ht="44.25" hidden="1" customHeight="1">
      <c r="A173" s="229" t="s">
        <v>1653</v>
      </c>
      <c r="B173" s="18">
        <v>3118</v>
      </c>
      <c r="C173" s="18" t="s">
        <v>485</v>
      </c>
      <c r="D173" s="18" t="s">
        <v>1654</v>
      </c>
      <c r="E173" s="18" t="s">
        <v>357</v>
      </c>
      <c r="F173" s="33" t="s">
        <v>358</v>
      </c>
      <c r="G173" s="18"/>
      <c r="H173" s="18" t="s">
        <v>108</v>
      </c>
      <c r="I173" s="18" t="s">
        <v>1645</v>
      </c>
      <c r="J173" s="18" t="s">
        <v>1646</v>
      </c>
      <c r="K173" s="20">
        <v>45968</v>
      </c>
      <c r="L173" s="50" t="s">
        <v>1647</v>
      </c>
      <c r="M173" s="50" t="s">
        <v>710</v>
      </c>
      <c r="N173" s="50"/>
      <c r="O173" s="18" t="s">
        <v>712</v>
      </c>
      <c r="P173" s="18" t="s">
        <v>495</v>
      </c>
      <c r="Q173" s="18" t="s">
        <v>496</v>
      </c>
      <c r="R173" s="18" t="s">
        <v>531</v>
      </c>
      <c r="S173" s="18"/>
      <c r="T173" s="18"/>
      <c r="U173" s="18"/>
      <c r="V173" s="18"/>
      <c r="W173" s="18"/>
      <c r="X173" s="18"/>
      <c r="Y173" s="80"/>
      <c r="Z173" s="18" t="s">
        <v>499</v>
      </c>
      <c r="AA173" s="20">
        <v>46003</v>
      </c>
      <c r="AB173" s="18" t="s">
        <v>713</v>
      </c>
      <c r="AC173" s="18"/>
      <c r="AD173" s="18" t="s">
        <v>324</v>
      </c>
      <c r="AE173" s="18" t="s">
        <v>109</v>
      </c>
      <c r="AF173" s="18" t="s">
        <v>48</v>
      </c>
      <c r="AG173" s="14" t="str">
        <f>VLOOKUP(AF173,Tabla3[[Estado Requerimiento]:[Macro estado]],2,FALSE)</f>
        <v>02. En Proceso</v>
      </c>
      <c r="AH173" s="18"/>
      <c r="AI173" s="80"/>
      <c r="AJ173" s="80"/>
      <c r="AK173" s="80">
        <v>45988</v>
      </c>
      <c r="AL173" s="80"/>
      <c r="AM173" s="80"/>
      <c r="AN173" s="80"/>
      <c r="AO173" s="80"/>
      <c r="AP173" s="81" t="str">
        <f t="shared" si="4"/>
        <v/>
      </c>
      <c r="AQ173" s="80"/>
      <c r="AR173" s="80"/>
      <c r="AS173" s="81" t="str">
        <f t="shared" si="5"/>
        <v/>
      </c>
      <c r="AT173" s="19" t="s">
        <v>1648</v>
      </c>
      <c r="AU173" s="44" t="str">
        <f>VLOOKUP(Cartera1017[[#This Row],[Gerencia]],tbGerencia[#All],3,FALSE)</f>
        <v>TI</v>
      </c>
      <c r="AV173" s="44" t="str">
        <f>IFERROR(VLOOKUP(Cartera1017[[#This Row],[Subgerencia]],Definiciones!$A$90:$B$144,2,FALSE),"")</f>
        <v/>
      </c>
      <c r="AW173" s="44" t="str">
        <f>IF(OR(LEN(Cartera1017[[#This Row],[Fecha de Solicitud]])=0,(Cartera1017[[#This Row],[Fecha de Solicitud]])="No definido"),"No definido",IF(YEAR(Cartera1017[[#This Row],[Fecha de Solicitud]])&lt;2023," &lt;  2023",TEXT(Cartera1017[[#This Row],[Fecha de Solicitud]],"yyyy-mm")))</f>
        <v>2025-11</v>
      </c>
      <c r="AX173" s="44" t="str">
        <f>IF(Cartera1017[[#This Row],[Fecha de Priorización Comité]]="","No definido",TEXT(Cartera1017[[#This Row],[Fecha de Priorización Comité]],"yyyy-mm"))</f>
        <v>2025-12</v>
      </c>
      <c r="AY173" s="44" t="str">
        <f>IF(Cartera1017[[#This Row],[Fecha Fin- Desarrollo]]="","No definido",TEXT(Cartera1017[[#This Row],[Fecha Fin- Desarrollo]],"yyyy-mm"))</f>
        <v>No definido</v>
      </c>
      <c r="AZ173" s="44" t="str">
        <f>IF(Cartera1017[[#This Row],[Fecha Fin- Producción]]="","No definido",TEXT(Cartera1017[[#This Row],[Fecha Fin- Producción]],"yyyy-mm"))</f>
        <v>No definido</v>
      </c>
      <c r="BA173" s="44" t="str">
        <f>IF(Cartera1017[[#This Row],[Fecha Fin-Planificada]]="","No definido",TEXT(Cartera1017[[#This Row],[Fecha Fin-Planificada]],"yyyy-mm"))</f>
        <v>No definido</v>
      </c>
      <c r="BB173" s="33"/>
      <c r="BC173" s="108"/>
      <c r="BD173" s="108"/>
      <c r="BE173" s="108"/>
      <c r="BF173" s="127"/>
      <c r="BG173" s="28" t="s">
        <v>543</v>
      </c>
      <c r="BH17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3" s="90" t="str">
        <f>IF(ISNUMBER(Cartera1017[[#This Row],[Duracion en Dias]]),Cartera1017[[#This Row],[Duracion en Dias]]/30, "No Aplica")</f>
        <v>No Aplica</v>
      </c>
      <c r="BJ173" s="109"/>
      <c r="BK173" s="28" t="s">
        <v>613</v>
      </c>
      <c r="BL173" s="110" t="s">
        <v>592</v>
      </c>
      <c r="BM173" s="342">
        <v>46147.682881944442</v>
      </c>
      <c r="BN173" s="227"/>
      <c r="BO173" s="98"/>
      <c r="BP173" s="401"/>
      <c r="BQ17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73" s="14" t="str">
        <f>IFERROR(VLOOKUP(Cartera1017[[#This Row],[Aplicativo]],Tabla76[],2,FALSE),"Sin Aplicativo")</f>
        <v>Banca Movil</v>
      </c>
      <c r="BS173" s="14" t="str">
        <f>IFERROR(VLOOKUP(Cartera1017[[#This Row],[Aplicativo]],Tabla76[],3,FALSE),"Sin Aplicativo")</f>
        <v>Canales Virtuales</v>
      </c>
      <c r="BT173" s="400"/>
      <c r="BU173" s="28"/>
      <c r="BV173" s="28"/>
      <c r="BW17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3" s="149" t="str">
        <f ca="1">IF(Cartera1017[[#This Row],[Fecha Fin2]]="","No definido",CONCATENATE(TEXT(Cartera1017[[#This Row],[Fecha Fin2]],"mmm")," ",YEAR(Cartera1017[[#This Row],[Fecha Fin2]])))</f>
        <v>No definido</v>
      </c>
      <c r="BZ173" s="28"/>
      <c r="CA173" s="48" t="str">
        <f>IF(Cartera1017[[#This Row],[Estado TI]] = "08. Producción Finalizada","Culminado",IF(Cartera1017[[#This Row],[Estado TI]]= "09. Descartado","Descartado","Activos"))</f>
        <v>Activos</v>
      </c>
      <c r="CB173" s="28"/>
      <c r="CC17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73" s="54" t="str">
        <f>IF(
AND(
Cartera1017[[#This Row],[DEVOLVER 27]]="NO",
NOT(ISBLANK(Cartera1017[[#This Row],[ESTADO NO DEVUELTOS 27]]))
),
"PRE",
"POST"
)</f>
        <v>POST</v>
      </c>
      <c r="CE173" s="54" t="s">
        <v>509</v>
      </c>
      <c r="CF173" s="28"/>
      <c r="CG17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7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3" s="406">
        <f>Cartera1017[[#This Row],[Porcentaje de Avance]]</f>
        <v>0.25</v>
      </c>
      <c r="CK173" s="388">
        <f ca="1">IF(
   OR(
     Cartera1017[[#This Row],[Estado TI]]="09. Descartado",
     Cartera1017[[#This Row],[Comienzo Desarrollo]]="",
     Cartera1017[[#This Row],[Fin Producción]]=""
   ),
   "",
   Cartera1017[[#This Row],[% PLANIFICADO]]-Cartera1017[[#This Row],[% COMPLETADO]]
)</f>
        <v>0.75</v>
      </c>
      <c r="CL173" s="388">
        <f ca="1">IF(
   OR(
     Cartera1017[[#This Row],[Estado TI]]="09. Descartado",
     Cartera1017[[#This Row],[Comienzo Desarrollo]]="",
     Cartera1017[[#This Row],[Fin Producción]]="",
     Cartera1017[[#This Row],[% PLANIFICADO]]=0
   ),
   "",
   MIN(Cartera1017[[#This Row],[% COMPLETADO]]/Cartera1017[[#This Row],[% PLANIFICADO]],1.2)
)</f>
        <v>0.25</v>
      </c>
      <c r="CM173" s="377">
        <v>45988</v>
      </c>
      <c r="CN173" s="377">
        <v>46083</v>
      </c>
      <c r="CO173" s="377">
        <v>46105</v>
      </c>
      <c r="CP173" s="377">
        <v>46107</v>
      </c>
      <c r="CQ173" s="377">
        <v>46111</v>
      </c>
      <c r="CR173" s="377">
        <v>46113</v>
      </c>
      <c r="CS173" s="377">
        <v>46118</v>
      </c>
      <c r="CT173" s="44">
        <f>IF(Cartera1017[[#This Row],[Fin Desarrollo]]="",25,IFERROR(NETWORKDAYS(Cartera1017[[#This Row],[Comienzo Desarrollo]],Cartera1017[[#This Row],[Fin Desarrollo]],FERIADOS[Fecha]),""))</f>
        <v>17</v>
      </c>
      <c r="CU17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73" s="44">
        <f>IF(OR(Cartera1017[[#This Row],[Comienzo Desarrollo]]="",Cartera1017[[#This Row],[Fin Desarrollo]]=""),200,IFERROR(Cartera1017[[#This Row],[DURACIÓN DESARROLLO DIAS]]*VLOOKUP(Cartera1017[[#This Row],[ID Mantenimiento]],MANT_HORAS[],2,FALSE),200))</f>
        <v>68</v>
      </c>
      <c r="CW173" s="110"/>
      <c r="CX173" s="110" t="str">
        <f>VLOOKUP(Cartera1017[[#This Row],[Estado TI]],Definiciones!$A$549:$B$559,2,FALSE)</f>
        <v>1. DESARROLLO</v>
      </c>
      <c r="CY173" s="28">
        <f ca="1">1-Cartera1017[[#This Row],[Porcentaje avanzado desarrollo]]</f>
        <v>0</v>
      </c>
      <c r="CZ17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17</v>
      </c>
      <c r="DA173" s="28">
        <f ca="1">MAX(0,Cartera1017[[#This Row],[DURACIÓN DESARROLLO DIAS]]-Cartera1017[[#This Row],[Dias avanzados]])</f>
        <v>0</v>
      </c>
      <c r="DB173" s="28">
        <f ca="1">Cartera1017[[#This Row],[Dias avanzados]]*IFERROR(VLOOKUP(Cartera1017[[#This Row],[ID Mantenimiento]],MANT_HORAS[],2,FALSE),8)</f>
        <v>68</v>
      </c>
      <c r="DC173" s="28">
        <f ca="1">Cartera1017[[#This Row],[Dias faltantes]]*IFERROR(VLOOKUP(Cartera1017[[#This Row],[ID Mantenimiento]],MANT_HORAS[],2,FALSE),8)</f>
        <v>0</v>
      </c>
      <c r="DD173" s="28" t="str">
        <f>IF(Cartera1017[[#This Row],[Fin Producción]]=0,"Por definir",CONCATENATE(YEAR(Cartera1017[[#This Row],[Fin Producción]]),"-",ROUNDUP(MONTH(Cartera1017[[#This Row],[Fin Producción]]),0)))</f>
        <v>2026-4</v>
      </c>
      <c r="DE173" s="18" t="s">
        <v>510</v>
      </c>
      <c r="DF173" s="28"/>
      <c r="DG173" s="28"/>
      <c r="DH173" s="565"/>
    </row>
    <row r="174" spans="1:112" s="376" customFormat="1" ht="44.25" hidden="1" customHeight="1">
      <c r="A174" s="229" t="s">
        <v>1655</v>
      </c>
      <c r="B174" s="18">
        <v>3119</v>
      </c>
      <c r="C174" s="18" t="s">
        <v>485</v>
      </c>
      <c r="D174" s="18" t="s">
        <v>1656</v>
      </c>
      <c r="E174" s="18" t="s">
        <v>359</v>
      </c>
      <c r="F174" s="19" t="s">
        <v>1657</v>
      </c>
      <c r="G174" s="18"/>
      <c r="H174" s="18" t="s">
        <v>52</v>
      </c>
      <c r="I174" s="18" t="s">
        <v>596</v>
      </c>
      <c r="J174" s="18" t="s">
        <v>1444</v>
      </c>
      <c r="K174" s="20">
        <v>45986</v>
      </c>
      <c r="L174" s="50" t="s">
        <v>1445</v>
      </c>
      <c r="M174" s="50" t="s">
        <v>870</v>
      </c>
      <c r="N174" s="50"/>
      <c r="O174" s="18" t="s">
        <v>530</v>
      </c>
      <c r="P174" s="18" t="s">
        <v>495</v>
      </c>
      <c r="Q174" s="18" t="s">
        <v>496</v>
      </c>
      <c r="R174" s="18" t="s">
        <v>599</v>
      </c>
      <c r="S174" s="18"/>
      <c r="T174" s="18" t="s">
        <v>600</v>
      </c>
      <c r="U174" s="18" t="s">
        <v>1658</v>
      </c>
      <c r="V174" s="18"/>
      <c r="W174" s="18"/>
      <c r="X174" s="18"/>
      <c r="Y174" s="80"/>
      <c r="Z174" s="18" t="s">
        <v>499</v>
      </c>
      <c r="AA174" s="20">
        <v>46003</v>
      </c>
      <c r="AB174" s="18" t="s">
        <v>533</v>
      </c>
      <c r="AC174" s="18"/>
      <c r="AD174" s="18" t="s">
        <v>76</v>
      </c>
      <c r="AE174" s="18" t="s">
        <v>47</v>
      </c>
      <c r="AF174" s="18" t="s">
        <v>87</v>
      </c>
      <c r="AG174" s="14" t="str">
        <f>VLOOKUP(AF174,Tabla3[[Estado Requerimiento]:[Macro estado]],2,FALSE)</f>
        <v>02. En Proceso</v>
      </c>
      <c r="AH174" s="18"/>
      <c r="AI174" s="80"/>
      <c r="AJ174" s="80"/>
      <c r="AK174" s="80">
        <v>46125</v>
      </c>
      <c r="AL174" s="80">
        <v>46125</v>
      </c>
      <c r="AM174" s="80"/>
      <c r="AN174" s="80">
        <v>46127</v>
      </c>
      <c r="AO174" s="80"/>
      <c r="AP174" s="81">
        <f t="shared" si="4"/>
        <v>46125</v>
      </c>
      <c r="AQ174" s="80"/>
      <c r="AR174" s="80"/>
      <c r="AS174" s="81">
        <f t="shared" si="5"/>
        <v>46132</v>
      </c>
      <c r="AT174" s="19" t="s">
        <v>1659</v>
      </c>
      <c r="AU174" s="44" t="str">
        <f>VLOOKUP(Cartera1017[[#This Row],[Gerencia]],tbGerencia[#All],3,FALSE)</f>
        <v>Finanzas</v>
      </c>
      <c r="AV174" s="44" t="str">
        <f>IFERROR(VLOOKUP(Cartera1017[[#This Row],[Subgerencia]],Definiciones!$A$90:$B$144,2,FALSE),"")</f>
        <v>Contabilidad</v>
      </c>
      <c r="AW174" s="44" t="str">
        <f>IF(OR(LEN(Cartera1017[[#This Row],[Fecha de Solicitud]])=0,(Cartera1017[[#This Row],[Fecha de Solicitud]])="No definido"),"No definido",IF(YEAR(Cartera1017[[#This Row],[Fecha de Solicitud]])&lt;2023," &lt;  2023",TEXT(Cartera1017[[#This Row],[Fecha de Solicitud]],"yyyy-mm")))</f>
        <v>2025-11</v>
      </c>
      <c r="AX174" s="44" t="str">
        <f>IF(Cartera1017[[#This Row],[Fecha de Priorización Comité]]="","No definido",TEXT(Cartera1017[[#This Row],[Fecha de Priorización Comité]],"yyyy-mm"))</f>
        <v>2025-12</v>
      </c>
      <c r="AY174" s="44" t="str">
        <f>IF(Cartera1017[[#This Row],[Fecha Fin- Desarrollo]]="","No definido",TEXT(Cartera1017[[#This Row],[Fecha Fin- Desarrollo]],"yyyy-mm"))</f>
        <v>2026-04</v>
      </c>
      <c r="AZ174" s="44" t="str">
        <f>IF(Cartera1017[[#This Row],[Fecha Fin- Producción]]="","No definido",TEXT(Cartera1017[[#This Row],[Fecha Fin- Producción]],"yyyy-mm"))</f>
        <v>No definido</v>
      </c>
      <c r="BA174" s="44" t="str">
        <f>IF(Cartera1017[[#This Row],[Fecha Fin-Planificada]]="","No definido",TEXT(Cartera1017[[#This Row],[Fecha Fin-Planificada]],"yyyy-mm"))</f>
        <v>2026-04</v>
      </c>
      <c r="BB174" s="33"/>
      <c r="BC174" s="108"/>
      <c r="BD174" s="108"/>
      <c r="BE174" s="108"/>
      <c r="BF174" s="127"/>
      <c r="BG174" s="28" t="s">
        <v>543</v>
      </c>
      <c r="BH17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4" s="90" t="str">
        <f>IF(ISNUMBER(Cartera1017[[#This Row],[Duracion en Dias]]),Cartera1017[[#This Row],[Duracion en Dias]]/30, "No Aplica")</f>
        <v>No Aplica</v>
      </c>
      <c r="BJ174" s="109"/>
      <c r="BK174" s="28" t="s">
        <v>506</v>
      </c>
      <c r="BL174" s="110" t="s">
        <v>1260</v>
      </c>
      <c r="BM174" s="342">
        <v>46127.797326388885</v>
      </c>
      <c r="BN174" s="227"/>
      <c r="BO174" s="98"/>
      <c r="BP174" s="401"/>
      <c r="BQ17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4" s="14" t="str">
        <f>IFERROR(VLOOKUP(Cartera1017[[#This Row],[Aplicativo]],Tabla76[],2,FALSE),"Sin Aplicativo")</f>
        <v>Oracle</v>
      </c>
      <c r="BS174" s="14" t="str">
        <f>IFERROR(VLOOKUP(Cartera1017[[#This Row],[Aplicativo]],Tabla76[],3,FALSE),"Sin Aplicativo")</f>
        <v>Otros Requerimientos</v>
      </c>
      <c r="BT174" s="400"/>
      <c r="BU174" s="28"/>
      <c r="BV174" s="28"/>
      <c r="BW17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4" s="149" t="str">
        <f ca="1">IF(Cartera1017[[#This Row],[Fecha Fin2]]="","No definido",CONCATENATE(TEXT(Cartera1017[[#This Row],[Fecha Fin2]],"mmm")," ",YEAR(Cartera1017[[#This Row],[Fecha Fin2]])))</f>
        <v>No definido</v>
      </c>
      <c r="BZ174" s="28"/>
      <c r="CA174" s="48" t="str">
        <f>IF(Cartera1017[[#This Row],[Estado TI]] = "08. Producción Finalizada","Culminado",IF(Cartera1017[[#This Row],[Estado TI]]= "09. Descartado","Descartado","Activos"))</f>
        <v>Activos</v>
      </c>
      <c r="CB174" s="28"/>
      <c r="CC17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174" s="54" t="str">
        <f>IF(
AND(
Cartera1017[[#This Row],[DEVOLVER 27]]="NO",
NOT(ISBLANK(Cartera1017[[#This Row],[ESTADO NO DEVUELTOS 27]]))
),
"PRE",
"POST"
)</f>
        <v>POST</v>
      </c>
      <c r="CE174" s="54" t="s">
        <v>509</v>
      </c>
      <c r="CF174" s="28"/>
      <c r="CG17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7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0.90654205607476634</v>
      </c>
      <c r="CJ174" s="406">
        <f>Cartera1017[[#This Row],[Porcentaje de Avance]]</f>
        <v>0.7</v>
      </c>
      <c r="CK174" s="388">
        <f ca="1">IF(
   OR(
     Cartera1017[[#This Row],[Estado TI]]="09. Descartado",
     Cartera1017[[#This Row],[Comienzo Desarrollo]]="",
     Cartera1017[[#This Row],[Fin Producción]]=""
   ),
   "",
   Cartera1017[[#This Row],[% PLANIFICADO]]-Cartera1017[[#This Row],[% COMPLETADO]]
)</f>
        <v>0.20654205607476639</v>
      </c>
      <c r="CL174" s="388">
        <f ca="1">IF(
   OR(
     Cartera1017[[#This Row],[Estado TI]]="09. Descartado",
     Cartera1017[[#This Row],[Comienzo Desarrollo]]="",
     Cartera1017[[#This Row],[Fin Producción]]="",
     Cartera1017[[#This Row],[% PLANIFICADO]]=0
   ),
   "",
   MIN(Cartera1017[[#This Row],[% COMPLETADO]]/Cartera1017[[#This Row],[% PLANIFICADO]],1.2)
)</f>
        <v>0.77216494845360817</v>
      </c>
      <c r="CM174" s="377">
        <v>46037</v>
      </c>
      <c r="CN174" s="377">
        <v>46027</v>
      </c>
      <c r="CO174" s="377">
        <v>46122</v>
      </c>
      <c r="CP174" s="377">
        <v>46123</v>
      </c>
      <c r="CQ174" s="377">
        <v>46170</v>
      </c>
      <c r="CR174" s="377">
        <v>46171</v>
      </c>
      <c r="CS174" s="377">
        <v>46176</v>
      </c>
      <c r="CT174" s="44">
        <f>IF(Cartera1017[[#This Row],[Fin Desarrollo]]="",25,IFERROR(NETWORKDAYS(Cartera1017[[#This Row],[Comienzo Desarrollo]],Cartera1017[[#This Row],[Fin Desarrollo]],FERIADOS[Fecha]),""))</f>
        <v>70</v>
      </c>
      <c r="CU17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74" s="44">
        <f>IF(OR(Cartera1017[[#This Row],[Comienzo Desarrollo]]="",Cartera1017[[#This Row],[Fin Desarrollo]]=""),200,IFERROR(Cartera1017[[#This Row],[DURACIÓN DESARROLLO DIAS]]*VLOOKUP(Cartera1017[[#This Row],[ID Mantenimiento]],MANT_HORAS[],2,FALSE),200))</f>
        <v>200</v>
      </c>
      <c r="CW174" s="110"/>
      <c r="CX174" s="110" t="str">
        <f>VLOOKUP(Cartera1017[[#This Row],[Estado TI]],Definiciones!$A$549:$B$559,2,FALSE)</f>
        <v>2. CALIDAD</v>
      </c>
      <c r="CY174" s="28">
        <f ca="1">1-Cartera1017[[#This Row],[Porcentaje avanzado desarrollo]]</f>
        <v>0</v>
      </c>
      <c r="CZ17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70</v>
      </c>
      <c r="DA174" s="28">
        <f ca="1">MAX(0,Cartera1017[[#This Row],[DURACIÓN DESARROLLO DIAS]]-Cartera1017[[#This Row],[Dias avanzados]])</f>
        <v>0</v>
      </c>
      <c r="DB174" s="28">
        <f ca="1">Cartera1017[[#This Row],[Dias avanzados]]*IFERROR(VLOOKUP(Cartera1017[[#This Row],[ID Mantenimiento]],MANT_HORAS[],2,FALSE),8)</f>
        <v>560</v>
      </c>
      <c r="DC174" s="28">
        <f ca="1">Cartera1017[[#This Row],[Dias faltantes]]*IFERROR(VLOOKUP(Cartera1017[[#This Row],[ID Mantenimiento]],MANT_HORAS[],2,FALSE),8)</f>
        <v>0</v>
      </c>
      <c r="DD174" s="28" t="str">
        <f>IF(Cartera1017[[#This Row],[Fin Producción]]=0,"Por definir",CONCATENATE(YEAR(Cartera1017[[#This Row],[Fin Producción]]),"-",ROUNDUP(MONTH(Cartera1017[[#This Row],[Fin Producción]]),0)))</f>
        <v>2026-6</v>
      </c>
      <c r="DE174" s="18" t="s">
        <v>510</v>
      </c>
      <c r="DF174" s="28"/>
      <c r="DG174" s="28"/>
      <c r="DH174" s="565"/>
    </row>
    <row r="175" spans="1:112" s="376" customFormat="1" ht="44.25" hidden="1" customHeight="1">
      <c r="A175" s="229" t="s">
        <v>1660</v>
      </c>
      <c r="B175" s="18">
        <v>3121</v>
      </c>
      <c r="C175" s="18" t="s">
        <v>485</v>
      </c>
      <c r="D175" s="18" t="s">
        <v>1661</v>
      </c>
      <c r="E175" s="18" t="s">
        <v>361</v>
      </c>
      <c r="F175" s="18" t="s">
        <v>362</v>
      </c>
      <c r="G175" s="18" t="s">
        <v>1662</v>
      </c>
      <c r="H175" s="18" t="s">
        <v>40</v>
      </c>
      <c r="I175" s="18" t="s">
        <v>577</v>
      </c>
      <c r="J175" s="18" t="s">
        <v>1118</v>
      </c>
      <c r="K175" s="20">
        <v>45968</v>
      </c>
      <c r="L175" s="50" t="s">
        <v>1663</v>
      </c>
      <c r="M175" s="50" t="s">
        <v>597</v>
      </c>
      <c r="N175" s="114" t="s">
        <v>598</v>
      </c>
      <c r="O175" s="18" t="s">
        <v>548</v>
      </c>
      <c r="P175" s="18" t="s">
        <v>549</v>
      </c>
      <c r="Q175" s="18" t="s">
        <v>797</v>
      </c>
      <c r="R175" s="18" t="s">
        <v>599</v>
      </c>
      <c r="S175" s="18"/>
      <c r="T175" s="18" t="s">
        <v>600</v>
      </c>
      <c r="U175" s="18" t="s">
        <v>915</v>
      </c>
      <c r="V175" s="18"/>
      <c r="W175" s="18"/>
      <c r="X175" s="18"/>
      <c r="Y175" s="80" t="s">
        <v>495</v>
      </c>
      <c r="Z175" s="18" t="s">
        <v>532</v>
      </c>
      <c r="AA175" s="20">
        <v>46003</v>
      </c>
      <c r="AB175" s="18" t="s">
        <v>500</v>
      </c>
      <c r="AC175" s="18" t="s">
        <v>501</v>
      </c>
      <c r="AD175" s="18" t="s">
        <v>126</v>
      </c>
      <c r="AE175" s="18" t="s">
        <v>47</v>
      </c>
      <c r="AF175" s="18" t="s">
        <v>28</v>
      </c>
      <c r="AG175" s="14" t="str">
        <f>VLOOKUP(AF175,Tabla3[[Estado Requerimiento]:[Macro estado]],2,FALSE)</f>
        <v>04. Paralizado</v>
      </c>
      <c r="AH175" s="18"/>
      <c r="AI175" s="80"/>
      <c r="AJ175" s="80"/>
      <c r="AK175" s="80">
        <v>46146</v>
      </c>
      <c r="AL175" s="80">
        <v>46077</v>
      </c>
      <c r="AM175" s="80"/>
      <c r="AN175" s="541">
        <v>46083</v>
      </c>
      <c r="AO175" s="80"/>
      <c r="AP175" s="81">
        <f t="shared" si="4"/>
        <v>46049.4</v>
      </c>
      <c r="AQ175" s="80"/>
      <c r="AR175" s="80"/>
      <c r="AS175" s="81">
        <f t="shared" si="5"/>
        <v>46056.4</v>
      </c>
      <c r="AT175" s="19" t="s">
        <v>1664</v>
      </c>
      <c r="AU175" s="44" t="str">
        <f>VLOOKUP(Cartera1017[[#This Row],[Gerencia]],tbGerencia[#All],3,FALSE)</f>
        <v>Operac.</v>
      </c>
      <c r="AV175" s="44" t="str">
        <f>IFERROR(VLOOKUP(Cartera1017[[#This Row],[Subgerencia]],Definiciones!$A$90:$B$144,2,FALSE),"")</f>
        <v>CaptacionesPagaduría</v>
      </c>
      <c r="AW175" s="44" t="str">
        <f>IF(OR(LEN(Cartera1017[[#This Row],[Fecha de Solicitud]])=0,(Cartera1017[[#This Row],[Fecha de Solicitud]])="No definido"),"No definido",IF(YEAR(Cartera1017[[#This Row],[Fecha de Solicitud]])&lt;2023," &lt;  2023",TEXT(Cartera1017[[#This Row],[Fecha de Solicitud]],"yyyy-mm")))</f>
        <v>2025-11</v>
      </c>
      <c r="AX175" s="44" t="str">
        <f>IF(Cartera1017[[#This Row],[Fecha de Priorización Comité]]="","No definido",TEXT(Cartera1017[[#This Row],[Fecha de Priorización Comité]],"yyyy-mm"))</f>
        <v>2025-12</v>
      </c>
      <c r="AY175" s="44" t="str">
        <f>IF(Cartera1017[[#This Row],[Fecha Fin- Desarrollo]]="","No definido",TEXT(Cartera1017[[#This Row],[Fecha Fin- Desarrollo]],"yyyy-mm"))</f>
        <v>2026-02</v>
      </c>
      <c r="AZ175" s="44" t="str">
        <f>IF(Cartera1017[[#This Row],[Fecha Fin- Producción]]="","No definido",TEXT(Cartera1017[[#This Row],[Fecha Fin- Producción]],"yyyy-mm"))</f>
        <v>No definido</v>
      </c>
      <c r="BA175" s="44" t="str">
        <f>IF(Cartera1017[[#This Row],[Fecha Fin-Planificada]]="","No definido",TEXT(Cartera1017[[#This Row],[Fecha Fin-Planificada]],"yyyy-mm"))</f>
        <v>2026-02</v>
      </c>
      <c r="BB175" s="33"/>
      <c r="BC175" s="108"/>
      <c r="BD175" s="108"/>
      <c r="BE175" s="108"/>
      <c r="BF175" s="127"/>
      <c r="BG175" s="28" t="s">
        <v>543</v>
      </c>
      <c r="BH17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5" s="90" t="str">
        <f>IF(ISNUMBER(Cartera1017[[#This Row],[Duracion en Dias]]),Cartera1017[[#This Row],[Duracion en Dias]]/30, "No Aplica")</f>
        <v>No Aplica</v>
      </c>
      <c r="BJ175" s="109"/>
      <c r="BK175" s="28" t="s">
        <v>506</v>
      </c>
      <c r="BL175" s="110" t="s">
        <v>562</v>
      </c>
      <c r="BM175" s="342">
        <v>46146.429189814815</v>
      </c>
      <c r="BN175" s="227"/>
      <c r="BO175" s="98"/>
      <c r="BP175" s="401"/>
      <c r="BQ17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5" s="14" t="str">
        <f>IFERROR(VLOOKUP(Cartera1017[[#This Row],[Aplicativo]],Tabla76[],2,FALSE),"Sin Aplicativo")</f>
        <v>BackOffice</v>
      </c>
      <c r="BS175" s="14" t="str">
        <f>IFERROR(VLOOKUP(Cartera1017[[#This Row],[Aplicativo]],Tabla76[],3,FALSE),"Sin Aplicativo")</f>
        <v>Otros Requerimientos</v>
      </c>
      <c r="BT175" s="400"/>
      <c r="BU175" s="28"/>
      <c r="BV175" s="28"/>
      <c r="BW17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5" s="149" t="str">
        <f ca="1">IF(Cartera1017[[#This Row],[Fecha Fin2]]="","No definido",CONCATENATE(TEXT(Cartera1017[[#This Row],[Fecha Fin2]],"mmm")," ",YEAR(Cartera1017[[#This Row],[Fecha Fin2]])))</f>
        <v>No definido</v>
      </c>
      <c r="BZ175" s="28"/>
      <c r="CA175" s="48" t="str">
        <f>IF(Cartera1017[[#This Row],[Estado TI]] = "08. Producción Finalizada","Culminado",IF(Cartera1017[[#This Row],[Estado TI]]= "09. Descartado","Descartado","Activos"))</f>
        <v>Activos</v>
      </c>
      <c r="CB175" s="28"/>
      <c r="CC17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75" s="54" t="str">
        <f>IF(
AND(
Cartera1017[[#This Row],[DEVOLVER 27]]="NO",
NOT(ISBLANK(Cartera1017[[#This Row],[ESTADO NO DEVUELTOS 27]]))
),
"PRE",
"POST"
)</f>
        <v>POST</v>
      </c>
      <c r="CE175" s="54" t="s">
        <v>509</v>
      </c>
      <c r="CF175" s="28"/>
      <c r="CG17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7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7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5" s="406">
        <f>Cartera1017[[#This Row],[Porcentaje de Avance]]</f>
        <v>0.12</v>
      </c>
      <c r="CK175" s="388">
        <f ca="1">IF(
   OR(
     Cartera1017[[#This Row],[Estado TI]]="09. Descartado",
     Cartera1017[[#This Row],[Comienzo Desarrollo]]="",
     Cartera1017[[#This Row],[Fin Producción]]=""
   ),
   "",
   Cartera1017[[#This Row],[% PLANIFICADO]]-Cartera1017[[#This Row],[% COMPLETADO]]
)</f>
        <v>0.88</v>
      </c>
      <c r="CL175" s="388">
        <f ca="1">IF(
   OR(
     Cartera1017[[#This Row],[Estado TI]]="09. Descartado",
     Cartera1017[[#This Row],[Comienzo Desarrollo]]="",
     Cartera1017[[#This Row],[Fin Producción]]="",
     Cartera1017[[#This Row],[% PLANIFICADO]]=0
   ),
   "",
   MIN(Cartera1017[[#This Row],[% COMPLETADO]]/Cartera1017[[#This Row],[% PLANIFICADO]],1.2)
)</f>
        <v>0.12</v>
      </c>
      <c r="CM175" s="377">
        <v>45992</v>
      </c>
      <c r="CN175" s="377">
        <v>45992</v>
      </c>
      <c r="CO175" s="377">
        <v>46076</v>
      </c>
      <c r="CP175" s="377">
        <v>46078</v>
      </c>
      <c r="CQ175" s="377">
        <v>46107</v>
      </c>
      <c r="CR175" s="377">
        <v>46111</v>
      </c>
      <c r="CS175" s="377">
        <v>46129</v>
      </c>
      <c r="CT175" s="44">
        <f>IF(Cartera1017[[#This Row],[Fin Desarrollo]]="",25,IFERROR(NETWORKDAYS(Cartera1017[[#This Row],[Comienzo Desarrollo]],Cartera1017[[#This Row],[Fin Desarrollo]],FERIADOS[Fecha]),""))</f>
        <v>56</v>
      </c>
      <c r="CU17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75" s="44">
        <f>IF(OR(Cartera1017[[#This Row],[Comienzo Desarrollo]]="",Cartera1017[[#This Row],[Fin Desarrollo]]=""),200,IFERROR(Cartera1017[[#This Row],[DURACIÓN DESARROLLO DIAS]]*VLOOKUP(Cartera1017[[#This Row],[ID Mantenimiento]],MANT_HORAS[],2,FALSE),200))</f>
        <v>200</v>
      </c>
      <c r="CW175" s="110"/>
      <c r="CX175" s="110" t="str">
        <f>VLOOKUP(Cartera1017[[#This Row],[Estado TI]],Definiciones!$A$549:$B$559,2,FALSE)</f>
        <v>6. PARALIZADO</v>
      </c>
      <c r="CY175" s="28">
        <f ca="1">1-Cartera1017[[#This Row],[Porcentaje avanzado desarrollo]]</f>
        <v>0</v>
      </c>
      <c r="CZ17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56</v>
      </c>
      <c r="DA175" s="28">
        <f ca="1">MAX(0,Cartera1017[[#This Row],[DURACIÓN DESARROLLO DIAS]]-Cartera1017[[#This Row],[Dias avanzados]])</f>
        <v>0</v>
      </c>
      <c r="DB175" s="28">
        <f ca="1">Cartera1017[[#This Row],[Dias avanzados]]*IFERROR(VLOOKUP(Cartera1017[[#This Row],[ID Mantenimiento]],MANT_HORAS[],2,FALSE),8)</f>
        <v>448</v>
      </c>
      <c r="DC175" s="28">
        <f ca="1">Cartera1017[[#This Row],[Dias faltantes]]*IFERROR(VLOOKUP(Cartera1017[[#This Row],[ID Mantenimiento]],MANT_HORAS[],2,FALSE),8)</f>
        <v>0</v>
      </c>
      <c r="DD175" s="28" t="str">
        <f>IF(Cartera1017[[#This Row],[Fin Producción]]=0,"Por definir",CONCATENATE(YEAR(Cartera1017[[#This Row],[Fin Producción]]),"-",ROUNDUP(MONTH(Cartera1017[[#This Row],[Fin Producción]]),0)))</f>
        <v>2026-4</v>
      </c>
      <c r="DE175" s="18" t="s">
        <v>510</v>
      </c>
      <c r="DF175" s="28"/>
      <c r="DG175" s="28"/>
      <c r="DH175" s="565"/>
    </row>
    <row r="176" spans="1:112" s="376" customFormat="1" ht="44.25" hidden="1" customHeight="1">
      <c r="A176" s="229" t="s">
        <v>1665</v>
      </c>
      <c r="B176" s="18">
        <v>3122</v>
      </c>
      <c r="C176" s="18" t="s">
        <v>485</v>
      </c>
      <c r="D176" s="18" t="s">
        <v>1666</v>
      </c>
      <c r="E176" s="18" t="s">
        <v>363</v>
      </c>
      <c r="F176" s="560" t="s">
        <v>364</v>
      </c>
      <c r="G176" s="18"/>
      <c r="H176" s="18" t="s">
        <v>33</v>
      </c>
      <c r="I176" s="18" t="s">
        <v>527</v>
      </c>
      <c r="J176" s="18" t="s">
        <v>527</v>
      </c>
      <c r="K176" s="20"/>
      <c r="L176" s="50"/>
      <c r="M176" s="50" t="s">
        <v>529</v>
      </c>
      <c r="N176" s="50"/>
      <c r="O176" s="18" t="s">
        <v>530</v>
      </c>
      <c r="P176" s="18" t="s">
        <v>495</v>
      </c>
      <c r="Q176" s="18" t="s">
        <v>496</v>
      </c>
      <c r="R176" s="18" t="s">
        <v>531</v>
      </c>
      <c r="S176" s="18"/>
      <c r="T176" s="18"/>
      <c r="U176" s="18"/>
      <c r="V176" s="18"/>
      <c r="W176" s="18"/>
      <c r="X176" s="18"/>
      <c r="Y176" s="80"/>
      <c r="Z176" s="18" t="s">
        <v>532</v>
      </c>
      <c r="AA176" s="20">
        <v>46003</v>
      </c>
      <c r="AB176" s="18" t="s">
        <v>533</v>
      </c>
      <c r="AC176" s="18"/>
      <c r="AD176" s="18" t="s">
        <v>37</v>
      </c>
      <c r="AE176" s="560" t="s">
        <v>34</v>
      </c>
      <c r="AF176" s="18" t="s">
        <v>87</v>
      </c>
      <c r="AG176" s="14" t="str">
        <f>VLOOKUP(AF176,Tabla3[[Estado Requerimiento]:[Macro estado]],2,FALSE)</f>
        <v>02. En Proceso</v>
      </c>
      <c r="AH176" s="18"/>
      <c r="AI176" s="80"/>
      <c r="AJ176" s="80"/>
      <c r="AK176" s="80">
        <v>46049</v>
      </c>
      <c r="AL176" s="80">
        <v>46086</v>
      </c>
      <c r="AM176" s="80"/>
      <c r="AN176" s="80">
        <v>46087</v>
      </c>
      <c r="AO176" s="80"/>
      <c r="AP176" s="81">
        <f t="shared" si="4"/>
        <v>46100.800000000003</v>
      </c>
      <c r="AQ176" s="80"/>
      <c r="AR176" s="80"/>
      <c r="AS176" s="81">
        <f t="shared" si="5"/>
        <v>46107.8</v>
      </c>
      <c r="AT176" s="19" t="s">
        <v>1667</v>
      </c>
      <c r="AU176" s="44" t="str">
        <f>VLOOKUP(Cartera1017[[#This Row],[Gerencia]],tbGerencia[#All],3,FALSE)</f>
        <v>Productos</v>
      </c>
      <c r="AV176" s="44" t="str">
        <f>IFERROR(VLOOKUP(Cartera1017[[#This Row],[Subgerencia]],Definiciones!$A$90:$B$144,2,FALSE),"")</f>
        <v>ComercialProyectos</v>
      </c>
      <c r="AW176" s="44" t="str">
        <f>IF(OR(LEN(Cartera1017[[#This Row],[Fecha de Solicitud]])=0,(Cartera1017[[#This Row],[Fecha de Solicitud]])="No definido"),"No definido",IF(YEAR(Cartera1017[[#This Row],[Fecha de Solicitud]])&lt;2023," &lt;  2023",TEXT(Cartera1017[[#This Row],[Fecha de Solicitud]],"yyyy-mm")))</f>
        <v>No definido</v>
      </c>
      <c r="AX176" s="44" t="str">
        <f>IF(Cartera1017[[#This Row],[Fecha de Priorización Comité]]="","No definido",TEXT(Cartera1017[[#This Row],[Fecha de Priorización Comité]],"yyyy-mm"))</f>
        <v>2025-12</v>
      </c>
      <c r="AY176" s="44" t="str">
        <f>IF(Cartera1017[[#This Row],[Fecha Fin- Desarrollo]]="","No definido",TEXT(Cartera1017[[#This Row],[Fecha Fin- Desarrollo]],"yyyy-mm"))</f>
        <v>2026-03</v>
      </c>
      <c r="AZ176" s="44" t="str">
        <f>IF(Cartera1017[[#This Row],[Fecha Fin- Producción]]="","No definido",TEXT(Cartera1017[[#This Row],[Fecha Fin- Producción]],"yyyy-mm"))</f>
        <v>No definido</v>
      </c>
      <c r="BA176" s="44" t="str">
        <f>IF(Cartera1017[[#This Row],[Fecha Fin-Planificada]]="","No definido",TEXT(Cartera1017[[#This Row],[Fecha Fin-Planificada]],"yyyy-mm"))</f>
        <v>2026-03</v>
      </c>
      <c r="BB176" s="33"/>
      <c r="BC176" s="108"/>
      <c r="BD176" s="108"/>
      <c r="BE176" s="108"/>
      <c r="BF176" s="127"/>
      <c r="BG176" s="28" t="s">
        <v>543</v>
      </c>
      <c r="BH17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6" s="90" t="str">
        <f>IF(ISNUMBER(Cartera1017[[#This Row],[Duracion en Dias]]),Cartera1017[[#This Row],[Duracion en Dias]]/30, "No Aplica")</f>
        <v>No Aplica</v>
      </c>
      <c r="BJ176" s="109"/>
      <c r="BK176" s="28" t="s">
        <v>506</v>
      </c>
      <c r="BL176" s="110" t="s">
        <v>1260</v>
      </c>
      <c r="BM176" s="342">
        <v>46142.611527777779</v>
      </c>
      <c r="BN176" s="227"/>
      <c r="BO176" s="98"/>
      <c r="BP176" s="401"/>
      <c r="BQ17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6" s="14" t="str">
        <f>IFERROR(VLOOKUP(Cartera1017[[#This Row],[Aplicativo]],Tabla76[],2,FALSE),"Sin Aplicativo")</f>
        <v>Sin Aplicativo</v>
      </c>
      <c r="BS176" s="14" t="str">
        <f>IFERROR(VLOOKUP(Cartera1017[[#This Row],[Aplicativo]],Tabla76[],3,FALSE),"Sin Aplicativo")</f>
        <v>Sin Aplicativo</v>
      </c>
      <c r="BT176" s="400"/>
      <c r="BU176" s="28"/>
      <c r="BV176" s="28"/>
      <c r="BW17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6" s="149" t="str">
        <f ca="1">IF(Cartera1017[[#This Row],[Fecha Fin2]]="","No definido",CONCATENATE(TEXT(Cartera1017[[#This Row],[Fecha Fin2]],"mmm")," ",YEAR(Cartera1017[[#This Row],[Fecha Fin2]])))</f>
        <v>No definido</v>
      </c>
      <c r="BZ176" s="28"/>
      <c r="CA176" s="48" t="str">
        <f>IF(Cartera1017[[#This Row],[Estado TI]] = "08. Producción Finalizada","Culminado",IF(Cartera1017[[#This Row],[Estado TI]]= "09. Descartado","Descartado","Activos"))</f>
        <v>Activos</v>
      </c>
      <c r="CB176" s="28"/>
      <c r="CC17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176" s="54" t="str">
        <f>IF(
AND(
Cartera1017[[#This Row],[DEVOLVER 27]]="NO",
NOT(ISBLANK(Cartera1017[[#This Row],[ESTADO NO DEVUELTOS 27]]))
),
"PRE",
"POST"
)</f>
        <v>POST</v>
      </c>
      <c r="CE176" s="54" t="s">
        <v>509</v>
      </c>
      <c r="CF176" s="28"/>
      <c r="CG17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7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v>
      </c>
      <c r="CJ176" s="406">
        <f>Cartera1017[[#This Row],[Porcentaje de Avance]]</f>
        <v>0.7</v>
      </c>
      <c r="CK176" s="388">
        <f ca="1">IF(
   OR(
     Cartera1017[[#This Row],[Estado TI]]="09. Descartado",
     Cartera1017[[#This Row],[Comienzo Desarrollo]]="",
     Cartera1017[[#This Row],[Fin Producción]]=""
   ),
   "",
   Cartera1017[[#This Row],[% PLANIFICADO]]-Cartera1017[[#This Row],[% COMPLETADO]]
)</f>
        <v>0.20000000000000007</v>
      </c>
      <c r="CL176" s="388">
        <f ca="1">IF(
   OR(
     Cartera1017[[#This Row],[Estado TI]]="09. Descartado",
     Cartera1017[[#This Row],[Comienzo Desarrollo]]="",
     Cartera1017[[#This Row],[Fin Producción]]="",
     Cartera1017[[#This Row],[% PLANIFICADO]]=0
   ),
   "",
   MIN(Cartera1017[[#This Row],[% COMPLETADO]]/Cartera1017[[#This Row],[% PLANIFICADO]],1.2)
)</f>
        <v>0.77777777777777768</v>
      </c>
      <c r="CM176" s="377">
        <v>46049</v>
      </c>
      <c r="CN176" s="377">
        <v>46049</v>
      </c>
      <c r="CO176" s="428">
        <v>46121</v>
      </c>
      <c r="CP176" s="429">
        <v>46125</v>
      </c>
      <c r="CQ176" s="429">
        <v>46160</v>
      </c>
      <c r="CR176" s="429">
        <v>46161</v>
      </c>
      <c r="CS176" s="429">
        <v>46175</v>
      </c>
      <c r="CT176" s="44">
        <f>IF(Cartera1017[[#This Row],[Fin Desarrollo]]="",25,IFERROR(NETWORKDAYS(Cartera1017[[#This Row],[Comienzo Desarrollo]],Cartera1017[[#This Row],[Fin Desarrollo]],FERIADOS[Fecha]),""))</f>
        <v>53</v>
      </c>
      <c r="CU17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76" s="44">
        <f>IF(OR(Cartera1017[[#This Row],[Comienzo Desarrollo]]="",Cartera1017[[#This Row],[Fin Desarrollo]]=""),200,IFERROR(Cartera1017[[#This Row],[DURACIÓN DESARROLLO DIAS]]*VLOOKUP(Cartera1017[[#This Row],[ID Mantenimiento]],MANT_HORAS[],2,FALSE),200))</f>
        <v>200</v>
      </c>
      <c r="CW176" s="110"/>
      <c r="CX176" s="110" t="str">
        <f>VLOOKUP(Cartera1017[[#This Row],[Estado TI]],Definiciones!$A$549:$B$559,2,FALSE)</f>
        <v>2. CALIDAD</v>
      </c>
      <c r="CY176" s="28">
        <f ca="1">1-Cartera1017[[#This Row],[Porcentaje avanzado desarrollo]]</f>
        <v>0</v>
      </c>
      <c r="CZ17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53</v>
      </c>
      <c r="DA176" s="28">
        <f ca="1">MAX(0,Cartera1017[[#This Row],[DURACIÓN DESARROLLO DIAS]]-Cartera1017[[#This Row],[Dias avanzados]])</f>
        <v>0</v>
      </c>
      <c r="DB176" s="28">
        <f ca="1">Cartera1017[[#This Row],[Dias avanzados]]*IFERROR(VLOOKUP(Cartera1017[[#This Row],[ID Mantenimiento]],MANT_HORAS[],2,FALSE),8)</f>
        <v>424</v>
      </c>
      <c r="DC176" s="28">
        <f ca="1">Cartera1017[[#This Row],[Dias faltantes]]*IFERROR(VLOOKUP(Cartera1017[[#This Row],[ID Mantenimiento]],MANT_HORAS[],2,FALSE),8)</f>
        <v>0</v>
      </c>
      <c r="DD176" s="28" t="str">
        <f>IF(Cartera1017[[#This Row],[Fin Producción]]=0,"Por definir",CONCATENATE(YEAR(Cartera1017[[#This Row],[Fin Producción]]),"-",ROUNDUP(MONTH(Cartera1017[[#This Row],[Fin Producción]]),0)))</f>
        <v>2026-6</v>
      </c>
      <c r="DE176" s="18" t="s">
        <v>510</v>
      </c>
      <c r="DF176" s="28"/>
      <c r="DG176" s="28"/>
      <c r="DH176" s="565"/>
    </row>
    <row r="177" spans="1:112" s="376" customFormat="1" ht="44.25" hidden="1" customHeight="1">
      <c r="A177" s="229" t="s">
        <v>1668</v>
      </c>
      <c r="B177" s="18">
        <v>3123</v>
      </c>
      <c r="C177" s="18" t="s">
        <v>485</v>
      </c>
      <c r="D177" s="18" t="s">
        <v>1669</v>
      </c>
      <c r="E177" s="18" t="s">
        <v>365</v>
      </c>
      <c r="F177" s="18" t="s">
        <v>366</v>
      </c>
      <c r="G177" s="18"/>
      <c r="H177" s="18" t="s">
        <v>46</v>
      </c>
      <c r="I177" s="18" t="s">
        <v>1002</v>
      </c>
      <c r="J177" s="18" t="s">
        <v>1002</v>
      </c>
      <c r="K177" s="20"/>
      <c r="L177" s="50"/>
      <c r="M177" s="50" t="s">
        <v>579</v>
      </c>
      <c r="N177" s="50"/>
      <c r="O177" s="18" t="s">
        <v>548</v>
      </c>
      <c r="P177" s="18" t="s">
        <v>549</v>
      </c>
      <c r="Q177" s="18" t="s">
        <v>496</v>
      </c>
      <c r="R177" s="18" t="s">
        <v>497</v>
      </c>
      <c r="S177" s="18"/>
      <c r="T177" s="18"/>
      <c r="U177" s="18"/>
      <c r="V177" s="18"/>
      <c r="W177" s="18"/>
      <c r="X177" s="18"/>
      <c r="Y177" s="80"/>
      <c r="Z177" s="18" t="s">
        <v>532</v>
      </c>
      <c r="AA177" s="20">
        <v>46003</v>
      </c>
      <c r="AB177" s="18" t="s">
        <v>500</v>
      </c>
      <c r="AC177" s="18"/>
      <c r="AD177" s="18" t="s">
        <v>43</v>
      </c>
      <c r="AE177" s="18" t="s">
        <v>47</v>
      </c>
      <c r="AF177" s="18" t="s">
        <v>42</v>
      </c>
      <c r="AG177" s="14" t="str">
        <f>VLOOKUP(AF177,Tabla3[[Estado Requerimiento]:[Macro estado]],2,FALSE)</f>
        <v>02. En Proceso</v>
      </c>
      <c r="AH177" s="18" t="s">
        <v>659</v>
      </c>
      <c r="AI177" s="80"/>
      <c r="AJ177" s="80"/>
      <c r="AK177" s="80">
        <v>46079</v>
      </c>
      <c r="AL177" s="80">
        <v>46083</v>
      </c>
      <c r="AM177" s="80"/>
      <c r="AN177" s="80">
        <v>46085</v>
      </c>
      <c r="AO177" s="80">
        <v>46120</v>
      </c>
      <c r="AP177" s="81">
        <f t="shared" si="4"/>
        <v>46084.6</v>
      </c>
      <c r="AQ177" s="80"/>
      <c r="AR177" s="80"/>
      <c r="AS177" s="81">
        <f t="shared" si="5"/>
        <v>46091.6</v>
      </c>
      <c r="AT177" s="19" t="s">
        <v>1670</v>
      </c>
      <c r="AU177" s="44" t="str">
        <f>VLOOKUP(Cartera1017[[#This Row],[Gerencia]],tbGerencia[#All],3,FALSE)</f>
        <v>PLAFT</v>
      </c>
      <c r="AV177" s="44" t="str">
        <f>IFERROR(VLOOKUP(Cartera1017[[#This Row],[Subgerencia]],Definiciones!$A$90:$B$144,2,FALSE),"")</f>
        <v>Prevención</v>
      </c>
      <c r="AW177" s="44" t="str">
        <f>IF(OR(LEN(Cartera1017[[#This Row],[Fecha de Solicitud]])=0,(Cartera1017[[#This Row],[Fecha de Solicitud]])="No definido"),"No definido",IF(YEAR(Cartera1017[[#This Row],[Fecha de Solicitud]])&lt;2023," &lt;  2023",TEXT(Cartera1017[[#This Row],[Fecha de Solicitud]],"yyyy-mm")))</f>
        <v>No definido</v>
      </c>
      <c r="AX177" s="44" t="str">
        <f>IF(Cartera1017[[#This Row],[Fecha de Priorización Comité]]="","No definido",TEXT(Cartera1017[[#This Row],[Fecha de Priorización Comité]],"yyyy-mm"))</f>
        <v>2025-12</v>
      </c>
      <c r="AY177" s="44" t="str">
        <f>IF(Cartera1017[[#This Row],[Fecha Fin- Desarrollo]]="","No definido",TEXT(Cartera1017[[#This Row],[Fecha Fin- Desarrollo]],"yyyy-mm"))</f>
        <v>2026-03</v>
      </c>
      <c r="AZ177" s="44" t="str">
        <f>IF(Cartera1017[[#This Row],[Fecha Fin- Producción]]="","No definido",TEXT(Cartera1017[[#This Row],[Fecha Fin- Producción]],"yyyy-mm"))</f>
        <v>No definido</v>
      </c>
      <c r="BA177" s="44" t="str">
        <f>IF(Cartera1017[[#This Row],[Fecha Fin-Planificada]]="","No definido",TEXT(Cartera1017[[#This Row],[Fecha Fin-Planificada]],"yyyy-mm"))</f>
        <v>2026-03</v>
      </c>
      <c r="BB177" s="33"/>
      <c r="BC177" s="108"/>
      <c r="BD177" s="108"/>
      <c r="BE177" s="108"/>
      <c r="BF177" s="127"/>
      <c r="BG177" s="28" t="s">
        <v>543</v>
      </c>
      <c r="BH17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7" s="90" t="str">
        <f>IF(ISNUMBER(Cartera1017[[#This Row],[Duracion en Dias]]),Cartera1017[[#This Row],[Duracion en Dias]]/30, "No Aplica")</f>
        <v>No Aplica</v>
      </c>
      <c r="BJ177" s="109"/>
      <c r="BK177" s="28" t="s">
        <v>506</v>
      </c>
      <c r="BL177" s="110" t="s">
        <v>655</v>
      </c>
      <c r="BM177" s="342">
        <v>46160.712881944448</v>
      </c>
      <c r="BN177" s="227"/>
      <c r="BO177" s="98"/>
      <c r="BP177" s="401"/>
      <c r="BQ17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7" s="14" t="str">
        <f>IFERROR(VLOOKUP(Cartera1017[[#This Row],[Aplicativo]],Tabla76[],2,FALSE),"Sin Aplicativo")</f>
        <v>Clientes (BDUC)</v>
      </c>
      <c r="BS177" s="14" t="str">
        <f>IFERROR(VLOOKUP(Cartera1017[[#This Row],[Aplicativo]],Tabla76[],3,FALSE),"Sin Aplicativo")</f>
        <v>Canales Presenciales</v>
      </c>
      <c r="BT177" s="400"/>
      <c r="BU177" s="28"/>
      <c r="BV177" s="28"/>
      <c r="BW17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7" s="149" t="str">
        <f ca="1">IF(Cartera1017[[#This Row],[Fecha Fin2]]="","No definido",CONCATENATE(TEXT(Cartera1017[[#This Row],[Fecha Fin2]],"mmm")," ",YEAR(Cartera1017[[#This Row],[Fecha Fin2]])))</f>
        <v>No definido</v>
      </c>
      <c r="BZ177" s="28"/>
      <c r="CA177" s="48" t="str">
        <f>IF(Cartera1017[[#This Row],[Estado TI]] = "08. Producción Finalizada","Culminado",IF(Cartera1017[[#This Row],[Estado TI]]= "09. Descartado","Descartado","Activos"))</f>
        <v>Activos</v>
      </c>
      <c r="CB177" s="28"/>
      <c r="CC17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177" s="54" t="str">
        <f>IF(
AND(
Cartera1017[[#This Row],[DEVOLVER 27]]="NO",
NOT(ISBLANK(Cartera1017[[#This Row],[ESTADO NO DEVUELTOS 27]]))
),
"PRE",
"POST"
)</f>
        <v>POST</v>
      </c>
      <c r="CE177" s="54" t="s">
        <v>509</v>
      </c>
      <c r="CF177" s="28"/>
      <c r="CG17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7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7" s="406">
        <v>0.9</v>
      </c>
      <c r="CK177" s="388">
        <f ca="1">IF(
   OR(
     Cartera1017[[#This Row],[Estado TI]]="09. Descartado",
     Cartera1017[[#This Row],[Comienzo Desarrollo]]="",
     Cartera1017[[#This Row],[Fin Producción]]=""
   ),
   "",
   Cartera1017[[#This Row],[% PLANIFICADO]]-Cartera1017[[#This Row],[% COMPLETADO]]
)</f>
        <v>9.9999999999999978E-2</v>
      </c>
      <c r="CL177" s="388">
        <f ca="1">IF(
   OR(
     Cartera1017[[#This Row],[Estado TI]]="09. Descartado",
     Cartera1017[[#This Row],[Comienzo Desarrollo]]="",
     Cartera1017[[#This Row],[Fin Producción]]="",
     Cartera1017[[#This Row],[% PLANIFICADO]]=0
   ),
   "",
   MIN(Cartera1017[[#This Row],[% COMPLETADO]]/Cartera1017[[#This Row],[% PLANIFICADO]],1.2)
)</f>
        <v>0.9</v>
      </c>
      <c r="CM177" s="377">
        <v>45972</v>
      </c>
      <c r="CN177" s="377">
        <v>45972</v>
      </c>
      <c r="CO177" s="377">
        <v>46112</v>
      </c>
      <c r="CP177" s="377">
        <v>46113</v>
      </c>
      <c r="CQ177" s="377">
        <v>46142</v>
      </c>
      <c r="CR177" s="377">
        <v>46157</v>
      </c>
      <c r="CS177" s="423">
        <v>46160</v>
      </c>
      <c r="CT177" s="44">
        <f>IF(Cartera1017[[#This Row],[Fin Desarrollo]]="",25,IFERROR(NETWORKDAYS(Cartera1017[[#This Row],[Comienzo Desarrollo]],Cartera1017[[#This Row],[Fin Desarrollo]],FERIADOS[Fecha]),""))</f>
        <v>96</v>
      </c>
      <c r="CU17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77" s="44">
        <f>IF(OR(Cartera1017[[#This Row],[Comienzo Desarrollo]]="",Cartera1017[[#This Row],[Fin Desarrollo]]=""),200,IFERROR(Cartera1017[[#This Row],[DURACIÓN DESARROLLO DIAS]]*VLOOKUP(Cartera1017[[#This Row],[ID Mantenimiento]],MANT_HORAS[],2,FALSE),200))</f>
        <v>200</v>
      </c>
      <c r="CW177" s="110"/>
      <c r="CX177" s="110" t="str">
        <f>VLOOKUP(Cartera1017[[#This Row],[Estado TI]],Definiciones!$A$549:$B$559,2,FALSE)</f>
        <v>2. CALIDAD</v>
      </c>
      <c r="CY177" s="28">
        <f ca="1">1-Cartera1017[[#This Row],[Porcentaje avanzado desarrollo]]</f>
        <v>0</v>
      </c>
      <c r="CZ17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96</v>
      </c>
      <c r="DA177" s="28">
        <f ca="1">MAX(0,Cartera1017[[#This Row],[DURACIÓN DESARROLLO DIAS]]-Cartera1017[[#This Row],[Dias avanzados]])</f>
        <v>0</v>
      </c>
      <c r="DB177" s="28">
        <f ca="1">Cartera1017[[#This Row],[Dias avanzados]]*IFERROR(VLOOKUP(Cartera1017[[#This Row],[ID Mantenimiento]],MANT_HORAS[],2,FALSE),8)</f>
        <v>768</v>
      </c>
      <c r="DC177" s="28">
        <f ca="1">Cartera1017[[#This Row],[Dias faltantes]]*IFERROR(VLOOKUP(Cartera1017[[#This Row],[ID Mantenimiento]],MANT_HORAS[],2,FALSE),8)</f>
        <v>0</v>
      </c>
      <c r="DD177" s="28" t="str">
        <f>IF(Cartera1017[[#This Row],[Fin Producción]]=0,"Por definir",CONCATENATE(YEAR(Cartera1017[[#This Row],[Fin Producción]]),"-",ROUNDUP(MONTH(Cartera1017[[#This Row],[Fin Producción]]),0)))</f>
        <v>2026-5</v>
      </c>
      <c r="DE177" s="18" t="s">
        <v>510</v>
      </c>
      <c r="DF177" s="28"/>
      <c r="DG177" s="28" t="s">
        <v>622</v>
      </c>
      <c r="DH177" s="565"/>
    </row>
    <row r="178" spans="1:112" s="376" customFormat="1" ht="44.25" hidden="1" customHeight="1">
      <c r="A178" s="229" t="s">
        <v>1671</v>
      </c>
      <c r="B178" s="18">
        <v>3125</v>
      </c>
      <c r="C178" s="18" t="s">
        <v>485</v>
      </c>
      <c r="D178" s="18" t="s">
        <v>1672</v>
      </c>
      <c r="E178" s="18" t="s">
        <v>367</v>
      </c>
      <c r="F178" s="18" t="s">
        <v>368</v>
      </c>
      <c r="G178" s="18"/>
      <c r="H178" s="18" t="s">
        <v>40</v>
      </c>
      <c r="I178" s="18" t="s">
        <v>490</v>
      </c>
      <c r="J178" s="18" t="s">
        <v>491</v>
      </c>
      <c r="K178" s="20"/>
      <c r="L178" s="50"/>
      <c r="M178" s="50" t="s">
        <v>1673</v>
      </c>
      <c r="N178" s="50"/>
      <c r="O178" s="18" t="s">
        <v>530</v>
      </c>
      <c r="P178" s="18" t="s">
        <v>495</v>
      </c>
      <c r="Q178" s="18" t="s">
        <v>496</v>
      </c>
      <c r="R178" s="18" t="s">
        <v>599</v>
      </c>
      <c r="S178" s="18"/>
      <c r="T178" s="18" t="s">
        <v>652</v>
      </c>
      <c r="U178" s="18"/>
      <c r="V178" s="18"/>
      <c r="W178" s="18"/>
      <c r="X178" s="18"/>
      <c r="Y178" s="80" t="s">
        <v>495</v>
      </c>
      <c r="Z178" s="18" t="s">
        <v>532</v>
      </c>
      <c r="AA178" s="20">
        <v>46003</v>
      </c>
      <c r="AB178" s="18" t="s">
        <v>500</v>
      </c>
      <c r="AC178" s="18" t="s">
        <v>501</v>
      </c>
      <c r="AD178" s="18" t="s">
        <v>150</v>
      </c>
      <c r="AE178" s="18" t="s">
        <v>41</v>
      </c>
      <c r="AF178" s="18" t="s">
        <v>53</v>
      </c>
      <c r="AG178" s="14" t="str">
        <f>VLOOKUP(AF178,Tabla3[[Estado Requerimiento]:[Macro estado]],2,FALSE)</f>
        <v>03. Culminado</v>
      </c>
      <c r="AH178" s="18"/>
      <c r="AI178" s="80"/>
      <c r="AJ178" s="80"/>
      <c r="AK178" s="80">
        <v>45988</v>
      </c>
      <c r="AL178" s="80">
        <v>46029</v>
      </c>
      <c r="AM178" s="80"/>
      <c r="AN178" s="80">
        <v>46036</v>
      </c>
      <c r="AO178" s="80">
        <v>46049</v>
      </c>
      <c r="AP178" s="81">
        <f t="shared" si="4"/>
        <v>46045.4</v>
      </c>
      <c r="AQ178" s="80">
        <v>46051</v>
      </c>
      <c r="AR178" s="80">
        <v>46057</v>
      </c>
      <c r="AS178" s="81">
        <f t="shared" si="5"/>
        <v>46052.4</v>
      </c>
      <c r="AT178" s="19" t="s">
        <v>1674</v>
      </c>
      <c r="AU178" s="44" t="str">
        <f>VLOOKUP(Cartera1017[[#This Row],[Gerencia]],tbGerencia[#All],3,FALSE)</f>
        <v>Operac.</v>
      </c>
      <c r="AV178" s="44" t="str">
        <f>IFERROR(VLOOKUP(Cartera1017[[#This Row],[Subgerencia]],Definiciones!$A$90:$B$144,2,FALSE),"")</f>
        <v>BancariosRecaudación</v>
      </c>
      <c r="AW178" s="44" t="str">
        <f>IF(OR(LEN(Cartera1017[[#This Row],[Fecha de Solicitud]])=0,(Cartera1017[[#This Row],[Fecha de Solicitud]])="No definido"),"No definido",IF(YEAR(Cartera1017[[#This Row],[Fecha de Solicitud]])&lt;2023," &lt;  2023",TEXT(Cartera1017[[#This Row],[Fecha de Solicitud]],"yyyy-mm")))</f>
        <v>No definido</v>
      </c>
      <c r="AX178" s="44" t="str">
        <f>IF(Cartera1017[[#This Row],[Fecha de Priorización Comité]]="","No definido",TEXT(Cartera1017[[#This Row],[Fecha de Priorización Comité]],"yyyy-mm"))</f>
        <v>2025-12</v>
      </c>
      <c r="AY178" s="44" t="str">
        <f>IF(Cartera1017[[#This Row],[Fecha Fin- Desarrollo]]="","No definido",TEXT(Cartera1017[[#This Row],[Fecha Fin- Desarrollo]],"yyyy-mm"))</f>
        <v>2026-01</v>
      </c>
      <c r="AZ178" s="44" t="str">
        <f>IF(Cartera1017[[#This Row],[Fecha Fin- Producción]]="","No definido",TEXT(Cartera1017[[#This Row],[Fecha Fin- Producción]],"yyyy-mm"))</f>
        <v>2026-02</v>
      </c>
      <c r="BA178" s="44" t="str">
        <f>IF(Cartera1017[[#This Row],[Fecha Fin-Planificada]]="","No definido",TEXT(Cartera1017[[#This Row],[Fecha Fin-Planificada]],"yyyy-mm"))</f>
        <v>2026-01</v>
      </c>
      <c r="BB178" s="33"/>
      <c r="BC178" s="108"/>
      <c r="BD178" s="108"/>
      <c r="BE178" s="108"/>
      <c r="BF178" s="127"/>
      <c r="BG178" s="28" t="s">
        <v>543</v>
      </c>
      <c r="BH17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69</v>
      </c>
      <c r="BI178" s="90">
        <f>IF(ISNUMBER(Cartera1017[[#This Row],[Duracion en Dias]]),Cartera1017[[#This Row],[Duracion en Dias]]/30, "No Aplica")</f>
        <v>2.2999999999999998</v>
      </c>
      <c r="BJ178" s="109"/>
      <c r="BK178" s="28" t="s">
        <v>506</v>
      </c>
      <c r="BL178" s="110" t="s">
        <v>536</v>
      </c>
      <c r="BM178" s="342">
        <v>46057.366226851853</v>
      </c>
      <c r="BN178" s="227"/>
      <c r="BO178" s="98"/>
      <c r="BP178" s="401"/>
      <c r="BQ17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78" s="14" t="str">
        <f>IFERROR(VLOOKUP(Cartera1017[[#This Row],[Aplicativo]],Tabla76[],2,FALSE),"Sin Aplicativo")</f>
        <v>Sin Aplicativo</v>
      </c>
      <c r="BS178" s="14" t="str">
        <f>IFERROR(VLOOKUP(Cartera1017[[#This Row],[Aplicativo]],Tabla76[],3,FALSE),"Sin Aplicativo")</f>
        <v>Sin Aplicativo</v>
      </c>
      <c r="BT178" s="400"/>
      <c r="BU178" s="28"/>
      <c r="BV178" s="28"/>
      <c r="BW17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46057</v>
      </c>
      <c r="BX17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78" s="149" t="str">
        <f ca="1">IF(Cartera1017[[#This Row],[Fecha Fin2]]="","No definido",CONCATENATE(TEXT(Cartera1017[[#This Row],[Fecha Fin2]],"mmm")," ",YEAR(Cartera1017[[#This Row],[Fecha Fin2]])))</f>
        <v>Feb 2026</v>
      </c>
      <c r="BZ178" s="28"/>
      <c r="CA178" s="48" t="str">
        <f>IF(Cartera1017[[#This Row],[Estado TI]] = "08. Producción Finalizada","Culminado",IF(Cartera1017[[#This Row],[Estado TI]]= "09. Descartado","Descartado","Activos"))</f>
        <v>Culminado</v>
      </c>
      <c r="CB178" s="28"/>
      <c r="CC17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78" s="54" t="str">
        <f>IF(
AND(
Cartera1017[[#This Row],[DEVOLVER 27]]="NO",
NOT(ISBLANK(Cartera1017[[#This Row],[ESTADO NO DEVUELTOS 27]]))
),
"PRE",
"POST"
)</f>
        <v>POST</v>
      </c>
      <c r="CE178" s="54" t="s">
        <v>509</v>
      </c>
      <c r="CF178" s="28"/>
      <c r="CG17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7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7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8" s="406">
        <f>Cartera1017[[#This Row],[Porcentaje de Avance]]</f>
        <v>1</v>
      </c>
      <c r="CK178" s="388">
        <f ca="1">IF(
   OR(
     Cartera1017[[#This Row],[Estado TI]]="09. Descartado",
     Cartera1017[[#This Row],[Comienzo Desarrollo]]="",
     Cartera1017[[#This Row],[Fin Producción]]=""
   ),
   "",
   Cartera1017[[#This Row],[% PLANIFICADO]]-Cartera1017[[#This Row],[% COMPLETADO]]
)</f>
        <v>0</v>
      </c>
      <c r="CL178" s="388">
        <f ca="1">IF(
   OR(
     Cartera1017[[#This Row],[Estado TI]]="09. Descartado",
     Cartera1017[[#This Row],[Comienzo Desarrollo]]="",
     Cartera1017[[#This Row],[Fin Producción]]="",
     Cartera1017[[#This Row],[% PLANIFICADO]]=0
   ),
   "",
   MIN(Cartera1017[[#This Row],[% COMPLETADO]]/Cartera1017[[#This Row],[% PLANIFICADO]],1.2)
)</f>
        <v>1</v>
      </c>
      <c r="CM178" s="377">
        <v>45988</v>
      </c>
      <c r="CN178" s="377">
        <v>45988</v>
      </c>
      <c r="CO178" s="377">
        <v>46029</v>
      </c>
      <c r="CP178" s="377">
        <v>46036</v>
      </c>
      <c r="CQ178" s="377">
        <v>46049</v>
      </c>
      <c r="CR178" s="377">
        <v>46051</v>
      </c>
      <c r="CS178" s="377">
        <v>46087</v>
      </c>
      <c r="CT178" s="44">
        <f>IF(Cartera1017[[#This Row],[Fin Desarrollo]]="",25,IFERROR(NETWORKDAYS(Cartera1017[[#This Row],[Comienzo Desarrollo]],Cartera1017[[#This Row],[Fin Desarrollo]],FERIADOS[Fecha]),""))</f>
        <v>25</v>
      </c>
      <c r="CU17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78" s="44">
        <f>IF(OR(Cartera1017[[#This Row],[Comienzo Desarrollo]]="",Cartera1017[[#This Row],[Fin Desarrollo]]=""),200,IFERROR(Cartera1017[[#This Row],[DURACIÓN DESARROLLO DIAS]]*VLOOKUP(Cartera1017[[#This Row],[ID Mantenimiento]],MANT_HORAS[],2,FALSE),200))</f>
        <v>200</v>
      </c>
      <c r="CW178" s="110"/>
      <c r="CX178" s="110" t="str">
        <f>VLOOKUP(Cartera1017[[#This Row],[Estado TI]],Definiciones!$A$549:$B$559,2,FALSE)</f>
        <v>4. PRODUCCIÓN</v>
      </c>
      <c r="CY178" s="28">
        <f ca="1">1-Cartera1017[[#This Row],[Porcentaje avanzado desarrollo]]</f>
        <v>0</v>
      </c>
      <c r="CZ17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v>
      </c>
      <c r="DA178" s="28">
        <f ca="1">MAX(0,Cartera1017[[#This Row],[DURACIÓN DESARROLLO DIAS]]-Cartera1017[[#This Row],[Dias avanzados]])</f>
        <v>0</v>
      </c>
      <c r="DB178" s="28">
        <f ca="1">Cartera1017[[#This Row],[Dias avanzados]]*IFERROR(VLOOKUP(Cartera1017[[#This Row],[ID Mantenimiento]],MANT_HORAS[],2,FALSE),8)</f>
        <v>200</v>
      </c>
      <c r="DC178" s="28">
        <f ca="1">Cartera1017[[#This Row],[Dias faltantes]]*IFERROR(VLOOKUP(Cartera1017[[#This Row],[ID Mantenimiento]],MANT_HORAS[],2,FALSE),8)</f>
        <v>0</v>
      </c>
      <c r="DD178" s="28" t="str">
        <f>IF(Cartera1017[[#This Row],[Fin Producción]]=0,"Por definir",CONCATENATE(YEAR(Cartera1017[[#This Row],[Fin Producción]]),"-",ROUNDUP(MONTH(Cartera1017[[#This Row],[Fin Producción]]),0)))</f>
        <v>2026-3</v>
      </c>
      <c r="DE178" s="18" t="s">
        <v>510</v>
      </c>
      <c r="DF178" s="28"/>
      <c r="DG178" s="28"/>
      <c r="DH178" s="565"/>
    </row>
    <row r="179" spans="1:112" s="376" customFormat="1" ht="44.25" hidden="1" customHeight="1">
      <c r="A179" s="229" t="s">
        <v>1675</v>
      </c>
      <c r="B179" s="18">
        <v>3126</v>
      </c>
      <c r="C179" s="18" t="s">
        <v>485</v>
      </c>
      <c r="D179" s="18" t="s">
        <v>1676</v>
      </c>
      <c r="E179" s="18" t="s">
        <v>369</v>
      </c>
      <c r="F179" s="18" t="s">
        <v>370</v>
      </c>
      <c r="G179" s="18"/>
      <c r="H179" s="18" t="s">
        <v>40</v>
      </c>
      <c r="I179" s="18" t="s">
        <v>490</v>
      </c>
      <c r="J179" s="18" t="s">
        <v>491</v>
      </c>
      <c r="K179" s="20"/>
      <c r="L179" s="50"/>
      <c r="M179" s="50" t="s">
        <v>693</v>
      </c>
      <c r="N179" s="50"/>
      <c r="O179" s="18" t="s">
        <v>530</v>
      </c>
      <c r="P179" s="18" t="s">
        <v>495</v>
      </c>
      <c r="Q179" s="18" t="s">
        <v>496</v>
      </c>
      <c r="R179" s="18" t="s">
        <v>599</v>
      </c>
      <c r="S179" s="18"/>
      <c r="T179" s="18" t="s">
        <v>652</v>
      </c>
      <c r="U179" s="18"/>
      <c r="V179" s="18"/>
      <c r="W179" s="18"/>
      <c r="X179" s="18"/>
      <c r="Y179" s="80" t="s">
        <v>495</v>
      </c>
      <c r="Z179" s="18" t="s">
        <v>532</v>
      </c>
      <c r="AA179" s="20">
        <v>46003</v>
      </c>
      <c r="AB179" s="18" t="s">
        <v>500</v>
      </c>
      <c r="AC179" s="18" t="s">
        <v>501</v>
      </c>
      <c r="AD179" s="18" t="s">
        <v>150</v>
      </c>
      <c r="AE179" s="18" t="s">
        <v>41</v>
      </c>
      <c r="AF179" s="18" t="s">
        <v>53</v>
      </c>
      <c r="AG179" s="14" t="str">
        <f>VLOOKUP(AF179,Tabla3[[Estado Requerimiento]:[Macro estado]],2,FALSE)</f>
        <v>03. Culminado</v>
      </c>
      <c r="AH179" s="18"/>
      <c r="AI179" s="80"/>
      <c r="AJ179" s="80"/>
      <c r="AK179" s="80">
        <v>45988</v>
      </c>
      <c r="AL179" s="80">
        <v>46029</v>
      </c>
      <c r="AM179" s="80"/>
      <c r="AN179" s="80">
        <v>46036</v>
      </c>
      <c r="AO179" s="80">
        <v>46049</v>
      </c>
      <c r="AP179" s="81">
        <f t="shared" si="4"/>
        <v>46045.4</v>
      </c>
      <c r="AQ179" s="80">
        <v>46051</v>
      </c>
      <c r="AR179" s="80">
        <v>46057</v>
      </c>
      <c r="AS179" s="81">
        <f t="shared" si="5"/>
        <v>46052.4</v>
      </c>
      <c r="AT179" s="19" t="s">
        <v>1677</v>
      </c>
      <c r="AU179" s="44" t="str">
        <f>VLOOKUP(Cartera1017[[#This Row],[Gerencia]],tbGerencia[#All],3,FALSE)</f>
        <v>Operac.</v>
      </c>
      <c r="AV179" s="44" t="str">
        <f>IFERROR(VLOOKUP(Cartera1017[[#This Row],[Subgerencia]],Definiciones!$A$90:$B$144,2,FALSE),"")</f>
        <v>BancariosRecaudación</v>
      </c>
      <c r="AW179" s="44" t="str">
        <f>IF(OR(LEN(Cartera1017[[#This Row],[Fecha de Solicitud]])=0,(Cartera1017[[#This Row],[Fecha de Solicitud]])="No definido"),"No definido",IF(YEAR(Cartera1017[[#This Row],[Fecha de Solicitud]])&lt;2023," &lt;  2023",TEXT(Cartera1017[[#This Row],[Fecha de Solicitud]],"yyyy-mm")))</f>
        <v>No definido</v>
      </c>
      <c r="AX179" s="44" t="str">
        <f>IF(Cartera1017[[#This Row],[Fecha de Priorización Comité]]="","No definido",TEXT(Cartera1017[[#This Row],[Fecha de Priorización Comité]],"yyyy-mm"))</f>
        <v>2025-12</v>
      </c>
      <c r="AY179" s="44" t="str">
        <f>IF(Cartera1017[[#This Row],[Fecha Fin- Desarrollo]]="","No definido",TEXT(Cartera1017[[#This Row],[Fecha Fin- Desarrollo]],"yyyy-mm"))</f>
        <v>2026-01</v>
      </c>
      <c r="AZ179" s="44" t="str">
        <f>IF(Cartera1017[[#This Row],[Fecha Fin- Producción]]="","No definido",TEXT(Cartera1017[[#This Row],[Fecha Fin- Producción]],"yyyy-mm"))</f>
        <v>2026-02</v>
      </c>
      <c r="BA179" s="44" t="str">
        <f>IF(Cartera1017[[#This Row],[Fecha Fin-Planificada]]="","No definido",TEXT(Cartera1017[[#This Row],[Fecha Fin-Planificada]],"yyyy-mm"))</f>
        <v>2026-01</v>
      </c>
      <c r="BB179" s="33"/>
      <c r="BC179" s="108"/>
      <c r="BD179" s="108"/>
      <c r="BE179" s="108"/>
      <c r="BF179" s="127"/>
      <c r="BG179" s="28" t="s">
        <v>543</v>
      </c>
      <c r="BH17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69</v>
      </c>
      <c r="BI179" s="90">
        <f>IF(ISNUMBER(Cartera1017[[#This Row],[Duracion en Dias]]),Cartera1017[[#This Row],[Duracion en Dias]]/30, "No Aplica")</f>
        <v>2.2999999999999998</v>
      </c>
      <c r="BJ179" s="109"/>
      <c r="BK179" s="28" t="s">
        <v>506</v>
      </c>
      <c r="BL179" s="110" t="s">
        <v>536</v>
      </c>
      <c r="BM179" s="342">
        <v>46057.369409722225</v>
      </c>
      <c r="BN179" s="227"/>
      <c r="BO179" s="98"/>
      <c r="BP179" s="401"/>
      <c r="BQ17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79" s="14" t="str">
        <f>IFERROR(VLOOKUP(Cartera1017[[#This Row],[Aplicativo]],Tabla76[],2,FALSE),"Sin Aplicativo")</f>
        <v>BackOffice</v>
      </c>
      <c r="BS179" s="14" t="str">
        <f>IFERROR(VLOOKUP(Cartera1017[[#This Row],[Aplicativo]],Tabla76[],3,FALSE),"Sin Aplicativo")</f>
        <v>Otros Requerimientos</v>
      </c>
      <c r="BT179" s="400"/>
      <c r="BU179" s="28"/>
      <c r="BV179" s="28"/>
      <c r="BW17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46057</v>
      </c>
      <c r="BX17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79" s="149" t="str">
        <f ca="1">IF(Cartera1017[[#This Row],[Fecha Fin2]]="","No definido",CONCATENATE(TEXT(Cartera1017[[#This Row],[Fecha Fin2]],"mmm")," ",YEAR(Cartera1017[[#This Row],[Fecha Fin2]])))</f>
        <v>Feb 2026</v>
      </c>
      <c r="BZ179" s="28"/>
      <c r="CA179" s="48" t="str">
        <f>IF(Cartera1017[[#This Row],[Estado TI]] = "08. Producción Finalizada","Culminado",IF(Cartera1017[[#This Row],[Estado TI]]= "09. Descartado","Descartado","Activos"))</f>
        <v>Culminado</v>
      </c>
      <c r="CB179" s="28"/>
      <c r="CC17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79" s="54" t="str">
        <f>IF(
AND(
Cartera1017[[#This Row],[DEVOLVER 27]]="NO",
NOT(ISBLANK(Cartera1017[[#This Row],[ESTADO NO DEVUELTOS 27]]))
),
"PRE",
"POST"
)</f>
        <v>POST</v>
      </c>
      <c r="CE179" s="54" t="s">
        <v>509</v>
      </c>
      <c r="CF179" s="28"/>
      <c r="CG17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7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7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9" s="406">
        <f>Cartera1017[[#This Row],[Porcentaje de Avance]]</f>
        <v>1</v>
      </c>
      <c r="CK179" s="388">
        <f ca="1">IF(
   OR(
     Cartera1017[[#This Row],[Estado TI]]="09. Descartado",
     Cartera1017[[#This Row],[Comienzo Desarrollo]]="",
     Cartera1017[[#This Row],[Fin Producción]]=""
   ),
   "",
   Cartera1017[[#This Row],[% PLANIFICADO]]-Cartera1017[[#This Row],[% COMPLETADO]]
)</f>
        <v>0</v>
      </c>
      <c r="CL179" s="388">
        <f ca="1">IF(
   OR(
     Cartera1017[[#This Row],[Estado TI]]="09. Descartado",
     Cartera1017[[#This Row],[Comienzo Desarrollo]]="",
     Cartera1017[[#This Row],[Fin Producción]]="",
     Cartera1017[[#This Row],[% PLANIFICADO]]=0
   ),
   "",
   MIN(Cartera1017[[#This Row],[% COMPLETADO]]/Cartera1017[[#This Row],[% PLANIFICADO]],1.2)
)</f>
        <v>1</v>
      </c>
      <c r="CM179" s="377">
        <v>45988</v>
      </c>
      <c r="CN179" s="377">
        <v>45988</v>
      </c>
      <c r="CO179" s="377">
        <v>46029</v>
      </c>
      <c r="CP179" s="377">
        <v>46036</v>
      </c>
      <c r="CQ179" s="377">
        <v>46049</v>
      </c>
      <c r="CR179" s="377">
        <v>46051</v>
      </c>
      <c r="CS179" s="377">
        <v>46087</v>
      </c>
      <c r="CT179" s="44">
        <f>IF(Cartera1017[[#This Row],[Fin Desarrollo]]="",25,IFERROR(NETWORKDAYS(Cartera1017[[#This Row],[Comienzo Desarrollo]],Cartera1017[[#This Row],[Fin Desarrollo]],FERIADOS[Fecha]),""))</f>
        <v>25</v>
      </c>
      <c r="CU17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79" s="44">
        <f>IF(OR(Cartera1017[[#This Row],[Comienzo Desarrollo]]="",Cartera1017[[#This Row],[Fin Desarrollo]]=""),200,IFERROR(Cartera1017[[#This Row],[DURACIÓN DESARROLLO DIAS]]*VLOOKUP(Cartera1017[[#This Row],[ID Mantenimiento]],MANT_HORAS[],2,FALSE),200))</f>
        <v>200</v>
      </c>
      <c r="CW179" s="110"/>
      <c r="CX179" s="110" t="str">
        <f>VLOOKUP(Cartera1017[[#This Row],[Estado TI]],Definiciones!$A$549:$B$559,2,FALSE)</f>
        <v>4. PRODUCCIÓN</v>
      </c>
      <c r="CY179" s="28">
        <f ca="1">1-Cartera1017[[#This Row],[Porcentaje avanzado desarrollo]]</f>
        <v>0</v>
      </c>
      <c r="CZ17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v>
      </c>
      <c r="DA179" s="28">
        <f ca="1">MAX(0,Cartera1017[[#This Row],[DURACIÓN DESARROLLO DIAS]]-Cartera1017[[#This Row],[Dias avanzados]])</f>
        <v>0</v>
      </c>
      <c r="DB179" s="28">
        <f ca="1">Cartera1017[[#This Row],[Dias avanzados]]*IFERROR(VLOOKUP(Cartera1017[[#This Row],[ID Mantenimiento]],MANT_HORAS[],2,FALSE),8)</f>
        <v>200</v>
      </c>
      <c r="DC179" s="28">
        <f ca="1">Cartera1017[[#This Row],[Dias faltantes]]*IFERROR(VLOOKUP(Cartera1017[[#This Row],[ID Mantenimiento]],MANT_HORAS[],2,FALSE),8)</f>
        <v>0</v>
      </c>
      <c r="DD179" s="28" t="str">
        <f>IF(Cartera1017[[#This Row],[Fin Producción]]=0,"Por definir",CONCATENATE(YEAR(Cartera1017[[#This Row],[Fin Producción]]),"-",ROUNDUP(MONTH(Cartera1017[[#This Row],[Fin Producción]]),0)))</f>
        <v>2026-3</v>
      </c>
      <c r="DE179" s="18" t="s">
        <v>510</v>
      </c>
      <c r="DF179" s="28"/>
      <c r="DG179" s="28"/>
      <c r="DH179" s="565"/>
    </row>
    <row r="180" spans="1:112" s="376" customFormat="1" ht="44.25" hidden="1" customHeight="1">
      <c r="A180" s="229" t="s">
        <v>1678</v>
      </c>
      <c r="B180" s="18">
        <v>3127</v>
      </c>
      <c r="C180" s="18" t="s">
        <v>485</v>
      </c>
      <c r="D180" s="18" t="s">
        <v>1679</v>
      </c>
      <c r="E180" s="18" t="s">
        <v>1680</v>
      </c>
      <c r="F180" s="18" t="s">
        <v>1681</v>
      </c>
      <c r="G180" s="18"/>
      <c r="H180" s="18" t="s">
        <v>40</v>
      </c>
      <c r="I180" s="18" t="s">
        <v>842</v>
      </c>
      <c r="J180" s="18" t="s">
        <v>843</v>
      </c>
      <c r="K180" s="20">
        <v>45994</v>
      </c>
      <c r="L180" s="50" t="s">
        <v>1682</v>
      </c>
      <c r="M180" s="50" t="s">
        <v>1683</v>
      </c>
      <c r="N180" s="50"/>
      <c r="O180" s="18" t="s">
        <v>494</v>
      </c>
      <c r="P180" s="18" t="s">
        <v>1684</v>
      </c>
      <c r="Q180" s="18" t="s">
        <v>1685</v>
      </c>
      <c r="R180" s="18" t="s">
        <v>531</v>
      </c>
      <c r="S180" s="18"/>
      <c r="T180" s="18"/>
      <c r="U180" s="18"/>
      <c r="V180" s="18"/>
      <c r="W180" s="18"/>
      <c r="X180" s="18"/>
      <c r="Y180" s="80"/>
      <c r="Z180" s="18" t="s">
        <v>499</v>
      </c>
      <c r="AA180" s="20">
        <v>46003</v>
      </c>
      <c r="AB180" s="18" t="s">
        <v>533</v>
      </c>
      <c r="AC180" s="18"/>
      <c r="AD180" s="18" t="s">
        <v>37</v>
      </c>
      <c r="AE180" s="18" t="s">
        <v>41</v>
      </c>
      <c r="AF180" s="18" t="s">
        <v>53</v>
      </c>
      <c r="AG180" s="14" t="str">
        <f>VLOOKUP(AF180,Tabla3[[Estado Requerimiento]:[Macro estado]],2,FALSE)</f>
        <v>03. Culminado</v>
      </c>
      <c r="AH180" s="18"/>
      <c r="AI180" s="80"/>
      <c r="AJ180" s="80"/>
      <c r="AK180" s="80">
        <v>45995</v>
      </c>
      <c r="AL180" s="80">
        <v>46006</v>
      </c>
      <c r="AM180" s="80"/>
      <c r="AN180" s="80">
        <v>46013</v>
      </c>
      <c r="AO180" s="80">
        <v>46014</v>
      </c>
      <c r="AP180" s="81">
        <f t="shared" si="4"/>
        <v>46010.400000000001</v>
      </c>
      <c r="AQ180" s="80">
        <v>46029</v>
      </c>
      <c r="AR180" s="80">
        <v>46036</v>
      </c>
      <c r="AS180" s="81">
        <f t="shared" si="5"/>
        <v>46017.4</v>
      </c>
      <c r="AT180" s="19" t="s">
        <v>1686</v>
      </c>
      <c r="AU180" s="44" t="str">
        <f>VLOOKUP(Cartera1017[[#This Row],[Gerencia]],tbGerencia[#All],3,FALSE)</f>
        <v>Operac.</v>
      </c>
      <c r="AV180" s="44" t="str">
        <f>IFERROR(VLOOKUP(Cartera1017[[#This Row],[Subgerencia]],Definiciones!$A$90:$B$144,2,FALSE),"")</f>
        <v>CajaValores</v>
      </c>
      <c r="AW180" s="44" t="str">
        <f>IF(OR(LEN(Cartera1017[[#This Row],[Fecha de Solicitud]])=0,(Cartera1017[[#This Row],[Fecha de Solicitud]])="No definido"),"No definido",IF(YEAR(Cartera1017[[#This Row],[Fecha de Solicitud]])&lt;2023," &lt;  2023",TEXT(Cartera1017[[#This Row],[Fecha de Solicitud]],"yyyy-mm")))</f>
        <v>2025-12</v>
      </c>
      <c r="AX180" s="44" t="str">
        <f>IF(Cartera1017[[#This Row],[Fecha de Priorización Comité]]="","No definido",TEXT(Cartera1017[[#This Row],[Fecha de Priorización Comité]],"yyyy-mm"))</f>
        <v>2025-12</v>
      </c>
      <c r="AY180" s="44" t="str">
        <f>IF(Cartera1017[[#This Row],[Fecha Fin- Desarrollo]]="","No definido",TEXT(Cartera1017[[#This Row],[Fecha Fin- Desarrollo]],"yyyy-mm"))</f>
        <v>2025-12</v>
      </c>
      <c r="AZ180" s="44" t="str">
        <f>IF(Cartera1017[[#This Row],[Fecha Fin- Producción]]="","No definido",TEXT(Cartera1017[[#This Row],[Fecha Fin- Producción]],"yyyy-mm"))</f>
        <v>2026-01</v>
      </c>
      <c r="BA180" s="44" t="str">
        <f>IF(Cartera1017[[#This Row],[Fecha Fin-Planificada]]="","No definido",TEXT(Cartera1017[[#This Row],[Fecha Fin-Planificada]],"yyyy-mm"))</f>
        <v>2025-12</v>
      </c>
      <c r="BB180" s="33"/>
      <c r="BC180" s="108"/>
      <c r="BD180" s="108"/>
      <c r="BE180" s="108"/>
      <c r="BF180" s="127"/>
      <c r="BG180" s="28" t="s">
        <v>543</v>
      </c>
      <c r="BH18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41</v>
      </c>
      <c r="BI180" s="90">
        <f>IF(ISNUMBER(Cartera1017[[#This Row],[Duracion en Dias]]),Cartera1017[[#This Row],[Duracion en Dias]]/30, "No Aplica")</f>
        <v>1.3666666666666667</v>
      </c>
      <c r="BJ180" s="109"/>
      <c r="BK180" s="28" t="s">
        <v>506</v>
      </c>
      <c r="BL180" s="110" t="s">
        <v>536</v>
      </c>
      <c r="BM180" s="342">
        <v>46036.615046296298</v>
      </c>
      <c r="BN180" s="227"/>
      <c r="BO180" s="98"/>
      <c r="BP180" s="401"/>
      <c r="BQ18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0" s="14" t="str">
        <f>IFERROR(VLOOKUP(Cartera1017[[#This Row],[Aplicativo]],Tabla76[],2,FALSE),"Sin Aplicativo")</f>
        <v>Sin Aplicativo</v>
      </c>
      <c r="BS180" s="14" t="str">
        <f>IFERROR(VLOOKUP(Cartera1017[[#This Row],[Aplicativo]],Tabla76[],3,FALSE),"Sin Aplicativo")</f>
        <v>Sin Aplicativo</v>
      </c>
      <c r="BT180" s="400"/>
      <c r="BU180" s="28"/>
      <c r="BV180" s="28"/>
      <c r="BW18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46036</v>
      </c>
      <c r="BX18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0" s="149" t="str">
        <f ca="1">IF(Cartera1017[[#This Row],[Fecha Fin2]]="","No definido",CONCATENATE(TEXT(Cartera1017[[#This Row],[Fecha Fin2]],"mmm")," ",YEAR(Cartera1017[[#This Row],[Fecha Fin2]])))</f>
        <v>Ene 2026</v>
      </c>
      <c r="BZ180" s="28"/>
      <c r="CA180" s="48" t="str">
        <f>IF(Cartera1017[[#This Row],[Estado TI]] = "08. Producción Finalizada","Culminado",IF(Cartera1017[[#This Row],[Estado TI]]= "09. Descartado","Descartado","Activos"))</f>
        <v>Culminado</v>
      </c>
      <c r="CB180" s="28"/>
      <c r="CC18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80" s="54" t="str">
        <f>IF(
AND(
Cartera1017[[#This Row],[DEVOLVER 27]]="NO",
NOT(ISBLANK(Cartera1017[[#This Row],[ESTADO NO DEVUELTOS 27]]))
),
"PRE",
"POST"
)</f>
        <v>POST</v>
      </c>
      <c r="CE180" s="54" t="s">
        <v>509</v>
      </c>
      <c r="CF180" s="28"/>
      <c r="CG18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8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0" s="406">
        <f>Cartera1017[[#This Row],[Porcentaje de Avance]]</f>
        <v>1</v>
      </c>
      <c r="CK180" s="388">
        <f ca="1">IF(
   OR(
     Cartera1017[[#This Row],[Estado TI]]="09. Descartado",
     Cartera1017[[#This Row],[Comienzo Desarrollo]]="",
     Cartera1017[[#This Row],[Fin Producción]]=""
   ),
   "",
   Cartera1017[[#This Row],[% PLANIFICADO]]-Cartera1017[[#This Row],[% COMPLETADO]]
)</f>
        <v>0</v>
      </c>
      <c r="CL180" s="388">
        <f ca="1">IF(
   OR(
     Cartera1017[[#This Row],[Estado TI]]="09. Descartado",
     Cartera1017[[#This Row],[Comienzo Desarrollo]]="",
     Cartera1017[[#This Row],[Fin Producción]]="",
     Cartera1017[[#This Row],[% PLANIFICADO]]=0
   ),
   "",
   MIN(Cartera1017[[#This Row],[% COMPLETADO]]/Cartera1017[[#This Row],[% PLANIFICADO]],1.2)
)</f>
        <v>1</v>
      </c>
      <c r="CM180" s="377">
        <v>45995</v>
      </c>
      <c r="CN180" s="377">
        <v>45995</v>
      </c>
      <c r="CO180" s="377">
        <v>46006</v>
      </c>
      <c r="CP180" s="377">
        <v>46013</v>
      </c>
      <c r="CQ180" s="377">
        <v>46014</v>
      </c>
      <c r="CR180" s="377">
        <v>46029</v>
      </c>
      <c r="CS180" s="377">
        <v>46037</v>
      </c>
      <c r="CT180" s="44">
        <f>IF(Cartera1017[[#This Row],[Fin Desarrollo]]="",25,IFERROR(NETWORKDAYS(Cartera1017[[#This Row],[Comienzo Desarrollo]],Cartera1017[[#This Row],[Fin Desarrollo]],FERIADOS[Fecha]),""))</f>
        <v>7</v>
      </c>
      <c r="CU18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80" s="44">
        <f>IF(OR(Cartera1017[[#This Row],[Comienzo Desarrollo]]="",Cartera1017[[#This Row],[Fin Desarrollo]]=""),200,IFERROR(Cartera1017[[#This Row],[DURACIÓN DESARROLLO DIAS]]*VLOOKUP(Cartera1017[[#This Row],[ID Mantenimiento]],MANT_HORAS[],2,FALSE),200))</f>
        <v>200</v>
      </c>
      <c r="CW180" s="110"/>
      <c r="CX180" s="110" t="str">
        <f>VLOOKUP(Cartera1017[[#This Row],[Estado TI]],Definiciones!$A$549:$B$559,2,FALSE)</f>
        <v>4. PRODUCCIÓN</v>
      </c>
      <c r="CY180" s="28">
        <f ca="1">1-Cartera1017[[#This Row],[Porcentaje avanzado desarrollo]]</f>
        <v>0</v>
      </c>
      <c r="CZ18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DA180" s="28">
        <f ca="1">MAX(0,Cartera1017[[#This Row],[DURACIÓN DESARROLLO DIAS]]-Cartera1017[[#This Row],[Dias avanzados]])</f>
        <v>0</v>
      </c>
      <c r="DB180" s="28">
        <f ca="1">Cartera1017[[#This Row],[Dias avanzados]]*IFERROR(VLOOKUP(Cartera1017[[#This Row],[ID Mantenimiento]],MANT_HORAS[],2,FALSE),8)</f>
        <v>56</v>
      </c>
      <c r="DC180" s="28">
        <f ca="1">Cartera1017[[#This Row],[Dias faltantes]]*IFERROR(VLOOKUP(Cartera1017[[#This Row],[ID Mantenimiento]],MANT_HORAS[],2,FALSE),8)</f>
        <v>0</v>
      </c>
      <c r="DD180" s="28" t="str">
        <f>IF(Cartera1017[[#This Row],[Fin Producción]]=0,"Por definir",CONCATENATE(YEAR(Cartera1017[[#This Row],[Fin Producción]]),"-",ROUNDUP(MONTH(Cartera1017[[#This Row],[Fin Producción]]),0)))</f>
        <v>2026-1</v>
      </c>
      <c r="DE180" s="18" t="s">
        <v>510</v>
      </c>
      <c r="DF180" s="28"/>
      <c r="DG180" s="28"/>
      <c r="DH180" s="565"/>
    </row>
    <row r="181" spans="1:112" s="376" customFormat="1" ht="44.25" hidden="1" customHeight="1">
      <c r="A181" s="229" t="s">
        <v>1687</v>
      </c>
      <c r="B181" s="18">
        <v>3128</v>
      </c>
      <c r="C181" s="18" t="s">
        <v>485</v>
      </c>
      <c r="D181" s="18" t="s">
        <v>1688</v>
      </c>
      <c r="E181" s="18" t="s">
        <v>371</v>
      </c>
      <c r="F181" s="19" t="s">
        <v>372</v>
      </c>
      <c r="G181" s="18"/>
      <c r="H181" s="18" t="s">
        <v>62</v>
      </c>
      <c r="I181" s="18" t="s">
        <v>628</v>
      </c>
      <c r="J181" s="18" t="s">
        <v>1689</v>
      </c>
      <c r="K181" s="20">
        <v>46001</v>
      </c>
      <c r="L181" s="50" t="s">
        <v>1690</v>
      </c>
      <c r="M181" s="50" t="s">
        <v>1691</v>
      </c>
      <c r="N181" s="50"/>
      <c r="O181" s="18" t="s">
        <v>494</v>
      </c>
      <c r="P181" s="18" t="s">
        <v>495</v>
      </c>
      <c r="Q181" s="18">
        <v>0</v>
      </c>
      <c r="R181" s="18" t="s">
        <v>599</v>
      </c>
      <c r="S181" s="18"/>
      <c r="T181" s="18" t="s">
        <v>632</v>
      </c>
      <c r="U181" s="18"/>
      <c r="V181" s="18"/>
      <c r="W181" s="18"/>
      <c r="X181" s="18"/>
      <c r="Y181" s="80">
        <v>44673</v>
      </c>
      <c r="Z181" s="18" t="s">
        <v>499</v>
      </c>
      <c r="AA181" s="20">
        <v>46003</v>
      </c>
      <c r="AB181" s="18" t="s">
        <v>533</v>
      </c>
      <c r="AC181" s="18"/>
      <c r="AD181" s="18" t="s">
        <v>37</v>
      </c>
      <c r="AE181" s="18" t="s">
        <v>63</v>
      </c>
      <c r="AF181" s="18" t="s">
        <v>48</v>
      </c>
      <c r="AG181" s="14" t="str">
        <f>VLOOKUP(AF181,Tabla3[[Estado Requerimiento]:[Macro estado]],2,FALSE)</f>
        <v>02. En Proceso</v>
      </c>
      <c r="AH181" s="18"/>
      <c r="AI181" s="80"/>
      <c r="AJ181" s="80"/>
      <c r="AK181" s="80">
        <v>46001</v>
      </c>
      <c r="AL181" s="80"/>
      <c r="AM181" s="80"/>
      <c r="AN181" s="80"/>
      <c r="AO181" s="80"/>
      <c r="AP181" s="81" t="str">
        <f t="shared" si="4"/>
        <v/>
      </c>
      <c r="AQ181" s="80"/>
      <c r="AR181" s="80"/>
      <c r="AS181" s="81" t="str">
        <f t="shared" si="5"/>
        <v/>
      </c>
      <c r="AT181" s="19" t="s">
        <v>1692</v>
      </c>
      <c r="AU181" s="44" t="str">
        <f>VLOOKUP(Cartera1017[[#This Row],[Gerencia]],tbGerencia[#All],3,FALSE)</f>
        <v>Logística</v>
      </c>
      <c r="AV181" s="44" t="str">
        <f>IFERROR(VLOOKUP(Cartera1017[[#This Row],[Subgerencia]],Definiciones!$A$90:$B$144,2,FALSE),"")</f>
        <v>Servicios</v>
      </c>
      <c r="AW181" s="44" t="str">
        <f>IF(OR(LEN(Cartera1017[[#This Row],[Fecha de Solicitud]])=0,(Cartera1017[[#This Row],[Fecha de Solicitud]])="No definido"),"No definido",IF(YEAR(Cartera1017[[#This Row],[Fecha de Solicitud]])&lt;2023," &lt;  2023",TEXT(Cartera1017[[#This Row],[Fecha de Solicitud]],"yyyy-mm")))</f>
        <v>2025-12</v>
      </c>
      <c r="AX181" s="44" t="str">
        <f>IF(Cartera1017[[#This Row],[Fecha de Priorización Comité]]="","No definido",TEXT(Cartera1017[[#This Row],[Fecha de Priorización Comité]],"yyyy-mm"))</f>
        <v>2025-12</v>
      </c>
      <c r="AY181" s="44" t="str">
        <f>IF(Cartera1017[[#This Row],[Fecha Fin- Desarrollo]]="","No definido",TEXT(Cartera1017[[#This Row],[Fecha Fin- Desarrollo]],"yyyy-mm"))</f>
        <v>No definido</v>
      </c>
      <c r="AZ181" s="44" t="str">
        <f>IF(Cartera1017[[#This Row],[Fecha Fin- Producción]]="","No definido",TEXT(Cartera1017[[#This Row],[Fecha Fin- Producción]],"yyyy-mm"))</f>
        <v>No definido</v>
      </c>
      <c r="BA181" s="44" t="str">
        <f>IF(Cartera1017[[#This Row],[Fecha Fin-Planificada]]="","No definido",TEXT(Cartera1017[[#This Row],[Fecha Fin-Planificada]],"yyyy-mm"))</f>
        <v>No definido</v>
      </c>
      <c r="BB181" s="33"/>
      <c r="BC181" s="108"/>
      <c r="BD181" s="108"/>
      <c r="BE181" s="108"/>
      <c r="BF181" s="127"/>
      <c r="BG181" s="28" t="s">
        <v>543</v>
      </c>
      <c r="BH18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81" s="90" t="str">
        <f>IF(ISNUMBER(Cartera1017[[#This Row],[Duracion en Dias]]),Cartera1017[[#This Row],[Duracion en Dias]]/30, "No Aplica")</f>
        <v>No Aplica</v>
      </c>
      <c r="BJ181" s="109"/>
      <c r="BK181" s="28" t="s">
        <v>1115</v>
      </c>
      <c r="BL181" s="110" t="s">
        <v>592</v>
      </c>
      <c r="BM181" s="342">
        <v>46002.417488425926</v>
      </c>
      <c r="BN181" s="227"/>
      <c r="BO181" s="98"/>
      <c r="BP181" s="401"/>
      <c r="BQ18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81" s="14" t="str">
        <f>IFERROR(VLOOKUP(Cartera1017[[#This Row],[Aplicativo]],Tabla76[],2,FALSE),"Sin Aplicativo")</f>
        <v>BackOffice</v>
      </c>
      <c r="BS181" s="14" t="str">
        <f>IFERROR(VLOOKUP(Cartera1017[[#This Row],[Aplicativo]],Tabla76[],3,FALSE),"Sin Aplicativo")</f>
        <v>Otros Requerimientos</v>
      </c>
      <c r="BT181" s="400"/>
      <c r="BU181" s="28"/>
      <c r="BV181" s="28"/>
      <c r="BW18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81" s="149" t="str">
        <f ca="1">IF(Cartera1017[[#This Row],[Fecha Fin2]]="","No definido",CONCATENATE(TEXT(Cartera1017[[#This Row],[Fecha Fin2]],"mmm")," ",YEAR(Cartera1017[[#This Row],[Fecha Fin2]])))</f>
        <v>No definido</v>
      </c>
      <c r="BZ181" s="28"/>
      <c r="CA181" s="48" t="str">
        <f>IF(Cartera1017[[#This Row],[Estado TI]] = "08. Producción Finalizada","Culminado",IF(Cartera1017[[#This Row],[Estado TI]]= "09. Descartado","Descartado","Activos"))</f>
        <v>Activos</v>
      </c>
      <c r="CB181" s="28"/>
      <c r="CC18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181" s="54" t="str">
        <f>IF(
AND(
Cartera1017[[#This Row],[DEVOLVER 27]]="NO",
NOT(ISBLANK(Cartera1017[[#This Row],[ESTADO NO DEVUELTOS 27]]))
),
"PRE",
"POST"
)</f>
        <v>POST</v>
      </c>
      <c r="CE181" s="54" t="s">
        <v>509</v>
      </c>
      <c r="CF181" s="28"/>
      <c r="CG18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8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8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0.49137931034482757</v>
      </c>
      <c r="CJ181" s="406">
        <f>Cartera1017[[#This Row],[Porcentaje de Avance]]</f>
        <v>0.15</v>
      </c>
      <c r="CK181" s="388">
        <f ca="1">IF(
   OR(
     Cartera1017[[#This Row],[Estado TI]]="09. Descartado",
     Cartera1017[[#This Row],[Comienzo Desarrollo]]="",
     Cartera1017[[#This Row],[Fin Producción]]=""
   ),
   "",
   Cartera1017[[#This Row],[% PLANIFICADO]]-Cartera1017[[#This Row],[% COMPLETADO]]
)</f>
        <v>0.3413793103448276</v>
      </c>
      <c r="CL181" s="388">
        <f ca="1">IF(
   OR(
     Cartera1017[[#This Row],[Estado TI]]="09. Descartado",
     Cartera1017[[#This Row],[Comienzo Desarrollo]]="",
     Cartera1017[[#This Row],[Fin Producción]]="",
     Cartera1017[[#This Row],[% PLANIFICADO]]=0
   ),
   "",
   MIN(Cartera1017[[#This Row],[% COMPLETADO]]/Cartera1017[[#This Row],[% PLANIFICADO]],1.2)
)</f>
        <v>0.30526315789473685</v>
      </c>
      <c r="CM181" s="377">
        <v>46001</v>
      </c>
      <c r="CN181" s="377">
        <v>46083</v>
      </c>
      <c r="CO181" s="377">
        <v>46203</v>
      </c>
      <c r="CP181" s="377">
        <v>46204</v>
      </c>
      <c r="CQ181" s="377">
        <v>46238</v>
      </c>
      <c r="CR181" s="377">
        <v>46239</v>
      </c>
      <c r="CS181" s="377">
        <v>46248</v>
      </c>
      <c r="CT181" s="44">
        <f>IF(Cartera1017[[#This Row],[Fin Desarrollo]]="",25,IFERROR(NETWORKDAYS(Cartera1017[[#This Row],[Comienzo Desarrollo]],Cartera1017[[#This Row],[Fin Desarrollo]],FERIADOS[Fecha]),""))</f>
        <v>85</v>
      </c>
      <c r="CU18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0.65517241379310343</v>
      </c>
      <c r="CV181" s="44">
        <f>IF(OR(Cartera1017[[#This Row],[Comienzo Desarrollo]]="",Cartera1017[[#This Row],[Fin Desarrollo]]=""),200,IFERROR(Cartera1017[[#This Row],[DURACIÓN DESARROLLO DIAS]]*VLOOKUP(Cartera1017[[#This Row],[ID Mantenimiento]],MANT_HORAS[],2,FALSE),200))</f>
        <v>340</v>
      </c>
      <c r="CW181" s="110"/>
      <c r="CX181" s="110" t="str">
        <f>VLOOKUP(Cartera1017[[#This Row],[Estado TI]],Definiciones!$A$549:$B$559,2,FALSE)</f>
        <v>1. DESARROLLO</v>
      </c>
      <c r="CY181" s="28">
        <f ca="1">1-Cartera1017[[#This Row],[Porcentaje avanzado desarrollo]]</f>
        <v>0.34482758620689657</v>
      </c>
      <c r="CZ18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56</v>
      </c>
      <c r="DA181" s="28">
        <f ca="1">MAX(0,Cartera1017[[#This Row],[DURACIÓN DESARROLLO DIAS]]-Cartera1017[[#This Row],[Dias avanzados]])</f>
        <v>29</v>
      </c>
      <c r="DB181" s="28">
        <f ca="1">Cartera1017[[#This Row],[Dias avanzados]]*IFERROR(VLOOKUP(Cartera1017[[#This Row],[ID Mantenimiento]],MANT_HORAS[],2,FALSE),8)</f>
        <v>224</v>
      </c>
      <c r="DC181" s="28">
        <f ca="1">Cartera1017[[#This Row],[Dias faltantes]]*IFERROR(VLOOKUP(Cartera1017[[#This Row],[ID Mantenimiento]],MANT_HORAS[],2,FALSE),8)</f>
        <v>116</v>
      </c>
      <c r="DD181" s="28" t="str">
        <f>IF(Cartera1017[[#This Row],[Fin Producción]]=0,"Por definir",CONCATENATE(YEAR(Cartera1017[[#This Row],[Fin Producción]]),"-",ROUNDUP(MONTH(Cartera1017[[#This Row],[Fin Producción]]),0)))</f>
        <v>2026-8</v>
      </c>
      <c r="DE181" s="18" t="s">
        <v>510</v>
      </c>
      <c r="DF181" s="28"/>
      <c r="DG181" s="28"/>
      <c r="DH181" s="565"/>
    </row>
    <row r="182" spans="1:112" s="376" customFormat="1" ht="44.25" hidden="1" customHeight="1">
      <c r="A182" s="229" t="s">
        <v>1693</v>
      </c>
      <c r="B182" s="18">
        <v>3114</v>
      </c>
      <c r="C182" s="18" t="s">
        <v>485</v>
      </c>
      <c r="D182" s="18" t="s">
        <v>1694</v>
      </c>
      <c r="E182" s="18" t="s">
        <v>1695</v>
      </c>
      <c r="F182" s="33" t="s">
        <v>1696</v>
      </c>
      <c r="G182" s="19"/>
      <c r="H182" s="18" t="s">
        <v>108</v>
      </c>
      <c r="I182" s="18" t="s">
        <v>1645</v>
      </c>
      <c r="J182" s="18" t="s">
        <v>1646</v>
      </c>
      <c r="K182" s="20">
        <v>45968</v>
      </c>
      <c r="L182" s="50" t="s">
        <v>1647</v>
      </c>
      <c r="M182" s="50" t="s">
        <v>710</v>
      </c>
      <c r="N182" s="50"/>
      <c r="O182" s="18" t="s">
        <v>712</v>
      </c>
      <c r="P182" s="18" t="s">
        <v>495</v>
      </c>
      <c r="Q182" s="18" t="s">
        <v>496</v>
      </c>
      <c r="R182" s="18" t="s">
        <v>531</v>
      </c>
      <c r="S182" s="18"/>
      <c r="T182" s="18"/>
      <c r="U182" s="18"/>
      <c r="V182" s="18"/>
      <c r="W182" s="18"/>
      <c r="X182" s="18"/>
      <c r="Y182" s="80"/>
      <c r="Z182" s="18" t="s">
        <v>499</v>
      </c>
      <c r="AA182" s="20">
        <v>46003</v>
      </c>
      <c r="AB182" s="18" t="s">
        <v>713</v>
      </c>
      <c r="AC182" s="18"/>
      <c r="AD182" s="18" t="s">
        <v>324</v>
      </c>
      <c r="AE182" s="18" t="s">
        <v>27</v>
      </c>
      <c r="AF182" s="18" t="s">
        <v>53</v>
      </c>
      <c r="AG182" s="14" t="str">
        <f>VLOOKUP(AF182,Tabla3[[Estado Requerimiento]:[Macro estado]],2,FALSE)</f>
        <v>03. Culminado</v>
      </c>
      <c r="AH182" s="18"/>
      <c r="AI182" s="80"/>
      <c r="AJ182" s="80"/>
      <c r="AK182" s="80">
        <v>45985</v>
      </c>
      <c r="AL182" s="80"/>
      <c r="AM182" s="80"/>
      <c r="AN182" s="80"/>
      <c r="AO182" s="80"/>
      <c r="AP182" s="81" t="str">
        <f t="shared" si="4"/>
        <v/>
      </c>
      <c r="AQ182" s="80">
        <v>45989</v>
      </c>
      <c r="AR182" s="80">
        <v>46030</v>
      </c>
      <c r="AS182" s="81" t="str">
        <f t="shared" si="5"/>
        <v/>
      </c>
      <c r="AT182" s="19" t="s">
        <v>1697</v>
      </c>
      <c r="AU182" s="44" t="str">
        <f>VLOOKUP(Cartera1017[[#This Row],[Gerencia]],tbGerencia[#All],3,FALSE)</f>
        <v>TI</v>
      </c>
      <c r="AV182" s="44" t="str">
        <f>IFERROR(VLOOKUP(Cartera1017[[#This Row],[Subgerencia]],Definiciones!$A$90:$B$144,2,FALSE),"")</f>
        <v/>
      </c>
      <c r="AW182" s="44" t="str">
        <f>IF(OR(LEN(Cartera1017[[#This Row],[Fecha de Solicitud]])=0,(Cartera1017[[#This Row],[Fecha de Solicitud]])="No definido"),"No definido",IF(YEAR(Cartera1017[[#This Row],[Fecha de Solicitud]])&lt;2023," &lt;  2023",TEXT(Cartera1017[[#This Row],[Fecha de Solicitud]],"yyyy-mm")))</f>
        <v>2025-11</v>
      </c>
      <c r="AX182" s="44" t="str">
        <f>IF(Cartera1017[[#This Row],[Fecha de Priorización Comité]]="","No definido",TEXT(Cartera1017[[#This Row],[Fecha de Priorización Comité]],"yyyy-mm"))</f>
        <v>2025-12</v>
      </c>
      <c r="AY182" s="44" t="str">
        <f>IF(Cartera1017[[#This Row],[Fecha Fin- Desarrollo]]="","No definido",TEXT(Cartera1017[[#This Row],[Fecha Fin- Desarrollo]],"yyyy-mm"))</f>
        <v>No definido</v>
      </c>
      <c r="AZ182" s="44" t="str">
        <f>IF(Cartera1017[[#This Row],[Fecha Fin- Producción]]="","No definido",TEXT(Cartera1017[[#This Row],[Fecha Fin- Producción]],"yyyy-mm"))</f>
        <v>2026-01</v>
      </c>
      <c r="BA182" s="44" t="str">
        <f>IF(Cartera1017[[#This Row],[Fecha Fin-Planificada]]="","No definido",TEXT(Cartera1017[[#This Row],[Fecha Fin-Planificada]],"yyyy-mm"))</f>
        <v>No definido</v>
      </c>
      <c r="BB182" s="33"/>
      <c r="BC182" s="108"/>
      <c r="BD182" s="108"/>
      <c r="BE182" s="108"/>
      <c r="BF182" s="127"/>
      <c r="BG182" s="28" t="s">
        <v>543</v>
      </c>
      <c r="BH18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45</v>
      </c>
      <c r="BI182" s="90">
        <f>IF(ISNUMBER(Cartera1017[[#This Row],[Duracion en Dias]]),Cartera1017[[#This Row],[Duracion en Dias]]/30, "No Aplica")</f>
        <v>1.5</v>
      </c>
      <c r="BJ182" s="109"/>
      <c r="BK182" s="28" t="s">
        <v>506</v>
      </c>
      <c r="BL182" s="110" t="s">
        <v>1698</v>
      </c>
      <c r="BM182" s="342">
        <v>46125.671412037038</v>
      </c>
      <c r="BN182" s="227"/>
      <c r="BO182" s="98"/>
      <c r="BP182" s="401"/>
      <c r="BQ18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2" s="14" t="str">
        <f>IFERROR(VLOOKUP(Cartera1017[[#This Row],[Aplicativo]],Tabla76[],2,FALSE),"Sin Aplicativo")</f>
        <v>Banca Movil</v>
      </c>
      <c r="BS182" s="14" t="str">
        <f>IFERROR(VLOOKUP(Cartera1017[[#This Row],[Aplicativo]],Tabla76[],3,FALSE),"Sin Aplicativo")</f>
        <v>Canales Virtuales</v>
      </c>
      <c r="BT182" s="400"/>
      <c r="BU182" s="28"/>
      <c r="BV182" s="28"/>
      <c r="BW18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46030</v>
      </c>
      <c r="BX18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2" s="149" t="str">
        <f ca="1">IF(Cartera1017[[#This Row],[Fecha Fin2]]="","No definido",CONCATENATE(TEXT(Cartera1017[[#This Row],[Fecha Fin2]],"mmm")," ",YEAR(Cartera1017[[#This Row],[Fecha Fin2]])))</f>
        <v>Ene 2026</v>
      </c>
      <c r="BZ182" s="28"/>
      <c r="CA182" s="48" t="str">
        <f>IF(Cartera1017[[#This Row],[Estado TI]] = "08. Producción Finalizada","Culminado",IF(Cartera1017[[#This Row],[Estado TI]]= "09. Descartado","Descartado","Activos"))</f>
        <v>Culminado</v>
      </c>
      <c r="CB182" s="28"/>
      <c r="CC18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82" s="54" t="str">
        <f>IF(
AND(
Cartera1017[[#This Row],[DEVOLVER 27]]="NO",
NOT(ISBLANK(Cartera1017[[#This Row],[ESTADO NO DEVUELTOS 27]]))
),
"PRE",
"POST"
)</f>
        <v>POST</v>
      </c>
      <c r="CE182" s="54" t="s">
        <v>509</v>
      </c>
      <c r="CF182" s="28"/>
      <c r="CG18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8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2" s="406">
        <f>Cartera1017[[#This Row],[Porcentaje de Avance]]</f>
        <v>1</v>
      </c>
      <c r="CK182" s="388">
        <f ca="1">IF(
   OR(
     Cartera1017[[#This Row],[Estado TI]]="09. Descartado",
     Cartera1017[[#This Row],[Comienzo Desarrollo]]="",
     Cartera1017[[#This Row],[Fin Producción]]=""
   ),
   "",
   Cartera1017[[#This Row],[% PLANIFICADO]]-Cartera1017[[#This Row],[% COMPLETADO]]
)</f>
        <v>0</v>
      </c>
      <c r="CL182" s="388">
        <f ca="1">IF(
   OR(
     Cartera1017[[#This Row],[Estado TI]]="09. Descartado",
     Cartera1017[[#This Row],[Comienzo Desarrollo]]="",
     Cartera1017[[#This Row],[Fin Producción]]="",
     Cartera1017[[#This Row],[% PLANIFICADO]]=0
   ),
   "",
   MIN(Cartera1017[[#This Row],[% COMPLETADO]]/Cartera1017[[#This Row],[% PLANIFICADO]],1.2)
)</f>
        <v>1</v>
      </c>
      <c r="CM182" s="377">
        <v>45985</v>
      </c>
      <c r="CN182" s="377">
        <v>45985</v>
      </c>
      <c r="CO182" s="377" t="s">
        <v>1143</v>
      </c>
      <c r="CP182" s="377" t="s">
        <v>1143</v>
      </c>
      <c r="CQ182" s="377" t="s">
        <v>1143</v>
      </c>
      <c r="CR182" s="377">
        <v>45989</v>
      </c>
      <c r="CS182" s="377">
        <v>46030</v>
      </c>
      <c r="CT182" s="44">
        <f>IF(Cartera1017[[#This Row],[Fin Desarrollo]]="",25,IFERROR(NETWORKDAYS(Cartera1017[[#This Row],[Comienzo Desarrollo]],Cartera1017[[#This Row],[Fin Desarrollo]],FERIADOS[Fecha]),""))</f>
        <v>25</v>
      </c>
      <c r="CU18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82" s="44">
        <f>IF(OR(Cartera1017[[#This Row],[Comienzo Desarrollo]]="",Cartera1017[[#This Row],[Fin Desarrollo]]=""),200,IFERROR(Cartera1017[[#This Row],[DURACIÓN DESARROLLO DIAS]]*VLOOKUP(Cartera1017[[#This Row],[ID Mantenimiento]],MANT_HORAS[],2,FALSE),200))</f>
        <v>200</v>
      </c>
      <c r="CW182" s="110"/>
      <c r="CX182" s="110" t="str">
        <f>VLOOKUP(Cartera1017[[#This Row],[Estado TI]],Definiciones!$A$549:$B$559,2,FALSE)</f>
        <v>4. PRODUCCIÓN</v>
      </c>
      <c r="CY182" s="28">
        <f ca="1">1-Cartera1017[[#This Row],[Porcentaje avanzado desarrollo]]</f>
        <v>0.9</v>
      </c>
      <c r="CZ18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2" s="28">
        <f ca="1">MAX(0,Cartera1017[[#This Row],[DURACIÓN DESARROLLO DIAS]]-Cartera1017[[#This Row],[Dias avanzados]])</f>
        <v>24</v>
      </c>
      <c r="DB182" s="28">
        <f ca="1">Cartera1017[[#This Row],[Dias avanzados]]*IFERROR(VLOOKUP(Cartera1017[[#This Row],[ID Mantenimiento]],MANT_HORAS[],2,FALSE),8)</f>
        <v>8</v>
      </c>
      <c r="DC182" s="28">
        <f ca="1">Cartera1017[[#This Row],[Dias faltantes]]*IFERROR(VLOOKUP(Cartera1017[[#This Row],[ID Mantenimiento]],MANT_HORAS[],2,FALSE),8)</f>
        <v>192</v>
      </c>
      <c r="DD182" s="28" t="str">
        <f>IF(Cartera1017[[#This Row],[Fin Producción]]=0,"Por definir",CONCATENATE(YEAR(Cartera1017[[#This Row],[Fin Producción]]),"-",ROUNDUP(MONTH(Cartera1017[[#This Row],[Fin Producción]]),0)))</f>
        <v>2026-1</v>
      </c>
      <c r="DE182" s="18" t="s">
        <v>510</v>
      </c>
      <c r="DF182" s="28"/>
      <c r="DG182" s="28"/>
      <c r="DH182" s="565"/>
    </row>
    <row r="183" spans="1:112" ht="44.25" hidden="1" customHeight="1">
      <c r="A183" s="229" t="s">
        <v>1699</v>
      </c>
      <c r="B183" s="18">
        <v>3120</v>
      </c>
      <c r="C183" s="18" t="s">
        <v>485</v>
      </c>
      <c r="D183" s="18" t="s">
        <v>1700</v>
      </c>
      <c r="E183" s="18" t="s">
        <v>1701</v>
      </c>
      <c r="F183" s="33" t="s">
        <v>1702</v>
      </c>
      <c r="G183" s="19"/>
      <c r="H183" s="18" t="s">
        <v>62</v>
      </c>
      <c r="I183" s="18" t="s">
        <v>628</v>
      </c>
      <c r="J183" s="18" t="s">
        <v>1689</v>
      </c>
      <c r="K183" s="20">
        <v>45989</v>
      </c>
      <c r="L183" s="50" t="s">
        <v>1703</v>
      </c>
      <c r="M183" s="50" t="s">
        <v>1691</v>
      </c>
      <c r="N183" s="50"/>
      <c r="O183" s="18" t="s">
        <v>548</v>
      </c>
      <c r="P183" s="18" t="s">
        <v>495</v>
      </c>
      <c r="Q183" s="18" t="s">
        <v>496</v>
      </c>
      <c r="R183" s="18" t="s">
        <v>497</v>
      </c>
      <c r="S183" s="18"/>
      <c r="T183" s="18"/>
      <c r="U183" s="18"/>
      <c r="V183" s="18"/>
      <c r="W183" s="18"/>
      <c r="X183" s="18"/>
      <c r="Y183" s="80"/>
      <c r="Z183" s="18" t="s">
        <v>499</v>
      </c>
      <c r="AA183" s="20">
        <v>46003</v>
      </c>
      <c r="AB183" s="18" t="s">
        <v>533</v>
      </c>
      <c r="AC183" s="18"/>
      <c r="AD183" s="18" t="s">
        <v>1704</v>
      </c>
      <c r="AE183" s="18" t="s">
        <v>27</v>
      </c>
      <c r="AF183" s="18" t="s">
        <v>53</v>
      </c>
      <c r="AG183" s="14" t="str">
        <f>VLOOKUP(AF183,Tabla3[[Estado Requerimiento]:[Macro estado]],2,FALSE)</f>
        <v>03. Culminado</v>
      </c>
      <c r="AH183" s="18"/>
      <c r="AI183" s="80"/>
      <c r="AJ183" s="80"/>
      <c r="AK183" s="80">
        <v>45989</v>
      </c>
      <c r="AL183" s="80">
        <v>45989</v>
      </c>
      <c r="AM183" s="80"/>
      <c r="AN183" s="80">
        <v>45989</v>
      </c>
      <c r="AO183" s="80">
        <v>45989</v>
      </c>
      <c r="AP183" s="81">
        <f t="shared" si="4"/>
        <v>45989</v>
      </c>
      <c r="AQ183" s="80">
        <v>46029</v>
      </c>
      <c r="AR183" s="80">
        <v>46030</v>
      </c>
      <c r="AS183" s="81">
        <f t="shared" si="5"/>
        <v>45996</v>
      </c>
      <c r="AT183" s="19" t="s">
        <v>1705</v>
      </c>
      <c r="AU183" s="44" t="str">
        <f>VLOOKUP(Cartera1017[[#This Row],[Gerencia]],tbGerencia[#All],3,FALSE)</f>
        <v>Logística</v>
      </c>
      <c r="AV183" s="44" t="str">
        <f>IFERROR(VLOOKUP(Cartera1017[[#This Row],[Subgerencia]],Definiciones!$A$90:$B$144,2,FALSE),"")</f>
        <v>Servicios</v>
      </c>
      <c r="AW183" s="44" t="str">
        <f>IF(OR(LEN(Cartera1017[[#This Row],[Fecha de Solicitud]])=0,(Cartera1017[[#This Row],[Fecha de Solicitud]])="No definido"),"No definido",IF(YEAR(Cartera1017[[#This Row],[Fecha de Solicitud]])&lt;2023," &lt;  2023",TEXT(Cartera1017[[#This Row],[Fecha de Solicitud]],"yyyy-mm")))</f>
        <v>2025-11</v>
      </c>
      <c r="AX183" s="44" t="str">
        <f>IF(Cartera1017[[#This Row],[Fecha de Priorización Comité]]="","No definido",TEXT(Cartera1017[[#This Row],[Fecha de Priorización Comité]],"yyyy-mm"))</f>
        <v>2025-12</v>
      </c>
      <c r="AY183" s="44" t="str">
        <f>IF(Cartera1017[[#This Row],[Fecha Fin- Desarrollo]]="","No definido",TEXT(Cartera1017[[#This Row],[Fecha Fin- Desarrollo]],"yyyy-mm"))</f>
        <v>2025-11</v>
      </c>
      <c r="AZ183" s="44" t="str">
        <f>IF(Cartera1017[[#This Row],[Fecha Fin- Producción]]="","No definido",TEXT(Cartera1017[[#This Row],[Fecha Fin- Producción]],"yyyy-mm"))</f>
        <v>2026-01</v>
      </c>
      <c r="BA183" s="44" t="str">
        <f>IF(Cartera1017[[#This Row],[Fecha Fin-Planificada]]="","No definido",TEXT(Cartera1017[[#This Row],[Fecha Fin-Planificada]],"yyyy-mm"))</f>
        <v>2025-12</v>
      </c>
      <c r="BB183" s="33"/>
      <c r="BC183" s="108"/>
      <c r="BD183" s="108"/>
      <c r="BE183" s="108"/>
      <c r="BF183" s="127"/>
      <c r="BG183" s="28" t="s">
        <v>543</v>
      </c>
      <c r="BH18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41</v>
      </c>
      <c r="BI183" s="90">
        <f>IF(ISNUMBER(Cartera1017[[#This Row],[Duracion en Dias]]),Cartera1017[[#This Row],[Duracion en Dias]]/30, "No Aplica")</f>
        <v>1.3666666666666667</v>
      </c>
      <c r="BJ183" s="109"/>
      <c r="BK183" s="28" t="s">
        <v>506</v>
      </c>
      <c r="BL183" s="110" t="s">
        <v>536</v>
      </c>
      <c r="BM183" s="342">
        <v>46030.424502314818</v>
      </c>
      <c r="BN183" s="227"/>
      <c r="BO183" s="401"/>
      <c r="BP183" s="401"/>
      <c r="BQ18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3" s="14" t="str">
        <f>IFERROR(VLOOKUP(Cartera1017[[#This Row],[Aplicativo]],Tabla76[],2,FALSE),"Sin Aplicativo")</f>
        <v>BackOffice</v>
      </c>
      <c r="BS183" s="14" t="str">
        <f>IFERROR(VLOOKUP(Cartera1017[[#This Row],[Aplicativo]],Tabla76[],3,FALSE),"Sin Aplicativo")</f>
        <v>Otros Requerimientos</v>
      </c>
      <c r="BT183" s="400"/>
      <c r="BU183" s="33"/>
      <c r="BV183" s="28"/>
      <c r="BW18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46030</v>
      </c>
      <c r="BX18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3" s="149" t="str">
        <f ca="1">IF(Cartera1017[[#This Row],[Fecha Fin2]]="","No definido",CONCATENATE(TEXT(Cartera1017[[#This Row],[Fecha Fin2]],"mmm")," ",YEAR(Cartera1017[[#This Row],[Fecha Fin2]])))</f>
        <v>Ene 2026</v>
      </c>
      <c r="BZ183" s="28"/>
      <c r="CA183" s="48" t="str">
        <f>IF(Cartera1017[[#This Row],[Estado TI]] = "08. Producción Finalizada","Culminado",IF(Cartera1017[[#This Row],[Estado TI]]= "09. Descartado","Descartado","Activos"))</f>
        <v>Culminado</v>
      </c>
      <c r="CB183" s="28"/>
      <c r="CC18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83" s="54" t="str">
        <f>IF(
AND(
Cartera1017[[#This Row],[DEVOLVER 27]]="NO",
NOT(ISBLANK(Cartera1017[[#This Row],[ESTADO NO DEVUELTOS 27]]))
),
"PRE",
"POST"
)</f>
        <v>POST</v>
      </c>
      <c r="CE183" s="54" t="s">
        <v>509</v>
      </c>
      <c r="CF183" s="28"/>
      <c r="CG18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8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3" s="406">
        <f>Cartera1017[[#This Row],[Porcentaje de Avance]]</f>
        <v>1</v>
      </c>
      <c r="CK183" s="388">
        <f ca="1">IF(
   OR(
     Cartera1017[[#This Row],[Estado TI]]="09. Descartado",
     Cartera1017[[#This Row],[Comienzo Desarrollo]]="",
     Cartera1017[[#This Row],[Fin Producción]]=""
   ),
   "",
   Cartera1017[[#This Row],[% PLANIFICADO]]-Cartera1017[[#This Row],[% COMPLETADO]]
)</f>
        <v>0</v>
      </c>
      <c r="CL183" s="388">
        <f ca="1">IF(
   OR(
     Cartera1017[[#This Row],[Estado TI]]="09. Descartado",
     Cartera1017[[#This Row],[Comienzo Desarrollo]]="",
     Cartera1017[[#This Row],[Fin Producción]]="",
     Cartera1017[[#This Row],[% PLANIFICADO]]=0
   ),
   "",
   MIN(Cartera1017[[#This Row],[% COMPLETADO]]/Cartera1017[[#This Row],[% PLANIFICADO]],1.2)
)</f>
        <v>1</v>
      </c>
      <c r="CM183" s="377">
        <v>45989</v>
      </c>
      <c r="CN183" s="377">
        <v>45989</v>
      </c>
      <c r="CO183" s="377">
        <v>45989</v>
      </c>
      <c r="CP183" s="377">
        <v>45989</v>
      </c>
      <c r="CQ183" s="377">
        <v>45989</v>
      </c>
      <c r="CR183" s="377">
        <v>46029</v>
      </c>
      <c r="CS183" s="377">
        <v>46030</v>
      </c>
      <c r="CT183" s="44">
        <f>IF(Cartera1017[[#This Row],[Fin Desarrollo]]="",25,IFERROR(NETWORKDAYS(Cartera1017[[#This Row],[Comienzo Desarrollo]],Cartera1017[[#This Row],[Fin Desarrollo]],FERIADOS[Fecha]),""))</f>
        <v>1</v>
      </c>
      <c r="CU18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83" s="44">
        <f>IF(OR(Cartera1017[[#This Row],[Comienzo Desarrollo]]="",Cartera1017[[#This Row],[Fin Desarrollo]]=""),200,IFERROR(Cartera1017[[#This Row],[DURACIÓN DESARROLLO DIAS]]*VLOOKUP(Cartera1017[[#This Row],[ID Mantenimiento]],MANT_HORAS[],2,FALSE),200))</f>
        <v>200</v>
      </c>
      <c r="CW183" s="110"/>
      <c r="CX183" s="110" t="str">
        <f>VLOOKUP(Cartera1017[[#This Row],[Estado TI]],Definiciones!$A$549:$B$559,2,FALSE)</f>
        <v>4. PRODUCCIÓN</v>
      </c>
      <c r="CY183" s="28">
        <f ca="1">1-Cartera1017[[#This Row],[Porcentaje avanzado desarrollo]]</f>
        <v>0</v>
      </c>
      <c r="CZ18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3" s="28">
        <f ca="1">MAX(0,Cartera1017[[#This Row],[DURACIÓN DESARROLLO DIAS]]-Cartera1017[[#This Row],[Dias avanzados]])</f>
        <v>0</v>
      </c>
      <c r="DB183" s="28">
        <f ca="1">Cartera1017[[#This Row],[Dias avanzados]]*IFERROR(VLOOKUP(Cartera1017[[#This Row],[ID Mantenimiento]],MANT_HORAS[],2,FALSE),8)</f>
        <v>8</v>
      </c>
      <c r="DC183" s="28">
        <f ca="1">Cartera1017[[#This Row],[Dias faltantes]]*IFERROR(VLOOKUP(Cartera1017[[#This Row],[ID Mantenimiento]],MANT_HORAS[],2,FALSE),8)</f>
        <v>0</v>
      </c>
      <c r="DD183" s="28" t="str">
        <f>IF(Cartera1017[[#This Row],[Fin Producción]]=0,"Por definir",CONCATENATE(YEAR(Cartera1017[[#This Row],[Fin Producción]]),"-",ROUNDUP(MONTH(Cartera1017[[#This Row],[Fin Producción]]),0)))</f>
        <v>2026-1</v>
      </c>
      <c r="DE183" s="18" t="s">
        <v>510</v>
      </c>
      <c r="DF183" s="28"/>
      <c r="DG183" s="28"/>
      <c r="DH183" s="565"/>
    </row>
    <row r="184" spans="1:112" ht="44.25" hidden="1" customHeight="1">
      <c r="A184" s="229" t="s">
        <v>1706</v>
      </c>
      <c r="B184" s="18">
        <v>1720</v>
      </c>
      <c r="C184" s="18" t="s">
        <v>485</v>
      </c>
      <c r="D184" s="18" t="s">
        <v>1707</v>
      </c>
      <c r="E184" s="18" t="s">
        <v>1708</v>
      </c>
      <c r="F184" s="33" t="s">
        <v>1709</v>
      </c>
      <c r="G184" s="19"/>
      <c r="H184" s="18" t="s">
        <v>26</v>
      </c>
      <c r="I184" s="18" t="s">
        <v>539</v>
      </c>
      <c r="J184" s="18" t="s">
        <v>554</v>
      </c>
      <c r="K184" s="20">
        <v>45169</v>
      </c>
      <c r="L184" s="50" t="s">
        <v>1710</v>
      </c>
      <c r="M184" s="50" t="s">
        <v>770</v>
      </c>
      <c r="N184" s="50"/>
      <c r="O184" s="18" t="s">
        <v>642</v>
      </c>
      <c r="P184" s="18" t="s">
        <v>549</v>
      </c>
      <c r="Q184" s="18" t="s">
        <v>1711</v>
      </c>
      <c r="R184" s="18" t="s">
        <v>599</v>
      </c>
      <c r="S184" s="18"/>
      <c r="T184" s="18"/>
      <c r="U184" s="18"/>
      <c r="V184" s="18"/>
      <c r="W184" s="18"/>
      <c r="X184" s="18"/>
      <c r="Y184" s="80"/>
      <c r="Z184" s="18" t="s">
        <v>499</v>
      </c>
      <c r="AA184" s="20"/>
      <c r="AB184" s="18" t="s">
        <v>500</v>
      </c>
      <c r="AC184" s="18"/>
      <c r="AD184" s="18" t="s">
        <v>30</v>
      </c>
      <c r="AE184" s="18" t="s">
        <v>27</v>
      </c>
      <c r="AF184" s="18" t="s">
        <v>48</v>
      </c>
      <c r="AG184" s="14" t="str">
        <f>VLOOKUP(AF184,Tabla3[[Estado Requerimiento]:[Macro estado]],2,FALSE)</f>
        <v>02. En Proceso</v>
      </c>
      <c r="AH184" s="18"/>
      <c r="AI184" s="80"/>
      <c r="AJ184" s="80"/>
      <c r="AK184" s="80"/>
      <c r="AL184" s="80"/>
      <c r="AM184" s="80"/>
      <c r="AN184" s="80"/>
      <c r="AO184" s="80"/>
      <c r="AP184" s="81" t="str">
        <f t="shared" si="4"/>
        <v/>
      </c>
      <c r="AQ184" s="80"/>
      <c r="AR184" s="80"/>
      <c r="AS184" s="81" t="str">
        <f t="shared" si="5"/>
        <v/>
      </c>
      <c r="AT184" s="19" t="s">
        <v>1712</v>
      </c>
      <c r="AU184" s="44" t="str">
        <f>VLOOKUP(Cartera1017[[#This Row],[Gerencia]],tbGerencia[#All],3,FALSE)</f>
        <v>B.Digital</v>
      </c>
      <c r="AV184" s="44" t="str">
        <f>IFERROR(VLOOKUP(Cartera1017[[#This Row],[Subgerencia]],Definiciones!$A$90:$B$144,2,FALSE),"")</f>
        <v>CanalesAlternos</v>
      </c>
      <c r="AW184" s="44" t="str">
        <f>IF(OR(LEN(Cartera1017[[#This Row],[Fecha de Solicitud]])=0,(Cartera1017[[#This Row],[Fecha de Solicitud]])="No definido"),"No definido",IF(YEAR(Cartera1017[[#This Row],[Fecha de Solicitud]])&lt;2023," &lt;  2023",TEXT(Cartera1017[[#This Row],[Fecha de Solicitud]],"yyyy-mm")))</f>
        <v>2023-08</v>
      </c>
      <c r="AX184" s="44" t="str">
        <f>IF(Cartera1017[[#This Row],[Fecha de Priorización Comité]]="","No definido",TEXT(Cartera1017[[#This Row],[Fecha de Priorización Comité]],"yyyy-mm"))</f>
        <v>No definido</v>
      </c>
      <c r="AY184" s="44" t="str">
        <f>IF(Cartera1017[[#This Row],[Fecha Fin- Desarrollo]]="","No definido",TEXT(Cartera1017[[#This Row],[Fecha Fin- Desarrollo]],"yyyy-mm"))</f>
        <v>No definido</v>
      </c>
      <c r="AZ184" s="44" t="str">
        <f>IF(Cartera1017[[#This Row],[Fecha Fin- Producción]]="","No definido",TEXT(Cartera1017[[#This Row],[Fecha Fin- Producción]],"yyyy-mm"))</f>
        <v>No definido</v>
      </c>
      <c r="BA184" s="44" t="str">
        <f>IF(Cartera1017[[#This Row],[Fecha Fin-Planificada]]="","No definido",TEXT(Cartera1017[[#This Row],[Fecha Fin-Planificada]],"yyyy-mm"))</f>
        <v>No definido</v>
      </c>
      <c r="BB184" s="33"/>
      <c r="BC184" s="108"/>
      <c r="BD184" s="108"/>
      <c r="BE184" s="108"/>
      <c r="BF184" s="127"/>
      <c r="BG184" s="28"/>
      <c r="BH18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84" s="90" t="str">
        <f>IF(ISNUMBER(Cartera1017[[#This Row],[Duracion en Dias]]),Cartera1017[[#This Row],[Duracion en Dias]]/30, "No Aplica")</f>
        <v>No Aplica</v>
      </c>
      <c r="BJ184" s="109"/>
      <c r="BK184" s="28" t="s">
        <v>506</v>
      </c>
      <c r="BL184" s="110" t="s">
        <v>581</v>
      </c>
      <c r="BM184" s="342">
        <v>46132.680081018516</v>
      </c>
      <c r="BN184" s="227"/>
      <c r="BO184" s="401"/>
      <c r="BP184" s="401"/>
      <c r="BQ18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84" s="14" t="str">
        <f>IFERROR(VLOOKUP(Cartera1017[[#This Row],[Aplicativo]],Tabla76[],2,FALSE),"Sin Aplicativo")</f>
        <v>ATM-Agentes-VISA</v>
      </c>
      <c r="BS184" s="14" t="str">
        <f>IFERROR(VLOOKUP(Cartera1017[[#This Row],[Aplicativo]],Tabla76[],3,FALSE),"Sin Aplicativo")</f>
        <v>Canales Presenciales</v>
      </c>
      <c r="BT184" s="400"/>
      <c r="BU184" s="33"/>
      <c r="BV184" s="28"/>
      <c r="BW18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84" s="149" t="str">
        <f ca="1">IF(Cartera1017[[#This Row],[Fecha Fin2]]="","No definido",CONCATENATE(TEXT(Cartera1017[[#This Row],[Fecha Fin2]],"mmm")," ",YEAR(Cartera1017[[#This Row],[Fecha Fin2]])))</f>
        <v>No definido</v>
      </c>
      <c r="BZ184" s="28"/>
      <c r="CA184" s="48" t="str">
        <f>IF(Cartera1017[[#This Row],[Estado TI]] = "08. Producción Finalizada","Culminado",IF(Cartera1017[[#This Row],[Estado TI]]= "09. Descartado","Descartado","Activos"))</f>
        <v>Activos</v>
      </c>
      <c r="CB184" s="28"/>
      <c r="CC18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184" s="54" t="str">
        <f>IF(
AND(
Cartera1017[[#This Row],[DEVOLVER 27]]="NO",
NOT(ISBLANK(Cartera1017[[#This Row],[ESTADO NO DEVUELTOS 27]]))
),
"PRE",
"POST"
)</f>
        <v>POST</v>
      </c>
      <c r="CE184" s="54" t="s">
        <v>1489</v>
      </c>
      <c r="CF184" s="28" t="s">
        <v>524</v>
      </c>
      <c r="CG18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8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84"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4" s="406">
        <f>Cartera1017[[#This Row],[Porcentaje de Avance]]</f>
        <v>0.45</v>
      </c>
      <c r="CK184" s="388">
        <f ca="1">IF(
   OR(
     Cartera1017[[#This Row],[Estado TI]]="09. Descartado",
     Cartera1017[[#This Row],[Comienzo Desarrollo]]="",
     Cartera1017[[#This Row],[Fin Producción]]=""
   ),
   "",
   Cartera1017[[#This Row],[% PLANIFICADO]]-Cartera1017[[#This Row],[% COMPLETADO]]
)</f>
        <v>0.55000000000000004</v>
      </c>
      <c r="CL184" s="388">
        <f ca="1">IF(
   OR(
     Cartera1017[[#This Row],[Estado TI]]="09. Descartado",
     Cartera1017[[#This Row],[Comienzo Desarrollo]]="",
     Cartera1017[[#This Row],[Fin Producción]]="",
     Cartera1017[[#This Row],[% PLANIFICADO]]=0
   ),
   "",
   MIN(Cartera1017[[#This Row],[% COMPLETADO]]/Cartera1017[[#This Row],[% PLANIFICADO]],1.2)
)</f>
        <v>0.45</v>
      </c>
      <c r="CM184" s="377">
        <v>46072</v>
      </c>
      <c r="CN184" s="377">
        <v>46072</v>
      </c>
      <c r="CO184" s="377">
        <v>46076</v>
      </c>
      <c r="CP184" s="377">
        <v>46084</v>
      </c>
      <c r="CQ184" s="377">
        <v>46119</v>
      </c>
      <c r="CR184" s="377">
        <v>46122</v>
      </c>
      <c r="CS184" s="377">
        <v>46127</v>
      </c>
      <c r="CT184" s="44">
        <f>IF(Cartera1017[[#This Row],[Fin Desarrollo]]="",25,IFERROR(NETWORKDAYS(Cartera1017[[#This Row],[Comienzo Desarrollo]],Cartera1017[[#This Row],[Fin Desarrollo]],FERIADOS[Fecha]),""))</f>
        <v>3</v>
      </c>
      <c r="CU18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84" s="44">
        <f>IF(OR(Cartera1017[[#This Row],[Comienzo Desarrollo]]="",Cartera1017[[#This Row],[Fin Desarrollo]]=""),200,IFERROR(Cartera1017[[#This Row],[DURACIÓN DESARROLLO DIAS]]*VLOOKUP(Cartera1017[[#This Row],[ID Mantenimiento]],MANT_HORAS[],2,FALSE),200))</f>
        <v>2.1818181818181817</v>
      </c>
      <c r="CW184" s="110"/>
      <c r="CX184" s="110" t="str">
        <f>VLOOKUP(Cartera1017[[#This Row],[Estado TI]],Definiciones!$A$549:$B$559,2,FALSE)</f>
        <v>1. DESARROLLO</v>
      </c>
      <c r="CY184" s="28">
        <f ca="1">1-Cartera1017[[#This Row],[Porcentaje avanzado desarrollo]]</f>
        <v>0</v>
      </c>
      <c r="CZ18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v>
      </c>
      <c r="DA184" s="28">
        <f ca="1">MAX(0,Cartera1017[[#This Row],[DURACIÓN DESARROLLO DIAS]]-Cartera1017[[#This Row],[Dias avanzados]])</f>
        <v>0</v>
      </c>
      <c r="DB184" s="28">
        <f ca="1">Cartera1017[[#This Row],[Dias avanzados]]*IFERROR(VLOOKUP(Cartera1017[[#This Row],[ID Mantenimiento]],MANT_HORAS[],2,FALSE),8)</f>
        <v>2.1818181818181817</v>
      </c>
      <c r="DC184" s="28">
        <f ca="1">Cartera1017[[#This Row],[Dias faltantes]]*IFERROR(VLOOKUP(Cartera1017[[#This Row],[ID Mantenimiento]],MANT_HORAS[],2,FALSE),8)</f>
        <v>0</v>
      </c>
      <c r="DD184" s="28" t="str">
        <f>IF(Cartera1017[[#This Row],[Fin Producción]]=0,"Por definir",CONCATENATE(YEAR(Cartera1017[[#This Row],[Fin Producción]]),"-",ROUNDUP(MONTH(Cartera1017[[#This Row],[Fin Producción]]),0)))</f>
        <v>2026-4</v>
      </c>
      <c r="DE184" s="18" t="s">
        <v>510</v>
      </c>
      <c r="DF184" s="28"/>
      <c r="DG184" s="28"/>
      <c r="DH184" s="565"/>
    </row>
    <row r="185" spans="1:112" ht="44.25" hidden="1" customHeight="1">
      <c r="A185" s="229" t="s">
        <v>1713</v>
      </c>
      <c r="B185" s="18">
        <v>3087</v>
      </c>
      <c r="C185" s="18" t="s">
        <v>485</v>
      </c>
      <c r="D185" s="18" t="s">
        <v>1714</v>
      </c>
      <c r="E185" s="18" t="s">
        <v>1715</v>
      </c>
      <c r="F185" s="33" t="s">
        <v>1716</v>
      </c>
      <c r="G185" s="19"/>
      <c r="H185" s="18" t="s">
        <v>40</v>
      </c>
      <c r="I185" s="18" t="s">
        <v>490</v>
      </c>
      <c r="J185" s="18" t="s">
        <v>662</v>
      </c>
      <c r="K185" s="20">
        <v>45954</v>
      </c>
      <c r="L185" s="50" t="s">
        <v>1717</v>
      </c>
      <c r="M185" s="50" t="s">
        <v>931</v>
      </c>
      <c r="N185" s="50"/>
      <c r="O185" s="18" t="s">
        <v>548</v>
      </c>
      <c r="P185" s="18" t="s">
        <v>495</v>
      </c>
      <c r="Q185" s="18"/>
      <c r="R185" s="18" t="s">
        <v>497</v>
      </c>
      <c r="S185" s="18"/>
      <c r="T185" s="18"/>
      <c r="U185" s="18"/>
      <c r="V185" s="18"/>
      <c r="W185" s="18"/>
      <c r="X185" s="18"/>
      <c r="Y185" s="80"/>
      <c r="Z185" s="18" t="s">
        <v>499</v>
      </c>
      <c r="AA185" s="20">
        <v>46119</v>
      </c>
      <c r="AB185" s="18" t="s">
        <v>500</v>
      </c>
      <c r="AC185" s="18"/>
      <c r="AD185" s="18" t="s">
        <v>162</v>
      </c>
      <c r="AE185" s="18" t="s">
        <v>41</v>
      </c>
      <c r="AF185" s="18" t="s">
        <v>53</v>
      </c>
      <c r="AG185" s="14" t="str">
        <f>VLOOKUP(AF185,Tabla3[[Estado Requerimiento]:[Macro estado]],2,FALSE)</f>
        <v>03. Culminado</v>
      </c>
      <c r="AH185" s="18"/>
      <c r="AI185" s="80"/>
      <c r="AJ185" s="80"/>
      <c r="AK185" s="80">
        <v>45954</v>
      </c>
      <c r="AL185" s="80">
        <v>46079</v>
      </c>
      <c r="AM185" s="80"/>
      <c r="AN185" s="80">
        <v>46084</v>
      </c>
      <c r="AO185" s="80">
        <v>46093</v>
      </c>
      <c r="AP185" s="81">
        <f t="shared" si="4"/>
        <v>46129</v>
      </c>
      <c r="AQ185" s="80">
        <v>46098</v>
      </c>
      <c r="AR185" s="80">
        <v>46100</v>
      </c>
      <c r="AS185" s="81">
        <f t="shared" si="5"/>
        <v>46136</v>
      </c>
      <c r="AT185" s="198" t="s">
        <v>1718</v>
      </c>
      <c r="AU185" s="44" t="str">
        <f>VLOOKUP(Cartera1017[[#This Row],[Gerencia]],tbGerencia[#All],3,FALSE)</f>
        <v>Operac.</v>
      </c>
      <c r="AV185" s="44" t="str">
        <f>IFERROR(VLOOKUP(Cartera1017[[#This Row],[Subgerencia]],Definiciones!$A$90:$B$144,2,FALSE),"")</f>
        <v>BancariosRecaudación</v>
      </c>
      <c r="AW185" s="44" t="str">
        <f>IF(OR(LEN(Cartera1017[[#This Row],[Fecha de Solicitud]])=0,(Cartera1017[[#This Row],[Fecha de Solicitud]])="No definido"),"No definido",IF(YEAR(Cartera1017[[#This Row],[Fecha de Solicitud]])&lt;2023," &lt;  2023",TEXT(Cartera1017[[#This Row],[Fecha de Solicitud]],"yyyy-mm")))</f>
        <v>2025-10</v>
      </c>
      <c r="AX185" s="44" t="str">
        <f>IF(Cartera1017[[#This Row],[Fecha de Priorización Comité]]="","No definido",TEXT(Cartera1017[[#This Row],[Fecha de Priorización Comité]],"yyyy-mm"))</f>
        <v>2026-04</v>
      </c>
      <c r="AY185" s="44" t="str">
        <f>IF(Cartera1017[[#This Row],[Fecha Fin- Desarrollo]]="","No definido",TEXT(Cartera1017[[#This Row],[Fecha Fin- Desarrollo]],"yyyy-mm"))</f>
        <v>2026-02</v>
      </c>
      <c r="AZ185" s="44" t="str">
        <f>IF(Cartera1017[[#This Row],[Fecha Fin- Producción]]="","No definido",TEXT(Cartera1017[[#This Row],[Fecha Fin- Producción]],"yyyy-mm"))</f>
        <v>2026-03</v>
      </c>
      <c r="BA185" s="44" t="str">
        <f>IF(Cartera1017[[#This Row],[Fecha Fin-Planificada]]="","No definido",TEXT(Cartera1017[[#This Row],[Fecha Fin-Planificada]],"yyyy-mm"))</f>
        <v>2026-04</v>
      </c>
      <c r="BB185" s="33"/>
      <c r="BC185" s="108"/>
      <c r="BD185" s="108"/>
      <c r="BE185" s="108"/>
      <c r="BF185" s="127"/>
      <c r="BG185" s="28"/>
      <c r="BH18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146</v>
      </c>
      <c r="BI185" s="90">
        <f>IF(ISNUMBER(Cartera1017[[#This Row],[Duracion en Dias]]),Cartera1017[[#This Row],[Duracion en Dias]]/30, "No Aplica")</f>
        <v>4.8666666666666663</v>
      </c>
      <c r="BJ185" s="109"/>
      <c r="BK185" s="28" t="s">
        <v>506</v>
      </c>
      <c r="BL185" s="110" t="s">
        <v>536</v>
      </c>
      <c r="BM185" s="342">
        <v>46148.481388888889</v>
      </c>
      <c r="BN185" s="227"/>
      <c r="BO185" s="401"/>
      <c r="BP185" s="401"/>
      <c r="BQ18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5" s="14" t="str">
        <f>IFERROR(VLOOKUP(Cartera1017[[#This Row],[Aplicativo]],Tabla76[],2,FALSE),"Sin Aplicativo")</f>
        <v>BackOffice</v>
      </c>
      <c r="BS185" s="14" t="str">
        <f>IFERROR(VLOOKUP(Cartera1017[[#This Row],[Aplicativo]],Tabla76[],3,FALSE),"Sin Aplicativo")</f>
        <v>Otros Requerimientos</v>
      </c>
      <c r="BT185" s="400"/>
      <c r="BU185" s="33"/>
      <c r="BV185" s="28"/>
      <c r="BW18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46100</v>
      </c>
      <c r="BX18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5" s="149" t="str">
        <f ca="1">IF(Cartera1017[[#This Row],[Fecha Fin2]]="","No definido",CONCATENATE(TEXT(Cartera1017[[#This Row],[Fecha Fin2]],"mmm")," ",YEAR(Cartera1017[[#This Row],[Fecha Fin2]])))</f>
        <v>Mar 2026</v>
      </c>
      <c r="BZ185" s="28"/>
      <c r="CA185" s="48" t="str">
        <f>IF(Cartera1017[[#This Row],[Estado TI]] = "08. Producción Finalizada","Culminado",IF(Cartera1017[[#This Row],[Estado TI]]= "09. Descartado","Descartado","Activos"))</f>
        <v>Culminado</v>
      </c>
      <c r="CB185" s="28"/>
      <c r="CC18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85" s="54" t="str">
        <f>IF(
AND(
Cartera1017[[#This Row],[DEVOLVER 27]]="NO",
NOT(ISBLANK(Cartera1017[[#This Row],[ESTADO NO DEVUELTOS 27]]))
),
"PRE",
"POST"
)</f>
        <v>POST</v>
      </c>
      <c r="CE185" s="54"/>
      <c r="CF185" s="28"/>
      <c r="CG18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85"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5" s="406">
        <f>Cartera1017[[#This Row],[Porcentaje de Avance]]</f>
        <v>1</v>
      </c>
      <c r="CK185" s="388" t="str">
        <f>IF(
   OR(
     Cartera1017[[#This Row],[Estado TI]]="09. Descartado",
     Cartera1017[[#This Row],[Comienzo Desarrollo]]="",
     Cartera1017[[#This Row],[Fin Producción]]=""
   ),
   "",
   Cartera1017[[#This Row],[% PLANIFICADO]]-Cartera1017[[#This Row],[% COMPLETADO]]
)</f>
        <v/>
      </c>
      <c r="CL185" s="388" t="str">
        <f ca="1">IF(
   OR(
     Cartera1017[[#This Row],[Estado TI]]="09. Descartado",
     Cartera1017[[#This Row],[Comienzo Desarrollo]]="",
     Cartera1017[[#This Row],[Fin Producción]]="",
     Cartera1017[[#This Row],[% PLANIFICADO]]=0
   ),
   "",
   MIN(Cartera1017[[#This Row],[% COMPLETADO]]/Cartera1017[[#This Row],[% PLANIFICADO]],1.2)
)</f>
        <v/>
      </c>
      <c r="CM185" s="229"/>
      <c r="CN185" s="229"/>
      <c r="CO185" s="229"/>
      <c r="CP185" s="229"/>
      <c r="CQ185" s="229"/>
      <c r="CR185" s="229"/>
      <c r="CS185" s="229"/>
      <c r="CT185" s="44">
        <f>IF(Cartera1017[[#This Row],[Fin Desarrollo]]="",25,IFERROR(NETWORKDAYS(Cartera1017[[#This Row],[Comienzo Desarrollo]],Cartera1017[[#This Row],[Fin Desarrollo]],FERIADOS[Fecha]),""))</f>
        <v>25</v>
      </c>
      <c r="CU18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85" s="44">
        <f>IF(OR(Cartera1017[[#This Row],[Comienzo Desarrollo]]="",Cartera1017[[#This Row],[Fin Desarrollo]]=""),200,IFERROR(Cartera1017[[#This Row],[DURACIÓN DESARROLLO DIAS]]*VLOOKUP(Cartera1017[[#This Row],[ID Mantenimiento]],MANT_HORAS[],2,FALSE),200))</f>
        <v>200</v>
      </c>
      <c r="CW185" s="110"/>
      <c r="CX185" s="110" t="str">
        <f>VLOOKUP(Cartera1017[[#This Row],[Estado TI]],Definiciones!$A$549:$B$559,2,FALSE)</f>
        <v>4. PRODUCCIÓN</v>
      </c>
      <c r="CY185" s="28">
        <f ca="1">1-Cartera1017[[#This Row],[Porcentaje avanzado desarrollo]]</f>
        <v>0.9</v>
      </c>
      <c r="CZ18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5" s="28">
        <f ca="1">MAX(0,Cartera1017[[#This Row],[DURACIÓN DESARROLLO DIAS]]-Cartera1017[[#This Row],[Dias avanzados]])</f>
        <v>24</v>
      </c>
      <c r="DB185" s="28">
        <f ca="1">Cartera1017[[#This Row],[Dias avanzados]]*IFERROR(VLOOKUP(Cartera1017[[#This Row],[ID Mantenimiento]],MANT_HORAS[],2,FALSE),8)</f>
        <v>8</v>
      </c>
      <c r="DC185" s="28">
        <f ca="1">Cartera1017[[#This Row],[Dias faltantes]]*IFERROR(VLOOKUP(Cartera1017[[#This Row],[ID Mantenimiento]],MANT_HORAS[],2,FALSE),8)</f>
        <v>192</v>
      </c>
      <c r="DD185" s="28" t="str">
        <f>IF(Cartera1017[[#This Row],[Fin Producción]]=0,"Por definir",CONCATENATE(YEAR(Cartera1017[[#This Row],[Fin Producción]]),"-",ROUNDUP(MONTH(Cartera1017[[#This Row],[Fin Producción]]),0)))</f>
        <v>Por definir</v>
      </c>
      <c r="DE185" s="18" t="s">
        <v>1719</v>
      </c>
      <c r="DF185" s="28"/>
      <c r="DG185" s="28"/>
      <c r="DH185" s="565"/>
    </row>
    <row r="186" spans="1:112" ht="44.25" hidden="1" customHeight="1">
      <c r="A186" s="229" t="s">
        <v>1720</v>
      </c>
      <c r="B186" s="18">
        <v>3094</v>
      </c>
      <c r="C186" s="18" t="s">
        <v>485</v>
      </c>
      <c r="D186" s="18" t="s">
        <v>1721</v>
      </c>
      <c r="E186" s="18" t="s">
        <v>1722</v>
      </c>
      <c r="F186" s="33" t="s">
        <v>1723</v>
      </c>
      <c r="G186" s="19"/>
      <c r="H186" s="18" t="s">
        <v>108</v>
      </c>
      <c r="I186" s="18" t="s">
        <v>1724</v>
      </c>
      <c r="J186" s="18" t="s">
        <v>1725</v>
      </c>
      <c r="K186" s="20">
        <v>45831</v>
      </c>
      <c r="L186" s="50" t="s">
        <v>1726</v>
      </c>
      <c r="M186" s="50" t="s">
        <v>1727</v>
      </c>
      <c r="N186" s="50"/>
      <c r="O186" s="18" t="s">
        <v>712</v>
      </c>
      <c r="P186" s="18" t="s">
        <v>495</v>
      </c>
      <c r="Q186" s="18"/>
      <c r="R186" s="18" t="s">
        <v>497</v>
      </c>
      <c r="S186" s="18"/>
      <c r="T186" s="18"/>
      <c r="U186" s="18"/>
      <c r="V186" s="18"/>
      <c r="W186" s="18"/>
      <c r="X186" s="18"/>
      <c r="Y186" s="80"/>
      <c r="Z186" s="18" t="s">
        <v>499</v>
      </c>
      <c r="AA186" s="20">
        <v>46119</v>
      </c>
      <c r="AB186" s="18" t="s">
        <v>500</v>
      </c>
      <c r="AC186" s="18"/>
      <c r="AD186" s="18" t="s">
        <v>123</v>
      </c>
      <c r="AE186" s="18" t="s">
        <v>109</v>
      </c>
      <c r="AF186" s="18" t="s">
        <v>48</v>
      </c>
      <c r="AG186" s="14" t="str">
        <f>VLOOKUP(AF186,Tabla3[[Estado Requerimiento]:[Macro estado]],2,FALSE)</f>
        <v>02. En Proceso</v>
      </c>
      <c r="AH186" s="18"/>
      <c r="AI186" s="80"/>
      <c r="AJ186" s="80"/>
      <c r="AK186" s="80">
        <v>46125</v>
      </c>
      <c r="AL186" s="80"/>
      <c r="AM186" s="80"/>
      <c r="AN186" s="80"/>
      <c r="AO186" s="80"/>
      <c r="AP186" s="81" t="str">
        <f t="shared" si="4"/>
        <v/>
      </c>
      <c r="AQ186" s="80"/>
      <c r="AR186" s="80"/>
      <c r="AS186" s="81" t="str">
        <f t="shared" si="5"/>
        <v/>
      </c>
      <c r="AT186" s="198" t="s">
        <v>1728</v>
      </c>
      <c r="AU186" s="44" t="str">
        <f>VLOOKUP(Cartera1017[[#This Row],[Gerencia]],tbGerencia[#All],3,FALSE)</f>
        <v>TI</v>
      </c>
      <c r="AV186" s="44" t="str">
        <f>IFERROR(VLOOKUP(Cartera1017[[#This Row],[Subgerencia]],Definiciones!$A$90:$B$144,2,FALSE),"")</f>
        <v>Producción</v>
      </c>
      <c r="AW186" s="44" t="str">
        <f>IF(OR(LEN(Cartera1017[[#This Row],[Fecha de Solicitud]])=0,(Cartera1017[[#This Row],[Fecha de Solicitud]])="No definido"),"No definido",IF(YEAR(Cartera1017[[#This Row],[Fecha de Solicitud]])&lt;2023," &lt;  2023",TEXT(Cartera1017[[#This Row],[Fecha de Solicitud]],"yyyy-mm")))</f>
        <v>2025-06</v>
      </c>
      <c r="AX186" s="44" t="str">
        <f>IF(Cartera1017[[#This Row],[Fecha de Priorización Comité]]="","No definido",TEXT(Cartera1017[[#This Row],[Fecha de Priorización Comité]],"yyyy-mm"))</f>
        <v>2026-04</v>
      </c>
      <c r="AY186" s="44" t="str">
        <f>IF(Cartera1017[[#This Row],[Fecha Fin- Desarrollo]]="","No definido",TEXT(Cartera1017[[#This Row],[Fecha Fin- Desarrollo]],"yyyy-mm"))</f>
        <v>No definido</v>
      </c>
      <c r="AZ186" s="44" t="str">
        <f>IF(Cartera1017[[#This Row],[Fecha Fin- Producción]]="","No definido",TEXT(Cartera1017[[#This Row],[Fecha Fin- Producción]],"yyyy-mm"))</f>
        <v>No definido</v>
      </c>
      <c r="BA186" s="44" t="str">
        <f>IF(Cartera1017[[#This Row],[Fecha Fin-Planificada]]="","No definido",TEXT(Cartera1017[[#This Row],[Fecha Fin-Planificada]],"yyyy-mm"))</f>
        <v>No definido</v>
      </c>
      <c r="BB186" s="33"/>
      <c r="BC186" s="108"/>
      <c r="BD186" s="108"/>
      <c r="BE186" s="108"/>
      <c r="BF186" s="127"/>
      <c r="BG186" s="28"/>
      <c r="BH18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86" s="90" t="str">
        <f>IF(ISNUMBER(Cartera1017[[#This Row],[Duracion en Dias]]),Cartera1017[[#This Row],[Duracion en Dias]]/30, "No Aplica")</f>
        <v>No Aplica</v>
      </c>
      <c r="BJ186" s="109"/>
      <c r="BK186" s="28" t="s">
        <v>613</v>
      </c>
      <c r="BL186" s="110" t="s">
        <v>592</v>
      </c>
      <c r="BM186" s="342">
        <v>46125.702881944446</v>
      </c>
      <c r="BN186" s="227"/>
      <c r="BO186" s="401"/>
      <c r="BP186" s="401"/>
      <c r="BQ18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86" s="14" t="str">
        <f>IFERROR(VLOOKUP(Cartera1017[[#This Row],[Aplicativo]],Tabla76[],2,FALSE),"Sin Aplicativo")</f>
        <v>Sin Aplicativo</v>
      </c>
      <c r="BS186" s="14" t="str">
        <f>IFERROR(VLOOKUP(Cartera1017[[#This Row],[Aplicativo]],Tabla76[],3,FALSE),"Sin Aplicativo")</f>
        <v>Sin Aplicativo</v>
      </c>
      <c r="BT186" s="400"/>
      <c r="BU186" s="33"/>
      <c r="BV186" s="28"/>
      <c r="BW18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86" s="149" t="str">
        <f ca="1">IF(Cartera1017[[#This Row],[Fecha Fin2]]="","No definido",CONCATENATE(TEXT(Cartera1017[[#This Row],[Fecha Fin2]],"mmm")," ",YEAR(Cartera1017[[#This Row],[Fecha Fin2]])))</f>
        <v>No definido</v>
      </c>
      <c r="BZ186" s="28"/>
      <c r="CA186" s="48" t="str">
        <f>IF(Cartera1017[[#This Row],[Estado TI]] = "08. Producción Finalizada","Culminado",IF(Cartera1017[[#This Row],[Estado TI]]= "09. Descartado","Descartado","Activos"))</f>
        <v>Activos</v>
      </c>
      <c r="CB186" s="28"/>
      <c r="CC18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86" s="54" t="str">
        <f>IF(
AND(
Cartera1017[[#This Row],[DEVOLVER 27]]="NO",
NOT(ISBLANK(Cartera1017[[#This Row],[ESTADO NO DEVUELTOS 27]]))
),
"PRE",
"POST"
)</f>
        <v>POST</v>
      </c>
      <c r="CE186" s="54"/>
      <c r="CF186" s="28"/>
      <c r="CG18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8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86"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0.47058823529411764</v>
      </c>
      <c r="CJ186" s="406">
        <f>Cartera1017[[#This Row],[Porcentaje de Avance]]</f>
        <v>0.25</v>
      </c>
      <c r="CK186" s="388">
        <f ca="1">IF(
   OR(
     Cartera1017[[#This Row],[Estado TI]]="09. Descartado",
     Cartera1017[[#This Row],[Comienzo Desarrollo]]="",
     Cartera1017[[#This Row],[Fin Producción]]=""
   ),
   "",
   Cartera1017[[#This Row],[% PLANIFICADO]]-Cartera1017[[#This Row],[% COMPLETADO]]
)</f>
        <v>0.22058823529411764</v>
      </c>
      <c r="CL186" s="388">
        <f ca="1">IF(
   OR(
     Cartera1017[[#This Row],[Estado TI]]="09. Descartado",
     Cartera1017[[#This Row],[Comienzo Desarrollo]]="",
     Cartera1017[[#This Row],[Fin Producción]]="",
     Cartera1017[[#This Row],[% PLANIFICADO]]=0
   ),
   "",
   MIN(Cartera1017[[#This Row],[% COMPLETADO]]/Cartera1017[[#This Row],[% PLANIFICADO]],1.2)
)</f>
        <v>0.53125</v>
      </c>
      <c r="CM186" s="229"/>
      <c r="CN186" s="229">
        <v>46118</v>
      </c>
      <c r="CO186" s="229">
        <v>46171</v>
      </c>
      <c r="CP186" s="229">
        <v>46181</v>
      </c>
      <c r="CQ186" s="229">
        <v>46199</v>
      </c>
      <c r="CR186" s="229">
        <v>46202</v>
      </c>
      <c r="CS186" s="229">
        <v>46213</v>
      </c>
      <c r="CT186" s="44">
        <f>IF(Cartera1017[[#This Row],[Fin Desarrollo]]="",25,IFERROR(NETWORKDAYS(Cartera1017[[#This Row],[Comienzo Desarrollo]],Cartera1017[[#This Row],[Fin Desarrollo]],FERIADOS[Fecha]),""))</f>
        <v>39</v>
      </c>
      <c r="CU18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0.8</v>
      </c>
      <c r="CV186" s="44">
        <f>IF(OR(Cartera1017[[#This Row],[Comienzo Desarrollo]]="",Cartera1017[[#This Row],[Fin Desarrollo]]=""),200,IFERROR(Cartera1017[[#This Row],[DURACIÓN DESARROLLO DIAS]]*VLOOKUP(Cartera1017[[#This Row],[ID Mantenimiento]],MANT_HORAS[],2,FALSE),200))</f>
        <v>104</v>
      </c>
      <c r="CW186" s="110"/>
      <c r="CX186" s="110" t="str">
        <f>VLOOKUP(Cartera1017[[#This Row],[Estado TI]],Definiciones!$A$549:$B$559,2,FALSE)</f>
        <v>1. DESARROLLO</v>
      </c>
      <c r="CY186" s="28">
        <f ca="1">1-Cartera1017[[#This Row],[Porcentaje avanzado desarrollo]]</f>
        <v>0.19999999999999996</v>
      </c>
      <c r="CZ18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31</v>
      </c>
      <c r="DA186" s="28">
        <f ca="1">MAX(0,Cartera1017[[#This Row],[DURACIÓN DESARROLLO DIAS]]-Cartera1017[[#This Row],[Dias avanzados]])</f>
        <v>8</v>
      </c>
      <c r="DB186" s="28">
        <f ca="1">Cartera1017[[#This Row],[Dias avanzados]]*IFERROR(VLOOKUP(Cartera1017[[#This Row],[ID Mantenimiento]],MANT_HORAS[],2,FALSE),8)</f>
        <v>82.666666666666657</v>
      </c>
      <c r="DC186" s="28">
        <f ca="1">Cartera1017[[#This Row],[Dias faltantes]]*IFERROR(VLOOKUP(Cartera1017[[#This Row],[ID Mantenimiento]],MANT_HORAS[],2,FALSE),8)</f>
        <v>21.333333333333332</v>
      </c>
      <c r="DD186" s="28" t="str">
        <f>IF(Cartera1017[[#This Row],[Fin Producción]]=0,"Por definir",CONCATENATE(YEAR(Cartera1017[[#This Row],[Fin Producción]]),"-",ROUNDUP(MONTH(Cartera1017[[#This Row],[Fin Producción]]),0)))</f>
        <v>2026-7</v>
      </c>
      <c r="DE186" s="18" t="s">
        <v>1719</v>
      </c>
      <c r="DF186" s="28"/>
      <c r="DG186" s="28"/>
      <c r="DH186" s="565"/>
    </row>
    <row r="187" spans="1:112" ht="44.25" hidden="1" customHeight="1">
      <c r="A187" s="229" t="s">
        <v>1729</v>
      </c>
      <c r="B187" s="18">
        <v>3129</v>
      </c>
      <c r="C187" s="18" t="s">
        <v>485</v>
      </c>
      <c r="D187" s="18" t="s">
        <v>1730</v>
      </c>
      <c r="E187" s="18" t="s">
        <v>1731</v>
      </c>
      <c r="F187" s="33" t="s">
        <v>1732</v>
      </c>
      <c r="G187" s="19"/>
      <c r="H187" s="18" t="s">
        <v>40</v>
      </c>
      <c r="I187" s="18" t="s">
        <v>842</v>
      </c>
      <c r="J187" s="18" t="s">
        <v>843</v>
      </c>
      <c r="K187" s="20">
        <v>45994</v>
      </c>
      <c r="L187" s="50" t="s">
        <v>1733</v>
      </c>
      <c r="M187" s="50" t="s">
        <v>1683</v>
      </c>
      <c r="N187" s="50"/>
      <c r="O187" s="18" t="s">
        <v>494</v>
      </c>
      <c r="P187" s="18" t="s">
        <v>530</v>
      </c>
      <c r="Q187" s="18" t="s">
        <v>1685</v>
      </c>
      <c r="R187" s="18" t="s">
        <v>497</v>
      </c>
      <c r="S187" s="18"/>
      <c r="T187" s="18"/>
      <c r="U187" s="18"/>
      <c r="V187" s="18"/>
      <c r="W187" s="18"/>
      <c r="X187" s="18"/>
      <c r="Y187" s="80"/>
      <c r="Z187" s="18" t="s">
        <v>499</v>
      </c>
      <c r="AA187" s="20">
        <v>46119</v>
      </c>
      <c r="AB187" s="18" t="s">
        <v>533</v>
      </c>
      <c r="AC187" s="18"/>
      <c r="AD187" s="18" t="s">
        <v>37</v>
      </c>
      <c r="AE187" s="18" t="s">
        <v>41</v>
      </c>
      <c r="AF187" s="18" t="s">
        <v>53</v>
      </c>
      <c r="AG187" s="14" t="str">
        <f>VLOOKUP(AF187,Tabla3[[Estado Requerimiento]:[Macro estado]],2,FALSE)</f>
        <v>03. Culminado</v>
      </c>
      <c r="AH187" s="18"/>
      <c r="AI187" s="80"/>
      <c r="AJ187" s="80"/>
      <c r="AK187" s="80">
        <v>46003</v>
      </c>
      <c r="AL187" s="80">
        <v>46010</v>
      </c>
      <c r="AM187" s="80"/>
      <c r="AN187" s="80">
        <v>46013</v>
      </c>
      <c r="AO187" s="80">
        <v>46014</v>
      </c>
      <c r="AP187" s="81">
        <f t="shared" si="4"/>
        <v>46012.800000000003</v>
      </c>
      <c r="AQ187" s="80">
        <v>46020</v>
      </c>
      <c r="AR187" s="80">
        <v>46020</v>
      </c>
      <c r="AS187" s="81">
        <f t="shared" si="5"/>
        <v>46019.8</v>
      </c>
      <c r="AT187" s="198" t="s">
        <v>1734</v>
      </c>
      <c r="AU187" s="44" t="str">
        <f>VLOOKUP(Cartera1017[[#This Row],[Gerencia]],tbGerencia[#All],3,FALSE)</f>
        <v>Operac.</v>
      </c>
      <c r="AV187" s="44" t="str">
        <f>IFERROR(VLOOKUP(Cartera1017[[#This Row],[Subgerencia]],Definiciones!$A$90:$B$144,2,FALSE),"")</f>
        <v>CajaValores</v>
      </c>
      <c r="AW187" s="44" t="str">
        <f>IF(OR(LEN(Cartera1017[[#This Row],[Fecha de Solicitud]])=0,(Cartera1017[[#This Row],[Fecha de Solicitud]])="No definido"),"No definido",IF(YEAR(Cartera1017[[#This Row],[Fecha de Solicitud]])&lt;2023," &lt;  2023",TEXT(Cartera1017[[#This Row],[Fecha de Solicitud]],"yyyy-mm")))</f>
        <v>2025-12</v>
      </c>
      <c r="AX187" s="44" t="str">
        <f>IF(Cartera1017[[#This Row],[Fecha de Priorización Comité]]="","No definido",TEXT(Cartera1017[[#This Row],[Fecha de Priorización Comité]],"yyyy-mm"))</f>
        <v>2026-04</v>
      </c>
      <c r="AY187" s="44" t="str">
        <f>IF(Cartera1017[[#This Row],[Fecha Fin- Desarrollo]]="","No definido",TEXT(Cartera1017[[#This Row],[Fecha Fin- Desarrollo]],"yyyy-mm"))</f>
        <v>2025-12</v>
      </c>
      <c r="AZ187" s="44" t="str">
        <f>IF(Cartera1017[[#This Row],[Fecha Fin- Producción]]="","No definido",TEXT(Cartera1017[[#This Row],[Fecha Fin- Producción]],"yyyy-mm"))</f>
        <v>2025-12</v>
      </c>
      <c r="BA187" s="44" t="str">
        <f>IF(Cartera1017[[#This Row],[Fecha Fin-Planificada]]="","No definido",TEXT(Cartera1017[[#This Row],[Fecha Fin-Planificada]],"yyyy-mm"))</f>
        <v>2025-12</v>
      </c>
      <c r="BB187" s="33"/>
      <c r="BC187" s="108"/>
      <c r="BD187" s="108"/>
      <c r="BE187" s="108"/>
      <c r="BF187" s="127"/>
      <c r="BG187" s="28"/>
      <c r="BH18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17</v>
      </c>
      <c r="BI187" s="90">
        <f>IF(ISNUMBER(Cartera1017[[#This Row],[Duracion en Dias]]),Cartera1017[[#This Row],[Duracion en Dias]]/30, "No Aplica")</f>
        <v>0.56666666666666665</v>
      </c>
      <c r="BJ187" s="109"/>
      <c r="BK187" s="28" t="s">
        <v>506</v>
      </c>
      <c r="BL187" s="110" t="s">
        <v>536</v>
      </c>
      <c r="BM187" s="342">
        <v>46020.895567129628</v>
      </c>
      <c r="BN187" s="227"/>
      <c r="BO187" s="401"/>
      <c r="BP187" s="401"/>
      <c r="BQ18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7" s="14" t="str">
        <f>IFERROR(VLOOKUP(Cartera1017[[#This Row],[Aplicativo]],Tabla76[],2,FALSE),"Sin Aplicativo")</f>
        <v>Sin Aplicativo</v>
      </c>
      <c r="BS187" s="14" t="str">
        <f>IFERROR(VLOOKUP(Cartera1017[[#This Row],[Aplicativo]],Tabla76[],3,FALSE),"Sin Aplicativo")</f>
        <v>Sin Aplicativo</v>
      </c>
      <c r="BT187" s="400"/>
      <c r="BU187" s="33"/>
      <c r="BV187" s="28"/>
      <c r="BW18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46020</v>
      </c>
      <c r="BX18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7" s="149" t="str">
        <f ca="1">IF(Cartera1017[[#This Row],[Fecha Fin2]]="","No definido",CONCATENATE(TEXT(Cartera1017[[#This Row],[Fecha Fin2]],"mmm")," ",YEAR(Cartera1017[[#This Row],[Fecha Fin2]])))</f>
        <v>Dic 2025</v>
      </c>
      <c r="BZ187" s="28"/>
      <c r="CA187" s="48" t="str">
        <f>IF(Cartera1017[[#This Row],[Estado TI]] = "08. Producción Finalizada","Culminado",IF(Cartera1017[[#This Row],[Estado TI]]= "09. Descartado","Descartado","Activos"))</f>
        <v>Culminado</v>
      </c>
      <c r="CB187" s="28"/>
      <c r="CC18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87" s="54" t="str">
        <f>IF(
AND(
Cartera1017[[#This Row],[DEVOLVER 27]]="NO",
NOT(ISBLANK(Cartera1017[[#This Row],[ESTADO NO DEVUELTOS 27]]))
),
"PRE",
"POST"
)</f>
        <v>POST</v>
      </c>
      <c r="CE187" s="54"/>
      <c r="CF187" s="28"/>
      <c r="CG18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87"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7" s="406">
        <f>Cartera1017[[#This Row],[Porcentaje de Avance]]</f>
        <v>1</v>
      </c>
      <c r="CK187" s="388" t="str">
        <f>IF(
   OR(
     Cartera1017[[#This Row],[Estado TI]]="09. Descartado",
     Cartera1017[[#This Row],[Comienzo Desarrollo]]="",
     Cartera1017[[#This Row],[Fin Producción]]=""
   ),
   "",
   Cartera1017[[#This Row],[% PLANIFICADO]]-Cartera1017[[#This Row],[% COMPLETADO]]
)</f>
        <v/>
      </c>
      <c r="CL187" s="388" t="str">
        <f ca="1">IF(
   OR(
     Cartera1017[[#This Row],[Estado TI]]="09. Descartado",
     Cartera1017[[#This Row],[Comienzo Desarrollo]]="",
     Cartera1017[[#This Row],[Fin Producción]]="",
     Cartera1017[[#This Row],[% PLANIFICADO]]=0
   ),
   "",
   MIN(Cartera1017[[#This Row],[% COMPLETADO]]/Cartera1017[[#This Row],[% PLANIFICADO]],1.2)
)</f>
        <v/>
      </c>
      <c r="CM187" s="229"/>
      <c r="CN187" s="229"/>
      <c r="CO187" s="229"/>
      <c r="CP187" s="229"/>
      <c r="CQ187" s="229"/>
      <c r="CR187" s="229"/>
      <c r="CS187" s="229"/>
      <c r="CT187" s="44">
        <f>IF(Cartera1017[[#This Row],[Fin Desarrollo]]="",25,IFERROR(NETWORKDAYS(Cartera1017[[#This Row],[Comienzo Desarrollo]],Cartera1017[[#This Row],[Fin Desarrollo]],FERIADOS[Fecha]),""))</f>
        <v>25</v>
      </c>
      <c r="CU18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87" s="44">
        <f>IF(OR(Cartera1017[[#This Row],[Comienzo Desarrollo]]="",Cartera1017[[#This Row],[Fin Desarrollo]]=""),200,IFERROR(Cartera1017[[#This Row],[DURACIÓN DESARROLLO DIAS]]*VLOOKUP(Cartera1017[[#This Row],[ID Mantenimiento]],MANT_HORAS[],2,FALSE),200))</f>
        <v>200</v>
      </c>
      <c r="CW187" s="110"/>
      <c r="CX187" s="110" t="str">
        <f>VLOOKUP(Cartera1017[[#This Row],[Estado TI]],Definiciones!$A$549:$B$559,2,FALSE)</f>
        <v>4. PRODUCCIÓN</v>
      </c>
      <c r="CY187" s="28">
        <f ca="1">1-Cartera1017[[#This Row],[Porcentaje avanzado desarrollo]]</f>
        <v>0.9</v>
      </c>
      <c r="CZ18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7" s="28">
        <f ca="1">MAX(0,Cartera1017[[#This Row],[DURACIÓN DESARROLLO DIAS]]-Cartera1017[[#This Row],[Dias avanzados]])</f>
        <v>24</v>
      </c>
      <c r="DB187" s="28">
        <f ca="1">Cartera1017[[#This Row],[Dias avanzados]]*IFERROR(VLOOKUP(Cartera1017[[#This Row],[ID Mantenimiento]],MANT_HORAS[],2,FALSE),8)</f>
        <v>8</v>
      </c>
      <c r="DC187" s="28">
        <f ca="1">Cartera1017[[#This Row],[Dias faltantes]]*IFERROR(VLOOKUP(Cartera1017[[#This Row],[ID Mantenimiento]],MANT_HORAS[],2,FALSE),8)</f>
        <v>192</v>
      </c>
      <c r="DD187" s="28" t="str">
        <f>IF(Cartera1017[[#This Row],[Fin Producción]]=0,"Por definir",CONCATENATE(YEAR(Cartera1017[[#This Row],[Fin Producción]]),"-",ROUNDUP(MONTH(Cartera1017[[#This Row],[Fin Producción]]),0)))</f>
        <v>Por definir</v>
      </c>
      <c r="DE187" s="18" t="s">
        <v>1719</v>
      </c>
      <c r="DF187" s="28"/>
      <c r="DG187" s="28"/>
      <c r="DH187" s="565"/>
    </row>
    <row r="188" spans="1:112" ht="44.25" hidden="1" customHeight="1">
      <c r="A188" s="229" t="s">
        <v>1735</v>
      </c>
      <c r="B188" s="18">
        <v>3130</v>
      </c>
      <c r="C188" s="18" t="s">
        <v>485</v>
      </c>
      <c r="D188" s="18" t="s">
        <v>1736</v>
      </c>
      <c r="E188" s="18" t="s">
        <v>1737</v>
      </c>
      <c r="F188" s="33" t="s">
        <v>1738</v>
      </c>
      <c r="G188" s="19"/>
      <c r="H188" s="18" t="s">
        <v>59</v>
      </c>
      <c r="I188" s="18" t="s">
        <v>618</v>
      </c>
      <c r="J188" s="18" t="s">
        <v>619</v>
      </c>
      <c r="K188" s="20">
        <v>45705</v>
      </c>
      <c r="L188" s="50" t="s">
        <v>1167</v>
      </c>
      <c r="M188" s="50" t="s">
        <v>870</v>
      </c>
      <c r="N188" s="50"/>
      <c r="O188" s="18" t="s">
        <v>530</v>
      </c>
      <c r="P188" s="18" t="s">
        <v>495</v>
      </c>
      <c r="Q188" s="18" t="s">
        <v>496</v>
      </c>
      <c r="R188" s="18" t="s">
        <v>497</v>
      </c>
      <c r="S188" s="18"/>
      <c r="T188" s="18"/>
      <c r="U188" s="18"/>
      <c r="V188" s="18"/>
      <c r="W188" s="18"/>
      <c r="X188" s="18"/>
      <c r="Y188" s="80"/>
      <c r="Z188" s="18" t="s">
        <v>499</v>
      </c>
      <c r="AA188" s="20">
        <v>46119</v>
      </c>
      <c r="AB188" s="18" t="s">
        <v>533</v>
      </c>
      <c r="AC188" s="18"/>
      <c r="AD188" s="18" t="s">
        <v>190</v>
      </c>
      <c r="AE188" s="18" t="s">
        <v>47</v>
      </c>
      <c r="AF188" s="18" t="s">
        <v>53</v>
      </c>
      <c r="AG188" s="14" t="str">
        <f>VLOOKUP(AF188,Tabla3[[Estado Requerimiento]:[Macro estado]],2,FALSE)</f>
        <v>03. Culminado</v>
      </c>
      <c r="AH188" s="18"/>
      <c r="AI188" s="80"/>
      <c r="AJ188" s="80"/>
      <c r="AK188" s="80">
        <v>46048</v>
      </c>
      <c r="AL188" s="80">
        <v>46048</v>
      </c>
      <c r="AM188" s="80"/>
      <c r="AN188" s="80">
        <v>46049</v>
      </c>
      <c r="AO188" s="80">
        <v>46064</v>
      </c>
      <c r="AP188" s="81">
        <f t="shared" si="4"/>
        <v>46048</v>
      </c>
      <c r="AQ188" s="80">
        <v>46099</v>
      </c>
      <c r="AR188" s="80">
        <v>46104</v>
      </c>
      <c r="AS188" s="81">
        <f t="shared" si="5"/>
        <v>46055</v>
      </c>
      <c r="AT188" s="198" t="s">
        <v>1739</v>
      </c>
      <c r="AU188" s="44" t="str">
        <f>VLOOKUP(Cartera1017[[#This Row],[Gerencia]],tbGerencia[#All],3,FALSE)</f>
        <v>RRHH</v>
      </c>
      <c r="AV188" s="44" t="str">
        <f>IFERROR(VLOOKUP(Cartera1017[[#This Row],[Subgerencia]],Definiciones!$A$90:$B$144,2,FALSE),"")</f>
        <v>AdministraciónPersonal</v>
      </c>
      <c r="AW188" s="44" t="str">
        <f>IF(OR(LEN(Cartera1017[[#This Row],[Fecha de Solicitud]])=0,(Cartera1017[[#This Row],[Fecha de Solicitud]])="No definido"),"No definido",IF(YEAR(Cartera1017[[#This Row],[Fecha de Solicitud]])&lt;2023," &lt;  2023",TEXT(Cartera1017[[#This Row],[Fecha de Solicitud]],"yyyy-mm")))</f>
        <v>2025-02</v>
      </c>
      <c r="AX188" s="44" t="str">
        <f>IF(Cartera1017[[#This Row],[Fecha de Priorización Comité]]="","No definido",TEXT(Cartera1017[[#This Row],[Fecha de Priorización Comité]],"yyyy-mm"))</f>
        <v>2026-04</v>
      </c>
      <c r="AY188" s="44" t="str">
        <f>IF(Cartera1017[[#This Row],[Fecha Fin- Desarrollo]]="","No definido",TEXT(Cartera1017[[#This Row],[Fecha Fin- Desarrollo]],"yyyy-mm"))</f>
        <v>2026-01</v>
      </c>
      <c r="AZ188" s="44" t="str">
        <f>IF(Cartera1017[[#This Row],[Fecha Fin- Producción]]="","No definido",TEXT(Cartera1017[[#This Row],[Fecha Fin- Producción]],"yyyy-mm"))</f>
        <v>2026-03</v>
      </c>
      <c r="BA188" s="44" t="str">
        <f>IF(Cartera1017[[#This Row],[Fecha Fin-Planificada]]="","No definido",TEXT(Cartera1017[[#This Row],[Fecha Fin-Planificada]],"yyyy-mm"))</f>
        <v>2026-02</v>
      </c>
      <c r="BB188" s="33"/>
      <c r="BC188" s="108"/>
      <c r="BD188" s="108"/>
      <c r="BE188" s="108"/>
      <c r="BF188" s="127"/>
      <c r="BG188" s="28"/>
      <c r="BH18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56</v>
      </c>
      <c r="BI188" s="90">
        <f>IF(ISNUMBER(Cartera1017[[#This Row],[Duracion en Dias]]),Cartera1017[[#This Row],[Duracion en Dias]]/30, "No Aplica")</f>
        <v>1.8666666666666667</v>
      </c>
      <c r="BJ188" s="109"/>
      <c r="BK188" s="28" t="s">
        <v>506</v>
      </c>
      <c r="BL188" s="110" t="s">
        <v>536</v>
      </c>
      <c r="BM188" s="342">
        <v>46104.458877314813</v>
      </c>
      <c r="BN188" s="227"/>
      <c r="BO188" s="401"/>
      <c r="BP188" s="401"/>
      <c r="BQ18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8" s="14" t="str">
        <f>IFERROR(VLOOKUP(Cartera1017[[#This Row],[Aplicativo]],Tabla76[],2,FALSE),"Sin Aplicativo")</f>
        <v>Oracle</v>
      </c>
      <c r="BS188" s="14" t="str">
        <f>IFERROR(VLOOKUP(Cartera1017[[#This Row],[Aplicativo]],Tabla76[],3,FALSE),"Sin Aplicativo")</f>
        <v>Otros Requerimientos</v>
      </c>
      <c r="BT188" s="400"/>
      <c r="BU188" s="33"/>
      <c r="BV188" s="28"/>
      <c r="BW18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18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8" s="149" t="str">
        <f ca="1">IF(Cartera1017[[#This Row],[Fecha Fin2]]="","No definido",CONCATENATE(TEXT(Cartera1017[[#This Row],[Fecha Fin2]],"mmm")," ",YEAR(Cartera1017[[#This Row],[Fecha Fin2]])))</f>
        <v>Mar 2026</v>
      </c>
      <c r="BZ188" s="28"/>
      <c r="CA188" s="48" t="str">
        <f>IF(Cartera1017[[#This Row],[Estado TI]] = "08. Producción Finalizada","Culminado",IF(Cartera1017[[#This Row],[Estado TI]]= "09. Descartado","Descartado","Activos"))</f>
        <v>Culminado</v>
      </c>
      <c r="CB188" s="28"/>
      <c r="CC18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88" s="54" t="str">
        <f>IF(
AND(
Cartera1017[[#This Row],[DEVOLVER 27]]="NO",
NOT(ISBLANK(Cartera1017[[#This Row],[ESTADO NO DEVUELTOS 27]]))
),
"PRE",
"POST"
)</f>
        <v>POST</v>
      </c>
      <c r="CE188" s="54"/>
      <c r="CF188" s="28"/>
      <c r="CG18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88"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8" s="406">
        <f>Cartera1017[[#This Row],[Porcentaje de Avance]]</f>
        <v>1</v>
      </c>
      <c r="CK188" s="388" t="str">
        <f>IF(
   OR(
     Cartera1017[[#This Row],[Estado TI]]="09. Descartado",
     Cartera1017[[#This Row],[Comienzo Desarrollo]]="",
     Cartera1017[[#This Row],[Fin Producción]]=""
   ),
   "",
   Cartera1017[[#This Row],[% PLANIFICADO]]-Cartera1017[[#This Row],[% COMPLETADO]]
)</f>
        <v/>
      </c>
      <c r="CL188" s="388" t="str">
        <f ca="1">IF(
   OR(
     Cartera1017[[#This Row],[Estado TI]]="09. Descartado",
     Cartera1017[[#This Row],[Comienzo Desarrollo]]="",
     Cartera1017[[#This Row],[Fin Producción]]="",
     Cartera1017[[#This Row],[% PLANIFICADO]]=0
   ),
   "",
   MIN(Cartera1017[[#This Row],[% COMPLETADO]]/Cartera1017[[#This Row],[% PLANIFICADO]],1.2)
)</f>
        <v/>
      </c>
      <c r="CM188" s="229"/>
      <c r="CN188" s="229"/>
      <c r="CO188" s="229"/>
      <c r="CP188" s="229"/>
      <c r="CQ188" s="229"/>
      <c r="CR188" s="229"/>
      <c r="CS188" s="229"/>
      <c r="CT188" s="44">
        <f>IF(Cartera1017[[#This Row],[Fin Desarrollo]]="",25,IFERROR(NETWORKDAYS(Cartera1017[[#This Row],[Comienzo Desarrollo]],Cartera1017[[#This Row],[Fin Desarrollo]],FERIADOS[Fecha]),""))</f>
        <v>25</v>
      </c>
      <c r="CU18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88" s="44">
        <f>IF(OR(Cartera1017[[#This Row],[Comienzo Desarrollo]]="",Cartera1017[[#This Row],[Fin Desarrollo]]=""),200,IFERROR(Cartera1017[[#This Row],[DURACIÓN DESARROLLO DIAS]]*VLOOKUP(Cartera1017[[#This Row],[ID Mantenimiento]],MANT_HORAS[],2,FALSE),200))</f>
        <v>200</v>
      </c>
      <c r="CW188" s="110"/>
      <c r="CX188" s="110" t="str">
        <f>VLOOKUP(Cartera1017[[#This Row],[Estado TI]],Definiciones!$A$549:$B$559,2,FALSE)</f>
        <v>4. PRODUCCIÓN</v>
      </c>
      <c r="CY188" s="28">
        <f ca="1">1-Cartera1017[[#This Row],[Porcentaje avanzado desarrollo]]</f>
        <v>0.9</v>
      </c>
      <c r="CZ18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8" s="28">
        <f ca="1">MAX(0,Cartera1017[[#This Row],[DURACIÓN DESARROLLO DIAS]]-Cartera1017[[#This Row],[Dias avanzados]])</f>
        <v>24</v>
      </c>
      <c r="DB188" s="28">
        <f ca="1">Cartera1017[[#This Row],[Dias avanzados]]*IFERROR(VLOOKUP(Cartera1017[[#This Row],[ID Mantenimiento]],MANT_HORAS[],2,FALSE),8)</f>
        <v>8</v>
      </c>
      <c r="DC188" s="28">
        <f ca="1">Cartera1017[[#This Row],[Dias faltantes]]*IFERROR(VLOOKUP(Cartera1017[[#This Row],[ID Mantenimiento]],MANT_HORAS[],2,FALSE),8)</f>
        <v>192</v>
      </c>
      <c r="DD188" s="28" t="str">
        <f>IF(Cartera1017[[#This Row],[Fin Producción]]=0,"Por definir",CONCATENATE(YEAR(Cartera1017[[#This Row],[Fin Producción]]),"-",ROUNDUP(MONTH(Cartera1017[[#This Row],[Fin Producción]]),0)))</f>
        <v>Por definir</v>
      </c>
      <c r="DE188" s="18" t="s">
        <v>1719</v>
      </c>
      <c r="DF188" s="28"/>
      <c r="DG188" s="28"/>
      <c r="DH188" s="565"/>
    </row>
    <row r="189" spans="1:112" ht="44.25" hidden="1" customHeight="1">
      <c r="A189" s="229" t="s">
        <v>1740</v>
      </c>
      <c r="B189" s="18">
        <v>3131</v>
      </c>
      <c r="C189" s="18" t="s">
        <v>485</v>
      </c>
      <c r="D189" s="18" t="s">
        <v>1741</v>
      </c>
      <c r="E189" s="18"/>
      <c r="F189" s="33" t="s">
        <v>1742</v>
      </c>
      <c r="G189" s="19"/>
      <c r="H189" s="18" t="s">
        <v>40</v>
      </c>
      <c r="I189" s="18" t="s">
        <v>490</v>
      </c>
      <c r="J189" s="18" t="s">
        <v>662</v>
      </c>
      <c r="K189" s="20">
        <v>45946</v>
      </c>
      <c r="L189" s="50" t="s">
        <v>1743</v>
      </c>
      <c r="M189" s="50"/>
      <c r="N189" s="50"/>
      <c r="O189" s="18" t="s">
        <v>548</v>
      </c>
      <c r="P189" s="18"/>
      <c r="Q189" s="18" t="s">
        <v>822</v>
      </c>
      <c r="R189" s="18" t="s">
        <v>497</v>
      </c>
      <c r="S189" s="18"/>
      <c r="T189" s="18"/>
      <c r="U189" s="18"/>
      <c r="V189" s="18"/>
      <c r="W189" s="18"/>
      <c r="X189" s="18"/>
      <c r="Y189" s="80"/>
      <c r="Z189" s="18" t="s">
        <v>499</v>
      </c>
      <c r="AA189" s="20">
        <v>46119</v>
      </c>
      <c r="AB189" s="18" t="s">
        <v>500</v>
      </c>
      <c r="AC189" s="18"/>
      <c r="AD189" s="18"/>
      <c r="AE189" s="18" t="s">
        <v>41</v>
      </c>
      <c r="AF189" s="18" t="s">
        <v>340</v>
      </c>
      <c r="AG189" s="14" t="str">
        <f>VLOOKUP(AF189,Tabla3[[Estado Requerimiento]:[Macro estado]],2,FALSE)</f>
        <v>01. No iniciado</v>
      </c>
      <c r="AH189" s="18"/>
      <c r="AI189" s="80"/>
      <c r="AJ189" s="80"/>
      <c r="AK189" s="80"/>
      <c r="AL189" s="80"/>
      <c r="AM189" s="80"/>
      <c r="AN189" s="80"/>
      <c r="AO189" s="80"/>
      <c r="AP189" s="81" t="str">
        <f t="shared" si="4"/>
        <v/>
      </c>
      <c r="AQ189" s="80"/>
      <c r="AR189" s="80"/>
      <c r="AS189" s="81" t="str">
        <f t="shared" si="5"/>
        <v/>
      </c>
      <c r="AT189" s="198" t="s">
        <v>1744</v>
      </c>
      <c r="AU189" s="44" t="str">
        <f>VLOOKUP(Cartera1017[[#This Row],[Gerencia]],tbGerencia[#All],3,FALSE)</f>
        <v>Operac.</v>
      </c>
      <c r="AV189" s="44" t="str">
        <f>IFERROR(VLOOKUP(Cartera1017[[#This Row],[Subgerencia]],Definiciones!$A$90:$B$144,2,FALSE),"")</f>
        <v>BancariosRecaudación</v>
      </c>
      <c r="AW189" s="44" t="str">
        <f>IF(OR(LEN(Cartera1017[[#This Row],[Fecha de Solicitud]])=0,(Cartera1017[[#This Row],[Fecha de Solicitud]])="No definido"),"No definido",IF(YEAR(Cartera1017[[#This Row],[Fecha de Solicitud]])&lt;2023," &lt;  2023",TEXT(Cartera1017[[#This Row],[Fecha de Solicitud]],"yyyy-mm")))</f>
        <v>2025-10</v>
      </c>
      <c r="AX189" s="44" t="str">
        <f>IF(Cartera1017[[#This Row],[Fecha de Priorización Comité]]="","No definido",TEXT(Cartera1017[[#This Row],[Fecha de Priorización Comité]],"yyyy-mm"))</f>
        <v>2026-04</v>
      </c>
      <c r="AY189" s="44" t="str">
        <f>IF(Cartera1017[[#This Row],[Fecha Fin- Desarrollo]]="","No definido",TEXT(Cartera1017[[#This Row],[Fecha Fin- Desarrollo]],"yyyy-mm"))</f>
        <v>No definido</v>
      </c>
      <c r="AZ189" s="44" t="str">
        <f>IF(Cartera1017[[#This Row],[Fecha Fin- Producción]]="","No definido",TEXT(Cartera1017[[#This Row],[Fecha Fin- Producción]],"yyyy-mm"))</f>
        <v>No definido</v>
      </c>
      <c r="BA189" s="44" t="str">
        <f>IF(Cartera1017[[#This Row],[Fecha Fin-Planificada]]="","No definido",TEXT(Cartera1017[[#This Row],[Fecha Fin-Planificada]],"yyyy-mm"))</f>
        <v>No definido</v>
      </c>
      <c r="BB189" s="33"/>
      <c r="BC189" s="108"/>
      <c r="BD189" s="108"/>
      <c r="BE189" s="108"/>
      <c r="BF189" s="127"/>
      <c r="BG189" s="28"/>
      <c r="BH18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89" s="90" t="str">
        <f>IF(ISNUMBER(Cartera1017[[#This Row],[Duracion en Dias]]),Cartera1017[[#This Row],[Duracion en Dias]]/30, "No Aplica")</f>
        <v>No Aplica</v>
      </c>
      <c r="BJ189" s="109"/>
      <c r="BK189" s="28"/>
      <c r="BL189" s="110"/>
      <c r="BM189" s="342"/>
      <c r="BN189" s="227"/>
      <c r="BO189" s="401"/>
      <c r="BP189" s="401"/>
      <c r="BQ18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189" s="14" t="str">
        <f>IFERROR(VLOOKUP(Cartera1017[[#This Row],[Aplicativo]],Tabla76[],2,FALSE),"Sin Aplicativo")</f>
        <v>Sin Aplicativo</v>
      </c>
      <c r="BS189" s="14" t="str">
        <f>IFERROR(VLOOKUP(Cartera1017[[#This Row],[Aplicativo]],Tabla76[],3,FALSE),"Sin Aplicativo")</f>
        <v>Sin Aplicativo</v>
      </c>
      <c r="BT189" s="400"/>
      <c r="BU189" s="33"/>
      <c r="BV189" s="28"/>
      <c r="BW18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189" s="149" t="str">
        <f ca="1">IF(Cartera1017[[#This Row],[Fecha Fin2]]="","No definido",CONCATENATE(TEXT(Cartera1017[[#This Row],[Fecha Fin2]],"mmm")," ",YEAR(Cartera1017[[#This Row],[Fecha Fin2]])))</f>
        <v>No definido</v>
      </c>
      <c r="BZ189" s="28"/>
      <c r="CA189" s="48" t="str">
        <f>IF(Cartera1017[[#This Row],[Estado TI]] = "08. Producción Finalizada","Culminado",IF(Cartera1017[[#This Row],[Estado TI]]= "09. Descartado","Descartado","Activos"))</f>
        <v>Activos</v>
      </c>
      <c r="CB189" s="28"/>
      <c r="CC18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189" s="54" t="str">
        <f>IF(
AND(
Cartera1017[[#This Row],[DEVOLVER 27]]="NO",
NOT(ISBLANK(Cartera1017[[#This Row],[ESTADO NO DEVUELTOS 27]]))
),
"PRE",
"POST"
)</f>
        <v>POST</v>
      </c>
      <c r="CE189" s="54"/>
      <c r="CF189" s="28"/>
      <c r="CG18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8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189"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89" s="406">
        <f>Cartera1017[[#This Row],[Porcentaje de Avance]]</f>
        <v>0.1</v>
      </c>
      <c r="CK189" s="388" t="str">
        <f>IF(
   OR(
     Cartera1017[[#This Row],[Estado TI]]="09. Descartado",
     Cartera1017[[#This Row],[Comienzo Desarrollo]]="",
     Cartera1017[[#This Row],[Fin Producción]]=""
   ),
   "",
   Cartera1017[[#This Row],[% PLANIFICADO]]-Cartera1017[[#This Row],[% COMPLETADO]]
)</f>
        <v/>
      </c>
      <c r="CL189" s="388" t="str">
        <f ca="1">IF(
   OR(
     Cartera1017[[#This Row],[Estado TI]]="09. Descartado",
     Cartera1017[[#This Row],[Comienzo Desarrollo]]="",
     Cartera1017[[#This Row],[Fin Producción]]="",
     Cartera1017[[#This Row],[% PLANIFICADO]]=0
   ),
   "",
   MIN(Cartera1017[[#This Row],[% COMPLETADO]]/Cartera1017[[#This Row],[% PLANIFICADO]],1.2)
)</f>
        <v/>
      </c>
      <c r="CM189" s="229"/>
      <c r="CN189" s="229"/>
      <c r="CO189" s="229"/>
      <c r="CP189" s="229"/>
      <c r="CQ189" s="229"/>
      <c r="CR189" s="229"/>
      <c r="CS189" s="229"/>
      <c r="CT189" s="44">
        <f>IF(Cartera1017[[#This Row],[Fin Desarrollo]]="",25,IFERROR(NETWORKDAYS(Cartera1017[[#This Row],[Comienzo Desarrollo]],Cartera1017[[#This Row],[Fin Desarrollo]],FERIADOS[Fecha]),""))</f>
        <v>25</v>
      </c>
      <c r="CU18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89" s="44">
        <f>IF(OR(Cartera1017[[#This Row],[Comienzo Desarrollo]]="",Cartera1017[[#This Row],[Fin Desarrollo]]=""),200,IFERROR(Cartera1017[[#This Row],[DURACIÓN DESARROLLO DIAS]]*VLOOKUP(Cartera1017[[#This Row],[ID Mantenimiento]],MANT_HORAS[],2,FALSE),200))</f>
        <v>200</v>
      </c>
      <c r="CW189" s="110"/>
      <c r="CX189" s="110" t="str">
        <f>VLOOKUP(Cartera1017[[#This Row],[Estado TI]],Definiciones!$A$549:$B$559,2,FALSE)</f>
        <v>1. DESARROLLO</v>
      </c>
      <c r="CY189" s="28">
        <f ca="1">1-Cartera1017[[#This Row],[Porcentaje avanzado desarrollo]]</f>
        <v>0.9</v>
      </c>
      <c r="CZ18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9" s="28">
        <f ca="1">MAX(0,Cartera1017[[#This Row],[DURACIÓN DESARROLLO DIAS]]-Cartera1017[[#This Row],[Dias avanzados]])</f>
        <v>24</v>
      </c>
      <c r="DB189" s="28">
        <f ca="1">Cartera1017[[#This Row],[Dias avanzados]]*IFERROR(VLOOKUP(Cartera1017[[#This Row],[ID Mantenimiento]],MANT_HORAS[],2,FALSE),8)</f>
        <v>8</v>
      </c>
      <c r="DC189" s="28">
        <f ca="1">Cartera1017[[#This Row],[Dias faltantes]]*IFERROR(VLOOKUP(Cartera1017[[#This Row],[ID Mantenimiento]],MANT_HORAS[],2,FALSE),8)</f>
        <v>192</v>
      </c>
      <c r="DD189" s="28" t="str">
        <f>IF(Cartera1017[[#This Row],[Fin Producción]]=0,"Por definir",CONCATENATE(YEAR(Cartera1017[[#This Row],[Fin Producción]]),"-",ROUNDUP(MONTH(Cartera1017[[#This Row],[Fin Producción]]),0)))</f>
        <v>Por definir</v>
      </c>
      <c r="DE189" s="18" t="s">
        <v>1719</v>
      </c>
      <c r="DF189" s="28"/>
      <c r="DG189" s="28"/>
      <c r="DH189" s="565"/>
    </row>
    <row r="190" spans="1:112" ht="44.25" hidden="1" customHeight="1">
      <c r="A190" s="229" t="s">
        <v>1745</v>
      </c>
      <c r="B190" s="18">
        <v>3132</v>
      </c>
      <c r="C190" s="18" t="s">
        <v>485</v>
      </c>
      <c r="D190" s="18" t="s">
        <v>1746</v>
      </c>
      <c r="E190" s="18"/>
      <c r="F190" s="33" t="s">
        <v>1747</v>
      </c>
      <c r="G190" s="19"/>
      <c r="H190" s="18" t="s">
        <v>40</v>
      </c>
      <c r="I190" s="18" t="s">
        <v>490</v>
      </c>
      <c r="J190" s="18" t="s">
        <v>662</v>
      </c>
      <c r="K190" s="20">
        <v>45946</v>
      </c>
      <c r="L190" s="50" t="s">
        <v>1748</v>
      </c>
      <c r="M190" s="50"/>
      <c r="N190" s="50"/>
      <c r="O190" s="18" t="s">
        <v>548</v>
      </c>
      <c r="P190" s="18"/>
      <c r="Q190" s="18" t="s">
        <v>822</v>
      </c>
      <c r="R190" s="18" t="s">
        <v>497</v>
      </c>
      <c r="S190" s="18"/>
      <c r="T190" s="18"/>
      <c r="U190" s="18"/>
      <c r="V190" s="18"/>
      <c r="W190" s="18"/>
      <c r="X190" s="18"/>
      <c r="Y190" s="80"/>
      <c r="Z190" s="18" t="s">
        <v>499</v>
      </c>
      <c r="AA190" s="20">
        <v>46119</v>
      </c>
      <c r="AB190" s="18" t="s">
        <v>500</v>
      </c>
      <c r="AC190" s="18"/>
      <c r="AD190" s="18"/>
      <c r="AE190" s="18" t="s">
        <v>41</v>
      </c>
      <c r="AF190" s="18" t="s">
        <v>340</v>
      </c>
      <c r="AG190" s="14" t="str">
        <f>VLOOKUP(AF190,Tabla3[[Estado Requerimiento]:[Macro estado]],2,FALSE)</f>
        <v>01. No iniciado</v>
      </c>
      <c r="AH190" s="18"/>
      <c r="AI190" s="80"/>
      <c r="AJ190" s="80"/>
      <c r="AK190" s="80"/>
      <c r="AL190" s="80"/>
      <c r="AM190" s="80"/>
      <c r="AN190" s="80"/>
      <c r="AO190" s="80"/>
      <c r="AP190" s="81" t="str">
        <f t="shared" si="4"/>
        <v/>
      </c>
      <c r="AQ190" s="80"/>
      <c r="AR190" s="80"/>
      <c r="AS190" s="81" t="str">
        <f t="shared" si="5"/>
        <v/>
      </c>
      <c r="AT190" s="198" t="s">
        <v>1744</v>
      </c>
      <c r="AU190" s="44" t="str">
        <f>VLOOKUP(Cartera1017[[#This Row],[Gerencia]],tbGerencia[#All],3,FALSE)</f>
        <v>Operac.</v>
      </c>
      <c r="AV190" s="44" t="str">
        <f>IFERROR(VLOOKUP(Cartera1017[[#This Row],[Subgerencia]],Definiciones!$A$90:$B$144,2,FALSE),"")</f>
        <v>BancariosRecaudación</v>
      </c>
      <c r="AW190" s="44" t="str">
        <f>IF(OR(LEN(Cartera1017[[#This Row],[Fecha de Solicitud]])=0,(Cartera1017[[#This Row],[Fecha de Solicitud]])="No definido"),"No definido",IF(YEAR(Cartera1017[[#This Row],[Fecha de Solicitud]])&lt;2023," &lt;  2023",TEXT(Cartera1017[[#This Row],[Fecha de Solicitud]],"yyyy-mm")))</f>
        <v>2025-10</v>
      </c>
      <c r="AX190" s="44" t="str">
        <f>IF(Cartera1017[[#This Row],[Fecha de Priorización Comité]]="","No definido",TEXT(Cartera1017[[#This Row],[Fecha de Priorización Comité]],"yyyy-mm"))</f>
        <v>2026-04</v>
      </c>
      <c r="AY190" s="44" t="str">
        <f>IF(Cartera1017[[#This Row],[Fecha Fin- Desarrollo]]="","No definido",TEXT(Cartera1017[[#This Row],[Fecha Fin- Desarrollo]],"yyyy-mm"))</f>
        <v>No definido</v>
      </c>
      <c r="AZ190" s="44" t="str">
        <f>IF(Cartera1017[[#This Row],[Fecha Fin- Producción]]="","No definido",TEXT(Cartera1017[[#This Row],[Fecha Fin- Producción]],"yyyy-mm"))</f>
        <v>No definido</v>
      </c>
      <c r="BA190" s="44" t="str">
        <f>IF(Cartera1017[[#This Row],[Fecha Fin-Planificada]]="","No definido",TEXT(Cartera1017[[#This Row],[Fecha Fin-Planificada]],"yyyy-mm"))</f>
        <v>No definido</v>
      </c>
      <c r="BB190" s="33"/>
      <c r="BC190" s="108"/>
      <c r="BD190" s="108"/>
      <c r="BE190" s="108"/>
      <c r="BF190" s="127"/>
      <c r="BG190" s="28"/>
      <c r="BH19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90" s="90" t="str">
        <f>IF(ISNUMBER(Cartera1017[[#This Row],[Duracion en Dias]]),Cartera1017[[#This Row],[Duracion en Dias]]/30, "No Aplica")</f>
        <v>No Aplica</v>
      </c>
      <c r="BJ190" s="109"/>
      <c r="BK190" s="28"/>
      <c r="BL190" s="110"/>
      <c r="BM190" s="342"/>
      <c r="BN190" s="227"/>
      <c r="BO190" s="401"/>
      <c r="BP190" s="401"/>
      <c r="BQ19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190" s="14" t="str">
        <f>IFERROR(VLOOKUP(Cartera1017[[#This Row],[Aplicativo]],Tabla76[],2,FALSE),"Sin Aplicativo")</f>
        <v>Sin Aplicativo</v>
      </c>
      <c r="BS190" s="14" t="str">
        <f>IFERROR(VLOOKUP(Cartera1017[[#This Row],[Aplicativo]],Tabla76[],3,FALSE),"Sin Aplicativo")</f>
        <v>Sin Aplicativo</v>
      </c>
      <c r="BT190" s="400"/>
      <c r="BU190" s="33"/>
      <c r="BV190" s="28"/>
      <c r="BW19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190" s="149" t="str">
        <f ca="1">IF(Cartera1017[[#This Row],[Fecha Fin2]]="","No definido",CONCATENATE(TEXT(Cartera1017[[#This Row],[Fecha Fin2]],"mmm")," ",YEAR(Cartera1017[[#This Row],[Fecha Fin2]])))</f>
        <v>No definido</v>
      </c>
      <c r="BZ190" s="28"/>
      <c r="CA190" s="48" t="str">
        <f>IF(Cartera1017[[#This Row],[Estado TI]] = "08. Producción Finalizada","Culminado",IF(Cartera1017[[#This Row],[Estado TI]]= "09. Descartado","Descartado","Activos"))</f>
        <v>Activos</v>
      </c>
      <c r="CB190" s="28"/>
      <c r="CC19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190" s="54" t="str">
        <f>IF(
AND(
Cartera1017[[#This Row],[DEVOLVER 27]]="NO",
NOT(ISBLANK(Cartera1017[[#This Row],[ESTADO NO DEVUELTOS 27]]))
),
"PRE",
"POST"
)</f>
        <v>POST</v>
      </c>
      <c r="CE190" s="54"/>
      <c r="CF190" s="28"/>
      <c r="CG19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9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190"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90" s="406">
        <f>Cartera1017[[#This Row],[Porcentaje de Avance]]</f>
        <v>0.1</v>
      </c>
      <c r="CK190" s="388" t="str">
        <f>IF(
   OR(
     Cartera1017[[#This Row],[Estado TI]]="09. Descartado",
     Cartera1017[[#This Row],[Comienzo Desarrollo]]="",
     Cartera1017[[#This Row],[Fin Producción]]=""
   ),
   "",
   Cartera1017[[#This Row],[% PLANIFICADO]]-Cartera1017[[#This Row],[% COMPLETADO]]
)</f>
        <v/>
      </c>
      <c r="CL190" s="388" t="str">
        <f ca="1">IF(
   OR(
     Cartera1017[[#This Row],[Estado TI]]="09. Descartado",
     Cartera1017[[#This Row],[Comienzo Desarrollo]]="",
     Cartera1017[[#This Row],[Fin Producción]]="",
     Cartera1017[[#This Row],[% PLANIFICADO]]=0
   ),
   "",
   MIN(Cartera1017[[#This Row],[% COMPLETADO]]/Cartera1017[[#This Row],[% PLANIFICADO]],1.2)
)</f>
        <v/>
      </c>
      <c r="CM190" s="229"/>
      <c r="CN190" s="229"/>
      <c r="CO190" s="229"/>
      <c r="CP190" s="229"/>
      <c r="CQ190" s="229"/>
      <c r="CR190" s="229"/>
      <c r="CS190" s="229"/>
      <c r="CT190" s="44">
        <f>IF(Cartera1017[[#This Row],[Fin Desarrollo]]="",25,IFERROR(NETWORKDAYS(Cartera1017[[#This Row],[Comienzo Desarrollo]],Cartera1017[[#This Row],[Fin Desarrollo]],FERIADOS[Fecha]),""))</f>
        <v>25</v>
      </c>
      <c r="CU19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90" s="44">
        <f>IF(OR(Cartera1017[[#This Row],[Comienzo Desarrollo]]="",Cartera1017[[#This Row],[Fin Desarrollo]]=""),200,IFERROR(Cartera1017[[#This Row],[DURACIÓN DESARROLLO DIAS]]*VLOOKUP(Cartera1017[[#This Row],[ID Mantenimiento]],MANT_HORAS[],2,FALSE),200))</f>
        <v>200</v>
      </c>
      <c r="CW190" s="110"/>
      <c r="CX190" s="110" t="str">
        <f>VLOOKUP(Cartera1017[[#This Row],[Estado TI]],Definiciones!$A$549:$B$559,2,FALSE)</f>
        <v>1. DESARROLLO</v>
      </c>
      <c r="CY190" s="28">
        <f ca="1">1-Cartera1017[[#This Row],[Porcentaje avanzado desarrollo]]</f>
        <v>0.9</v>
      </c>
      <c r="CZ19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0" s="28">
        <f ca="1">MAX(0,Cartera1017[[#This Row],[DURACIÓN DESARROLLO DIAS]]-Cartera1017[[#This Row],[Dias avanzados]])</f>
        <v>24</v>
      </c>
      <c r="DB190" s="28">
        <f ca="1">Cartera1017[[#This Row],[Dias avanzados]]*IFERROR(VLOOKUP(Cartera1017[[#This Row],[ID Mantenimiento]],MANT_HORAS[],2,FALSE),8)</f>
        <v>8</v>
      </c>
      <c r="DC190" s="28">
        <f ca="1">Cartera1017[[#This Row],[Dias faltantes]]*IFERROR(VLOOKUP(Cartera1017[[#This Row],[ID Mantenimiento]],MANT_HORAS[],2,FALSE),8)</f>
        <v>192</v>
      </c>
      <c r="DD190" s="28" t="str">
        <f>IF(Cartera1017[[#This Row],[Fin Producción]]=0,"Por definir",CONCATENATE(YEAR(Cartera1017[[#This Row],[Fin Producción]]),"-",ROUNDUP(MONTH(Cartera1017[[#This Row],[Fin Producción]]),0)))</f>
        <v>Por definir</v>
      </c>
      <c r="DE190" s="18" t="s">
        <v>1719</v>
      </c>
      <c r="DF190" s="28"/>
      <c r="DG190" s="28"/>
      <c r="DH190" s="565"/>
    </row>
    <row r="191" spans="1:112" ht="44.25" customHeight="1">
      <c r="A191" s="229" t="s">
        <v>1749</v>
      </c>
      <c r="B191" s="18">
        <v>3133</v>
      </c>
      <c r="C191" s="18" t="s">
        <v>485</v>
      </c>
      <c r="D191" s="18" t="s">
        <v>1449</v>
      </c>
      <c r="E191" s="18" t="s">
        <v>282</v>
      </c>
      <c r="F191" s="561" t="s">
        <v>1750</v>
      </c>
      <c r="G191" s="19"/>
      <c r="H191" s="18" t="s">
        <v>82</v>
      </c>
      <c r="I191" s="18" t="s">
        <v>700</v>
      </c>
      <c r="J191" s="18" t="s">
        <v>1451</v>
      </c>
      <c r="K191" s="20">
        <v>46006</v>
      </c>
      <c r="L191" s="50" t="s">
        <v>1751</v>
      </c>
      <c r="M191" s="50" t="s">
        <v>703</v>
      </c>
      <c r="N191" s="50"/>
      <c r="O191" s="18" t="s">
        <v>530</v>
      </c>
      <c r="P191" s="18" t="s">
        <v>495</v>
      </c>
      <c r="Q191" s="18" t="s">
        <v>496</v>
      </c>
      <c r="R191" s="18" t="s">
        <v>599</v>
      </c>
      <c r="S191" s="18"/>
      <c r="T191" s="18" t="s">
        <v>652</v>
      </c>
      <c r="U191" s="18" t="s">
        <v>1453</v>
      </c>
      <c r="V191" s="18"/>
      <c r="W191" s="18"/>
      <c r="X191" s="18"/>
      <c r="Y191" s="80"/>
      <c r="Z191" s="18" t="s">
        <v>499</v>
      </c>
      <c r="AA191" s="20">
        <v>46119</v>
      </c>
      <c r="AB191" s="18" t="s">
        <v>500</v>
      </c>
      <c r="AC191" s="18"/>
      <c r="AD191" s="18" t="s">
        <v>150</v>
      </c>
      <c r="AE191" s="18" t="s">
        <v>63</v>
      </c>
      <c r="AF191" s="18" t="s">
        <v>87</v>
      </c>
      <c r="AG191" s="14" t="str">
        <f>VLOOKUP(AF191,Tabla3[[Estado Requerimiento]:[Macro estado]],2,FALSE)</f>
        <v>02. En Proceso</v>
      </c>
      <c r="AH191" s="18"/>
      <c r="AI191" s="80"/>
      <c r="AJ191" s="80"/>
      <c r="AK191" s="80">
        <v>46007</v>
      </c>
      <c r="AL191" s="80">
        <v>46100</v>
      </c>
      <c r="AM191" s="80"/>
      <c r="AN191" s="80">
        <v>46111</v>
      </c>
      <c r="AO191" s="80"/>
      <c r="AP191" s="81">
        <f t="shared" si="4"/>
        <v>46137.2</v>
      </c>
      <c r="AQ191" s="80"/>
      <c r="AR191" s="80"/>
      <c r="AS191" s="81">
        <f t="shared" si="5"/>
        <v>46144.2</v>
      </c>
      <c r="AT191" s="198" t="s">
        <v>1752</v>
      </c>
      <c r="AU191" s="44" t="str">
        <f>VLOOKUP(Cartera1017[[#This Row],[Gerencia]],tbGerencia[#All],3,FALSE)</f>
        <v>Riesgos</v>
      </c>
      <c r="AV191" s="44" t="str">
        <f>IFERROR(VLOOKUP(Cartera1017[[#This Row],[Subgerencia]],Definiciones!$A$90:$B$144,2,FALSE),"")</f>
        <v>CrediticiosFinancieros</v>
      </c>
      <c r="AW191" s="44" t="str">
        <f>IF(OR(LEN(Cartera1017[[#This Row],[Fecha de Solicitud]])=0,(Cartera1017[[#This Row],[Fecha de Solicitud]])="No definido"),"No definido",IF(YEAR(Cartera1017[[#This Row],[Fecha de Solicitud]])&lt;2023," &lt;  2023",TEXT(Cartera1017[[#This Row],[Fecha de Solicitud]],"yyyy-mm")))</f>
        <v>2025-12</v>
      </c>
      <c r="AX191" s="44" t="str">
        <f>IF(Cartera1017[[#This Row],[Fecha de Priorización Comité]]="","No definido",TEXT(Cartera1017[[#This Row],[Fecha de Priorización Comité]],"yyyy-mm"))</f>
        <v>2026-04</v>
      </c>
      <c r="AY191" s="44" t="str">
        <f>IF(Cartera1017[[#This Row],[Fecha Fin- Desarrollo]]="","No definido",TEXT(Cartera1017[[#This Row],[Fecha Fin- Desarrollo]],"yyyy-mm"))</f>
        <v>2026-03</v>
      </c>
      <c r="AZ191" s="44" t="str">
        <f>IF(Cartera1017[[#This Row],[Fecha Fin- Producción]]="","No definido",TEXT(Cartera1017[[#This Row],[Fecha Fin- Producción]],"yyyy-mm"))</f>
        <v>No definido</v>
      </c>
      <c r="BA191" s="44" t="str">
        <f>IF(Cartera1017[[#This Row],[Fecha Fin-Planificada]]="","No definido",TEXT(Cartera1017[[#This Row],[Fecha Fin-Planificada]],"yyyy-mm"))</f>
        <v>2026-05</v>
      </c>
      <c r="BB191" s="33"/>
      <c r="BC191" s="108"/>
      <c r="BD191" s="108"/>
      <c r="BE191" s="108"/>
      <c r="BF191" s="127"/>
      <c r="BG191" s="28"/>
      <c r="BH19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91" s="90" t="str">
        <f>IF(ISNUMBER(Cartera1017[[#This Row],[Duracion en Dias]]),Cartera1017[[#This Row],[Duracion en Dias]]/30, "No Aplica")</f>
        <v>No Aplica</v>
      </c>
      <c r="BJ191" s="109"/>
      <c r="BK191" s="28" t="s">
        <v>506</v>
      </c>
      <c r="BL191" s="110" t="s">
        <v>1260</v>
      </c>
      <c r="BM191" s="342">
        <v>46111.534097222226</v>
      </c>
      <c r="BN191" s="227"/>
      <c r="BO191" s="401"/>
      <c r="BP191" s="401"/>
      <c r="BQ19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91" s="14" t="str">
        <f>IFERROR(VLOOKUP(Cartera1017[[#This Row],[Aplicativo]],Tabla76[],2,FALSE),"Sin Aplicativo")</f>
        <v>BackOffice</v>
      </c>
      <c r="BS191" s="14" t="str">
        <f>IFERROR(VLOOKUP(Cartera1017[[#This Row],[Aplicativo]],Tabla76[],3,FALSE),"Sin Aplicativo")</f>
        <v>Otros Requerimientos</v>
      </c>
      <c r="BT191" s="400"/>
      <c r="BU191" s="33"/>
      <c r="BV191" s="28"/>
      <c r="BW19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91" s="149" t="str">
        <f ca="1">IF(Cartera1017[[#This Row],[Fecha Fin2]]="","No definido",CONCATENATE(TEXT(Cartera1017[[#This Row],[Fecha Fin2]],"mmm")," ",YEAR(Cartera1017[[#This Row],[Fecha Fin2]])))</f>
        <v>No definido</v>
      </c>
      <c r="BZ191" s="28"/>
      <c r="CA191" s="48" t="str">
        <f>IF(Cartera1017[[#This Row],[Estado TI]] = "08. Producción Finalizada","Culminado",IF(Cartera1017[[#This Row],[Estado TI]]= "09. Descartado","Descartado","Activos"))</f>
        <v>Activos</v>
      </c>
      <c r="CB191" s="28"/>
      <c r="CC19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191" s="54" t="str">
        <f>IF(
AND(
Cartera1017[[#This Row],[DEVOLVER 27]]="NO",
NOT(ISBLANK(Cartera1017[[#This Row],[ESTADO NO DEVUELTOS 27]]))
),
"PRE",
"POST"
)</f>
        <v>POST</v>
      </c>
      <c r="CE191" s="54"/>
      <c r="CF191" s="28"/>
      <c r="CG19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9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91"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0.7142857142857143</v>
      </c>
      <c r="CJ191" s="406">
        <f>Cartera1017[[#This Row],[Porcentaje de Avance]]</f>
        <v>0.7</v>
      </c>
      <c r="CK191" s="388">
        <f ca="1">IF(
   OR(
     Cartera1017[[#This Row],[Estado TI]]="09. Descartado",
     Cartera1017[[#This Row],[Comienzo Desarrollo]]="",
     Cartera1017[[#This Row],[Fin Producción]]=""
   ),
   "",
   Cartera1017[[#This Row],[% PLANIFICADO]]-Cartera1017[[#This Row],[% COMPLETADO]]
)</f>
        <v>1.4285714285714346E-2</v>
      </c>
      <c r="CL191" s="388">
        <f ca="1">IF(
   OR(
     Cartera1017[[#This Row],[Estado TI]]="09. Descartado",
     Cartera1017[[#This Row],[Comienzo Desarrollo]]="",
     Cartera1017[[#This Row],[Fin Producción]]="",
     Cartera1017[[#This Row],[% PLANIFICADO]]=0
   ),
   "",
   MIN(Cartera1017[[#This Row],[% COMPLETADO]]/Cartera1017[[#This Row],[% PLANIFICADO]],1.2)
)</f>
        <v>0.97999999999999987</v>
      </c>
      <c r="CM191" s="229"/>
      <c r="CN191" s="571">
        <v>46099</v>
      </c>
      <c r="CO191" s="571">
        <v>46111</v>
      </c>
      <c r="CP191" s="571">
        <v>46111</v>
      </c>
      <c r="CQ191" s="569">
        <v>46171</v>
      </c>
      <c r="CR191" s="569">
        <v>46174</v>
      </c>
      <c r="CS191" s="569">
        <v>46188</v>
      </c>
      <c r="CT191" s="44">
        <f>IF(Cartera1017[[#This Row],[Fin Desarrollo]]="",25,IFERROR(NETWORKDAYS(Cartera1017[[#This Row],[Comienzo Desarrollo]],Cartera1017[[#This Row],[Fin Desarrollo]],FERIADOS[Fecha]),""))</f>
        <v>9</v>
      </c>
      <c r="CU19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91" s="44">
        <f>IF(OR(Cartera1017[[#This Row],[Comienzo Desarrollo]]="",Cartera1017[[#This Row],[Fin Desarrollo]]=""),200,IFERROR(Cartera1017[[#This Row],[DURACIÓN DESARROLLO DIAS]]*VLOOKUP(Cartera1017[[#This Row],[ID Mantenimiento]],MANT_HORAS[],2,FALSE),200))</f>
        <v>200</v>
      </c>
      <c r="CW191" s="110"/>
      <c r="CX191" s="110" t="str">
        <f>VLOOKUP(Cartera1017[[#This Row],[Estado TI]],Definiciones!$A$549:$B$559,2,FALSE)</f>
        <v>2. CALIDAD</v>
      </c>
      <c r="CY191" s="28">
        <f ca="1">1-Cartera1017[[#This Row],[Porcentaje avanzado desarrollo]]</f>
        <v>0</v>
      </c>
      <c r="CZ19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v>
      </c>
      <c r="DA191" s="28">
        <f ca="1">MAX(0,Cartera1017[[#This Row],[DURACIÓN DESARROLLO DIAS]]-Cartera1017[[#This Row],[Dias avanzados]])</f>
        <v>0</v>
      </c>
      <c r="DB191" s="28">
        <f ca="1">Cartera1017[[#This Row],[Dias avanzados]]*IFERROR(VLOOKUP(Cartera1017[[#This Row],[ID Mantenimiento]],MANT_HORAS[],2,FALSE),8)</f>
        <v>72</v>
      </c>
      <c r="DC191" s="28">
        <f ca="1">Cartera1017[[#This Row],[Dias faltantes]]*IFERROR(VLOOKUP(Cartera1017[[#This Row],[ID Mantenimiento]],MANT_HORAS[],2,FALSE),8)</f>
        <v>0</v>
      </c>
      <c r="DD191" s="28" t="str">
        <f>IF(Cartera1017[[#This Row],[Fin Producción]]=0,"Por definir",CONCATENATE(YEAR(Cartera1017[[#This Row],[Fin Producción]]),"-",ROUNDUP(MONTH(Cartera1017[[#This Row],[Fin Producción]]),0)))</f>
        <v>2026-6</v>
      </c>
      <c r="DE191" s="18" t="s">
        <v>1719</v>
      </c>
      <c r="DF191" s="28"/>
      <c r="DG191" s="28"/>
      <c r="DH191" s="565"/>
    </row>
    <row r="192" spans="1:112" ht="44.25" customHeight="1">
      <c r="A192" s="229" t="s">
        <v>1753</v>
      </c>
      <c r="B192" s="18">
        <v>3134</v>
      </c>
      <c r="C192" s="18" t="s">
        <v>485</v>
      </c>
      <c r="D192" s="18" t="s">
        <v>1754</v>
      </c>
      <c r="E192" s="18" t="s">
        <v>1755</v>
      </c>
      <c r="F192" s="561" t="s">
        <v>1756</v>
      </c>
      <c r="G192" s="19"/>
      <c r="H192" s="18" t="s">
        <v>82</v>
      </c>
      <c r="I192" s="18" t="s">
        <v>700</v>
      </c>
      <c r="J192" s="18" t="s">
        <v>1451</v>
      </c>
      <c r="K192" s="20">
        <v>46006</v>
      </c>
      <c r="L192" s="50" t="s">
        <v>1751</v>
      </c>
      <c r="M192" s="50" t="s">
        <v>703</v>
      </c>
      <c r="N192" s="50"/>
      <c r="O192" s="18" t="s">
        <v>530</v>
      </c>
      <c r="P192" s="18" t="s">
        <v>495</v>
      </c>
      <c r="Q192" s="18" t="s">
        <v>496</v>
      </c>
      <c r="R192" s="18" t="s">
        <v>599</v>
      </c>
      <c r="S192" s="18"/>
      <c r="T192" s="18" t="s">
        <v>652</v>
      </c>
      <c r="U192" s="18" t="s">
        <v>1453</v>
      </c>
      <c r="V192" s="18"/>
      <c r="W192" s="18"/>
      <c r="X192" s="18"/>
      <c r="Y192" s="80"/>
      <c r="Z192" s="18" t="s">
        <v>499</v>
      </c>
      <c r="AA192" s="20">
        <v>46119</v>
      </c>
      <c r="AB192" s="18" t="s">
        <v>500</v>
      </c>
      <c r="AC192" s="18"/>
      <c r="AD192" s="18" t="s">
        <v>150</v>
      </c>
      <c r="AE192" s="18" t="s">
        <v>63</v>
      </c>
      <c r="AF192" s="18" t="s">
        <v>87</v>
      </c>
      <c r="AG192" s="14" t="str">
        <f>VLOOKUP(AF192,Tabla3[[Estado Requerimiento]:[Macro estado]],2,FALSE)</f>
        <v>02. En Proceso</v>
      </c>
      <c r="AH192" s="18"/>
      <c r="AI192" s="80"/>
      <c r="AJ192" s="80"/>
      <c r="AK192" s="80">
        <v>46008</v>
      </c>
      <c r="AL192" s="80">
        <v>46100</v>
      </c>
      <c r="AM192" s="80"/>
      <c r="AN192" s="80">
        <v>46111</v>
      </c>
      <c r="AO192" s="80"/>
      <c r="AP192" s="81">
        <f t="shared" si="4"/>
        <v>46136.800000000003</v>
      </c>
      <c r="AQ192" s="80"/>
      <c r="AR192" s="80"/>
      <c r="AS192" s="81">
        <f t="shared" si="5"/>
        <v>46143.8</v>
      </c>
      <c r="AT192" s="198" t="s">
        <v>1757</v>
      </c>
      <c r="AU192" s="44" t="str">
        <f>VLOOKUP(Cartera1017[[#This Row],[Gerencia]],tbGerencia[#All],3,FALSE)</f>
        <v>Riesgos</v>
      </c>
      <c r="AV192" s="44" t="str">
        <f>IFERROR(VLOOKUP(Cartera1017[[#This Row],[Subgerencia]],Definiciones!$A$90:$B$144,2,FALSE),"")</f>
        <v>CrediticiosFinancieros</v>
      </c>
      <c r="AW192" s="44" t="str">
        <f>IF(OR(LEN(Cartera1017[[#This Row],[Fecha de Solicitud]])=0,(Cartera1017[[#This Row],[Fecha de Solicitud]])="No definido"),"No definido",IF(YEAR(Cartera1017[[#This Row],[Fecha de Solicitud]])&lt;2023," &lt;  2023",TEXT(Cartera1017[[#This Row],[Fecha de Solicitud]],"yyyy-mm")))</f>
        <v>2025-12</v>
      </c>
      <c r="AX192" s="44" t="str">
        <f>IF(Cartera1017[[#This Row],[Fecha de Priorización Comité]]="","No definido",TEXT(Cartera1017[[#This Row],[Fecha de Priorización Comité]],"yyyy-mm"))</f>
        <v>2026-04</v>
      </c>
      <c r="AY192" s="44" t="str">
        <f>IF(Cartera1017[[#This Row],[Fecha Fin- Desarrollo]]="","No definido",TEXT(Cartera1017[[#This Row],[Fecha Fin- Desarrollo]],"yyyy-mm"))</f>
        <v>2026-03</v>
      </c>
      <c r="AZ192" s="44" t="str">
        <f>IF(Cartera1017[[#This Row],[Fecha Fin- Producción]]="","No definido",TEXT(Cartera1017[[#This Row],[Fecha Fin- Producción]],"yyyy-mm"))</f>
        <v>No definido</v>
      </c>
      <c r="BA192" s="44" t="str">
        <f>IF(Cartera1017[[#This Row],[Fecha Fin-Planificada]]="","No definido",TEXT(Cartera1017[[#This Row],[Fecha Fin-Planificada]],"yyyy-mm"))</f>
        <v>2026-05</v>
      </c>
      <c r="BB192" s="33"/>
      <c r="BC192" s="108"/>
      <c r="BD192" s="108"/>
      <c r="BE192" s="108"/>
      <c r="BF192" s="127"/>
      <c r="BG192" s="28"/>
      <c r="BH19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92" s="90" t="str">
        <f>IF(ISNUMBER(Cartera1017[[#This Row],[Duracion en Dias]]),Cartera1017[[#This Row],[Duracion en Dias]]/30, "No Aplica")</f>
        <v>No Aplica</v>
      </c>
      <c r="BJ192" s="109"/>
      <c r="BK192" s="28" t="s">
        <v>506</v>
      </c>
      <c r="BL192" s="110" t="s">
        <v>1260</v>
      </c>
      <c r="BM192" s="342">
        <v>46111.534259259257</v>
      </c>
      <c r="BN192" s="227"/>
      <c r="BO192" s="401"/>
      <c r="BP192" s="401"/>
      <c r="BQ19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92" s="14" t="str">
        <f>IFERROR(VLOOKUP(Cartera1017[[#This Row],[Aplicativo]],Tabla76[],2,FALSE),"Sin Aplicativo")</f>
        <v>BackOffice</v>
      </c>
      <c r="BS192" s="14" t="str">
        <f>IFERROR(VLOOKUP(Cartera1017[[#This Row],[Aplicativo]],Tabla76[],3,FALSE),"Sin Aplicativo")</f>
        <v>Otros Requerimientos</v>
      </c>
      <c r="BT192" s="400"/>
      <c r="BU192" s="33"/>
      <c r="BV192" s="28"/>
      <c r="BW19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92" s="149" t="str">
        <f ca="1">IF(Cartera1017[[#This Row],[Fecha Fin2]]="","No definido",CONCATENATE(TEXT(Cartera1017[[#This Row],[Fecha Fin2]],"mmm")," ",YEAR(Cartera1017[[#This Row],[Fecha Fin2]])))</f>
        <v>No definido</v>
      </c>
      <c r="BZ192" s="28"/>
      <c r="CA192" s="48" t="str">
        <f>IF(Cartera1017[[#This Row],[Estado TI]] = "08. Producción Finalizada","Culminado",IF(Cartera1017[[#This Row],[Estado TI]]= "09. Descartado","Descartado","Activos"))</f>
        <v>Activos</v>
      </c>
      <c r="CB192" s="28"/>
      <c r="CC19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192" s="54" t="str">
        <f>IF(
AND(
Cartera1017[[#This Row],[DEVOLVER 27]]="NO",
NOT(ISBLANK(Cartera1017[[#This Row],[ESTADO NO DEVUELTOS 27]]))
),
"PRE",
"POST"
)</f>
        <v>POST</v>
      </c>
      <c r="CE192" s="54"/>
      <c r="CF192" s="28"/>
      <c r="CG19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9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92"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0.76315789473684215</v>
      </c>
      <c r="CJ192" s="406">
        <f>Cartera1017[[#This Row],[Porcentaje de Avance]]</f>
        <v>0.7</v>
      </c>
      <c r="CK192" s="388">
        <f ca="1">IF(
   OR(
     Cartera1017[[#This Row],[Estado TI]]="09. Descartado",
     Cartera1017[[#This Row],[Comienzo Desarrollo]]="",
     Cartera1017[[#This Row],[Fin Producción]]=""
   ),
   "",
   Cartera1017[[#This Row],[% PLANIFICADO]]-Cartera1017[[#This Row],[% COMPLETADO]]
)</f>
        <v>6.3157894736842191E-2</v>
      </c>
      <c r="CL192" s="388">
        <f ca="1">IF(
   OR(
     Cartera1017[[#This Row],[Estado TI]]="09. Descartado",
     Cartera1017[[#This Row],[Comienzo Desarrollo]]="",
     Cartera1017[[#This Row],[Fin Producción]]="",
     Cartera1017[[#This Row],[% PLANIFICADO]]=0
   ),
   "",
   MIN(Cartera1017[[#This Row],[% COMPLETADO]]/Cartera1017[[#This Row],[% PLANIFICADO]],1.2)
)</f>
        <v>0.91724137931034477</v>
      </c>
      <c r="CM192" s="229"/>
      <c r="CN192" s="571">
        <v>46080</v>
      </c>
      <c r="CO192" s="571">
        <v>46142</v>
      </c>
      <c r="CP192" s="571">
        <v>46143</v>
      </c>
      <c r="CQ192" s="570">
        <v>46172</v>
      </c>
      <c r="CR192" s="570">
        <v>46174</v>
      </c>
      <c r="CS192" s="570">
        <v>46188</v>
      </c>
      <c r="CT192" s="44">
        <f>IF(Cartera1017[[#This Row],[Fin Desarrollo]]="",25,IFERROR(NETWORKDAYS(Cartera1017[[#This Row],[Comienzo Desarrollo]],Cartera1017[[#This Row],[Fin Desarrollo]],FERIADOS[Fecha]),""))</f>
        <v>45</v>
      </c>
      <c r="CU19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192" s="44">
        <f>IF(OR(Cartera1017[[#This Row],[Comienzo Desarrollo]]="",Cartera1017[[#This Row],[Fin Desarrollo]]=""),200,IFERROR(Cartera1017[[#This Row],[DURACIÓN DESARROLLO DIAS]]*VLOOKUP(Cartera1017[[#This Row],[ID Mantenimiento]],MANT_HORAS[],2,FALSE),200))</f>
        <v>200</v>
      </c>
      <c r="CW192" s="110"/>
      <c r="CX192" s="110" t="str">
        <f>VLOOKUP(Cartera1017[[#This Row],[Estado TI]],Definiciones!$A$549:$B$559,2,FALSE)</f>
        <v>2. CALIDAD</v>
      </c>
      <c r="CY192" s="28">
        <f ca="1">1-Cartera1017[[#This Row],[Porcentaje avanzado desarrollo]]</f>
        <v>0</v>
      </c>
      <c r="CZ19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45</v>
      </c>
      <c r="DA192" s="28">
        <f ca="1">MAX(0,Cartera1017[[#This Row],[DURACIÓN DESARROLLO DIAS]]-Cartera1017[[#This Row],[Dias avanzados]])</f>
        <v>0</v>
      </c>
      <c r="DB192" s="28">
        <f ca="1">Cartera1017[[#This Row],[Dias avanzados]]*IFERROR(VLOOKUP(Cartera1017[[#This Row],[ID Mantenimiento]],MANT_HORAS[],2,FALSE),8)</f>
        <v>360</v>
      </c>
      <c r="DC192" s="28">
        <f ca="1">Cartera1017[[#This Row],[Dias faltantes]]*IFERROR(VLOOKUP(Cartera1017[[#This Row],[ID Mantenimiento]],MANT_HORAS[],2,FALSE),8)</f>
        <v>0</v>
      </c>
      <c r="DD192" s="28" t="str">
        <f>IF(Cartera1017[[#This Row],[Fin Producción]]=0,"Por definir",CONCATENATE(YEAR(Cartera1017[[#This Row],[Fin Producción]]),"-",ROUNDUP(MONTH(Cartera1017[[#This Row],[Fin Producción]]),0)))</f>
        <v>2026-6</v>
      </c>
      <c r="DE192" s="18" t="s">
        <v>1719</v>
      </c>
      <c r="DF192" s="28"/>
      <c r="DG192" s="28"/>
      <c r="DH192" s="565"/>
    </row>
    <row r="193" spans="1:112" ht="44.25" hidden="1" customHeight="1">
      <c r="A193" s="229" t="s">
        <v>1758</v>
      </c>
      <c r="B193" s="18">
        <v>3135</v>
      </c>
      <c r="C193" s="18" t="s">
        <v>485</v>
      </c>
      <c r="D193" s="18" t="s">
        <v>1759</v>
      </c>
      <c r="E193" s="18"/>
      <c r="F193" s="33" t="s">
        <v>1760</v>
      </c>
      <c r="G193" s="19"/>
      <c r="H193" s="18" t="s">
        <v>40</v>
      </c>
      <c r="I193" s="18" t="s">
        <v>490</v>
      </c>
      <c r="J193" s="18" t="s">
        <v>662</v>
      </c>
      <c r="K193" s="20">
        <v>45980</v>
      </c>
      <c r="L193" s="50" t="s">
        <v>1761</v>
      </c>
      <c r="M193" s="50"/>
      <c r="N193" s="50"/>
      <c r="O193" s="18" t="s">
        <v>494</v>
      </c>
      <c r="P193" s="18" t="s">
        <v>530</v>
      </c>
      <c r="Q193" s="18"/>
      <c r="R193" s="18" t="s">
        <v>497</v>
      </c>
      <c r="S193" s="18"/>
      <c r="T193" s="18"/>
      <c r="U193" s="18"/>
      <c r="V193" s="18"/>
      <c r="W193" s="18"/>
      <c r="X193" s="18"/>
      <c r="Y193" s="80"/>
      <c r="Z193" s="18" t="s">
        <v>499</v>
      </c>
      <c r="AA193" s="20">
        <v>46119</v>
      </c>
      <c r="AB193" s="18" t="s">
        <v>500</v>
      </c>
      <c r="AC193" s="18"/>
      <c r="AD193" s="18"/>
      <c r="AE193" s="18" t="s">
        <v>41</v>
      </c>
      <c r="AF193" s="18" t="s">
        <v>340</v>
      </c>
      <c r="AG193" s="14" t="str">
        <f>VLOOKUP(AF193,Tabla3[[Estado Requerimiento]:[Macro estado]],2,FALSE)</f>
        <v>01. No iniciado</v>
      </c>
      <c r="AH193" s="18"/>
      <c r="AI193" s="80"/>
      <c r="AJ193" s="80"/>
      <c r="AK193" s="80"/>
      <c r="AL193" s="80"/>
      <c r="AM193" s="80"/>
      <c r="AN193" s="80"/>
      <c r="AO193" s="80"/>
      <c r="AP193" s="81" t="str">
        <f t="shared" si="4"/>
        <v/>
      </c>
      <c r="AQ193" s="80"/>
      <c r="AR193" s="80"/>
      <c r="AS193" s="81" t="str">
        <f t="shared" si="5"/>
        <v/>
      </c>
      <c r="AT193" s="198" t="s">
        <v>1762</v>
      </c>
      <c r="AU193" s="44" t="str">
        <f>VLOOKUP(Cartera1017[[#This Row],[Gerencia]],tbGerencia[#All],3,FALSE)</f>
        <v>Operac.</v>
      </c>
      <c r="AV193" s="44" t="str">
        <f>IFERROR(VLOOKUP(Cartera1017[[#This Row],[Subgerencia]],Definiciones!$A$90:$B$144,2,FALSE),"")</f>
        <v>BancariosRecaudación</v>
      </c>
      <c r="AW193" s="44" t="str">
        <f>IF(OR(LEN(Cartera1017[[#This Row],[Fecha de Solicitud]])=0,(Cartera1017[[#This Row],[Fecha de Solicitud]])="No definido"),"No definido",IF(YEAR(Cartera1017[[#This Row],[Fecha de Solicitud]])&lt;2023," &lt;  2023",TEXT(Cartera1017[[#This Row],[Fecha de Solicitud]],"yyyy-mm")))</f>
        <v>2025-11</v>
      </c>
      <c r="AX193" s="44" t="str">
        <f>IF(Cartera1017[[#This Row],[Fecha de Priorización Comité]]="","No definido",TEXT(Cartera1017[[#This Row],[Fecha de Priorización Comité]],"yyyy-mm"))</f>
        <v>2026-04</v>
      </c>
      <c r="AY193" s="44" t="str">
        <f>IF(Cartera1017[[#This Row],[Fecha Fin- Desarrollo]]="","No definido",TEXT(Cartera1017[[#This Row],[Fecha Fin- Desarrollo]],"yyyy-mm"))</f>
        <v>No definido</v>
      </c>
      <c r="AZ193" s="44" t="str">
        <f>IF(Cartera1017[[#This Row],[Fecha Fin- Producción]]="","No definido",TEXT(Cartera1017[[#This Row],[Fecha Fin- Producción]],"yyyy-mm"))</f>
        <v>No definido</v>
      </c>
      <c r="BA193" s="44" t="str">
        <f>IF(Cartera1017[[#This Row],[Fecha Fin-Planificada]]="","No definido",TEXT(Cartera1017[[#This Row],[Fecha Fin-Planificada]],"yyyy-mm"))</f>
        <v>No definido</v>
      </c>
      <c r="BB193" s="33"/>
      <c r="BC193" s="108"/>
      <c r="BD193" s="108"/>
      <c r="BE193" s="108"/>
      <c r="BF193" s="127"/>
      <c r="BG193" s="28"/>
      <c r="BH19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93" s="90" t="str">
        <f>IF(ISNUMBER(Cartera1017[[#This Row],[Duracion en Dias]]),Cartera1017[[#This Row],[Duracion en Dias]]/30, "No Aplica")</f>
        <v>No Aplica</v>
      </c>
      <c r="BJ193" s="109"/>
      <c r="BK193" s="28"/>
      <c r="BL193" s="110"/>
      <c r="BM193" s="342"/>
      <c r="BN193" s="227"/>
      <c r="BO193" s="401"/>
      <c r="BP193" s="401"/>
      <c r="BQ19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193" s="14" t="str">
        <f>IFERROR(VLOOKUP(Cartera1017[[#This Row],[Aplicativo]],Tabla76[],2,FALSE),"Sin Aplicativo")</f>
        <v>Sin Aplicativo</v>
      </c>
      <c r="BS193" s="14" t="str">
        <f>IFERROR(VLOOKUP(Cartera1017[[#This Row],[Aplicativo]],Tabla76[],3,FALSE),"Sin Aplicativo")</f>
        <v>Sin Aplicativo</v>
      </c>
      <c r="BT193" s="400"/>
      <c r="BU193" s="33"/>
      <c r="BV193" s="28"/>
      <c r="BW19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193" s="149" t="str">
        <f ca="1">IF(Cartera1017[[#This Row],[Fecha Fin2]]="","No definido",CONCATENATE(TEXT(Cartera1017[[#This Row],[Fecha Fin2]],"mmm")," ",YEAR(Cartera1017[[#This Row],[Fecha Fin2]])))</f>
        <v>No definido</v>
      </c>
      <c r="BZ193" s="28"/>
      <c r="CA193" s="48" t="str">
        <f>IF(Cartera1017[[#This Row],[Estado TI]] = "08. Producción Finalizada","Culminado",IF(Cartera1017[[#This Row],[Estado TI]]= "09. Descartado","Descartado","Activos"))</f>
        <v>Activos</v>
      </c>
      <c r="CB193" s="28"/>
      <c r="CC19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193" s="54" t="str">
        <f>IF(
AND(
Cartera1017[[#This Row],[DEVOLVER 27]]="NO",
NOT(ISBLANK(Cartera1017[[#This Row],[ESTADO NO DEVUELTOS 27]]))
),
"PRE",
"POST"
)</f>
        <v>POST</v>
      </c>
      <c r="CE193" s="54"/>
      <c r="CF193" s="28"/>
      <c r="CG19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9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193"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93" s="406">
        <f>Cartera1017[[#This Row],[Porcentaje de Avance]]</f>
        <v>0.1</v>
      </c>
      <c r="CK193" s="388" t="str">
        <f>IF(
   OR(
     Cartera1017[[#This Row],[Estado TI]]="09. Descartado",
     Cartera1017[[#This Row],[Comienzo Desarrollo]]="",
     Cartera1017[[#This Row],[Fin Producción]]=""
   ),
   "",
   Cartera1017[[#This Row],[% PLANIFICADO]]-Cartera1017[[#This Row],[% COMPLETADO]]
)</f>
        <v/>
      </c>
      <c r="CL193" s="388" t="str">
        <f ca="1">IF(
   OR(
     Cartera1017[[#This Row],[Estado TI]]="09. Descartado",
     Cartera1017[[#This Row],[Comienzo Desarrollo]]="",
     Cartera1017[[#This Row],[Fin Producción]]="",
     Cartera1017[[#This Row],[% PLANIFICADO]]=0
   ),
   "",
   MIN(Cartera1017[[#This Row],[% COMPLETADO]]/Cartera1017[[#This Row],[% PLANIFICADO]],1.2)
)</f>
        <v/>
      </c>
      <c r="CM193" s="229"/>
      <c r="CN193" s="229"/>
      <c r="CO193" s="229"/>
      <c r="CP193" s="229"/>
      <c r="CQ193" s="229"/>
      <c r="CR193" s="229"/>
      <c r="CS193" s="229"/>
      <c r="CT193" s="44">
        <f>IF(Cartera1017[[#This Row],[Fin Desarrollo]]="",25,IFERROR(NETWORKDAYS(Cartera1017[[#This Row],[Comienzo Desarrollo]],Cartera1017[[#This Row],[Fin Desarrollo]],FERIADOS[Fecha]),""))</f>
        <v>25</v>
      </c>
      <c r="CU19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93" s="44">
        <f>IF(OR(Cartera1017[[#This Row],[Comienzo Desarrollo]]="",Cartera1017[[#This Row],[Fin Desarrollo]]=""),200,IFERROR(Cartera1017[[#This Row],[DURACIÓN DESARROLLO DIAS]]*VLOOKUP(Cartera1017[[#This Row],[ID Mantenimiento]],MANT_HORAS[],2,FALSE),200))</f>
        <v>200</v>
      </c>
      <c r="CW193" s="110"/>
      <c r="CX193" s="110" t="str">
        <f>VLOOKUP(Cartera1017[[#This Row],[Estado TI]],Definiciones!$A$549:$B$559,2,FALSE)</f>
        <v>1. DESARROLLO</v>
      </c>
      <c r="CY193" s="28">
        <f ca="1">1-Cartera1017[[#This Row],[Porcentaje avanzado desarrollo]]</f>
        <v>0.9</v>
      </c>
      <c r="CZ19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3" s="28">
        <f ca="1">MAX(0,Cartera1017[[#This Row],[DURACIÓN DESARROLLO DIAS]]-Cartera1017[[#This Row],[Dias avanzados]])</f>
        <v>24</v>
      </c>
      <c r="DB193" s="28">
        <f ca="1">Cartera1017[[#This Row],[Dias avanzados]]*IFERROR(VLOOKUP(Cartera1017[[#This Row],[ID Mantenimiento]],MANT_HORAS[],2,FALSE),8)</f>
        <v>8</v>
      </c>
      <c r="DC193" s="28">
        <f ca="1">Cartera1017[[#This Row],[Dias faltantes]]*IFERROR(VLOOKUP(Cartera1017[[#This Row],[ID Mantenimiento]],MANT_HORAS[],2,FALSE),8)</f>
        <v>192</v>
      </c>
      <c r="DD193" s="28" t="str">
        <f>IF(Cartera1017[[#This Row],[Fin Producción]]=0,"Por definir",CONCATENATE(YEAR(Cartera1017[[#This Row],[Fin Producción]]),"-",ROUNDUP(MONTH(Cartera1017[[#This Row],[Fin Producción]]),0)))</f>
        <v>Por definir</v>
      </c>
      <c r="DE193" s="18" t="s">
        <v>1719</v>
      </c>
      <c r="DF193" s="28"/>
      <c r="DG193" s="28"/>
      <c r="DH193" s="565"/>
    </row>
    <row r="194" spans="1:112" ht="44.25" hidden="1" customHeight="1">
      <c r="A194" s="229" t="s">
        <v>1763</v>
      </c>
      <c r="B194" s="18">
        <v>3136</v>
      </c>
      <c r="C194" s="18" t="s">
        <v>485</v>
      </c>
      <c r="D194" s="18" t="s">
        <v>1764</v>
      </c>
      <c r="E194" s="18" t="s">
        <v>1765</v>
      </c>
      <c r="F194" s="33" t="s">
        <v>1766</v>
      </c>
      <c r="G194" s="19"/>
      <c r="H194" s="18" t="s">
        <v>40</v>
      </c>
      <c r="I194" s="18" t="s">
        <v>490</v>
      </c>
      <c r="J194" s="18" t="s">
        <v>662</v>
      </c>
      <c r="K194" s="20">
        <v>46003</v>
      </c>
      <c r="L194" s="50" t="s">
        <v>1767</v>
      </c>
      <c r="M194" s="50" t="s">
        <v>1768</v>
      </c>
      <c r="N194" s="50"/>
      <c r="O194" s="18" t="s">
        <v>548</v>
      </c>
      <c r="P194" s="18" t="s">
        <v>1769</v>
      </c>
      <c r="Q194" s="18" t="s">
        <v>951</v>
      </c>
      <c r="R194" s="18" t="s">
        <v>497</v>
      </c>
      <c r="S194" s="18"/>
      <c r="T194" s="18"/>
      <c r="U194" s="18"/>
      <c r="V194" s="18"/>
      <c r="W194" s="18"/>
      <c r="X194" s="18"/>
      <c r="Y194" s="80"/>
      <c r="Z194" s="18" t="s">
        <v>499</v>
      </c>
      <c r="AA194" s="20">
        <v>46119</v>
      </c>
      <c r="AB194" s="18" t="s">
        <v>500</v>
      </c>
      <c r="AC194" s="18"/>
      <c r="AD194" s="18" t="s">
        <v>139</v>
      </c>
      <c r="AE194" s="18" t="s">
        <v>41</v>
      </c>
      <c r="AF194" s="18" t="s">
        <v>53</v>
      </c>
      <c r="AG194" s="14" t="str">
        <f>VLOOKUP(AF194,Tabla3[[Estado Requerimiento]:[Macro estado]],2,FALSE)</f>
        <v>03. Culminado</v>
      </c>
      <c r="AH194" s="18"/>
      <c r="AI194" s="80"/>
      <c r="AJ194" s="80"/>
      <c r="AK194" s="80">
        <v>46027</v>
      </c>
      <c r="AL194" s="80">
        <v>46052</v>
      </c>
      <c r="AM194" s="80"/>
      <c r="AN194" s="80">
        <v>46055</v>
      </c>
      <c r="AO194" s="80">
        <v>46071</v>
      </c>
      <c r="AP194" s="81">
        <f t="shared" si="4"/>
        <v>46062</v>
      </c>
      <c r="AQ194" s="80">
        <v>46090</v>
      </c>
      <c r="AR194" s="80">
        <v>46090</v>
      </c>
      <c r="AS194" s="81">
        <f t="shared" si="5"/>
        <v>46069</v>
      </c>
      <c r="AT194" s="198" t="s">
        <v>1770</v>
      </c>
      <c r="AU194" s="44" t="str">
        <f>VLOOKUP(Cartera1017[[#This Row],[Gerencia]],tbGerencia[#All],3,FALSE)</f>
        <v>Operac.</v>
      </c>
      <c r="AV194" s="44" t="str">
        <f>IFERROR(VLOOKUP(Cartera1017[[#This Row],[Subgerencia]],Definiciones!$A$90:$B$144,2,FALSE),"")</f>
        <v>BancariosRecaudación</v>
      </c>
      <c r="AW194" s="44" t="str">
        <f>IF(OR(LEN(Cartera1017[[#This Row],[Fecha de Solicitud]])=0,(Cartera1017[[#This Row],[Fecha de Solicitud]])="No definido"),"No definido",IF(YEAR(Cartera1017[[#This Row],[Fecha de Solicitud]])&lt;2023," &lt;  2023",TEXT(Cartera1017[[#This Row],[Fecha de Solicitud]],"yyyy-mm")))</f>
        <v>2025-12</v>
      </c>
      <c r="AX194" s="44" t="str">
        <f>IF(Cartera1017[[#This Row],[Fecha de Priorización Comité]]="","No definido",TEXT(Cartera1017[[#This Row],[Fecha de Priorización Comité]],"yyyy-mm"))</f>
        <v>2026-04</v>
      </c>
      <c r="AY194" s="44" t="str">
        <f>IF(Cartera1017[[#This Row],[Fecha Fin- Desarrollo]]="","No definido",TEXT(Cartera1017[[#This Row],[Fecha Fin- Desarrollo]],"yyyy-mm"))</f>
        <v>2026-01</v>
      </c>
      <c r="AZ194" s="44" t="str">
        <f>IF(Cartera1017[[#This Row],[Fecha Fin- Producción]]="","No definido",TEXT(Cartera1017[[#This Row],[Fecha Fin- Producción]],"yyyy-mm"))</f>
        <v>2026-03</v>
      </c>
      <c r="BA194" s="44" t="str">
        <f>IF(Cartera1017[[#This Row],[Fecha Fin-Planificada]]="","No definido",TEXT(Cartera1017[[#This Row],[Fecha Fin-Planificada]],"yyyy-mm"))</f>
        <v>2026-02</v>
      </c>
      <c r="BB194" s="33"/>
      <c r="BC194" s="108"/>
      <c r="BD194" s="108"/>
      <c r="BE194" s="108"/>
      <c r="BF194" s="127"/>
      <c r="BG194" s="28"/>
      <c r="BH19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63</v>
      </c>
      <c r="BI194" s="90">
        <f>IF(ISNUMBER(Cartera1017[[#This Row],[Duracion en Dias]]),Cartera1017[[#This Row],[Duracion en Dias]]/30, "No Aplica")</f>
        <v>2.1</v>
      </c>
      <c r="BJ194" s="109"/>
      <c r="BK194" s="28" t="s">
        <v>506</v>
      </c>
      <c r="BL194" s="110" t="s">
        <v>536</v>
      </c>
      <c r="BM194" s="342">
        <v>46098.542696759258</v>
      </c>
      <c r="BN194" s="227"/>
      <c r="BO194" s="401"/>
      <c r="BP194" s="401"/>
      <c r="BQ19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4" s="14" t="str">
        <f>IFERROR(VLOOKUP(Cartera1017[[#This Row],[Aplicativo]],Tabla76[],2,FALSE),"Sin Aplicativo")</f>
        <v>BackOffice</v>
      </c>
      <c r="BS194" s="14" t="str">
        <f>IFERROR(VLOOKUP(Cartera1017[[#This Row],[Aplicativo]],Tabla76[],3,FALSE),"Sin Aplicativo")</f>
        <v>Otros Requerimientos</v>
      </c>
      <c r="BT194" s="400"/>
      <c r="BU194" s="33"/>
      <c r="BV194" s="28"/>
      <c r="BW19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19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4" s="149" t="str">
        <f ca="1">IF(Cartera1017[[#This Row],[Fecha Fin2]]="","No definido",CONCATENATE(TEXT(Cartera1017[[#This Row],[Fecha Fin2]],"mmm")," ",YEAR(Cartera1017[[#This Row],[Fecha Fin2]])))</f>
        <v>Mar 2026</v>
      </c>
      <c r="BZ194" s="28"/>
      <c r="CA194" s="48" t="str">
        <f>IF(Cartera1017[[#This Row],[Estado TI]] = "08. Producción Finalizada","Culminado",IF(Cartera1017[[#This Row],[Estado TI]]= "09. Descartado","Descartado","Activos"))</f>
        <v>Culminado</v>
      </c>
      <c r="CB194" s="28"/>
      <c r="CC19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94" s="54" t="str">
        <f>IF(
AND(
Cartera1017[[#This Row],[DEVOLVER 27]]="NO",
NOT(ISBLANK(Cartera1017[[#This Row],[ESTADO NO DEVUELTOS 27]]))
),
"PRE",
"POST"
)</f>
        <v>POST</v>
      </c>
      <c r="CE194" s="54"/>
      <c r="CF194" s="28"/>
      <c r="CG19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9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94"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94" s="406">
        <f>Cartera1017[[#This Row],[Porcentaje de Avance]]</f>
        <v>1</v>
      </c>
      <c r="CK194" s="388" t="str">
        <f>IF(
   OR(
     Cartera1017[[#This Row],[Estado TI]]="09. Descartado",
     Cartera1017[[#This Row],[Comienzo Desarrollo]]="",
     Cartera1017[[#This Row],[Fin Producción]]=""
   ),
   "",
   Cartera1017[[#This Row],[% PLANIFICADO]]-Cartera1017[[#This Row],[% COMPLETADO]]
)</f>
        <v/>
      </c>
      <c r="CL194" s="388" t="str">
        <f ca="1">IF(
   OR(
     Cartera1017[[#This Row],[Estado TI]]="09. Descartado",
     Cartera1017[[#This Row],[Comienzo Desarrollo]]="",
     Cartera1017[[#This Row],[Fin Producción]]="",
     Cartera1017[[#This Row],[% PLANIFICADO]]=0
   ),
   "",
   MIN(Cartera1017[[#This Row],[% COMPLETADO]]/Cartera1017[[#This Row],[% PLANIFICADO]],1.2)
)</f>
        <v/>
      </c>
      <c r="CM194" s="229"/>
      <c r="CN194" s="229"/>
      <c r="CO194" s="229"/>
      <c r="CP194" s="229"/>
      <c r="CQ194" s="229"/>
      <c r="CR194" s="229"/>
      <c r="CS194" s="229"/>
      <c r="CT194" s="44">
        <f>IF(Cartera1017[[#This Row],[Fin Desarrollo]]="",25,IFERROR(NETWORKDAYS(Cartera1017[[#This Row],[Comienzo Desarrollo]],Cartera1017[[#This Row],[Fin Desarrollo]],FERIADOS[Fecha]),""))</f>
        <v>25</v>
      </c>
      <c r="CU19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94" s="44">
        <f>IF(OR(Cartera1017[[#This Row],[Comienzo Desarrollo]]="",Cartera1017[[#This Row],[Fin Desarrollo]]=""),200,IFERROR(Cartera1017[[#This Row],[DURACIÓN DESARROLLO DIAS]]*VLOOKUP(Cartera1017[[#This Row],[ID Mantenimiento]],MANT_HORAS[],2,FALSE),200))</f>
        <v>200</v>
      </c>
      <c r="CW194" s="110"/>
      <c r="CX194" s="110" t="str">
        <f>VLOOKUP(Cartera1017[[#This Row],[Estado TI]],Definiciones!$A$549:$B$559,2,FALSE)</f>
        <v>4. PRODUCCIÓN</v>
      </c>
      <c r="CY194" s="28">
        <f ca="1">1-Cartera1017[[#This Row],[Porcentaje avanzado desarrollo]]</f>
        <v>0.9</v>
      </c>
      <c r="CZ19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4" s="28">
        <f ca="1">MAX(0,Cartera1017[[#This Row],[DURACIÓN DESARROLLO DIAS]]-Cartera1017[[#This Row],[Dias avanzados]])</f>
        <v>24</v>
      </c>
      <c r="DB194" s="28">
        <f ca="1">Cartera1017[[#This Row],[Dias avanzados]]*IFERROR(VLOOKUP(Cartera1017[[#This Row],[ID Mantenimiento]],MANT_HORAS[],2,FALSE),8)</f>
        <v>8</v>
      </c>
      <c r="DC194" s="28">
        <f ca="1">Cartera1017[[#This Row],[Dias faltantes]]*IFERROR(VLOOKUP(Cartera1017[[#This Row],[ID Mantenimiento]],MANT_HORAS[],2,FALSE),8)</f>
        <v>192</v>
      </c>
      <c r="DD194" s="28" t="str">
        <f>IF(Cartera1017[[#This Row],[Fin Producción]]=0,"Por definir",CONCATENATE(YEAR(Cartera1017[[#This Row],[Fin Producción]]),"-",ROUNDUP(MONTH(Cartera1017[[#This Row],[Fin Producción]]),0)))</f>
        <v>Por definir</v>
      </c>
      <c r="DE194" s="18" t="s">
        <v>1719</v>
      </c>
      <c r="DF194" s="28"/>
      <c r="DG194" s="28"/>
      <c r="DH194" s="565"/>
    </row>
    <row r="195" spans="1:112" ht="44.25" hidden="1" customHeight="1">
      <c r="A195" s="229" t="s">
        <v>1771</v>
      </c>
      <c r="B195" s="18">
        <v>3137</v>
      </c>
      <c r="C195" s="18" t="s">
        <v>485</v>
      </c>
      <c r="D195" s="18" t="s">
        <v>1772</v>
      </c>
      <c r="E195" s="18"/>
      <c r="F195" s="33" t="s">
        <v>1773</v>
      </c>
      <c r="G195" s="19"/>
      <c r="H195" s="18" t="s">
        <v>40</v>
      </c>
      <c r="I195" s="18" t="s">
        <v>490</v>
      </c>
      <c r="J195" s="18" t="s">
        <v>662</v>
      </c>
      <c r="K195" s="20">
        <v>46003</v>
      </c>
      <c r="L195" s="50" t="s">
        <v>1774</v>
      </c>
      <c r="M195" s="50"/>
      <c r="N195" s="50"/>
      <c r="O195" s="18" t="s">
        <v>548</v>
      </c>
      <c r="P195" s="18" t="s">
        <v>1769</v>
      </c>
      <c r="Q195" s="18" t="s">
        <v>951</v>
      </c>
      <c r="R195" s="18" t="s">
        <v>497</v>
      </c>
      <c r="S195" s="18"/>
      <c r="T195" s="18"/>
      <c r="U195" s="18"/>
      <c r="V195" s="18"/>
      <c r="W195" s="18"/>
      <c r="X195" s="18"/>
      <c r="Y195" s="80"/>
      <c r="Z195" s="18" t="s">
        <v>499</v>
      </c>
      <c r="AA195" s="20">
        <v>46119</v>
      </c>
      <c r="AB195" s="18" t="s">
        <v>500</v>
      </c>
      <c r="AC195" s="18"/>
      <c r="AD195" s="18"/>
      <c r="AE195" s="18" t="s">
        <v>41</v>
      </c>
      <c r="AF195" s="18" t="s">
        <v>340</v>
      </c>
      <c r="AG195" s="14" t="str">
        <f>VLOOKUP(AF195,Tabla3[[Estado Requerimiento]:[Macro estado]],2,FALSE)</f>
        <v>01. No iniciado</v>
      </c>
      <c r="AH195" s="18"/>
      <c r="AI195" s="80"/>
      <c r="AJ195" s="80"/>
      <c r="AK195" s="80"/>
      <c r="AL195" s="80"/>
      <c r="AM195" s="80"/>
      <c r="AN195" s="80"/>
      <c r="AO195" s="80"/>
      <c r="AP195" s="81" t="str">
        <f t="shared" si="4"/>
        <v/>
      </c>
      <c r="AQ195" s="80"/>
      <c r="AR195" s="80"/>
      <c r="AS195" s="81" t="str">
        <f t="shared" si="5"/>
        <v/>
      </c>
      <c r="AT195" s="198" t="s">
        <v>1775</v>
      </c>
      <c r="AU195" s="44" t="str">
        <f>VLOOKUP(Cartera1017[[#This Row],[Gerencia]],tbGerencia[#All],3,FALSE)</f>
        <v>Operac.</v>
      </c>
      <c r="AV195" s="44" t="str">
        <f>IFERROR(VLOOKUP(Cartera1017[[#This Row],[Subgerencia]],Definiciones!$A$90:$B$144,2,FALSE),"")</f>
        <v>BancariosRecaudación</v>
      </c>
      <c r="AW195" s="44" t="str">
        <f>IF(OR(LEN(Cartera1017[[#This Row],[Fecha de Solicitud]])=0,(Cartera1017[[#This Row],[Fecha de Solicitud]])="No definido"),"No definido",IF(YEAR(Cartera1017[[#This Row],[Fecha de Solicitud]])&lt;2023," &lt;  2023",TEXT(Cartera1017[[#This Row],[Fecha de Solicitud]],"yyyy-mm")))</f>
        <v>2025-12</v>
      </c>
      <c r="AX195" s="44" t="str">
        <f>IF(Cartera1017[[#This Row],[Fecha de Priorización Comité]]="","No definido",TEXT(Cartera1017[[#This Row],[Fecha de Priorización Comité]],"yyyy-mm"))</f>
        <v>2026-04</v>
      </c>
      <c r="AY195" s="44" t="str">
        <f>IF(Cartera1017[[#This Row],[Fecha Fin- Desarrollo]]="","No definido",TEXT(Cartera1017[[#This Row],[Fecha Fin- Desarrollo]],"yyyy-mm"))</f>
        <v>No definido</v>
      </c>
      <c r="AZ195" s="44" t="str">
        <f>IF(Cartera1017[[#This Row],[Fecha Fin- Producción]]="","No definido",TEXT(Cartera1017[[#This Row],[Fecha Fin- Producción]],"yyyy-mm"))</f>
        <v>No definido</v>
      </c>
      <c r="BA195" s="44" t="str">
        <f>IF(Cartera1017[[#This Row],[Fecha Fin-Planificada]]="","No definido",TEXT(Cartera1017[[#This Row],[Fecha Fin-Planificada]],"yyyy-mm"))</f>
        <v>No definido</v>
      </c>
      <c r="BB195" s="33"/>
      <c r="BC195" s="108"/>
      <c r="BD195" s="108"/>
      <c r="BE195" s="108"/>
      <c r="BF195" s="127"/>
      <c r="BG195" s="28"/>
      <c r="BH19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95" s="90" t="str">
        <f>IF(ISNUMBER(Cartera1017[[#This Row],[Duracion en Dias]]),Cartera1017[[#This Row],[Duracion en Dias]]/30, "No Aplica")</f>
        <v>No Aplica</v>
      </c>
      <c r="BJ195" s="109"/>
      <c r="BK195" s="28"/>
      <c r="BL195" s="110"/>
      <c r="BM195" s="342"/>
      <c r="BN195" s="227"/>
      <c r="BO195" s="401"/>
      <c r="BP195" s="401"/>
      <c r="BQ19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195" s="14" t="str">
        <f>IFERROR(VLOOKUP(Cartera1017[[#This Row],[Aplicativo]],Tabla76[],2,FALSE),"Sin Aplicativo")</f>
        <v>Sin Aplicativo</v>
      </c>
      <c r="BS195" s="14" t="str">
        <f>IFERROR(VLOOKUP(Cartera1017[[#This Row],[Aplicativo]],Tabla76[],3,FALSE),"Sin Aplicativo")</f>
        <v>Sin Aplicativo</v>
      </c>
      <c r="BT195" s="400"/>
      <c r="BU195" s="33"/>
      <c r="BV195" s="28"/>
      <c r="BW19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195" s="149" t="str">
        <f ca="1">IF(Cartera1017[[#This Row],[Fecha Fin2]]="","No definido",CONCATENATE(TEXT(Cartera1017[[#This Row],[Fecha Fin2]],"mmm")," ",YEAR(Cartera1017[[#This Row],[Fecha Fin2]])))</f>
        <v>No definido</v>
      </c>
      <c r="BZ195" s="28"/>
      <c r="CA195" s="48" t="str">
        <f>IF(Cartera1017[[#This Row],[Estado TI]] = "08. Producción Finalizada","Culminado",IF(Cartera1017[[#This Row],[Estado TI]]= "09. Descartado","Descartado","Activos"))</f>
        <v>Activos</v>
      </c>
      <c r="CB195" s="28"/>
      <c r="CC19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195" s="54" t="str">
        <f>IF(
AND(
Cartera1017[[#This Row],[DEVOLVER 27]]="NO",
NOT(ISBLANK(Cartera1017[[#This Row],[ESTADO NO DEVUELTOS 27]]))
),
"PRE",
"POST"
)</f>
        <v>POST</v>
      </c>
      <c r="CE195" s="54"/>
      <c r="CF195" s="28"/>
      <c r="CG19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9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195"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95" s="406">
        <f>Cartera1017[[#This Row],[Porcentaje de Avance]]</f>
        <v>0.1</v>
      </c>
      <c r="CK195" s="388" t="str">
        <f>IF(
   OR(
     Cartera1017[[#This Row],[Estado TI]]="09. Descartado",
     Cartera1017[[#This Row],[Comienzo Desarrollo]]="",
     Cartera1017[[#This Row],[Fin Producción]]=""
   ),
   "",
   Cartera1017[[#This Row],[% PLANIFICADO]]-Cartera1017[[#This Row],[% COMPLETADO]]
)</f>
        <v/>
      </c>
      <c r="CL195" s="388" t="str">
        <f ca="1">IF(
   OR(
     Cartera1017[[#This Row],[Estado TI]]="09. Descartado",
     Cartera1017[[#This Row],[Comienzo Desarrollo]]="",
     Cartera1017[[#This Row],[Fin Producción]]="",
     Cartera1017[[#This Row],[% PLANIFICADO]]=0
   ),
   "",
   MIN(Cartera1017[[#This Row],[% COMPLETADO]]/Cartera1017[[#This Row],[% PLANIFICADO]],1.2)
)</f>
        <v/>
      </c>
      <c r="CM195" s="229"/>
      <c r="CN195" s="229"/>
      <c r="CO195" s="229"/>
      <c r="CP195" s="229"/>
      <c r="CQ195" s="229"/>
      <c r="CR195" s="229"/>
      <c r="CS195" s="229"/>
      <c r="CT195" s="44">
        <f>IF(Cartera1017[[#This Row],[Fin Desarrollo]]="",25,IFERROR(NETWORKDAYS(Cartera1017[[#This Row],[Comienzo Desarrollo]],Cartera1017[[#This Row],[Fin Desarrollo]],FERIADOS[Fecha]),""))</f>
        <v>25</v>
      </c>
      <c r="CU19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95" s="44">
        <f>IF(OR(Cartera1017[[#This Row],[Comienzo Desarrollo]]="",Cartera1017[[#This Row],[Fin Desarrollo]]=""),200,IFERROR(Cartera1017[[#This Row],[DURACIÓN DESARROLLO DIAS]]*VLOOKUP(Cartera1017[[#This Row],[ID Mantenimiento]],MANT_HORAS[],2,FALSE),200))</f>
        <v>200</v>
      </c>
      <c r="CW195" s="110"/>
      <c r="CX195" s="110" t="str">
        <f>VLOOKUP(Cartera1017[[#This Row],[Estado TI]],Definiciones!$A$549:$B$559,2,FALSE)</f>
        <v>1. DESARROLLO</v>
      </c>
      <c r="CY195" s="28">
        <f ca="1">1-Cartera1017[[#This Row],[Porcentaje avanzado desarrollo]]</f>
        <v>0.9</v>
      </c>
      <c r="CZ19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5" s="28">
        <f ca="1">MAX(0,Cartera1017[[#This Row],[DURACIÓN DESARROLLO DIAS]]-Cartera1017[[#This Row],[Dias avanzados]])</f>
        <v>24</v>
      </c>
      <c r="DB195" s="28">
        <f ca="1">Cartera1017[[#This Row],[Dias avanzados]]*IFERROR(VLOOKUP(Cartera1017[[#This Row],[ID Mantenimiento]],MANT_HORAS[],2,FALSE),8)</f>
        <v>8</v>
      </c>
      <c r="DC195" s="28">
        <f ca="1">Cartera1017[[#This Row],[Dias faltantes]]*IFERROR(VLOOKUP(Cartera1017[[#This Row],[ID Mantenimiento]],MANT_HORAS[],2,FALSE),8)</f>
        <v>192</v>
      </c>
      <c r="DD195" s="28" t="str">
        <f>IF(Cartera1017[[#This Row],[Fin Producción]]=0,"Por definir",CONCATENATE(YEAR(Cartera1017[[#This Row],[Fin Producción]]),"-",ROUNDUP(MONTH(Cartera1017[[#This Row],[Fin Producción]]),0)))</f>
        <v>Por definir</v>
      </c>
      <c r="DE195" s="18" t="s">
        <v>1719</v>
      </c>
      <c r="DF195" s="28"/>
      <c r="DG195" s="28"/>
      <c r="DH195" s="565"/>
    </row>
    <row r="196" spans="1:112" ht="44.25" hidden="1" customHeight="1">
      <c r="A196" s="229" t="s">
        <v>1776</v>
      </c>
      <c r="B196" s="18">
        <v>3138</v>
      </c>
      <c r="C196" s="18" t="s">
        <v>485</v>
      </c>
      <c r="D196" s="18" t="s">
        <v>1777</v>
      </c>
      <c r="E196" s="18" t="s">
        <v>1778</v>
      </c>
      <c r="F196" s="33" t="s">
        <v>1779</v>
      </c>
      <c r="G196" s="19"/>
      <c r="H196" s="18" t="s">
        <v>40</v>
      </c>
      <c r="I196" s="18" t="s">
        <v>577</v>
      </c>
      <c r="J196" s="18" t="s">
        <v>922</v>
      </c>
      <c r="K196" s="20">
        <v>46002</v>
      </c>
      <c r="L196" s="50" t="s">
        <v>1780</v>
      </c>
      <c r="M196" s="50" t="s">
        <v>890</v>
      </c>
      <c r="N196" s="50"/>
      <c r="O196" s="18" t="s">
        <v>494</v>
      </c>
      <c r="P196" s="18" t="s">
        <v>495</v>
      </c>
      <c r="Q196" s="18" t="s">
        <v>496</v>
      </c>
      <c r="R196" s="18" t="s">
        <v>531</v>
      </c>
      <c r="S196" s="18"/>
      <c r="T196" s="18"/>
      <c r="U196" s="18"/>
      <c r="V196" s="18"/>
      <c r="W196" s="18"/>
      <c r="X196" s="18"/>
      <c r="Y196" s="80"/>
      <c r="Z196" s="18" t="s">
        <v>499</v>
      </c>
      <c r="AA196" s="20">
        <v>46119</v>
      </c>
      <c r="AB196" s="18" t="s">
        <v>500</v>
      </c>
      <c r="AC196" s="18"/>
      <c r="AD196" s="18" t="s">
        <v>123</v>
      </c>
      <c r="AE196" s="18" t="s">
        <v>41</v>
      </c>
      <c r="AF196" s="18" t="s">
        <v>53</v>
      </c>
      <c r="AG196" s="14" t="str">
        <f>VLOOKUP(AF196,Tabla3[[Estado Requerimiento]:[Macro estado]],2,FALSE)</f>
        <v>03. Culminado</v>
      </c>
      <c r="AH196" s="18"/>
      <c r="AI196" s="80"/>
      <c r="AJ196" s="80"/>
      <c r="AK196" s="80">
        <v>46027</v>
      </c>
      <c r="AL196" s="80">
        <v>46030</v>
      </c>
      <c r="AM196" s="80"/>
      <c r="AN196" s="80">
        <v>46036</v>
      </c>
      <c r="AO196" s="80">
        <v>46044</v>
      </c>
      <c r="AP196" s="81">
        <f t="shared" si="4"/>
        <v>46031.199999999997</v>
      </c>
      <c r="AQ196" s="80">
        <v>46045</v>
      </c>
      <c r="AR196" s="80">
        <v>46047</v>
      </c>
      <c r="AS196" s="81">
        <f t="shared" si="5"/>
        <v>46038.2</v>
      </c>
      <c r="AT196" s="198" t="s">
        <v>1770</v>
      </c>
      <c r="AU196" s="44" t="str">
        <f>VLOOKUP(Cartera1017[[#This Row],[Gerencia]],tbGerencia[#All],3,FALSE)</f>
        <v>Operac.</v>
      </c>
      <c r="AV196" s="44" t="str">
        <f>IFERROR(VLOOKUP(Cartera1017[[#This Row],[Subgerencia]],Definiciones!$A$90:$B$144,2,FALSE),"")</f>
        <v>CaptacionesPagaduría</v>
      </c>
      <c r="AW196" s="44" t="str">
        <f>IF(OR(LEN(Cartera1017[[#This Row],[Fecha de Solicitud]])=0,(Cartera1017[[#This Row],[Fecha de Solicitud]])="No definido"),"No definido",IF(YEAR(Cartera1017[[#This Row],[Fecha de Solicitud]])&lt;2023," &lt;  2023",TEXT(Cartera1017[[#This Row],[Fecha de Solicitud]],"yyyy-mm")))</f>
        <v>2025-12</v>
      </c>
      <c r="AX196" s="44" t="str">
        <f>IF(Cartera1017[[#This Row],[Fecha de Priorización Comité]]="","No definido",TEXT(Cartera1017[[#This Row],[Fecha de Priorización Comité]],"yyyy-mm"))</f>
        <v>2026-04</v>
      </c>
      <c r="AY196" s="44" t="str">
        <f>IF(Cartera1017[[#This Row],[Fecha Fin- Desarrollo]]="","No definido",TEXT(Cartera1017[[#This Row],[Fecha Fin- Desarrollo]],"yyyy-mm"))</f>
        <v>2026-01</v>
      </c>
      <c r="AZ196" s="44" t="str">
        <f>IF(Cartera1017[[#This Row],[Fecha Fin- Producción]]="","No definido",TEXT(Cartera1017[[#This Row],[Fecha Fin- Producción]],"yyyy-mm"))</f>
        <v>2026-01</v>
      </c>
      <c r="BA196" s="44" t="str">
        <f>IF(Cartera1017[[#This Row],[Fecha Fin-Planificada]]="","No definido",TEXT(Cartera1017[[#This Row],[Fecha Fin-Planificada]],"yyyy-mm"))</f>
        <v>2026-01</v>
      </c>
      <c r="BB196" s="33"/>
      <c r="BC196" s="108"/>
      <c r="BD196" s="108"/>
      <c r="BE196" s="108"/>
      <c r="BF196" s="127"/>
      <c r="BG196" s="28"/>
      <c r="BH19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20</v>
      </c>
      <c r="BI196" s="90">
        <f>IF(ISNUMBER(Cartera1017[[#This Row],[Duracion en Dias]]),Cartera1017[[#This Row],[Duracion en Dias]]/30, "No Aplica")</f>
        <v>0.66666666666666663</v>
      </c>
      <c r="BJ196" s="109"/>
      <c r="BK196" s="28" t="s">
        <v>506</v>
      </c>
      <c r="BL196" s="110" t="s">
        <v>536</v>
      </c>
      <c r="BM196" s="342">
        <v>46047.007939814815</v>
      </c>
      <c r="BN196" s="227"/>
      <c r="BO196" s="401"/>
      <c r="BP196" s="401"/>
      <c r="BQ19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6" s="14" t="str">
        <f>IFERROR(VLOOKUP(Cartera1017[[#This Row],[Aplicativo]],Tabla76[],2,FALSE),"Sin Aplicativo")</f>
        <v>BackOffice</v>
      </c>
      <c r="BS196" s="14" t="str">
        <f>IFERROR(VLOOKUP(Cartera1017[[#This Row],[Aplicativo]],Tabla76[],3,FALSE),"Sin Aplicativo")</f>
        <v>Otros Requerimientos</v>
      </c>
      <c r="BT196" s="400"/>
      <c r="BU196" s="33"/>
      <c r="BV196" s="28"/>
      <c r="BW19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46047</v>
      </c>
      <c r="BX19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6" s="149" t="str">
        <f ca="1">IF(Cartera1017[[#This Row],[Fecha Fin2]]="","No definido",CONCATENATE(TEXT(Cartera1017[[#This Row],[Fecha Fin2]],"mmm")," ",YEAR(Cartera1017[[#This Row],[Fecha Fin2]])))</f>
        <v>Ene 2026</v>
      </c>
      <c r="BZ196" s="28"/>
      <c r="CA196" s="48" t="str">
        <f>IF(Cartera1017[[#This Row],[Estado TI]] = "08. Producción Finalizada","Culminado",IF(Cartera1017[[#This Row],[Estado TI]]= "09. Descartado","Descartado","Activos"))</f>
        <v>Culminado</v>
      </c>
      <c r="CB196" s="28"/>
      <c r="CC19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96" s="54" t="str">
        <f>IF(
AND(
Cartera1017[[#This Row],[DEVOLVER 27]]="NO",
NOT(ISBLANK(Cartera1017[[#This Row],[ESTADO NO DEVUELTOS 27]]))
),
"PRE",
"POST"
)</f>
        <v>POST</v>
      </c>
      <c r="CE196" s="54"/>
      <c r="CF196" s="28"/>
      <c r="CG19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9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96"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96" s="406">
        <f>Cartera1017[[#This Row],[Porcentaje de Avance]]</f>
        <v>1</v>
      </c>
      <c r="CK196" s="388" t="str">
        <f>IF(
   OR(
     Cartera1017[[#This Row],[Estado TI]]="09. Descartado",
     Cartera1017[[#This Row],[Comienzo Desarrollo]]="",
     Cartera1017[[#This Row],[Fin Producción]]=""
   ),
   "",
   Cartera1017[[#This Row],[% PLANIFICADO]]-Cartera1017[[#This Row],[% COMPLETADO]]
)</f>
        <v/>
      </c>
      <c r="CL196" s="388" t="str">
        <f ca="1">IF(
   OR(
     Cartera1017[[#This Row],[Estado TI]]="09. Descartado",
     Cartera1017[[#This Row],[Comienzo Desarrollo]]="",
     Cartera1017[[#This Row],[Fin Producción]]="",
     Cartera1017[[#This Row],[% PLANIFICADO]]=0
   ),
   "",
   MIN(Cartera1017[[#This Row],[% COMPLETADO]]/Cartera1017[[#This Row],[% PLANIFICADO]],1.2)
)</f>
        <v/>
      </c>
      <c r="CM196" s="229"/>
      <c r="CN196" s="229"/>
      <c r="CO196" s="229"/>
      <c r="CP196" s="229"/>
      <c r="CQ196" s="229"/>
      <c r="CR196" s="229"/>
      <c r="CS196" s="229"/>
      <c r="CT196" s="44">
        <f>IF(Cartera1017[[#This Row],[Fin Desarrollo]]="",25,IFERROR(NETWORKDAYS(Cartera1017[[#This Row],[Comienzo Desarrollo]],Cartera1017[[#This Row],[Fin Desarrollo]],FERIADOS[Fecha]),""))</f>
        <v>25</v>
      </c>
      <c r="CU19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96" s="44">
        <f>IF(OR(Cartera1017[[#This Row],[Comienzo Desarrollo]]="",Cartera1017[[#This Row],[Fin Desarrollo]]=""),200,IFERROR(Cartera1017[[#This Row],[DURACIÓN DESARROLLO DIAS]]*VLOOKUP(Cartera1017[[#This Row],[ID Mantenimiento]],MANT_HORAS[],2,FALSE),200))</f>
        <v>200</v>
      </c>
      <c r="CW196" s="110"/>
      <c r="CX196" s="110" t="str">
        <f>VLOOKUP(Cartera1017[[#This Row],[Estado TI]],Definiciones!$A$549:$B$559,2,FALSE)</f>
        <v>4. PRODUCCIÓN</v>
      </c>
      <c r="CY196" s="28">
        <f ca="1">1-Cartera1017[[#This Row],[Porcentaje avanzado desarrollo]]</f>
        <v>0.9</v>
      </c>
      <c r="CZ19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6" s="28">
        <f ca="1">MAX(0,Cartera1017[[#This Row],[DURACIÓN DESARROLLO DIAS]]-Cartera1017[[#This Row],[Dias avanzados]])</f>
        <v>24</v>
      </c>
      <c r="DB196" s="28">
        <f ca="1">Cartera1017[[#This Row],[Dias avanzados]]*IFERROR(VLOOKUP(Cartera1017[[#This Row],[ID Mantenimiento]],MANT_HORAS[],2,FALSE),8)</f>
        <v>8</v>
      </c>
      <c r="DC196" s="28">
        <f ca="1">Cartera1017[[#This Row],[Dias faltantes]]*IFERROR(VLOOKUP(Cartera1017[[#This Row],[ID Mantenimiento]],MANT_HORAS[],2,FALSE),8)</f>
        <v>192</v>
      </c>
      <c r="DD196" s="28" t="str">
        <f>IF(Cartera1017[[#This Row],[Fin Producción]]=0,"Por definir",CONCATENATE(YEAR(Cartera1017[[#This Row],[Fin Producción]]),"-",ROUNDUP(MONTH(Cartera1017[[#This Row],[Fin Producción]]),0)))</f>
        <v>Por definir</v>
      </c>
      <c r="DE196" s="18" t="s">
        <v>1719</v>
      </c>
      <c r="DF196" s="28"/>
      <c r="DG196" s="28"/>
      <c r="DH196" s="565"/>
    </row>
    <row r="197" spans="1:112" ht="44.25" hidden="1" customHeight="1">
      <c r="A197" s="229" t="s">
        <v>1781</v>
      </c>
      <c r="B197" s="18">
        <v>3139</v>
      </c>
      <c r="C197" s="18" t="s">
        <v>485</v>
      </c>
      <c r="D197" s="18" t="s">
        <v>1782</v>
      </c>
      <c r="E197" s="18" t="s">
        <v>1783</v>
      </c>
      <c r="F197" s="33" t="s">
        <v>1784</v>
      </c>
      <c r="G197" s="19"/>
      <c r="H197" s="18" t="s">
        <v>40</v>
      </c>
      <c r="I197" s="18" t="s">
        <v>577</v>
      </c>
      <c r="J197" s="18" t="s">
        <v>578</v>
      </c>
      <c r="K197" s="20">
        <v>45996</v>
      </c>
      <c r="L197" s="50" t="s">
        <v>1785</v>
      </c>
      <c r="M197" s="50" t="s">
        <v>579</v>
      </c>
      <c r="N197" s="50"/>
      <c r="O197" s="18" t="s">
        <v>494</v>
      </c>
      <c r="P197" s="18" t="s">
        <v>495</v>
      </c>
      <c r="Q197" s="18" t="s">
        <v>951</v>
      </c>
      <c r="R197" s="18" t="s">
        <v>497</v>
      </c>
      <c r="S197" s="18"/>
      <c r="T197" s="18"/>
      <c r="U197" s="18"/>
      <c r="V197" s="18"/>
      <c r="W197" s="18"/>
      <c r="X197" s="18"/>
      <c r="Y197" s="80"/>
      <c r="Z197" s="18" t="s">
        <v>499</v>
      </c>
      <c r="AA197" s="20">
        <v>46119</v>
      </c>
      <c r="AB197" s="18" t="s">
        <v>500</v>
      </c>
      <c r="AC197" s="18"/>
      <c r="AD197" s="18" t="s">
        <v>43</v>
      </c>
      <c r="AE197" s="18" t="s">
        <v>41</v>
      </c>
      <c r="AF197" s="18" t="s">
        <v>48</v>
      </c>
      <c r="AG197" s="14" t="str">
        <f>VLOOKUP(AF197,Tabla3[[Estado Requerimiento]:[Macro estado]],2,FALSE)</f>
        <v>02. En Proceso</v>
      </c>
      <c r="AH197" s="18"/>
      <c r="AI197" s="80"/>
      <c r="AJ197" s="80"/>
      <c r="AK197" s="80">
        <v>46027</v>
      </c>
      <c r="AL197" s="80"/>
      <c r="AM197" s="80"/>
      <c r="AN197" s="80"/>
      <c r="AO197" s="80"/>
      <c r="AP197" s="81" t="str">
        <f t="shared" si="4"/>
        <v/>
      </c>
      <c r="AQ197" s="80"/>
      <c r="AR197" s="80"/>
      <c r="AS197" s="81" t="str">
        <f t="shared" si="5"/>
        <v/>
      </c>
      <c r="AT197" s="198" t="s">
        <v>1786</v>
      </c>
      <c r="AU197" s="44" t="str">
        <f>VLOOKUP(Cartera1017[[#This Row],[Gerencia]],tbGerencia[#All],3,FALSE)</f>
        <v>Operac.</v>
      </c>
      <c r="AV197" s="44" t="str">
        <f>IFERROR(VLOOKUP(Cartera1017[[#This Row],[Subgerencia]],Definiciones!$A$90:$B$144,2,FALSE),"")</f>
        <v>CaptacionesPagaduría</v>
      </c>
      <c r="AW197" s="44" t="str">
        <f>IF(OR(LEN(Cartera1017[[#This Row],[Fecha de Solicitud]])=0,(Cartera1017[[#This Row],[Fecha de Solicitud]])="No definido"),"No definido",IF(YEAR(Cartera1017[[#This Row],[Fecha de Solicitud]])&lt;2023," &lt;  2023",TEXT(Cartera1017[[#This Row],[Fecha de Solicitud]],"yyyy-mm")))</f>
        <v>2025-12</v>
      </c>
      <c r="AX197" s="44" t="str">
        <f>IF(Cartera1017[[#This Row],[Fecha de Priorización Comité]]="","No definido",TEXT(Cartera1017[[#This Row],[Fecha de Priorización Comité]],"yyyy-mm"))</f>
        <v>2026-04</v>
      </c>
      <c r="AY197" s="44" t="str">
        <f>IF(Cartera1017[[#This Row],[Fecha Fin- Desarrollo]]="","No definido",TEXT(Cartera1017[[#This Row],[Fecha Fin- Desarrollo]],"yyyy-mm"))</f>
        <v>No definido</v>
      </c>
      <c r="AZ197" s="44" t="str">
        <f>IF(Cartera1017[[#This Row],[Fecha Fin- Producción]]="","No definido",TEXT(Cartera1017[[#This Row],[Fecha Fin- Producción]],"yyyy-mm"))</f>
        <v>No definido</v>
      </c>
      <c r="BA197" s="44" t="str">
        <f>IF(Cartera1017[[#This Row],[Fecha Fin-Planificada]]="","No definido",TEXT(Cartera1017[[#This Row],[Fecha Fin-Planificada]],"yyyy-mm"))</f>
        <v>No definido</v>
      </c>
      <c r="BB197" s="33"/>
      <c r="BC197" s="108"/>
      <c r="BD197" s="108"/>
      <c r="BE197" s="108"/>
      <c r="BF197" s="127"/>
      <c r="BG197" s="28"/>
      <c r="BH19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97" s="90" t="str">
        <f>IF(ISNUMBER(Cartera1017[[#This Row],[Duracion en Dias]]),Cartera1017[[#This Row],[Duracion en Dias]]/30, "No Aplica")</f>
        <v>No Aplica</v>
      </c>
      <c r="BJ197" s="109"/>
      <c r="BK197" s="28" t="s">
        <v>1115</v>
      </c>
      <c r="BL197" s="110" t="s">
        <v>592</v>
      </c>
      <c r="BM197" s="342">
        <v>46027.744768518518</v>
      </c>
      <c r="BN197" s="227"/>
      <c r="BO197" s="401"/>
      <c r="BP197" s="401"/>
      <c r="BQ19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97" s="14" t="str">
        <f>IFERROR(VLOOKUP(Cartera1017[[#This Row],[Aplicativo]],Tabla76[],2,FALSE),"Sin Aplicativo")</f>
        <v>Clientes (BDUC)</v>
      </c>
      <c r="BS197" s="14" t="str">
        <f>IFERROR(VLOOKUP(Cartera1017[[#This Row],[Aplicativo]],Tabla76[],3,FALSE),"Sin Aplicativo")</f>
        <v>Canales Presenciales</v>
      </c>
      <c r="BT197" s="400"/>
      <c r="BU197" s="33"/>
      <c r="BV197" s="28"/>
      <c r="BW19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97" s="149" t="str">
        <f ca="1">IF(Cartera1017[[#This Row],[Fecha Fin2]]="","No definido",CONCATENATE(TEXT(Cartera1017[[#This Row],[Fecha Fin2]],"mmm")," ",YEAR(Cartera1017[[#This Row],[Fecha Fin2]])))</f>
        <v>No definido</v>
      </c>
      <c r="BZ197" s="28"/>
      <c r="CA197" s="48" t="str">
        <f>IF(Cartera1017[[#This Row],[Estado TI]] = "08. Producción Finalizada","Culminado",IF(Cartera1017[[#This Row],[Estado TI]]= "09. Descartado","Descartado","Activos"))</f>
        <v>Activos</v>
      </c>
      <c r="CB197" s="28"/>
      <c r="CC19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197" s="54" t="str">
        <f>IF(
AND(
Cartera1017[[#This Row],[DEVOLVER 27]]="NO",
NOT(ISBLANK(Cartera1017[[#This Row],[ESTADO NO DEVUELTOS 27]]))
),
"PRE",
"POST"
)</f>
        <v>POST</v>
      </c>
      <c r="CE197" s="54"/>
      <c r="CF197" s="28"/>
      <c r="CG19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9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197"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97" s="406">
        <f>Cartera1017[[#This Row],[Porcentaje de Avance]]</f>
        <v>0.15</v>
      </c>
      <c r="CK197" s="388" t="str">
        <f>IF(
   OR(
     Cartera1017[[#This Row],[Estado TI]]="09. Descartado",
     Cartera1017[[#This Row],[Comienzo Desarrollo]]="",
     Cartera1017[[#This Row],[Fin Producción]]=""
   ),
   "",
   Cartera1017[[#This Row],[% PLANIFICADO]]-Cartera1017[[#This Row],[% COMPLETADO]]
)</f>
        <v/>
      </c>
      <c r="CL197" s="388" t="str">
        <f ca="1">IF(
   OR(
     Cartera1017[[#This Row],[Estado TI]]="09. Descartado",
     Cartera1017[[#This Row],[Comienzo Desarrollo]]="",
     Cartera1017[[#This Row],[Fin Producción]]="",
     Cartera1017[[#This Row],[% PLANIFICADO]]=0
   ),
   "",
   MIN(Cartera1017[[#This Row],[% COMPLETADO]]/Cartera1017[[#This Row],[% PLANIFICADO]],1.2)
)</f>
        <v/>
      </c>
      <c r="CM197" s="229"/>
      <c r="CN197" s="229"/>
      <c r="CO197" s="229"/>
      <c r="CP197" s="229"/>
      <c r="CQ197" s="229"/>
      <c r="CR197" s="229"/>
      <c r="CS197" s="229"/>
      <c r="CT197" s="44">
        <f>IF(Cartera1017[[#This Row],[Fin Desarrollo]]="",25,IFERROR(NETWORKDAYS(Cartera1017[[#This Row],[Comienzo Desarrollo]],Cartera1017[[#This Row],[Fin Desarrollo]],FERIADOS[Fecha]),""))</f>
        <v>25</v>
      </c>
      <c r="CU19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97" s="44">
        <f>IF(OR(Cartera1017[[#This Row],[Comienzo Desarrollo]]="",Cartera1017[[#This Row],[Fin Desarrollo]]=""),200,IFERROR(Cartera1017[[#This Row],[DURACIÓN DESARROLLO DIAS]]*VLOOKUP(Cartera1017[[#This Row],[ID Mantenimiento]],MANT_HORAS[],2,FALSE),200))</f>
        <v>200</v>
      </c>
      <c r="CW197" s="110"/>
      <c r="CX197" s="110" t="str">
        <f>VLOOKUP(Cartera1017[[#This Row],[Estado TI]],Definiciones!$A$549:$B$559,2,FALSE)</f>
        <v>1. DESARROLLO</v>
      </c>
      <c r="CY197" s="28">
        <f ca="1">1-Cartera1017[[#This Row],[Porcentaje avanzado desarrollo]]</f>
        <v>0.9</v>
      </c>
      <c r="CZ19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7" s="28">
        <f ca="1">MAX(0,Cartera1017[[#This Row],[DURACIÓN DESARROLLO DIAS]]-Cartera1017[[#This Row],[Dias avanzados]])</f>
        <v>24</v>
      </c>
      <c r="DB197" s="28">
        <f ca="1">Cartera1017[[#This Row],[Dias avanzados]]*IFERROR(VLOOKUP(Cartera1017[[#This Row],[ID Mantenimiento]],MANT_HORAS[],2,FALSE),8)</f>
        <v>1.1428571428571428</v>
      </c>
      <c r="DC197" s="28">
        <f ca="1">Cartera1017[[#This Row],[Dias faltantes]]*IFERROR(VLOOKUP(Cartera1017[[#This Row],[ID Mantenimiento]],MANT_HORAS[],2,FALSE),8)</f>
        <v>27.428571428571427</v>
      </c>
      <c r="DD197" s="28" t="str">
        <f>IF(Cartera1017[[#This Row],[Fin Producción]]=0,"Por definir",CONCATENATE(YEAR(Cartera1017[[#This Row],[Fin Producción]]),"-",ROUNDUP(MONTH(Cartera1017[[#This Row],[Fin Producción]]),0)))</f>
        <v>Por definir</v>
      </c>
      <c r="DE197" s="18" t="s">
        <v>1719</v>
      </c>
      <c r="DF197" s="28"/>
      <c r="DG197" s="28"/>
      <c r="DH197" s="565"/>
    </row>
    <row r="198" spans="1:112" ht="44.25" hidden="1" customHeight="1">
      <c r="A198" s="229" t="s">
        <v>1787</v>
      </c>
      <c r="B198" s="18">
        <v>3140</v>
      </c>
      <c r="C198" s="18" t="s">
        <v>485</v>
      </c>
      <c r="D198" s="18" t="s">
        <v>1788</v>
      </c>
      <c r="E198" s="18" t="s">
        <v>1789</v>
      </c>
      <c r="F198" s="33" t="s">
        <v>1790</v>
      </c>
      <c r="G198" s="19"/>
      <c r="H198" s="18" t="s">
        <v>40</v>
      </c>
      <c r="I198" s="18" t="s">
        <v>490</v>
      </c>
      <c r="J198" s="18" t="s">
        <v>662</v>
      </c>
      <c r="K198" s="20">
        <v>45968</v>
      </c>
      <c r="L198" s="50" t="s">
        <v>1791</v>
      </c>
      <c r="M198" s="50" t="s">
        <v>1553</v>
      </c>
      <c r="N198" s="50"/>
      <c r="O198" s="18" t="s">
        <v>1389</v>
      </c>
      <c r="P198" s="18" t="s">
        <v>495</v>
      </c>
      <c r="Q198" s="18" t="s">
        <v>496</v>
      </c>
      <c r="R198" s="18" t="s">
        <v>497</v>
      </c>
      <c r="S198" s="18"/>
      <c r="T198" s="18"/>
      <c r="U198" s="18"/>
      <c r="V198" s="18"/>
      <c r="W198" s="18"/>
      <c r="X198" s="18"/>
      <c r="Y198" s="80"/>
      <c r="Z198" s="18" t="s">
        <v>499</v>
      </c>
      <c r="AA198" s="20">
        <v>46119</v>
      </c>
      <c r="AB198" s="18" t="s">
        <v>500</v>
      </c>
      <c r="AC198" s="18"/>
      <c r="AD198" s="18" t="s">
        <v>139</v>
      </c>
      <c r="AE198" s="18" t="s">
        <v>41</v>
      </c>
      <c r="AF198" s="18" t="s">
        <v>53</v>
      </c>
      <c r="AG198" s="14" t="str">
        <f>VLOOKUP(AF198,Tabla3[[Estado Requerimiento]:[Macro estado]],2,FALSE)</f>
        <v>03. Culminado</v>
      </c>
      <c r="AH198" s="18"/>
      <c r="AI198" s="80"/>
      <c r="AJ198" s="80"/>
      <c r="AK198" s="80">
        <v>46028</v>
      </c>
      <c r="AL198" s="80">
        <v>46052</v>
      </c>
      <c r="AM198" s="80"/>
      <c r="AN198" s="80">
        <v>46058</v>
      </c>
      <c r="AO198" s="80">
        <v>46059</v>
      </c>
      <c r="AP198" s="81">
        <f t="shared" ref="AP198:AP261" si="6">IF(AND(ISNUMBER(AK198),ISNUMBER(AM198)),AM198+(AM198- AK198)*0.4,IF(AND(ISNUMBER(AK198),ISNUMBER(AL198)),AL198+(AL198-AK198)*0.4,""))</f>
        <v>46061.599999999999</v>
      </c>
      <c r="AQ198" s="80">
        <v>46070</v>
      </c>
      <c r="AR198" s="80">
        <v>46070</v>
      </c>
      <c r="AS198" s="81">
        <f t="shared" ref="AS198:AS261" si="7">IF(ISNUMBER(AP198),AP198+7,"")</f>
        <v>46068.6</v>
      </c>
      <c r="AT198" s="198" t="s">
        <v>1792</v>
      </c>
      <c r="AU198" s="44" t="str">
        <f>VLOOKUP(Cartera1017[[#This Row],[Gerencia]],tbGerencia[#All],3,FALSE)</f>
        <v>Operac.</v>
      </c>
      <c r="AV198" s="44" t="str">
        <f>IFERROR(VLOOKUP(Cartera1017[[#This Row],[Subgerencia]],Definiciones!$A$90:$B$144,2,FALSE),"")</f>
        <v>BancariosRecaudación</v>
      </c>
      <c r="AW198" s="44" t="str">
        <f>IF(OR(LEN(Cartera1017[[#This Row],[Fecha de Solicitud]])=0,(Cartera1017[[#This Row],[Fecha de Solicitud]])="No definido"),"No definido",IF(YEAR(Cartera1017[[#This Row],[Fecha de Solicitud]])&lt;2023," &lt;  2023",TEXT(Cartera1017[[#This Row],[Fecha de Solicitud]],"yyyy-mm")))</f>
        <v>2025-11</v>
      </c>
      <c r="AX198" s="44" t="str">
        <f>IF(Cartera1017[[#This Row],[Fecha de Priorización Comité]]="","No definido",TEXT(Cartera1017[[#This Row],[Fecha de Priorización Comité]],"yyyy-mm"))</f>
        <v>2026-04</v>
      </c>
      <c r="AY198" s="44" t="str">
        <f>IF(Cartera1017[[#This Row],[Fecha Fin- Desarrollo]]="","No definido",TEXT(Cartera1017[[#This Row],[Fecha Fin- Desarrollo]],"yyyy-mm"))</f>
        <v>2026-01</v>
      </c>
      <c r="AZ198" s="44" t="str">
        <f>IF(Cartera1017[[#This Row],[Fecha Fin- Producción]]="","No definido",TEXT(Cartera1017[[#This Row],[Fecha Fin- Producción]],"yyyy-mm"))</f>
        <v>2026-02</v>
      </c>
      <c r="BA198" s="44" t="str">
        <f>IF(Cartera1017[[#This Row],[Fecha Fin-Planificada]]="","No definido",TEXT(Cartera1017[[#This Row],[Fecha Fin-Planificada]],"yyyy-mm"))</f>
        <v>2026-02</v>
      </c>
      <c r="BB198" s="33"/>
      <c r="BC198" s="108"/>
      <c r="BD198" s="108"/>
      <c r="BE198" s="108"/>
      <c r="BF198" s="127"/>
      <c r="BG198" s="28"/>
      <c r="BH19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42</v>
      </c>
      <c r="BI198" s="90">
        <f>IF(ISNUMBER(Cartera1017[[#This Row],[Duracion en Dias]]),Cartera1017[[#This Row],[Duracion en Dias]]/30, "No Aplica")</f>
        <v>1.4</v>
      </c>
      <c r="BJ198" s="109"/>
      <c r="BK198" s="28" t="s">
        <v>506</v>
      </c>
      <c r="BL198" s="110" t="s">
        <v>536</v>
      </c>
      <c r="BM198" s="342">
        <v>46098.543645833335</v>
      </c>
      <c r="BN198" s="227"/>
      <c r="BO198" s="401"/>
      <c r="BP198" s="401"/>
      <c r="BQ19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8" s="14" t="str">
        <f>IFERROR(VLOOKUP(Cartera1017[[#This Row],[Aplicativo]],Tabla76[],2,FALSE),"Sin Aplicativo")</f>
        <v>BackOffice</v>
      </c>
      <c r="BS198" s="14" t="str">
        <f>IFERROR(VLOOKUP(Cartera1017[[#This Row],[Aplicativo]],Tabla76[],3,FALSE),"Sin Aplicativo")</f>
        <v>Otros Requerimientos</v>
      </c>
      <c r="BT198" s="400"/>
      <c r="BU198" s="33"/>
      <c r="BV198" s="28"/>
      <c r="BW19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46070</v>
      </c>
      <c r="BX19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8" s="149" t="str">
        <f ca="1">IF(Cartera1017[[#This Row],[Fecha Fin2]]="","No definido",CONCATENATE(TEXT(Cartera1017[[#This Row],[Fecha Fin2]],"mmm")," ",YEAR(Cartera1017[[#This Row],[Fecha Fin2]])))</f>
        <v>Feb 2026</v>
      </c>
      <c r="BZ198" s="28"/>
      <c r="CA198" s="48" t="str">
        <f>IF(Cartera1017[[#This Row],[Estado TI]] = "08. Producción Finalizada","Culminado",IF(Cartera1017[[#This Row],[Estado TI]]= "09. Descartado","Descartado","Activos"))</f>
        <v>Culminado</v>
      </c>
      <c r="CB198" s="28"/>
      <c r="CC19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98" s="54" t="str">
        <f>IF(
AND(
Cartera1017[[#This Row],[DEVOLVER 27]]="NO",
NOT(ISBLANK(Cartera1017[[#This Row],[ESTADO NO DEVUELTOS 27]]))
),
"PRE",
"POST"
)</f>
        <v>POST</v>
      </c>
      <c r="CE198" s="54"/>
      <c r="CF198" s="28"/>
      <c r="CG19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9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98"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98" s="406">
        <f>Cartera1017[[#This Row],[Porcentaje de Avance]]</f>
        <v>1</v>
      </c>
      <c r="CK198" s="388" t="str">
        <f>IF(
   OR(
     Cartera1017[[#This Row],[Estado TI]]="09. Descartado",
     Cartera1017[[#This Row],[Comienzo Desarrollo]]="",
     Cartera1017[[#This Row],[Fin Producción]]=""
   ),
   "",
   Cartera1017[[#This Row],[% PLANIFICADO]]-Cartera1017[[#This Row],[% COMPLETADO]]
)</f>
        <v/>
      </c>
      <c r="CL198" s="388" t="str">
        <f ca="1">IF(
   OR(
     Cartera1017[[#This Row],[Estado TI]]="09. Descartado",
     Cartera1017[[#This Row],[Comienzo Desarrollo]]="",
     Cartera1017[[#This Row],[Fin Producción]]="",
     Cartera1017[[#This Row],[% PLANIFICADO]]=0
   ),
   "",
   MIN(Cartera1017[[#This Row],[% COMPLETADO]]/Cartera1017[[#This Row],[% PLANIFICADO]],1.2)
)</f>
        <v/>
      </c>
      <c r="CM198" s="229"/>
      <c r="CN198" s="229"/>
      <c r="CO198" s="229"/>
      <c r="CP198" s="229"/>
      <c r="CQ198" s="229"/>
      <c r="CR198" s="229"/>
      <c r="CS198" s="229"/>
      <c r="CT198" s="44">
        <f>IF(Cartera1017[[#This Row],[Fin Desarrollo]]="",25,IFERROR(NETWORKDAYS(Cartera1017[[#This Row],[Comienzo Desarrollo]],Cartera1017[[#This Row],[Fin Desarrollo]],FERIADOS[Fecha]),""))</f>
        <v>25</v>
      </c>
      <c r="CU19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98" s="44">
        <f>IF(OR(Cartera1017[[#This Row],[Comienzo Desarrollo]]="",Cartera1017[[#This Row],[Fin Desarrollo]]=""),200,IFERROR(Cartera1017[[#This Row],[DURACIÓN DESARROLLO DIAS]]*VLOOKUP(Cartera1017[[#This Row],[ID Mantenimiento]],MANT_HORAS[],2,FALSE),200))</f>
        <v>200</v>
      </c>
      <c r="CW198" s="110"/>
      <c r="CX198" s="110" t="str">
        <f>VLOOKUP(Cartera1017[[#This Row],[Estado TI]],Definiciones!$A$549:$B$559,2,FALSE)</f>
        <v>4. PRODUCCIÓN</v>
      </c>
      <c r="CY198" s="28">
        <f ca="1">1-Cartera1017[[#This Row],[Porcentaje avanzado desarrollo]]</f>
        <v>0.9</v>
      </c>
      <c r="CZ19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8" s="28">
        <f ca="1">MAX(0,Cartera1017[[#This Row],[DURACIÓN DESARROLLO DIAS]]-Cartera1017[[#This Row],[Dias avanzados]])</f>
        <v>24</v>
      </c>
      <c r="DB198" s="28">
        <f ca="1">Cartera1017[[#This Row],[Dias avanzados]]*IFERROR(VLOOKUP(Cartera1017[[#This Row],[ID Mantenimiento]],MANT_HORAS[],2,FALSE),8)</f>
        <v>8</v>
      </c>
      <c r="DC198" s="28">
        <f ca="1">Cartera1017[[#This Row],[Dias faltantes]]*IFERROR(VLOOKUP(Cartera1017[[#This Row],[ID Mantenimiento]],MANT_HORAS[],2,FALSE),8)</f>
        <v>192</v>
      </c>
      <c r="DD198" s="28" t="str">
        <f>IF(Cartera1017[[#This Row],[Fin Producción]]=0,"Por definir",CONCATENATE(YEAR(Cartera1017[[#This Row],[Fin Producción]]),"-",ROUNDUP(MONTH(Cartera1017[[#This Row],[Fin Producción]]),0)))</f>
        <v>Por definir</v>
      </c>
      <c r="DE198" s="18" t="s">
        <v>1719</v>
      </c>
      <c r="DF198" s="28"/>
      <c r="DG198" s="28"/>
      <c r="DH198" s="565"/>
    </row>
    <row r="199" spans="1:112" ht="44.25" hidden="1" customHeight="1">
      <c r="A199" s="229" t="s">
        <v>1793</v>
      </c>
      <c r="B199" s="18">
        <v>3146</v>
      </c>
      <c r="C199" s="18" t="s">
        <v>485</v>
      </c>
      <c r="D199" s="18" t="s">
        <v>1794</v>
      </c>
      <c r="E199" s="18" t="s">
        <v>1795</v>
      </c>
      <c r="F199" s="33" t="s">
        <v>1796</v>
      </c>
      <c r="G199" s="19"/>
      <c r="H199" s="18" t="s">
        <v>59</v>
      </c>
      <c r="I199" s="18" t="s">
        <v>618</v>
      </c>
      <c r="J199" s="18" t="s">
        <v>1797</v>
      </c>
      <c r="K199" s="20">
        <v>46014</v>
      </c>
      <c r="L199" s="50" t="s">
        <v>1798</v>
      </c>
      <c r="M199" s="50" t="s">
        <v>870</v>
      </c>
      <c r="N199" s="50"/>
      <c r="O199" s="18" t="s">
        <v>494</v>
      </c>
      <c r="P199" s="18" t="s">
        <v>495</v>
      </c>
      <c r="Q199" s="18" t="s">
        <v>496</v>
      </c>
      <c r="R199" s="18" t="s">
        <v>497</v>
      </c>
      <c r="S199" s="18"/>
      <c r="T199" s="18"/>
      <c r="U199" s="18"/>
      <c r="V199" s="18"/>
      <c r="W199" s="18"/>
      <c r="X199" s="18"/>
      <c r="Y199" s="80"/>
      <c r="Z199" s="18" t="s">
        <v>499</v>
      </c>
      <c r="AA199" s="20">
        <v>46119</v>
      </c>
      <c r="AB199" s="18" t="s">
        <v>533</v>
      </c>
      <c r="AC199" s="18"/>
      <c r="AD199" s="18" t="s">
        <v>76</v>
      </c>
      <c r="AE199" s="18" t="s">
        <v>47</v>
      </c>
      <c r="AF199" s="18" t="s">
        <v>53</v>
      </c>
      <c r="AG199" s="14" t="str">
        <f>VLOOKUP(AF199,Tabla3[[Estado Requerimiento]:[Macro estado]],2,FALSE)</f>
        <v>03. Culminado</v>
      </c>
      <c r="AH199" s="18"/>
      <c r="AI199" s="80"/>
      <c r="AJ199" s="80"/>
      <c r="AK199" s="80">
        <v>46049</v>
      </c>
      <c r="AL199" s="80">
        <v>46050</v>
      </c>
      <c r="AM199" s="80"/>
      <c r="AN199" s="80">
        <v>46051</v>
      </c>
      <c r="AO199" s="80">
        <v>46094</v>
      </c>
      <c r="AP199" s="81">
        <f t="shared" si="6"/>
        <v>46050.400000000001</v>
      </c>
      <c r="AQ199" s="80">
        <v>46097</v>
      </c>
      <c r="AR199" s="80">
        <v>46097</v>
      </c>
      <c r="AS199" s="81">
        <f t="shared" si="7"/>
        <v>46057.4</v>
      </c>
      <c r="AT199" s="198" t="s">
        <v>1799</v>
      </c>
      <c r="AU199" s="44" t="str">
        <f>VLOOKUP(Cartera1017[[#This Row],[Gerencia]],tbGerencia[#All],3,FALSE)</f>
        <v>RRHH</v>
      </c>
      <c r="AV199" s="44" t="str">
        <f>IFERROR(VLOOKUP(Cartera1017[[#This Row],[Subgerencia]],Definiciones!$A$90:$B$144,2,FALSE),"")</f>
        <v>AdministraciónPersonal</v>
      </c>
      <c r="AW199" s="44" t="str">
        <f>IF(OR(LEN(Cartera1017[[#This Row],[Fecha de Solicitud]])=0,(Cartera1017[[#This Row],[Fecha de Solicitud]])="No definido"),"No definido",IF(YEAR(Cartera1017[[#This Row],[Fecha de Solicitud]])&lt;2023," &lt;  2023",TEXT(Cartera1017[[#This Row],[Fecha de Solicitud]],"yyyy-mm")))</f>
        <v>2025-12</v>
      </c>
      <c r="AX199" s="44" t="str">
        <f>IF(Cartera1017[[#This Row],[Fecha de Priorización Comité]]="","No definido",TEXT(Cartera1017[[#This Row],[Fecha de Priorización Comité]],"yyyy-mm"))</f>
        <v>2026-04</v>
      </c>
      <c r="AY199" s="44" t="str">
        <f>IF(Cartera1017[[#This Row],[Fecha Fin- Desarrollo]]="","No definido",TEXT(Cartera1017[[#This Row],[Fecha Fin- Desarrollo]],"yyyy-mm"))</f>
        <v>2026-01</v>
      </c>
      <c r="AZ199" s="44" t="str">
        <f>IF(Cartera1017[[#This Row],[Fecha Fin- Producción]]="","No definido",TEXT(Cartera1017[[#This Row],[Fecha Fin- Producción]],"yyyy-mm"))</f>
        <v>2026-03</v>
      </c>
      <c r="BA199" s="44" t="str">
        <f>IF(Cartera1017[[#This Row],[Fecha Fin-Planificada]]="","No definido",TEXT(Cartera1017[[#This Row],[Fecha Fin-Planificada]],"yyyy-mm"))</f>
        <v>2026-02</v>
      </c>
      <c r="BB199" s="33"/>
      <c r="BC199" s="108"/>
      <c r="BD199" s="108"/>
      <c r="BE199" s="108"/>
      <c r="BF199" s="127"/>
      <c r="BG199" s="28"/>
      <c r="BH19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48</v>
      </c>
      <c r="BI199" s="90">
        <f>IF(ISNUMBER(Cartera1017[[#This Row],[Duracion en Dias]]),Cartera1017[[#This Row],[Duracion en Dias]]/30, "No Aplica")</f>
        <v>1.6</v>
      </c>
      <c r="BJ199" s="109"/>
      <c r="BK199" s="28" t="s">
        <v>506</v>
      </c>
      <c r="BL199" s="110" t="s">
        <v>536</v>
      </c>
      <c r="BM199" s="342">
        <v>46097.831400462965</v>
      </c>
      <c r="BN199" s="227"/>
      <c r="BO199" s="401"/>
      <c r="BP199" s="401"/>
      <c r="BQ19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9" s="14" t="str">
        <f>IFERROR(VLOOKUP(Cartera1017[[#This Row],[Aplicativo]],Tabla76[],2,FALSE),"Sin Aplicativo")</f>
        <v>Oracle</v>
      </c>
      <c r="BS199" s="14" t="str">
        <f>IFERROR(VLOOKUP(Cartera1017[[#This Row],[Aplicativo]],Tabla76[],3,FALSE),"Sin Aplicativo")</f>
        <v>Otros Requerimientos</v>
      </c>
      <c r="BT199" s="400"/>
      <c r="BU199" s="33"/>
      <c r="BV199" s="28"/>
      <c r="BW19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46097</v>
      </c>
      <c r="BX19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9" s="149" t="str">
        <f ca="1">IF(Cartera1017[[#This Row],[Fecha Fin2]]="","No definido",CONCATENATE(TEXT(Cartera1017[[#This Row],[Fecha Fin2]],"mmm")," ",YEAR(Cartera1017[[#This Row],[Fecha Fin2]])))</f>
        <v>Mar 2026</v>
      </c>
      <c r="BZ199" s="28"/>
      <c r="CA199" s="48" t="str">
        <f>IF(Cartera1017[[#This Row],[Estado TI]] = "08. Producción Finalizada","Culminado",IF(Cartera1017[[#This Row],[Estado TI]]= "09. Descartado","Descartado","Activos"))</f>
        <v>Culminado</v>
      </c>
      <c r="CB199" s="28"/>
      <c r="CC19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99" s="54" t="str">
        <f>IF(
AND(
Cartera1017[[#This Row],[DEVOLVER 27]]="NO",
NOT(ISBLANK(Cartera1017[[#This Row],[ESTADO NO DEVUELTOS 27]]))
),
"PRE",
"POST"
)</f>
        <v>POST</v>
      </c>
      <c r="CE199" s="54"/>
      <c r="CF199" s="28"/>
      <c r="CG19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9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99"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99" s="406">
        <f>Cartera1017[[#This Row],[Porcentaje de Avance]]</f>
        <v>1</v>
      </c>
      <c r="CK199" s="388" t="str">
        <f>IF(
   OR(
     Cartera1017[[#This Row],[Estado TI]]="09. Descartado",
     Cartera1017[[#This Row],[Comienzo Desarrollo]]="",
     Cartera1017[[#This Row],[Fin Producción]]=""
   ),
   "",
   Cartera1017[[#This Row],[% PLANIFICADO]]-Cartera1017[[#This Row],[% COMPLETADO]]
)</f>
        <v/>
      </c>
      <c r="CL199" s="388" t="str">
        <f ca="1">IF(
   OR(
     Cartera1017[[#This Row],[Estado TI]]="09. Descartado",
     Cartera1017[[#This Row],[Comienzo Desarrollo]]="",
     Cartera1017[[#This Row],[Fin Producción]]="",
     Cartera1017[[#This Row],[% PLANIFICADO]]=0
   ),
   "",
   MIN(Cartera1017[[#This Row],[% COMPLETADO]]/Cartera1017[[#This Row],[% PLANIFICADO]],1.2)
)</f>
        <v/>
      </c>
      <c r="CM199" s="229"/>
      <c r="CN199" s="229"/>
      <c r="CO199" s="229"/>
      <c r="CP199" s="229"/>
      <c r="CQ199" s="229"/>
      <c r="CR199" s="229"/>
      <c r="CS199" s="229"/>
      <c r="CT199" s="44">
        <f>IF(Cartera1017[[#This Row],[Fin Desarrollo]]="",25,IFERROR(NETWORKDAYS(Cartera1017[[#This Row],[Comienzo Desarrollo]],Cartera1017[[#This Row],[Fin Desarrollo]],FERIADOS[Fecha]),""))</f>
        <v>25</v>
      </c>
      <c r="CU19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199" s="44">
        <f>IF(OR(Cartera1017[[#This Row],[Comienzo Desarrollo]]="",Cartera1017[[#This Row],[Fin Desarrollo]]=""),200,IFERROR(Cartera1017[[#This Row],[DURACIÓN DESARROLLO DIAS]]*VLOOKUP(Cartera1017[[#This Row],[ID Mantenimiento]],MANT_HORAS[],2,FALSE),200))</f>
        <v>200</v>
      </c>
      <c r="CW199" s="110"/>
      <c r="CX199" s="110" t="str">
        <f>VLOOKUP(Cartera1017[[#This Row],[Estado TI]],Definiciones!$A$549:$B$559,2,FALSE)</f>
        <v>4. PRODUCCIÓN</v>
      </c>
      <c r="CY199" s="28">
        <f ca="1">1-Cartera1017[[#This Row],[Porcentaje avanzado desarrollo]]</f>
        <v>0.9</v>
      </c>
      <c r="CZ19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9" s="28">
        <f ca="1">MAX(0,Cartera1017[[#This Row],[DURACIÓN DESARROLLO DIAS]]-Cartera1017[[#This Row],[Dias avanzados]])</f>
        <v>24</v>
      </c>
      <c r="DB199" s="28">
        <f ca="1">Cartera1017[[#This Row],[Dias avanzados]]*IFERROR(VLOOKUP(Cartera1017[[#This Row],[ID Mantenimiento]],MANT_HORAS[],2,FALSE),8)</f>
        <v>8</v>
      </c>
      <c r="DC199" s="28">
        <f ca="1">Cartera1017[[#This Row],[Dias faltantes]]*IFERROR(VLOOKUP(Cartera1017[[#This Row],[ID Mantenimiento]],MANT_HORAS[],2,FALSE),8)</f>
        <v>192</v>
      </c>
      <c r="DD199" s="28" t="str">
        <f>IF(Cartera1017[[#This Row],[Fin Producción]]=0,"Por definir",CONCATENATE(YEAR(Cartera1017[[#This Row],[Fin Producción]]),"-",ROUNDUP(MONTH(Cartera1017[[#This Row],[Fin Producción]]),0)))</f>
        <v>Por definir</v>
      </c>
      <c r="DE199" s="18" t="s">
        <v>1719</v>
      </c>
      <c r="DF199" s="28"/>
      <c r="DG199" s="28"/>
      <c r="DH199" s="565"/>
    </row>
    <row r="200" spans="1:112" ht="44.25" hidden="1" customHeight="1">
      <c r="A200" s="229" t="s">
        <v>1800</v>
      </c>
      <c r="B200" s="18">
        <v>3147</v>
      </c>
      <c r="C200" s="18" t="s">
        <v>485</v>
      </c>
      <c r="D200" s="18" t="s">
        <v>1801</v>
      </c>
      <c r="E200" s="18" t="s">
        <v>1802</v>
      </c>
      <c r="F200" s="33" t="s">
        <v>1803</v>
      </c>
      <c r="G200" s="19"/>
      <c r="H200" s="18" t="s">
        <v>59</v>
      </c>
      <c r="I200" s="18" t="s">
        <v>618</v>
      </c>
      <c r="J200" s="18" t="s">
        <v>619</v>
      </c>
      <c r="K200" s="20">
        <v>46015</v>
      </c>
      <c r="L200" s="50" t="s">
        <v>1804</v>
      </c>
      <c r="M200" s="50" t="s">
        <v>1805</v>
      </c>
      <c r="N200" s="50"/>
      <c r="O200" s="18" t="s">
        <v>494</v>
      </c>
      <c r="P200" s="18" t="s">
        <v>495</v>
      </c>
      <c r="Q200" s="18" t="s">
        <v>496</v>
      </c>
      <c r="R200" s="18" t="s">
        <v>531</v>
      </c>
      <c r="S200" s="18"/>
      <c r="T200" s="18"/>
      <c r="U200" s="18"/>
      <c r="V200" s="18"/>
      <c r="W200" s="18"/>
      <c r="X200" s="18"/>
      <c r="Y200" s="80"/>
      <c r="Z200" s="18" t="s">
        <v>499</v>
      </c>
      <c r="AA200" s="20">
        <v>46119</v>
      </c>
      <c r="AB200" s="18" t="s">
        <v>533</v>
      </c>
      <c r="AC200" s="18"/>
      <c r="AD200" s="18" t="s">
        <v>858</v>
      </c>
      <c r="AE200" s="18" t="s">
        <v>47</v>
      </c>
      <c r="AF200" s="18" t="s">
        <v>53</v>
      </c>
      <c r="AG200" s="14" t="str">
        <f>VLOOKUP(AF200,Tabla3[[Estado Requerimiento]:[Macro estado]],2,FALSE)</f>
        <v>03. Culminado</v>
      </c>
      <c r="AH200" s="18"/>
      <c r="AI200" s="80"/>
      <c r="AJ200" s="80"/>
      <c r="AK200" s="80">
        <v>46015</v>
      </c>
      <c r="AL200" s="80">
        <v>46015</v>
      </c>
      <c r="AM200" s="80"/>
      <c r="AN200" s="80">
        <v>46022</v>
      </c>
      <c r="AO200" s="80">
        <v>46029</v>
      </c>
      <c r="AP200" s="81">
        <f t="shared" si="6"/>
        <v>46015</v>
      </c>
      <c r="AQ200" s="80">
        <v>46029</v>
      </c>
      <c r="AR200" s="80">
        <v>46035</v>
      </c>
      <c r="AS200" s="81">
        <f t="shared" si="7"/>
        <v>46022</v>
      </c>
      <c r="AT200" s="198" t="s">
        <v>1799</v>
      </c>
      <c r="AU200" s="44" t="str">
        <f>VLOOKUP(Cartera1017[[#This Row],[Gerencia]],tbGerencia[#All],3,FALSE)</f>
        <v>RRHH</v>
      </c>
      <c r="AV200" s="44" t="str">
        <f>IFERROR(VLOOKUP(Cartera1017[[#This Row],[Subgerencia]],Definiciones!$A$90:$B$144,2,FALSE),"")</f>
        <v>AdministraciónPersonal</v>
      </c>
      <c r="AW200" s="44" t="str">
        <f>IF(OR(LEN(Cartera1017[[#This Row],[Fecha de Solicitud]])=0,(Cartera1017[[#This Row],[Fecha de Solicitud]])="No definido"),"No definido",IF(YEAR(Cartera1017[[#This Row],[Fecha de Solicitud]])&lt;2023," &lt;  2023",TEXT(Cartera1017[[#This Row],[Fecha de Solicitud]],"yyyy-mm")))</f>
        <v>2025-12</v>
      </c>
      <c r="AX200" s="44" t="str">
        <f>IF(Cartera1017[[#This Row],[Fecha de Priorización Comité]]="","No definido",TEXT(Cartera1017[[#This Row],[Fecha de Priorización Comité]],"yyyy-mm"))</f>
        <v>2026-04</v>
      </c>
      <c r="AY200" s="44" t="str">
        <f>IF(Cartera1017[[#This Row],[Fecha Fin- Desarrollo]]="","No definido",TEXT(Cartera1017[[#This Row],[Fecha Fin- Desarrollo]],"yyyy-mm"))</f>
        <v>2025-12</v>
      </c>
      <c r="AZ200" s="44" t="str">
        <f>IF(Cartera1017[[#This Row],[Fecha Fin- Producción]]="","No definido",TEXT(Cartera1017[[#This Row],[Fecha Fin- Producción]],"yyyy-mm"))</f>
        <v>2026-01</v>
      </c>
      <c r="BA200" s="44" t="str">
        <f>IF(Cartera1017[[#This Row],[Fecha Fin-Planificada]]="","No definido",TEXT(Cartera1017[[#This Row],[Fecha Fin-Planificada]],"yyyy-mm"))</f>
        <v>2025-12</v>
      </c>
      <c r="BB200" s="33"/>
      <c r="BC200" s="108"/>
      <c r="BD200" s="108"/>
      <c r="BE200" s="108"/>
      <c r="BF200" s="127"/>
      <c r="BG200" s="28"/>
      <c r="BH20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20</v>
      </c>
      <c r="BI200" s="90">
        <f>IF(ISNUMBER(Cartera1017[[#This Row],[Duracion en Dias]]),Cartera1017[[#This Row],[Duracion en Dias]]/30, "No Aplica")</f>
        <v>0.66666666666666663</v>
      </c>
      <c r="BJ200" s="109"/>
      <c r="BK200" s="28" t="s">
        <v>506</v>
      </c>
      <c r="BL200" s="110" t="s">
        <v>536</v>
      </c>
      <c r="BM200" s="342">
        <v>46073.418437499997</v>
      </c>
      <c r="BN200" s="227"/>
      <c r="BO200" s="401"/>
      <c r="BP200" s="401"/>
      <c r="BQ20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00" s="14" t="str">
        <f>IFERROR(VLOOKUP(Cartera1017[[#This Row],[Aplicativo]],Tabla76[],2,FALSE),"Sin Aplicativo")</f>
        <v>BackOffice</v>
      </c>
      <c r="BS200" s="14" t="str">
        <f>IFERROR(VLOOKUP(Cartera1017[[#This Row],[Aplicativo]],Tabla76[],3,FALSE),"Sin Aplicativo")</f>
        <v>Otros Requerimientos</v>
      </c>
      <c r="BT200" s="400"/>
      <c r="BU200" s="33"/>
      <c r="BV200" s="28"/>
      <c r="BW20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20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00" s="149" t="str">
        <f ca="1">IF(Cartera1017[[#This Row],[Fecha Fin2]]="","No definido",CONCATENATE(TEXT(Cartera1017[[#This Row],[Fecha Fin2]],"mmm")," ",YEAR(Cartera1017[[#This Row],[Fecha Fin2]])))</f>
        <v>Ene 2026</v>
      </c>
      <c r="BZ200" s="28"/>
      <c r="CA200" s="48" t="str">
        <f>IF(Cartera1017[[#This Row],[Estado TI]] = "08. Producción Finalizada","Culminado",IF(Cartera1017[[#This Row],[Estado TI]]= "09. Descartado","Descartado","Activos"))</f>
        <v>Culminado</v>
      </c>
      <c r="CB200" s="28"/>
      <c r="CC20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00" s="54" t="str">
        <f>IF(
AND(
Cartera1017[[#This Row],[DEVOLVER 27]]="NO",
NOT(ISBLANK(Cartera1017[[#This Row],[ESTADO NO DEVUELTOS 27]]))
),
"PRE",
"POST"
)</f>
        <v>POST</v>
      </c>
      <c r="CE200" s="54"/>
      <c r="CF200" s="28"/>
      <c r="CG20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0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00"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00" s="406">
        <f>Cartera1017[[#This Row],[Porcentaje de Avance]]</f>
        <v>1</v>
      </c>
      <c r="CK200" s="388" t="str">
        <f>IF(
   OR(
     Cartera1017[[#This Row],[Estado TI]]="09. Descartado",
     Cartera1017[[#This Row],[Comienzo Desarrollo]]="",
     Cartera1017[[#This Row],[Fin Producción]]=""
   ),
   "",
   Cartera1017[[#This Row],[% PLANIFICADO]]-Cartera1017[[#This Row],[% COMPLETADO]]
)</f>
        <v/>
      </c>
      <c r="CL200" s="388" t="str">
        <f ca="1">IF(
   OR(
     Cartera1017[[#This Row],[Estado TI]]="09. Descartado",
     Cartera1017[[#This Row],[Comienzo Desarrollo]]="",
     Cartera1017[[#This Row],[Fin Producción]]="",
     Cartera1017[[#This Row],[% PLANIFICADO]]=0
   ),
   "",
   MIN(Cartera1017[[#This Row],[% COMPLETADO]]/Cartera1017[[#This Row],[% PLANIFICADO]],1.2)
)</f>
        <v/>
      </c>
      <c r="CM200" s="229"/>
      <c r="CN200" s="229"/>
      <c r="CO200" s="229"/>
      <c r="CP200" s="229"/>
      <c r="CQ200" s="229"/>
      <c r="CR200" s="229"/>
      <c r="CS200" s="229"/>
      <c r="CT200" s="44">
        <f>IF(Cartera1017[[#This Row],[Fin Desarrollo]]="",25,IFERROR(NETWORKDAYS(Cartera1017[[#This Row],[Comienzo Desarrollo]],Cartera1017[[#This Row],[Fin Desarrollo]],FERIADOS[Fecha]),""))</f>
        <v>25</v>
      </c>
      <c r="CU20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00" s="44">
        <f>IF(OR(Cartera1017[[#This Row],[Comienzo Desarrollo]]="",Cartera1017[[#This Row],[Fin Desarrollo]]=""),200,IFERROR(Cartera1017[[#This Row],[DURACIÓN DESARROLLO DIAS]]*VLOOKUP(Cartera1017[[#This Row],[ID Mantenimiento]],MANT_HORAS[],2,FALSE),200))</f>
        <v>200</v>
      </c>
      <c r="CW200" s="110"/>
      <c r="CX200" s="110" t="str">
        <f>VLOOKUP(Cartera1017[[#This Row],[Estado TI]],Definiciones!$A$549:$B$559,2,FALSE)</f>
        <v>4. PRODUCCIÓN</v>
      </c>
      <c r="CY200" s="28">
        <f ca="1">1-Cartera1017[[#This Row],[Porcentaje avanzado desarrollo]]</f>
        <v>0.9</v>
      </c>
      <c r="CZ20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0" s="28">
        <f ca="1">MAX(0,Cartera1017[[#This Row],[DURACIÓN DESARROLLO DIAS]]-Cartera1017[[#This Row],[Dias avanzados]])</f>
        <v>24</v>
      </c>
      <c r="DB200" s="28">
        <f ca="1">Cartera1017[[#This Row],[Dias avanzados]]*IFERROR(VLOOKUP(Cartera1017[[#This Row],[ID Mantenimiento]],MANT_HORAS[],2,FALSE),8)</f>
        <v>8</v>
      </c>
      <c r="DC200" s="28">
        <f ca="1">Cartera1017[[#This Row],[Dias faltantes]]*IFERROR(VLOOKUP(Cartera1017[[#This Row],[ID Mantenimiento]],MANT_HORAS[],2,FALSE),8)</f>
        <v>192</v>
      </c>
      <c r="DD200" s="28" t="str">
        <f>IF(Cartera1017[[#This Row],[Fin Producción]]=0,"Por definir",CONCATENATE(YEAR(Cartera1017[[#This Row],[Fin Producción]]),"-",ROUNDUP(MONTH(Cartera1017[[#This Row],[Fin Producción]]),0)))</f>
        <v>Por definir</v>
      </c>
      <c r="DE200" s="18" t="s">
        <v>1719</v>
      </c>
      <c r="DF200" s="28"/>
      <c r="DG200" s="28"/>
      <c r="DH200" s="565"/>
    </row>
    <row r="201" spans="1:112" ht="44.25" hidden="1" customHeight="1">
      <c r="A201" s="229" t="s">
        <v>1806</v>
      </c>
      <c r="B201" s="18">
        <v>3148</v>
      </c>
      <c r="C201" s="18" t="s">
        <v>485</v>
      </c>
      <c r="D201" s="18" t="s">
        <v>1807</v>
      </c>
      <c r="E201" s="18" t="s">
        <v>1808</v>
      </c>
      <c r="F201" s="33" t="s">
        <v>1809</v>
      </c>
      <c r="G201" s="19"/>
      <c r="H201" s="18" t="s">
        <v>40</v>
      </c>
      <c r="I201" s="18" t="s">
        <v>577</v>
      </c>
      <c r="J201" s="18" t="s">
        <v>922</v>
      </c>
      <c r="K201" s="20">
        <v>46002</v>
      </c>
      <c r="L201" s="50" t="s">
        <v>1810</v>
      </c>
      <c r="M201" s="50" t="s">
        <v>684</v>
      </c>
      <c r="N201" s="50"/>
      <c r="O201" s="18" t="s">
        <v>494</v>
      </c>
      <c r="P201" s="18" t="s">
        <v>549</v>
      </c>
      <c r="Q201" s="18" t="s">
        <v>797</v>
      </c>
      <c r="R201" s="18" t="s">
        <v>531</v>
      </c>
      <c r="S201" s="18"/>
      <c r="T201" s="18"/>
      <c r="U201" s="18"/>
      <c r="V201" s="18"/>
      <c r="W201" s="18"/>
      <c r="X201" s="18"/>
      <c r="Y201" s="80"/>
      <c r="Z201" s="18" t="s">
        <v>499</v>
      </c>
      <c r="AA201" s="20">
        <v>46119</v>
      </c>
      <c r="AB201" s="18" t="s">
        <v>533</v>
      </c>
      <c r="AC201" s="18"/>
      <c r="AD201" s="18" t="s">
        <v>190</v>
      </c>
      <c r="AE201" s="18" t="s">
        <v>47</v>
      </c>
      <c r="AF201" s="18" t="s">
        <v>48</v>
      </c>
      <c r="AG201" s="14" t="str">
        <f>VLOOKUP(AF201,Tabla3[[Estado Requerimiento]:[Macro estado]],2,FALSE)</f>
        <v>02. En Proceso</v>
      </c>
      <c r="AH201" s="18"/>
      <c r="AI201" s="80"/>
      <c r="AJ201" s="80"/>
      <c r="AK201" s="80">
        <v>46057</v>
      </c>
      <c r="AL201" s="80"/>
      <c r="AM201" s="80"/>
      <c r="AN201" s="80"/>
      <c r="AO201" s="80"/>
      <c r="AP201" s="81" t="str">
        <f t="shared" si="6"/>
        <v/>
      </c>
      <c r="AQ201" s="80"/>
      <c r="AR201" s="80"/>
      <c r="AS201" s="81" t="str">
        <f t="shared" si="7"/>
        <v/>
      </c>
      <c r="AT201" s="198" t="s">
        <v>1811</v>
      </c>
      <c r="AU201" s="44" t="str">
        <f>VLOOKUP(Cartera1017[[#This Row],[Gerencia]],tbGerencia[#All],3,FALSE)</f>
        <v>Operac.</v>
      </c>
      <c r="AV201" s="44" t="str">
        <f>IFERROR(VLOOKUP(Cartera1017[[#This Row],[Subgerencia]],Definiciones!$A$90:$B$144,2,FALSE),"")</f>
        <v>CaptacionesPagaduría</v>
      </c>
      <c r="AW201" s="44" t="str">
        <f>IF(OR(LEN(Cartera1017[[#This Row],[Fecha de Solicitud]])=0,(Cartera1017[[#This Row],[Fecha de Solicitud]])="No definido"),"No definido",IF(YEAR(Cartera1017[[#This Row],[Fecha de Solicitud]])&lt;2023," &lt;  2023",TEXT(Cartera1017[[#This Row],[Fecha de Solicitud]],"yyyy-mm")))</f>
        <v>2025-12</v>
      </c>
      <c r="AX201" s="44" t="str">
        <f>IF(Cartera1017[[#This Row],[Fecha de Priorización Comité]]="","No definido",TEXT(Cartera1017[[#This Row],[Fecha de Priorización Comité]],"yyyy-mm"))</f>
        <v>2026-04</v>
      </c>
      <c r="AY201" s="44" t="str">
        <f>IF(Cartera1017[[#This Row],[Fecha Fin- Desarrollo]]="","No definido",TEXT(Cartera1017[[#This Row],[Fecha Fin- Desarrollo]],"yyyy-mm"))</f>
        <v>No definido</v>
      </c>
      <c r="AZ201" s="44" t="str">
        <f>IF(Cartera1017[[#This Row],[Fecha Fin- Producción]]="","No definido",TEXT(Cartera1017[[#This Row],[Fecha Fin- Producción]],"yyyy-mm"))</f>
        <v>No definido</v>
      </c>
      <c r="BA201" s="44" t="str">
        <f>IF(Cartera1017[[#This Row],[Fecha Fin-Planificada]]="","No definido",TEXT(Cartera1017[[#This Row],[Fecha Fin-Planificada]],"yyyy-mm"))</f>
        <v>No definido</v>
      </c>
      <c r="BB201" s="33"/>
      <c r="BC201" s="108"/>
      <c r="BD201" s="108"/>
      <c r="BE201" s="108"/>
      <c r="BF201" s="127"/>
      <c r="BG201" s="28"/>
      <c r="BH20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1" s="90" t="str">
        <f>IF(ISNUMBER(Cartera1017[[#This Row],[Duracion en Dias]]),Cartera1017[[#This Row],[Duracion en Dias]]/30, "No Aplica")</f>
        <v>No Aplica</v>
      </c>
      <c r="BJ201" s="109"/>
      <c r="BK201" s="28" t="s">
        <v>1115</v>
      </c>
      <c r="BL201" s="110" t="s">
        <v>592</v>
      </c>
      <c r="BM201" s="342">
        <v>46057.633009259262</v>
      </c>
      <c r="BN201" s="227"/>
      <c r="BO201" s="401"/>
      <c r="BP201" s="401"/>
      <c r="BQ20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1" s="14" t="str">
        <f>IFERROR(VLOOKUP(Cartera1017[[#This Row],[Aplicativo]],Tabla76[],2,FALSE),"Sin Aplicativo")</f>
        <v>BackOffice</v>
      </c>
      <c r="BS201" s="14" t="str">
        <f>IFERROR(VLOOKUP(Cartera1017[[#This Row],[Aplicativo]],Tabla76[],3,FALSE),"Sin Aplicativo")</f>
        <v>Otros Requerimientos</v>
      </c>
      <c r="BT201" s="400"/>
      <c r="BU201" s="33"/>
      <c r="BV201" s="28"/>
      <c r="BW20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1" s="149" t="str">
        <f ca="1">IF(Cartera1017[[#This Row],[Fecha Fin2]]="","No definido",CONCATENATE(TEXT(Cartera1017[[#This Row],[Fecha Fin2]],"mmm")," ",YEAR(Cartera1017[[#This Row],[Fecha Fin2]])))</f>
        <v>No definido</v>
      </c>
      <c r="BZ201" s="28"/>
      <c r="CA201" s="48" t="str">
        <f>IF(Cartera1017[[#This Row],[Estado TI]] = "08. Producción Finalizada","Culminado",IF(Cartera1017[[#This Row],[Estado TI]]= "09. Descartado","Descartado","Activos"))</f>
        <v>Activos</v>
      </c>
      <c r="CB201" s="28"/>
      <c r="CC20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01" s="54" t="str">
        <f>IF(
AND(
Cartera1017[[#This Row],[DEVOLVER 27]]="NO",
NOT(ISBLANK(Cartera1017[[#This Row],[ESTADO NO DEVUELTOS 27]]))
),
"PRE",
"POST"
)</f>
        <v>POST</v>
      </c>
      <c r="CE201" s="54"/>
      <c r="CF201" s="28"/>
      <c r="CG20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01"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1" s="406">
        <f>Cartera1017[[#This Row],[Porcentaje de Avance]]</f>
        <v>0.15</v>
      </c>
      <c r="CK201" s="388" t="str">
        <f>IF(
   OR(
     Cartera1017[[#This Row],[Estado TI]]="09. Descartado",
     Cartera1017[[#This Row],[Comienzo Desarrollo]]="",
     Cartera1017[[#This Row],[Fin Producción]]=""
   ),
   "",
   Cartera1017[[#This Row],[% PLANIFICADO]]-Cartera1017[[#This Row],[% COMPLETADO]]
)</f>
        <v/>
      </c>
      <c r="CL201" s="388" t="str">
        <f ca="1">IF(
   OR(
     Cartera1017[[#This Row],[Estado TI]]="09. Descartado",
     Cartera1017[[#This Row],[Comienzo Desarrollo]]="",
     Cartera1017[[#This Row],[Fin Producción]]="",
     Cartera1017[[#This Row],[% PLANIFICADO]]=0
   ),
   "",
   MIN(Cartera1017[[#This Row],[% COMPLETADO]]/Cartera1017[[#This Row],[% PLANIFICADO]],1.2)
)</f>
        <v/>
      </c>
      <c r="CM201" s="229"/>
      <c r="CN201" s="229"/>
      <c r="CO201" s="229"/>
      <c r="CP201" s="229"/>
      <c r="CQ201" s="229"/>
      <c r="CR201" s="229"/>
      <c r="CS201" s="229"/>
      <c r="CT201" s="44">
        <f>IF(Cartera1017[[#This Row],[Fin Desarrollo]]="",25,IFERROR(NETWORKDAYS(Cartera1017[[#This Row],[Comienzo Desarrollo]],Cartera1017[[#This Row],[Fin Desarrollo]],FERIADOS[Fecha]),""))</f>
        <v>25</v>
      </c>
      <c r="CU20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01" s="44">
        <f>IF(OR(Cartera1017[[#This Row],[Comienzo Desarrollo]]="",Cartera1017[[#This Row],[Fin Desarrollo]]=""),200,IFERROR(Cartera1017[[#This Row],[DURACIÓN DESARROLLO DIAS]]*VLOOKUP(Cartera1017[[#This Row],[ID Mantenimiento]],MANT_HORAS[],2,FALSE),200))</f>
        <v>200</v>
      </c>
      <c r="CW201" s="110"/>
      <c r="CX201" s="110" t="str">
        <f>VLOOKUP(Cartera1017[[#This Row],[Estado TI]],Definiciones!$A$549:$B$559,2,FALSE)</f>
        <v>1. DESARROLLO</v>
      </c>
      <c r="CY201" s="28">
        <f ca="1">1-Cartera1017[[#This Row],[Porcentaje avanzado desarrollo]]</f>
        <v>0.9</v>
      </c>
      <c r="CZ20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1" s="28">
        <f ca="1">MAX(0,Cartera1017[[#This Row],[DURACIÓN DESARROLLO DIAS]]-Cartera1017[[#This Row],[Dias avanzados]])</f>
        <v>24</v>
      </c>
      <c r="DB201" s="28">
        <f ca="1">Cartera1017[[#This Row],[Dias avanzados]]*IFERROR(VLOOKUP(Cartera1017[[#This Row],[ID Mantenimiento]],MANT_HORAS[],2,FALSE),8)</f>
        <v>2.6666666666666665</v>
      </c>
      <c r="DC201" s="28">
        <f ca="1">Cartera1017[[#This Row],[Dias faltantes]]*IFERROR(VLOOKUP(Cartera1017[[#This Row],[ID Mantenimiento]],MANT_HORAS[],2,FALSE),8)</f>
        <v>64</v>
      </c>
      <c r="DD201" s="28" t="str">
        <f>IF(Cartera1017[[#This Row],[Fin Producción]]=0,"Por definir",CONCATENATE(YEAR(Cartera1017[[#This Row],[Fin Producción]]),"-",ROUNDUP(MONTH(Cartera1017[[#This Row],[Fin Producción]]),0)))</f>
        <v>Por definir</v>
      </c>
      <c r="DE201" s="18" t="s">
        <v>1719</v>
      </c>
      <c r="DF201" s="28"/>
      <c r="DG201" s="28"/>
      <c r="DH201" s="565"/>
    </row>
    <row r="202" spans="1:112" ht="44.25" hidden="1" customHeight="1">
      <c r="A202" s="229" t="s">
        <v>1812</v>
      </c>
      <c r="B202" s="18">
        <v>3149</v>
      </c>
      <c r="C202" s="18" t="s">
        <v>485</v>
      </c>
      <c r="D202" s="18" t="s">
        <v>1813</v>
      </c>
      <c r="E202" s="18" t="s">
        <v>1814</v>
      </c>
      <c r="F202" s="33" t="s">
        <v>1815</v>
      </c>
      <c r="G202" s="19"/>
      <c r="H202" s="18" t="s">
        <v>40</v>
      </c>
      <c r="I202" s="18" t="s">
        <v>490</v>
      </c>
      <c r="J202" s="18" t="s">
        <v>662</v>
      </c>
      <c r="K202" s="20">
        <v>46003</v>
      </c>
      <c r="L202" s="50" t="s">
        <v>1767</v>
      </c>
      <c r="M202" s="50" t="s">
        <v>742</v>
      </c>
      <c r="N202" s="50"/>
      <c r="O202" s="18" t="s">
        <v>548</v>
      </c>
      <c r="P202" s="18" t="s">
        <v>495</v>
      </c>
      <c r="Q202" s="18" t="s">
        <v>496</v>
      </c>
      <c r="R202" s="18" t="s">
        <v>497</v>
      </c>
      <c r="S202" s="18"/>
      <c r="T202" s="18"/>
      <c r="U202" s="18"/>
      <c r="V202" s="18"/>
      <c r="W202" s="18"/>
      <c r="X202" s="18"/>
      <c r="Y202" s="80"/>
      <c r="Z202" s="18" t="s">
        <v>499</v>
      </c>
      <c r="AA202" s="20">
        <v>46119</v>
      </c>
      <c r="AB202" s="18" t="s">
        <v>500</v>
      </c>
      <c r="AC202" s="18"/>
      <c r="AD202" s="18" t="s">
        <v>1816</v>
      </c>
      <c r="AE202" s="18" t="s">
        <v>41</v>
      </c>
      <c r="AF202" s="18" t="s">
        <v>48</v>
      </c>
      <c r="AG202" s="14" t="str">
        <f>VLOOKUP(AF202,Tabla3[[Estado Requerimiento]:[Macro estado]],2,FALSE)</f>
        <v>02. En Proceso</v>
      </c>
      <c r="AH202" s="18"/>
      <c r="AI202" s="80"/>
      <c r="AJ202" s="80"/>
      <c r="AK202" s="80">
        <v>46027</v>
      </c>
      <c r="AL202" s="80"/>
      <c r="AM202" s="80"/>
      <c r="AN202" s="80"/>
      <c r="AO202" s="80"/>
      <c r="AP202" s="81" t="str">
        <f t="shared" si="6"/>
        <v/>
      </c>
      <c r="AQ202" s="80"/>
      <c r="AR202" s="80"/>
      <c r="AS202" s="81" t="str">
        <f t="shared" si="7"/>
        <v/>
      </c>
      <c r="AT202" s="198" t="s">
        <v>1817</v>
      </c>
      <c r="AU202" s="44" t="str">
        <f>VLOOKUP(Cartera1017[[#This Row],[Gerencia]],tbGerencia[#All],3,FALSE)</f>
        <v>Operac.</v>
      </c>
      <c r="AV202" s="44" t="str">
        <f>IFERROR(VLOOKUP(Cartera1017[[#This Row],[Subgerencia]],Definiciones!$A$90:$B$144,2,FALSE),"")</f>
        <v>BancariosRecaudación</v>
      </c>
      <c r="AW202" s="44" t="str">
        <f>IF(OR(LEN(Cartera1017[[#This Row],[Fecha de Solicitud]])=0,(Cartera1017[[#This Row],[Fecha de Solicitud]])="No definido"),"No definido",IF(YEAR(Cartera1017[[#This Row],[Fecha de Solicitud]])&lt;2023," &lt;  2023",TEXT(Cartera1017[[#This Row],[Fecha de Solicitud]],"yyyy-mm")))</f>
        <v>2025-12</v>
      </c>
      <c r="AX202" s="44" t="str">
        <f>IF(Cartera1017[[#This Row],[Fecha de Priorización Comité]]="","No definido",TEXT(Cartera1017[[#This Row],[Fecha de Priorización Comité]],"yyyy-mm"))</f>
        <v>2026-04</v>
      </c>
      <c r="AY202" s="44" t="str">
        <f>IF(Cartera1017[[#This Row],[Fecha Fin- Desarrollo]]="","No definido",TEXT(Cartera1017[[#This Row],[Fecha Fin- Desarrollo]],"yyyy-mm"))</f>
        <v>No definido</v>
      </c>
      <c r="AZ202" s="44" t="str">
        <f>IF(Cartera1017[[#This Row],[Fecha Fin- Producción]]="","No definido",TEXT(Cartera1017[[#This Row],[Fecha Fin- Producción]],"yyyy-mm"))</f>
        <v>No definido</v>
      </c>
      <c r="BA202" s="44" t="str">
        <f>IF(Cartera1017[[#This Row],[Fecha Fin-Planificada]]="","No definido",TEXT(Cartera1017[[#This Row],[Fecha Fin-Planificada]],"yyyy-mm"))</f>
        <v>No definido</v>
      </c>
      <c r="BB202" s="33"/>
      <c r="BC202" s="108"/>
      <c r="BD202" s="108"/>
      <c r="BE202" s="108"/>
      <c r="BF202" s="127"/>
      <c r="BG202" s="28"/>
      <c r="BH20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2" s="90" t="str">
        <f>IF(ISNUMBER(Cartera1017[[#This Row],[Duracion en Dias]]),Cartera1017[[#This Row],[Duracion en Dias]]/30, "No Aplica")</f>
        <v>No Aplica</v>
      </c>
      <c r="BJ202" s="109"/>
      <c r="BK202" s="28" t="s">
        <v>1529</v>
      </c>
      <c r="BL202" s="110" t="s">
        <v>592</v>
      </c>
      <c r="BM202" s="342">
        <v>46028.721076388887</v>
      </c>
      <c r="BN202" s="227"/>
      <c r="BO202" s="401"/>
      <c r="BP202" s="401"/>
      <c r="BQ20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2" s="14" t="str">
        <f>IFERROR(VLOOKUP(Cartera1017[[#This Row],[Aplicativo]],Tabla76[],2,FALSE),"Sin Aplicativo")</f>
        <v>Pagalo.pe</v>
      </c>
      <c r="BS202" s="14" t="str">
        <f>IFERROR(VLOOKUP(Cartera1017[[#This Row],[Aplicativo]],Tabla76[],3,FALSE),"Sin Aplicativo")</f>
        <v>Canales Virtuales</v>
      </c>
      <c r="BT202" s="400"/>
      <c r="BU202" s="33"/>
      <c r="BV202" s="28"/>
      <c r="BW20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2" s="149" t="str">
        <f ca="1">IF(Cartera1017[[#This Row],[Fecha Fin2]]="","No definido",CONCATENATE(TEXT(Cartera1017[[#This Row],[Fecha Fin2]],"mmm")," ",YEAR(Cartera1017[[#This Row],[Fecha Fin2]])))</f>
        <v>No definido</v>
      </c>
      <c r="BZ202" s="28"/>
      <c r="CA202" s="48" t="str">
        <f>IF(Cartera1017[[#This Row],[Estado TI]] = "08. Producción Finalizada","Culminado",IF(Cartera1017[[#This Row],[Estado TI]]= "09. Descartado","Descartado","Activos"))</f>
        <v>Activos</v>
      </c>
      <c r="CB202" s="28"/>
      <c r="CC20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02" s="54" t="str">
        <f>IF(
AND(
Cartera1017[[#This Row],[DEVOLVER 27]]="NO",
NOT(ISBLANK(Cartera1017[[#This Row],[ESTADO NO DEVUELTOS 27]]))
),
"PRE",
"POST"
)</f>
        <v>POST</v>
      </c>
      <c r="CE202" s="54"/>
      <c r="CF202" s="28"/>
      <c r="CG20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02"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2" s="406">
        <f>Cartera1017[[#This Row],[Porcentaje de Avance]]</f>
        <v>0.25</v>
      </c>
      <c r="CK202" s="388" t="str">
        <f>IF(
   OR(
     Cartera1017[[#This Row],[Estado TI]]="09. Descartado",
     Cartera1017[[#This Row],[Comienzo Desarrollo]]="",
     Cartera1017[[#This Row],[Fin Producción]]=""
   ),
   "",
   Cartera1017[[#This Row],[% PLANIFICADO]]-Cartera1017[[#This Row],[% COMPLETADO]]
)</f>
        <v/>
      </c>
      <c r="CL202" s="388" t="str">
        <f ca="1">IF(
   OR(
     Cartera1017[[#This Row],[Estado TI]]="09. Descartado",
     Cartera1017[[#This Row],[Comienzo Desarrollo]]="",
     Cartera1017[[#This Row],[Fin Producción]]="",
     Cartera1017[[#This Row],[% PLANIFICADO]]=0
   ),
   "",
   MIN(Cartera1017[[#This Row],[% COMPLETADO]]/Cartera1017[[#This Row],[% PLANIFICADO]],1.2)
)</f>
        <v/>
      </c>
      <c r="CM202" s="229"/>
      <c r="CN202" s="229"/>
      <c r="CO202" s="229"/>
      <c r="CP202" s="229"/>
      <c r="CQ202" s="229"/>
      <c r="CR202" s="229"/>
      <c r="CS202" s="229"/>
      <c r="CT202" s="44">
        <f>IF(Cartera1017[[#This Row],[Fin Desarrollo]]="",25,IFERROR(NETWORKDAYS(Cartera1017[[#This Row],[Comienzo Desarrollo]],Cartera1017[[#This Row],[Fin Desarrollo]],FERIADOS[Fecha]),""))</f>
        <v>25</v>
      </c>
      <c r="CU20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02" s="44">
        <f>IF(OR(Cartera1017[[#This Row],[Comienzo Desarrollo]]="",Cartera1017[[#This Row],[Fin Desarrollo]]=""),200,IFERROR(Cartera1017[[#This Row],[DURACIÓN DESARROLLO DIAS]]*VLOOKUP(Cartera1017[[#This Row],[ID Mantenimiento]],MANT_HORAS[],2,FALSE),200))</f>
        <v>200</v>
      </c>
      <c r="CW202" s="110"/>
      <c r="CX202" s="110" t="str">
        <f>VLOOKUP(Cartera1017[[#This Row],[Estado TI]],Definiciones!$A$549:$B$559,2,FALSE)</f>
        <v>1. DESARROLLO</v>
      </c>
      <c r="CY202" s="28">
        <f ca="1">1-Cartera1017[[#This Row],[Porcentaje avanzado desarrollo]]</f>
        <v>0.9</v>
      </c>
      <c r="CZ20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2" s="28">
        <f ca="1">MAX(0,Cartera1017[[#This Row],[DURACIÓN DESARROLLO DIAS]]-Cartera1017[[#This Row],[Dias avanzados]])</f>
        <v>24</v>
      </c>
      <c r="DB202" s="28">
        <f ca="1">Cartera1017[[#This Row],[Dias avanzados]]*IFERROR(VLOOKUP(Cartera1017[[#This Row],[ID Mantenimiento]],MANT_HORAS[],2,FALSE),8)</f>
        <v>4</v>
      </c>
      <c r="DC202" s="28">
        <f ca="1">Cartera1017[[#This Row],[Dias faltantes]]*IFERROR(VLOOKUP(Cartera1017[[#This Row],[ID Mantenimiento]],MANT_HORAS[],2,FALSE),8)</f>
        <v>96</v>
      </c>
      <c r="DD202" s="28" t="str">
        <f>IF(Cartera1017[[#This Row],[Fin Producción]]=0,"Por definir",CONCATENATE(YEAR(Cartera1017[[#This Row],[Fin Producción]]),"-",ROUNDUP(MONTH(Cartera1017[[#This Row],[Fin Producción]]),0)))</f>
        <v>Por definir</v>
      </c>
      <c r="DE202" s="18" t="s">
        <v>1719</v>
      </c>
      <c r="DF202" s="28"/>
      <c r="DG202" s="28"/>
      <c r="DH202" s="565"/>
    </row>
    <row r="203" spans="1:112" ht="44.25" hidden="1" customHeight="1">
      <c r="A203" s="229" t="s">
        <v>1818</v>
      </c>
      <c r="B203" s="18">
        <v>3150</v>
      </c>
      <c r="C203" s="18" t="s">
        <v>485</v>
      </c>
      <c r="D203" s="18" t="s">
        <v>1819</v>
      </c>
      <c r="E203" s="18" t="s">
        <v>1820</v>
      </c>
      <c r="F203" s="33" t="s">
        <v>1821</v>
      </c>
      <c r="G203" s="19"/>
      <c r="H203" s="18" t="s">
        <v>40</v>
      </c>
      <c r="I203" s="18" t="s">
        <v>577</v>
      </c>
      <c r="J203" s="18" t="s">
        <v>922</v>
      </c>
      <c r="K203" s="20">
        <v>45926</v>
      </c>
      <c r="L203" s="50" t="s">
        <v>1822</v>
      </c>
      <c r="M203" s="50" t="s">
        <v>1041</v>
      </c>
      <c r="N203" s="50"/>
      <c r="O203" s="18" t="s">
        <v>548</v>
      </c>
      <c r="P203" s="18" t="s">
        <v>495</v>
      </c>
      <c r="Q203" s="18" t="s">
        <v>496</v>
      </c>
      <c r="R203" s="18" t="s">
        <v>497</v>
      </c>
      <c r="S203" s="18"/>
      <c r="T203" s="18"/>
      <c r="U203" s="18"/>
      <c r="V203" s="18"/>
      <c r="W203" s="18"/>
      <c r="X203" s="18"/>
      <c r="Y203" s="80"/>
      <c r="Z203" s="18" t="s">
        <v>499</v>
      </c>
      <c r="AA203" s="20">
        <v>46119</v>
      </c>
      <c r="AB203" s="18" t="s">
        <v>500</v>
      </c>
      <c r="AC203" s="18"/>
      <c r="AD203" s="18" t="s">
        <v>210</v>
      </c>
      <c r="AE203" s="18" t="s">
        <v>41</v>
      </c>
      <c r="AF203" s="18" t="s">
        <v>42</v>
      </c>
      <c r="AG203" s="14" t="str">
        <f>VLOOKUP(AF203,Tabla3[[Estado Requerimiento]:[Macro estado]],2,FALSE)</f>
        <v>02. En Proceso</v>
      </c>
      <c r="AH203" s="18" t="s">
        <v>659</v>
      </c>
      <c r="AI203" s="80"/>
      <c r="AJ203" s="80"/>
      <c r="AK203" s="80">
        <v>46029</v>
      </c>
      <c r="AL203" s="80">
        <v>46064</v>
      </c>
      <c r="AM203" s="80"/>
      <c r="AN203" s="80">
        <v>46065</v>
      </c>
      <c r="AO203" s="80">
        <v>46086</v>
      </c>
      <c r="AP203" s="81">
        <f t="shared" si="6"/>
        <v>46078</v>
      </c>
      <c r="AQ203" s="80"/>
      <c r="AR203" s="80"/>
      <c r="AS203" s="81">
        <f t="shared" si="7"/>
        <v>46085</v>
      </c>
      <c r="AT203" s="198" t="s">
        <v>1823</v>
      </c>
      <c r="AU203" s="44" t="str">
        <f>VLOOKUP(Cartera1017[[#This Row],[Gerencia]],tbGerencia[#All],3,FALSE)</f>
        <v>Operac.</v>
      </c>
      <c r="AV203" s="44" t="str">
        <f>IFERROR(VLOOKUP(Cartera1017[[#This Row],[Subgerencia]],Definiciones!$A$90:$B$144,2,FALSE),"")</f>
        <v>CaptacionesPagaduría</v>
      </c>
      <c r="AW203" s="44" t="str">
        <f>IF(OR(LEN(Cartera1017[[#This Row],[Fecha de Solicitud]])=0,(Cartera1017[[#This Row],[Fecha de Solicitud]])="No definido"),"No definido",IF(YEAR(Cartera1017[[#This Row],[Fecha de Solicitud]])&lt;2023," &lt;  2023",TEXT(Cartera1017[[#This Row],[Fecha de Solicitud]],"yyyy-mm")))</f>
        <v>2025-09</v>
      </c>
      <c r="AX203" s="44" t="str">
        <f>IF(Cartera1017[[#This Row],[Fecha de Priorización Comité]]="","No definido",TEXT(Cartera1017[[#This Row],[Fecha de Priorización Comité]],"yyyy-mm"))</f>
        <v>2026-04</v>
      </c>
      <c r="AY203" s="44" t="str">
        <f>IF(Cartera1017[[#This Row],[Fecha Fin- Desarrollo]]="","No definido",TEXT(Cartera1017[[#This Row],[Fecha Fin- Desarrollo]],"yyyy-mm"))</f>
        <v>2026-02</v>
      </c>
      <c r="AZ203" s="44" t="str">
        <f>IF(Cartera1017[[#This Row],[Fecha Fin- Producción]]="","No definido",TEXT(Cartera1017[[#This Row],[Fecha Fin- Producción]],"yyyy-mm"))</f>
        <v>No definido</v>
      </c>
      <c r="BA203" s="44" t="str">
        <f>IF(Cartera1017[[#This Row],[Fecha Fin-Planificada]]="","No definido",TEXT(Cartera1017[[#This Row],[Fecha Fin-Planificada]],"yyyy-mm"))</f>
        <v>2026-03</v>
      </c>
      <c r="BB203" s="33"/>
      <c r="BC203" s="108"/>
      <c r="BD203" s="108"/>
      <c r="BE203" s="108"/>
      <c r="BF203" s="127"/>
      <c r="BG203" s="28"/>
      <c r="BH20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3" s="90" t="str">
        <f>IF(ISNUMBER(Cartera1017[[#This Row],[Duracion en Dias]]),Cartera1017[[#This Row],[Duracion en Dias]]/30, "No Aplica")</f>
        <v>No Aplica</v>
      </c>
      <c r="BJ203" s="109"/>
      <c r="BK203" s="28" t="s">
        <v>506</v>
      </c>
      <c r="BL203" s="110" t="s">
        <v>655</v>
      </c>
      <c r="BM203" s="342">
        <v>46086.5075</v>
      </c>
      <c r="BN203" s="227"/>
      <c r="BO203" s="401"/>
      <c r="BP203" s="401"/>
      <c r="BQ20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03" s="14" t="str">
        <f>IFERROR(VLOOKUP(Cartera1017[[#This Row],[Aplicativo]],Tabla76[],2,FALSE),"Sin Aplicativo")</f>
        <v>Ventanilla</v>
      </c>
      <c r="BS203" s="14" t="str">
        <f>IFERROR(VLOOKUP(Cartera1017[[#This Row],[Aplicativo]],Tabla76[],3,FALSE),"Sin Aplicativo")</f>
        <v>Canales Presenciales</v>
      </c>
      <c r="BT203" s="400"/>
      <c r="BU203" s="33"/>
      <c r="BV203" s="28"/>
      <c r="BW20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3" s="149" t="str">
        <f ca="1">IF(Cartera1017[[#This Row],[Fecha Fin2]]="","No definido",CONCATENATE(TEXT(Cartera1017[[#This Row],[Fecha Fin2]],"mmm")," ",YEAR(Cartera1017[[#This Row],[Fecha Fin2]])))</f>
        <v>No definido</v>
      </c>
      <c r="BZ203" s="28"/>
      <c r="CA203" s="48" t="str">
        <f>IF(Cartera1017[[#This Row],[Estado TI]] = "08. Producción Finalizada","Culminado",IF(Cartera1017[[#This Row],[Estado TI]]= "09. Descartado","Descartado","Activos"))</f>
        <v>Activos</v>
      </c>
      <c r="CB203" s="28"/>
      <c r="CC20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203" s="54" t="str">
        <f>IF(
AND(
Cartera1017[[#This Row],[DEVOLVER 27]]="NO",
NOT(ISBLANK(Cartera1017[[#This Row],[ESTADO NO DEVUELTOS 27]]))
),
"PRE",
"POST"
)</f>
        <v>POST</v>
      </c>
      <c r="CE203" s="54"/>
      <c r="CF203" s="28"/>
      <c r="CG20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03"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3" s="406">
        <f>Cartera1017[[#This Row],[Porcentaje de Avance]]</f>
        <v>0.85</v>
      </c>
      <c r="CK203" s="388" t="str">
        <f>IF(
   OR(
     Cartera1017[[#This Row],[Estado TI]]="09. Descartado",
     Cartera1017[[#This Row],[Comienzo Desarrollo]]="",
     Cartera1017[[#This Row],[Fin Producción]]=""
   ),
   "",
   Cartera1017[[#This Row],[% PLANIFICADO]]-Cartera1017[[#This Row],[% COMPLETADO]]
)</f>
        <v/>
      </c>
      <c r="CL203" s="388" t="str">
        <f ca="1">IF(
   OR(
     Cartera1017[[#This Row],[Estado TI]]="09. Descartado",
     Cartera1017[[#This Row],[Comienzo Desarrollo]]="",
     Cartera1017[[#This Row],[Fin Producción]]="",
     Cartera1017[[#This Row],[% PLANIFICADO]]=0
   ),
   "",
   MIN(Cartera1017[[#This Row],[% COMPLETADO]]/Cartera1017[[#This Row],[% PLANIFICADO]],1.2)
)</f>
        <v/>
      </c>
      <c r="CM203" s="229"/>
      <c r="CN203" s="229"/>
      <c r="CO203" s="229"/>
      <c r="CP203" s="229"/>
      <c r="CQ203" s="229"/>
      <c r="CR203" s="229"/>
      <c r="CS203" s="229"/>
      <c r="CT203" s="44">
        <f>IF(Cartera1017[[#This Row],[Fin Desarrollo]]="",25,IFERROR(NETWORKDAYS(Cartera1017[[#This Row],[Comienzo Desarrollo]],Cartera1017[[#This Row],[Fin Desarrollo]],FERIADOS[Fecha]),""))</f>
        <v>25</v>
      </c>
      <c r="CU20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03" s="44">
        <f>IF(OR(Cartera1017[[#This Row],[Comienzo Desarrollo]]="",Cartera1017[[#This Row],[Fin Desarrollo]]=""),200,IFERROR(Cartera1017[[#This Row],[DURACIÓN DESARROLLO DIAS]]*VLOOKUP(Cartera1017[[#This Row],[ID Mantenimiento]],MANT_HORAS[],2,FALSE),200))</f>
        <v>200</v>
      </c>
      <c r="CW203" s="110"/>
      <c r="CX203" s="110" t="str">
        <f>VLOOKUP(Cartera1017[[#This Row],[Estado TI]],Definiciones!$A$549:$B$559,2,FALSE)</f>
        <v>2. CALIDAD</v>
      </c>
      <c r="CY203" s="28">
        <f ca="1">1-Cartera1017[[#This Row],[Porcentaje avanzado desarrollo]]</f>
        <v>0.9</v>
      </c>
      <c r="CZ20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3" s="28">
        <f ca="1">MAX(0,Cartera1017[[#This Row],[DURACIÓN DESARROLLO DIAS]]-Cartera1017[[#This Row],[Dias avanzados]])</f>
        <v>24</v>
      </c>
      <c r="DB203" s="28">
        <f ca="1">Cartera1017[[#This Row],[Dias avanzados]]*IFERROR(VLOOKUP(Cartera1017[[#This Row],[ID Mantenimiento]],MANT_HORAS[],2,FALSE),8)</f>
        <v>8</v>
      </c>
      <c r="DC203" s="28">
        <f ca="1">Cartera1017[[#This Row],[Dias faltantes]]*IFERROR(VLOOKUP(Cartera1017[[#This Row],[ID Mantenimiento]],MANT_HORAS[],2,FALSE),8)</f>
        <v>192</v>
      </c>
      <c r="DD203" s="28" t="str">
        <f>IF(Cartera1017[[#This Row],[Fin Producción]]=0,"Por definir",CONCATENATE(YEAR(Cartera1017[[#This Row],[Fin Producción]]),"-",ROUNDUP(MONTH(Cartera1017[[#This Row],[Fin Producción]]),0)))</f>
        <v>Por definir</v>
      </c>
      <c r="DE203" s="18" t="s">
        <v>1719</v>
      </c>
      <c r="DF203" s="28"/>
      <c r="DG203" s="28" t="s">
        <v>622</v>
      </c>
      <c r="DH203" s="565"/>
    </row>
    <row r="204" spans="1:112" ht="44.25" customHeight="1">
      <c r="A204" s="229" t="s">
        <v>1824</v>
      </c>
      <c r="B204" s="18">
        <v>3152</v>
      </c>
      <c r="C204" s="18" t="s">
        <v>485</v>
      </c>
      <c r="D204" s="18" t="s">
        <v>1825</v>
      </c>
      <c r="E204" s="18" t="s">
        <v>1826</v>
      </c>
      <c r="F204" s="33" t="s">
        <v>1827</v>
      </c>
      <c r="G204" s="19"/>
      <c r="H204" s="18" t="s">
        <v>82</v>
      </c>
      <c r="I204" s="18" t="s">
        <v>1828</v>
      </c>
      <c r="J204" s="18" t="s">
        <v>1829</v>
      </c>
      <c r="K204" s="20">
        <v>46029</v>
      </c>
      <c r="L204" s="50" t="s">
        <v>1830</v>
      </c>
      <c r="M204" s="50" t="s">
        <v>770</v>
      </c>
      <c r="N204" s="50"/>
      <c r="O204" s="18" t="s">
        <v>530</v>
      </c>
      <c r="P204" s="18" t="s">
        <v>495</v>
      </c>
      <c r="Q204" s="18" t="s">
        <v>496</v>
      </c>
      <c r="R204" s="18" t="s">
        <v>599</v>
      </c>
      <c r="S204" s="18"/>
      <c r="T204" s="18" t="s">
        <v>652</v>
      </c>
      <c r="U204" s="18" t="s">
        <v>1831</v>
      </c>
      <c r="V204" s="18"/>
      <c r="W204" s="18"/>
      <c r="X204" s="18"/>
      <c r="Y204" s="80">
        <v>45839</v>
      </c>
      <c r="Z204" s="18" t="s">
        <v>499</v>
      </c>
      <c r="AA204" s="20">
        <v>46119</v>
      </c>
      <c r="AB204" s="18" t="s">
        <v>500</v>
      </c>
      <c r="AC204" s="18"/>
      <c r="AD204" s="18" t="s">
        <v>30</v>
      </c>
      <c r="AE204" s="18" t="s">
        <v>63</v>
      </c>
      <c r="AF204" s="18" t="s">
        <v>48</v>
      </c>
      <c r="AG204" s="14" t="str">
        <f>VLOOKUP(AF204,Tabla3[[Estado Requerimiento]:[Macro estado]],2,FALSE)</f>
        <v>02. En Proceso</v>
      </c>
      <c r="AH204" s="18"/>
      <c r="AI204" s="80"/>
      <c r="AJ204" s="80"/>
      <c r="AK204" s="80">
        <v>46030</v>
      </c>
      <c r="AL204" s="80"/>
      <c r="AM204" s="80"/>
      <c r="AN204" s="80"/>
      <c r="AO204" s="80"/>
      <c r="AP204" s="81" t="str">
        <f t="shared" si="6"/>
        <v/>
      </c>
      <c r="AQ204" s="80"/>
      <c r="AR204" s="80"/>
      <c r="AS204" s="81" t="str">
        <f t="shared" si="7"/>
        <v/>
      </c>
      <c r="AT204" s="198" t="s">
        <v>1832</v>
      </c>
      <c r="AU204" s="44" t="str">
        <f>VLOOKUP(Cartera1017[[#This Row],[Gerencia]],tbGerencia[#All],3,FALSE)</f>
        <v>Riesgos</v>
      </c>
      <c r="AV204" s="44" t="str">
        <f>IFERROR(VLOOKUP(Cartera1017[[#This Row],[Subgerencia]],Definiciones!$A$90:$B$144,2,FALSE),"")</f>
        <v>PrevenciónFraude</v>
      </c>
      <c r="AW204" s="44" t="str">
        <f>IF(OR(LEN(Cartera1017[[#This Row],[Fecha de Solicitud]])=0,(Cartera1017[[#This Row],[Fecha de Solicitud]])="No definido"),"No definido",IF(YEAR(Cartera1017[[#This Row],[Fecha de Solicitud]])&lt;2023," &lt;  2023",TEXT(Cartera1017[[#This Row],[Fecha de Solicitud]],"yyyy-mm")))</f>
        <v>2026-01</v>
      </c>
      <c r="AX204" s="44" t="str">
        <f>IF(Cartera1017[[#This Row],[Fecha de Priorización Comité]]="","No definido",TEXT(Cartera1017[[#This Row],[Fecha de Priorización Comité]],"yyyy-mm"))</f>
        <v>2026-04</v>
      </c>
      <c r="AY204" s="44" t="str">
        <f>IF(Cartera1017[[#This Row],[Fecha Fin- Desarrollo]]="","No definido",TEXT(Cartera1017[[#This Row],[Fecha Fin- Desarrollo]],"yyyy-mm"))</f>
        <v>No definido</v>
      </c>
      <c r="AZ204" s="44" t="str">
        <f>IF(Cartera1017[[#This Row],[Fecha Fin- Producción]]="","No definido",TEXT(Cartera1017[[#This Row],[Fecha Fin- Producción]],"yyyy-mm"))</f>
        <v>No definido</v>
      </c>
      <c r="BA204" s="44" t="str">
        <f>IF(Cartera1017[[#This Row],[Fecha Fin-Planificada]]="","No definido",TEXT(Cartera1017[[#This Row],[Fecha Fin-Planificada]],"yyyy-mm"))</f>
        <v>No definido</v>
      </c>
      <c r="BB204" s="33"/>
      <c r="BC204" s="108"/>
      <c r="BD204" s="108"/>
      <c r="BE204" s="108"/>
      <c r="BF204" s="127"/>
      <c r="BG204" s="28"/>
      <c r="BH20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4" s="90" t="str">
        <f>IF(ISNUMBER(Cartera1017[[#This Row],[Duracion en Dias]]),Cartera1017[[#This Row],[Duracion en Dias]]/30, "No Aplica")</f>
        <v>No Aplica</v>
      </c>
      <c r="BJ204" s="109"/>
      <c r="BK204" s="28" t="s">
        <v>1115</v>
      </c>
      <c r="BL204" s="110" t="s">
        <v>592</v>
      </c>
      <c r="BM204" s="342">
        <v>46030.706770833334</v>
      </c>
      <c r="BN204" s="227"/>
      <c r="BO204" s="401"/>
      <c r="BP204" s="401"/>
      <c r="BQ20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4" s="14" t="str">
        <f>IFERROR(VLOOKUP(Cartera1017[[#This Row],[Aplicativo]],Tabla76[],2,FALSE),"Sin Aplicativo")</f>
        <v>ATM-Agentes-VISA</v>
      </c>
      <c r="BS204" s="14" t="str">
        <f>IFERROR(VLOOKUP(Cartera1017[[#This Row],[Aplicativo]],Tabla76[],3,FALSE),"Sin Aplicativo")</f>
        <v>Canales Presenciales</v>
      </c>
      <c r="BT204" s="400"/>
      <c r="BU204" s="33"/>
      <c r="BV204" s="28"/>
      <c r="BW20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4" s="149" t="str">
        <f ca="1">IF(Cartera1017[[#This Row],[Fecha Fin2]]="","No definido",CONCATENATE(TEXT(Cartera1017[[#This Row],[Fecha Fin2]],"mmm")," ",YEAR(Cartera1017[[#This Row],[Fecha Fin2]])))</f>
        <v>No definido</v>
      </c>
      <c r="BZ204" s="28"/>
      <c r="CA204" s="48" t="str">
        <f>IF(Cartera1017[[#This Row],[Estado TI]] = "08. Producción Finalizada","Culminado",IF(Cartera1017[[#This Row],[Estado TI]]= "09. Descartado","Descartado","Activos"))</f>
        <v>Activos</v>
      </c>
      <c r="CB204" s="28"/>
      <c r="CC20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04" s="54" t="str">
        <f>IF(
AND(
Cartera1017[[#This Row],[DEVOLVER 27]]="NO",
NOT(ISBLANK(Cartera1017[[#This Row],[ESTADO NO DEVUELTOS 27]]))
),
"PRE",
"POST"
)</f>
        <v>POST</v>
      </c>
      <c r="CE204" s="54"/>
      <c r="CF204" s="28"/>
      <c r="CG20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0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04"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204" s="406">
        <f>Cartera1017[[#This Row],[Porcentaje de Avance]]</f>
        <v>0.15</v>
      </c>
      <c r="CK204" s="388">
        <f ca="1">IF(
   OR(
     Cartera1017[[#This Row],[Estado TI]]="09. Descartado",
     Cartera1017[[#This Row],[Comienzo Desarrollo]]="",
     Cartera1017[[#This Row],[Fin Producción]]=""
   ),
   "",
   Cartera1017[[#This Row],[% PLANIFICADO]]-Cartera1017[[#This Row],[% COMPLETADO]]
)</f>
        <v>-0.15</v>
      </c>
      <c r="CL204" s="388" t="str">
        <f ca="1">IF(
   OR(
     Cartera1017[[#This Row],[Estado TI]]="09. Descartado",
     Cartera1017[[#This Row],[Comienzo Desarrollo]]="",
     Cartera1017[[#This Row],[Fin Producción]]="",
     Cartera1017[[#This Row],[% PLANIFICADO]]=0
   ),
   "",
   MIN(Cartera1017[[#This Row],[% COMPLETADO]]/Cartera1017[[#This Row],[% PLANIFICADO]],1.2)
)</f>
        <v/>
      </c>
      <c r="CM204" s="229"/>
      <c r="CN204" s="229">
        <v>46188</v>
      </c>
      <c r="CO204" s="229">
        <v>46265</v>
      </c>
      <c r="CP204" s="229">
        <v>46265</v>
      </c>
      <c r="CQ204" s="229">
        <v>46295</v>
      </c>
      <c r="CR204" s="229">
        <v>46295</v>
      </c>
      <c r="CS204" s="229">
        <v>46311</v>
      </c>
      <c r="CT204" s="44">
        <f>IF(Cartera1017[[#This Row],[Fin Desarrollo]]="",25,IFERROR(NETWORKDAYS(Cartera1017[[#This Row],[Comienzo Desarrollo]],Cartera1017[[#This Row],[Fin Desarrollo]],FERIADOS[Fecha]),""))</f>
        <v>53</v>
      </c>
      <c r="CU20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V204" s="44">
        <f>IF(OR(Cartera1017[[#This Row],[Comienzo Desarrollo]]="",Cartera1017[[#This Row],[Fin Desarrollo]]=""),200,IFERROR(Cartera1017[[#This Row],[DURACIÓN DESARROLLO DIAS]]*VLOOKUP(Cartera1017[[#This Row],[ID Mantenimiento]],MANT_HORAS[],2,FALSE),200))</f>
        <v>38.545454545454547</v>
      </c>
      <c r="CW204" s="110"/>
      <c r="CX204" s="110" t="str">
        <f>VLOOKUP(Cartera1017[[#This Row],[Estado TI]],Definiciones!$A$549:$B$559,2,FALSE)</f>
        <v>1. DESARROLLO</v>
      </c>
      <c r="CY204" s="28">
        <f ca="1">1-Cartera1017[[#This Row],[Porcentaje avanzado desarrollo]]</f>
        <v>1</v>
      </c>
      <c r="CZ20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204" s="28">
        <f ca="1">MAX(0,Cartera1017[[#This Row],[DURACIÓN DESARROLLO DIAS]]-Cartera1017[[#This Row],[Dias avanzados]])</f>
        <v>53</v>
      </c>
      <c r="DB204" s="28">
        <f ca="1">Cartera1017[[#This Row],[Dias avanzados]]*IFERROR(VLOOKUP(Cartera1017[[#This Row],[ID Mantenimiento]],MANT_HORAS[],2,FALSE),8)</f>
        <v>0</v>
      </c>
      <c r="DC204" s="28">
        <f ca="1">Cartera1017[[#This Row],[Dias faltantes]]*IFERROR(VLOOKUP(Cartera1017[[#This Row],[ID Mantenimiento]],MANT_HORAS[],2,FALSE),8)</f>
        <v>38.545454545454547</v>
      </c>
      <c r="DD204" s="28" t="str">
        <f>IF(Cartera1017[[#This Row],[Fin Producción]]=0,"Por definir",CONCATENATE(YEAR(Cartera1017[[#This Row],[Fin Producción]]),"-",ROUNDUP(MONTH(Cartera1017[[#This Row],[Fin Producción]]),0)))</f>
        <v>2026-10</v>
      </c>
      <c r="DE204" s="18" t="s">
        <v>1719</v>
      </c>
      <c r="DF204" s="28"/>
      <c r="DG204" s="28"/>
      <c r="DH204" s="565"/>
    </row>
    <row r="205" spans="1:112" ht="44.25" hidden="1" customHeight="1">
      <c r="A205" s="229" t="s">
        <v>1833</v>
      </c>
      <c r="B205" s="18">
        <v>3153</v>
      </c>
      <c r="C205" s="18" t="s">
        <v>485</v>
      </c>
      <c r="D205" s="18" t="s">
        <v>1834</v>
      </c>
      <c r="E205" s="18" t="s">
        <v>1835</v>
      </c>
      <c r="F205" s="33" t="s">
        <v>1836</v>
      </c>
      <c r="G205" s="19"/>
      <c r="H205" s="18" t="s">
        <v>26</v>
      </c>
      <c r="I205" s="18" t="s">
        <v>1837</v>
      </c>
      <c r="J205" s="18"/>
      <c r="K205" s="20">
        <v>46028</v>
      </c>
      <c r="L205" s="50" t="s">
        <v>1838</v>
      </c>
      <c r="M205" s="50" t="s">
        <v>1496</v>
      </c>
      <c r="N205" s="50"/>
      <c r="O205" s="18" t="s">
        <v>530</v>
      </c>
      <c r="P205" s="18" t="s">
        <v>495</v>
      </c>
      <c r="Q205" s="18" t="s">
        <v>496</v>
      </c>
      <c r="R205" s="18" t="s">
        <v>599</v>
      </c>
      <c r="S205" s="18"/>
      <c r="T205" s="18" t="s">
        <v>632</v>
      </c>
      <c r="U205" s="18"/>
      <c r="V205" s="18"/>
      <c r="W205" s="18"/>
      <c r="X205" s="18"/>
      <c r="Y205" s="80"/>
      <c r="Z205" s="18" t="s">
        <v>499</v>
      </c>
      <c r="AA205" s="20">
        <v>46119</v>
      </c>
      <c r="AB205" s="18" t="s">
        <v>533</v>
      </c>
      <c r="AC205" s="18"/>
      <c r="AD205" s="18" t="s">
        <v>1839</v>
      </c>
      <c r="AE205" s="18" t="s">
        <v>27</v>
      </c>
      <c r="AF205" s="18" t="s">
        <v>48</v>
      </c>
      <c r="AG205" s="14" t="str">
        <f>VLOOKUP(AF205,Tabla3[[Estado Requerimiento]:[Macro estado]],2,FALSE)</f>
        <v>02. En Proceso</v>
      </c>
      <c r="AH205" s="18"/>
      <c r="AI205" s="80"/>
      <c r="AJ205" s="80"/>
      <c r="AK205" s="80">
        <v>46034</v>
      </c>
      <c r="AL205" s="80"/>
      <c r="AM205" s="80"/>
      <c r="AN205" s="80"/>
      <c r="AO205" s="80"/>
      <c r="AP205" s="81" t="str">
        <f t="shared" si="6"/>
        <v/>
      </c>
      <c r="AQ205" s="80"/>
      <c r="AR205" s="80"/>
      <c r="AS205" s="81" t="str">
        <f t="shared" si="7"/>
        <v/>
      </c>
      <c r="AT205" s="198" t="s">
        <v>1840</v>
      </c>
      <c r="AU205" s="44" t="str">
        <f>VLOOKUP(Cartera1017[[#This Row],[Gerencia]],tbGerencia[#All],3,FALSE)</f>
        <v>B.Digital</v>
      </c>
      <c r="AV205" s="44" t="str">
        <f>IFERROR(VLOOKUP(Cartera1017[[#This Row],[Subgerencia]],Definiciones!$A$90:$B$144,2,FALSE),"")</f>
        <v>InnovaciónDigital</v>
      </c>
      <c r="AW205" s="44" t="str">
        <f>IF(OR(LEN(Cartera1017[[#This Row],[Fecha de Solicitud]])=0,(Cartera1017[[#This Row],[Fecha de Solicitud]])="No definido"),"No definido",IF(YEAR(Cartera1017[[#This Row],[Fecha de Solicitud]])&lt;2023," &lt;  2023",TEXT(Cartera1017[[#This Row],[Fecha de Solicitud]],"yyyy-mm")))</f>
        <v>2026-01</v>
      </c>
      <c r="AX205" s="44" t="str">
        <f>IF(Cartera1017[[#This Row],[Fecha de Priorización Comité]]="","No definido",TEXT(Cartera1017[[#This Row],[Fecha de Priorización Comité]],"yyyy-mm"))</f>
        <v>2026-04</v>
      </c>
      <c r="AY205" s="44" t="str">
        <f>IF(Cartera1017[[#This Row],[Fecha Fin- Desarrollo]]="","No definido",TEXT(Cartera1017[[#This Row],[Fecha Fin- Desarrollo]],"yyyy-mm"))</f>
        <v>No definido</v>
      </c>
      <c r="AZ205" s="44" t="str">
        <f>IF(Cartera1017[[#This Row],[Fecha Fin- Producción]]="","No definido",TEXT(Cartera1017[[#This Row],[Fecha Fin- Producción]],"yyyy-mm"))</f>
        <v>No definido</v>
      </c>
      <c r="BA205" s="44" t="str">
        <f>IF(Cartera1017[[#This Row],[Fecha Fin-Planificada]]="","No definido",TEXT(Cartera1017[[#This Row],[Fecha Fin-Planificada]],"yyyy-mm"))</f>
        <v>No definido</v>
      </c>
      <c r="BB205" s="33"/>
      <c r="BC205" s="108"/>
      <c r="BD205" s="108"/>
      <c r="BE205" s="108"/>
      <c r="BF205" s="127"/>
      <c r="BG205" s="28"/>
      <c r="BH20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5" s="90" t="str">
        <f>IF(ISNUMBER(Cartera1017[[#This Row],[Duracion en Dias]]),Cartera1017[[#This Row],[Duracion en Dias]]/30, "No Aplica")</f>
        <v>No Aplica</v>
      </c>
      <c r="BJ205" s="109"/>
      <c r="BK205" s="28" t="s">
        <v>1529</v>
      </c>
      <c r="BL205" s="110" t="s">
        <v>592</v>
      </c>
      <c r="BM205" s="342">
        <v>46086.394861111112</v>
      </c>
      <c r="BN205" s="227"/>
      <c r="BO205" s="401"/>
      <c r="BP205" s="401"/>
      <c r="BQ20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5" s="14" t="str">
        <f>IFERROR(VLOOKUP(Cartera1017[[#This Row],[Aplicativo]],Tabla76[],2,FALSE),"Sin Aplicativo")</f>
        <v>BackOffice</v>
      </c>
      <c r="BS205" s="14" t="str">
        <f>IFERROR(VLOOKUP(Cartera1017[[#This Row],[Aplicativo]],Tabla76[],3,FALSE),"Sin Aplicativo")</f>
        <v>Otros Requerimientos</v>
      </c>
      <c r="BT205" s="400"/>
      <c r="BU205" s="33"/>
      <c r="BV205" s="28"/>
      <c r="BW20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5" s="149" t="str">
        <f ca="1">IF(Cartera1017[[#This Row],[Fecha Fin2]]="","No definido",CONCATENATE(TEXT(Cartera1017[[#This Row],[Fecha Fin2]],"mmm")," ",YEAR(Cartera1017[[#This Row],[Fecha Fin2]])))</f>
        <v>No definido</v>
      </c>
      <c r="BZ205" s="28"/>
      <c r="CA205" s="48" t="str">
        <f>IF(Cartera1017[[#This Row],[Estado TI]] = "08. Producción Finalizada","Culminado",IF(Cartera1017[[#This Row],[Estado TI]]= "09. Descartado","Descartado","Activos"))</f>
        <v>Activos</v>
      </c>
      <c r="CB205" s="28"/>
      <c r="CC20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05" s="54" t="str">
        <f>IF(
AND(
Cartera1017[[#This Row],[DEVOLVER 27]]="NO",
NOT(ISBLANK(Cartera1017[[#This Row],[ESTADO NO DEVUELTOS 27]]))
),
"PRE",
"POST"
)</f>
        <v>POST</v>
      </c>
      <c r="CE205" s="54"/>
      <c r="CF205" s="28"/>
      <c r="CG20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05"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5" s="406">
        <f>Cartera1017[[#This Row],[Porcentaje de Avance]]</f>
        <v>0.25</v>
      </c>
      <c r="CK205" s="388" t="str">
        <f>IF(
   OR(
     Cartera1017[[#This Row],[Estado TI]]="09. Descartado",
     Cartera1017[[#This Row],[Comienzo Desarrollo]]="",
     Cartera1017[[#This Row],[Fin Producción]]=""
   ),
   "",
   Cartera1017[[#This Row],[% PLANIFICADO]]-Cartera1017[[#This Row],[% COMPLETADO]]
)</f>
        <v/>
      </c>
      <c r="CL205" s="388" t="str">
        <f ca="1">IF(
   OR(
     Cartera1017[[#This Row],[Estado TI]]="09. Descartado",
     Cartera1017[[#This Row],[Comienzo Desarrollo]]="",
     Cartera1017[[#This Row],[Fin Producción]]="",
     Cartera1017[[#This Row],[% PLANIFICADO]]=0
   ),
   "",
   MIN(Cartera1017[[#This Row],[% COMPLETADO]]/Cartera1017[[#This Row],[% PLANIFICADO]],1.2)
)</f>
        <v/>
      </c>
      <c r="CM205" s="229"/>
      <c r="CN205" s="229"/>
      <c r="CO205" s="229"/>
      <c r="CP205" s="229"/>
      <c r="CQ205" s="229"/>
      <c r="CR205" s="229"/>
      <c r="CS205" s="229"/>
      <c r="CT205" s="44">
        <f>IF(Cartera1017[[#This Row],[Fin Desarrollo]]="",25,IFERROR(NETWORKDAYS(Cartera1017[[#This Row],[Comienzo Desarrollo]],Cartera1017[[#This Row],[Fin Desarrollo]],FERIADOS[Fecha]),""))</f>
        <v>25</v>
      </c>
      <c r="CU20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05" s="44">
        <f>IF(OR(Cartera1017[[#This Row],[Comienzo Desarrollo]]="",Cartera1017[[#This Row],[Fin Desarrollo]]=""),200,IFERROR(Cartera1017[[#This Row],[DURACIÓN DESARROLLO DIAS]]*VLOOKUP(Cartera1017[[#This Row],[ID Mantenimiento]],MANT_HORAS[],2,FALSE),200))</f>
        <v>200</v>
      </c>
      <c r="CW205" s="110"/>
      <c r="CX205" s="110" t="str">
        <f>VLOOKUP(Cartera1017[[#This Row],[Estado TI]],Definiciones!$A$549:$B$559,2,FALSE)</f>
        <v>1. DESARROLLO</v>
      </c>
      <c r="CY205" s="28">
        <f ca="1">1-Cartera1017[[#This Row],[Porcentaje avanzado desarrollo]]</f>
        <v>0.9</v>
      </c>
      <c r="CZ20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5" s="28">
        <f ca="1">MAX(0,Cartera1017[[#This Row],[DURACIÓN DESARROLLO DIAS]]-Cartera1017[[#This Row],[Dias avanzados]])</f>
        <v>24</v>
      </c>
      <c r="DB205" s="28">
        <f ca="1">Cartera1017[[#This Row],[Dias avanzados]]*IFERROR(VLOOKUP(Cartera1017[[#This Row],[ID Mantenimiento]],MANT_HORAS[],2,FALSE),8)</f>
        <v>16</v>
      </c>
      <c r="DC205" s="28">
        <f ca="1">Cartera1017[[#This Row],[Dias faltantes]]*IFERROR(VLOOKUP(Cartera1017[[#This Row],[ID Mantenimiento]],MANT_HORAS[],2,FALSE),8)</f>
        <v>384</v>
      </c>
      <c r="DD205" s="28" t="str">
        <f>IF(Cartera1017[[#This Row],[Fin Producción]]=0,"Por definir",CONCATENATE(YEAR(Cartera1017[[#This Row],[Fin Producción]]),"-",ROUNDUP(MONTH(Cartera1017[[#This Row],[Fin Producción]]),0)))</f>
        <v>Por definir</v>
      </c>
      <c r="DE205" s="18" t="s">
        <v>1719</v>
      </c>
      <c r="DF205" s="28"/>
      <c r="DG205" s="28"/>
      <c r="DH205" s="565"/>
    </row>
    <row r="206" spans="1:112" ht="44.25" hidden="1" customHeight="1">
      <c r="A206" s="229" t="s">
        <v>1841</v>
      </c>
      <c r="B206" s="18">
        <v>3154</v>
      </c>
      <c r="C206" s="18" t="s">
        <v>485</v>
      </c>
      <c r="D206" s="18" t="s">
        <v>1842</v>
      </c>
      <c r="E206" s="18" t="s">
        <v>1843</v>
      </c>
      <c r="F206" s="33" t="s">
        <v>1844</v>
      </c>
      <c r="G206" s="19"/>
      <c r="H206" s="18" t="s">
        <v>59</v>
      </c>
      <c r="I206" s="18"/>
      <c r="J206" s="18"/>
      <c r="K206" s="20">
        <v>46035</v>
      </c>
      <c r="L206" s="50" t="s">
        <v>1845</v>
      </c>
      <c r="M206" s="50" t="s">
        <v>1352</v>
      </c>
      <c r="N206" s="50"/>
      <c r="O206" s="18" t="s">
        <v>530</v>
      </c>
      <c r="P206" s="18" t="s">
        <v>495</v>
      </c>
      <c r="Q206" s="18" t="s">
        <v>496</v>
      </c>
      <c r="R206" s="18" t="s">
        <v>497</v>
      </c>
      <c r="S206" s="18"/>
      <c r="T206" s="18"/>
      <c r="U206" s="18"/>
      <c r="V206" s="18"/>
      <c r="W206" s="18"/>
      <c r="X206" s="18"/>
      <c r="Y206" s="80"/>
      <c r="Z206" s="18" t="s">
        <v>499</v>
      </c>
      <c r="AA206" s="20">
        <v>46119</v>
      </c>
      <c r="AB206" s="18" t="s">
        <v>533</v>
      </c>
      <c r="AC206" s="18"/>
      <c r="AD206" s="18" t="s">
        <v>49</v>
      </c>
      <c r="AE206" s="18" t="s">
        <v>47</v>
      </c>
      <c r="AF206" s="18" t="s">
        <v>53</v>
      </c>
      <c r="AG206" s="14" t="str">
        <f>VLOOKUP(AF206,Tabla3[[Estado Requerimiento]:[Macro estado]],2,FALSE)</f>
        <v>03. Culminado</v>
      </c>
      <c r="AH206" s="18"/>
      <c r="AI206" s="80"/>
      <c r="AJ206" s="80"/>
      <c r="AK206" s="80">
        <v>46036</v>
      </c>
      <c r="AL206" s="80"/>
      <c r="AM206" s="80"/>
      <c r="AN206" s="80"/>
      <c r="AO206" s="80"/>
      <c r="AP206" s="81" t="str">
        <f t="shared" si="6"/>
        <v/>
      </c>
      <c r="AQ206" s="80">
        <v>46037</v>
      </c>
      <c r="AR206" s="80">
        <v>46037</v>
      </c>
      <c r="AS206" s="81" t="str">
        <f t="shared" si="7"/>
        <v/>
      </c>
      <c r="AT206" s="198" t="s">
        <v>1846</v>
      </c>
      <c r="AU206" s="44" t="str">
        <f>VLOOKUP(Cartera1017[[#This Row],[Gerencia]],tbGerencia[#All],3,FALSE)</f>
        <v>RRHH</v>
      </c>
      <c r="AV206" s="44" t="str">
        <f>IFERROR(VLOOKUP(Cartera1017[[#This Row],[Subgerencia]],Definiciones!$A$90:$B$144,2,FALSE),"")</f>
        <v/>
      </c>
      <c r="AW206" s="44" t="str">
        <f>IF(OR(LEN(Cartera1017[[#This Row],[Fecha de Solicitud]])=0,(Cartera1017[[#This Row],[Fecha de Solicitud]])="No definido"),"No definido",IF(YEAR(Cartera1017[[#This Row],[Fecha de Solicitud]])&lt;2023," &lt;  2023",TEXT(Cartera1017[[#This Row],[Fecha de Solicitud]],"yyyy-mm")))</f>
        <v>2026-01</v>
      </c>
      <c r="AX206" s="44" t="str">
        <f>IF(Cartera1017[[#This Row],[Fecha de Priorización Comité]]="","No definido",TEXT(Cartera1017[[#This Row],[Fecha de Priorización Comité]],"yyyy-mm"))</f>
        <v>2026-04</v>
      </c>
      <c r="AY206" s="44" t="str">
        <f>IF(Cartera1017[[#This Row],[Fecha Fin- Desarrollo]]="","No definido",TEXT(Cartera1017[[#This Row],[Fecha Fin- Desarrollo]],"yyyy-mm"))</f>
        <v>No definido</v>
      </c>
      <c r="AZ206" s="44" t="str">
        <f>IF(Cartera1017[[#This Row],[Fecha Fin- Producción]]="","No definido",TEXT(Cartera1017[[#This Row],[Fecha Fin- Producción]],"yyyy-mm"))</f>
        <v>2026-01</v>
      </c>
      <c r="BA206" s="44" t="str">
        <f>IF(Cartera1017[[#This Row],[Fecha Fin-Planificada]]="","No definido",TEXT(Cartera1017[[#This Row],[Fecha Fin-Planificada]],"yyyy-mm"))</f>
        <v>No definido</v>
      </c>
      <c r="BB206" s="33"/>
      <c r="BC206" s="108"/>
      <c r="BD206" s="108"/>
      <c r="BE206" s="108"/>
      <c r="BF206" s="127"/>
      <c r="BG206" s="28"/>
      <c r="BH20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v>
      </c>
      <c r="BI206" s="90">
        <f>IF(ISNUMBER(Cartera1017[[#This Row],[Duracion en Dias]]),Cartera1017[[#This Row],[Duracion en Dias]]/30, "No Aplica")</f>
        <v>3.3333333333333333E-2</v>
      </c>
      <c r="BJ206" s="109"/>
      <c r="BK206" s="28" t="s">
        <v>506</v>
      </c>
      <c r="BL206" s="110" t="s">
        <v>636</v>
      </c>
      <c r="BM206" s="342">
        <v>46037.552222222221</v>
      </c>
      <c r="BN206" s="227"/>
      <c r="BO206" s="401"/>
      <c r="BP206" s="401"/>
      <c r="BQ20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06" s="14" t="str">
        <f>IFERROR(VLOOKUP(Cartera1017[[#This Row],[Aplicativo]],Tabla76[],2,FALSE),"Sin Aplicativo")</f>
        <v>BackOffice</v>
      </c>
      <c r="BS206" s="14" t="str">
        <f>IFERROR(VLOOKUP(Cartera1017[[#This Row],[Aplicativo]],Tabla76[],3,FALSE),"Sin Aplicativo")</f>
        <v>Otros Requerimientos</v>
      </c>
      <c r="BT206" s="400"/>
      <c r="BU206" s="33"/>
      <c r="BV206" s="28"/>
      <c r="BW20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46037</v>
      </c>
      <c r="BX20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06" s="149" t="str">
        <f ca="1">IF(Cartera1017[[#This Row],[Fecha Fin2]]="","No definido",CONCATENATE(TEXT(Cartera1017[[#This Row],[Fecha Fin2]],"mmm")," ",YEAR(Cartera1017[[#This Row],[Fecha Fin2]])))</f>
        <v>Ene 2026</v>
      </c>
      <c r="BZ206" s="28"/>
      <c r="CA206" s="48" t="str">
        <f>IF(Cartera1017[[#This Row],[Estado TI]] = "08. Producción Finalizada","Culminado",IF(Cartera1017[[#This Row],[Estado TI]]= "09. Descartado","Descartado","Activos"))</f>
        <v>Culminado</v>
      </c>
      <c r="CB206" s="28"/>
      <c r="CC20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06" s="54" t="str">
        <f>IF(
AND(
Cartera1017[[#This Row],[DEVOLVER 27]]="NO",
NOT(ISBLANK(Cartera1017[[#This Row],[ESTADO NO DEVUELTOS 27]]))
),
"PRE",
"POST"
)</f>
        <v>POST</v>
      </c>
      <c r="CE206" s="54"/>
      <c r="CF206" s="28"/>
      <c r="CG20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0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06"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06" s="406">
        <f>Cartera1017[[#This Row],[Porcentaje de Avance]]</f>
        <v>1</v>
      </c>
      <c r="CK206" s="388">
        <f ca="1">IF(
   OR(
     Cartera1017[[#This Row],[Estado TI]]="09. Descartado",
     Cartera1017[[#This Row],[Comienzo Desarrollo]]="",
     Cartera1017[[#This Row],[Fin Producción]]=""
   ),
   "",
   Cartera1017[[#This Row],[% PLANIFICADO]]-Cartera1017[[#This Row],[% COMPLETADO]]
)</f>
        <v>0</v>
      </c>
      <c r="CL206" s="388">
        <f ca="1">IF(
   OR(
     Cartera1017[[#This Row],[Estado TI]]="09. Descartado",
     Cartera1017[[#This Row],[Comienzo Desarrollo]]="",
     Cartera1017[[#This Row],[Fin Producción]]="",
     Cartera1017[[#This Row],[% PLANIFICADO]]=0
   ),
   "",
   MIN(Cartera1017[[#This Row],[% COMPLETADO]]/Cartera1017[[#This Row],[% PLANIFICADO]],1.2)
)</f>
        <v>1</v>
      </c>
      <c r="CM206" s="229"/>
      <c r="CN206" s="377">
        <v>46024</v>
      </c>
      <c r="CO206" s="377">
        <v>46047</v>
      </c>
      <c r="CP206" s="377">
        <v>46048</v>
      </c>
      <c r="CQ206" s="377">
        <v>46059</v>
      </c>
      <c r="CR206" s="377">
        <v>46060</v>
      </c>
      <c r="CS206" s="377">
        <v>46065</v>
      </c>
      <c r="CT206" s="44">
        <f>IF(Cartera1017[[#This Row],[Fin Desarrollo]]="",25,IFERROR(NETWORKDAYS(Cartera1017[[#This Row],[Comienzo Desarrollo]],Cartera1017[[#This Row],[Fin Desarrollo]],FERIADOS[Fecha]),""))</f>
        <v>15</v>
      </c>
      <c r="CU20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206" s="44">
        <f>IF(OR(Cartera1017[[#This Row],[Comienzo Desarrollo]]="",Cartera1017[[#This Row],[Fin Desarrollo]]=""),200,IFERROR(Cartera1017[[#This Row],[DURACIÓN DESARROLLO DIAS]]*VLOOKUP(Cartera1017[[#This Row],[ID Mantenimiento]],MANT_HORAS[],2,FALSE),200))</f>
        <v>200</v>
      </c>
      <c r="CW206" s="110"/>
      <c r="CX206" s="110" t="str">
        <f>VLOOKUP(Cartera1017[[#This Row],[Estado TI]],Definiciones!$A$549:$B$559,2,FALSE)</f>
        <v>4. PRODUCCIÓN</v>
      </c>
      <c r="CY206" s="28">
        <f ca="1">1-Cartera1017[[#This Row],[Porcentaje avanzado desarrollo]]</f>
        <v>0</v>
      </c>
      <c r="CZ20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v>
      </c>
      <c r="DA206" s="28">
        <f ca="1">MAX(0,Cartera1017[[#This Row],[DURACIÓN DESARROLLO DIAS]]-Cartera1017[[#This Row],[Dias avanzados]])</f>
        <v>0</v>
      </c>
      <c r="DB206" s="28">
        <f ca="1">Cartera1017[[#This Row],[Dias avanzados]]*IFERROR(VLOOKUP(Cartera1017[[#This Row],[ID Mantenimiento]],MANT_HORAS[],2,FALSE),8)</f>
        <v>120</v>
      </c>
      <c r="DC206" s="28">
        <f ca="1">Cartera1017[[#This Row],[Dias faltantes]]*IFERROR(VLOOKUP(Cartera1017[[#This Row],[ID Mantenimiento]],MANT_HORAS[],2,FALSE),8)</f>
        <v>0</v>
      </c>
      <c r="DD206" s="28" t="str">
        <f>IF(Cartera1017[[#This Row],[Fin Producción]]=0,"Por definir",CONCATENATE(YEAR(Cartera1017[[#This Row],[Fin Producción]]),"-",ROUNDUP(MONTH(Cartera1017[[#This Row],[Fin Producción]]),0)))</f>
        <v>2026-2</v>
      </c>
      <c r="DE206" s="18" t="s">
        <v>1719</v>
      </c>
      <c r="DF206" s="28"/>
      <c r="DG206" s="28"/>
      <c r="DH206" s="565"/>
    </row>
    <row r="207" spans="1:112" ht="44.25" hidden="1" customHeight="1">
      <c r="A207" s="229" t="s">
        <v>1847</v>
      </c>
      <c r="B207" s="18">
        <v>3155</v>
      </c>
      <c r="C207" s="18" t="s">
        <v>485</v>
      </c>
      <c r="D207" s="18" t="s">
        <v>1848</v>
      </c>
      <c r="E207" s="18" t="s">
        <v>1849</v>
      </c>
      <c r="F207" s="33" t="s">
        <v>1850</v>
      </c>
      <c r="G207" s="19"/>
      <c r="H207" s="18" t="s">
        <v>59</v>
      </c>
      <c r="I207" s="18" t="s">
        <v>618</v>
      </c>
      <c r="J207" s="18" t="s">
        <v>619</v>
      </c>
      <c r="K207" s="20">
        <v>46020</v>
      </c>
      <c r="L207" s="50" t="s">
        <v>1851</v>
      </c>
      <c r="M207" s="50" t="s">
        <v>870</v>
      </c>
      <c r="N207" s="50"/>
      <c r="O207" s="18" t="s">
        <v>530</v>
      </c>
      <c r="P207" s="18" t="s">
        <v>495</v>
      </c>
      <c r="Q207" s="18" t="s">
        <v>496</v>
      </c>
      <c r="R207" s="18" t="s">
        <v>497</v>
      </c>
      <c r="S207" s="18"/>
      <c r="T207" s="18"/>
      <c r="U207" s="18"/>
      <c r="V207" s="18"/>
      <c r="W207" s="18"/>
      <c r="X207" s="18"/>
      <c r="Y207" s="80"/>
      <c r="Z207" s="18" t="s">
        <v>499</v>
      </c>
      <c r="AA207" s="20">
        <v>46119</v>
      </c>
      <c r="AB207" s="18" t="s">
        <v>533</v>
      </c>
      <c r="AC207" s="18"/>
      <c r="AD207" s="18" t="s">
        <v>858</v>
      </c>
      <c r="AE207" s="18" t="s">
        <v>47</v>
      </c>
      <c r="AF207" s="18" t="s">
        <v>87</v>
      </c>
      <c r="AG207" s="14" t="str">
        <f>VLOOKUP(AF207,Tabla3[[Estado Requerimiento]:[Macro estado]],2,FALSE)</f>
        <v>02. En Proceso</v>
      </c>
      <c r="AH207" s="18"/>
      <c r="AI207" s="80"/>
      <c r="AJ207" s="80"/>
      <c r="AK207" s="80">
        <v>46063</v>
      </c>
      <c r="AL207" s="80">
        <v>46141</v>
      </c>
      <c r="AM207" s="80"/>
      <c r="AN207" s="80">
        <v>46149</v>
      </c>
      <c r="AO207" s="80"/>
      <c r="AP207" s="81">
        <f t="shared" si="6"/>
        <v>46172.2</v>
      </c>
      <c r="AQ207" s="80"/>
      <c r="AR207" s="80"/>
      <c r="AS207" s="81">
        <f t="shared" si="7"/>
        <v>46179.199999999997</v>
      </c>
      <c r="AT207" s="198" t="s">
        <v>1852</v>
      </c>
      <c r="AU207" s="44" t="str">
        <f>VLOOKUP(Cartera1017[[#This Row],[Gerencia]],tbGerencia[#All],3,FALSE)</f>
        <v>RRHH</v>
      </c>
      <c r="AV207" s="44" t="str">
        <f>IFERROR(VLOOKUP(Cartera1017[[#This Row],[Subgerencia]],Definiciones!$A$90:$B$144,2,FALSE),"")</f>
        <v>AdministraciónPersonal</v>
      </c>
      <c r="AW207" s="44" t="str">
        <f>IF(OR(LEN(Cartera1017[[#This Row],[Fecha de Solicitud]])=0,(Cartera1017[[#This Row],[Fecha de Solicitud]])="No definido"),"No definido",IF(YEAR(Cartera1017[[#This Row],[Fecha de Solicitud]])&lt;2023," &lt;  2023",TEXT(Cartera1017[[#This Row],[Fecha de Solicitud]],"yyyy-mm")))</f>
        <v>2025-12</v>
      </c>
      <c r="AX207" s="44" t="str">
        <f>IF(Cartera1017[[#This Row],[Fecha de Priorización Comité]]="","No definido",TEXT(Cartera1017[[#This Row],[Fecha de Priorización Comité]],"yyyy-mm"))</f>
        <v>2026-04</v>
      </c>
      <c r="AY207" s="44" t="str">
        <f>IF(Cartera1017[[#This Row],[Fecha Fin- Desarrollo]]="","No definido",TEXT(Cartera1017[[#This Row],[Fecha Fin- Desarrollo]],"yyyy-mm"))</f>
        <v>2026-04</v>
      </c>
      <c r="AZ207" s="44" t="str">
        <f>IF(Cartera1017[[#This Row],[Fecha Fin- Producción]]="","No definido",TEXT(Cartera1017[[#This Row],[Fecha Fin- Producción]],"yyyy-mm"))</f>
        <v>No definido</v>
      </c>
      <c r="BA207" s="44" t="str">
        <f>IF(Cartera1017[[#This Row],[Fecha Fin-Planificada]]="","No definido",TEXT(Cartera1017[[#This Row],[Fecha Fin-Planificada]],"yyyy-mm"))</f>
        <v>2026-06</v>
      </c>
      <c r="BB207" s="33"/>
      <c r="BC207" s="108"/>
      <c r="BD207" s="108"/>
      <c r="BE207" s="108"/>
      <c r="BF207" s="127"/>
      <c r="BG207" s="28"/>
      <c r="BH20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7" s="90" t="str">
        <f>IF(ISNUMBER(Cartera1017[[#This Row],[Duracion en Dias]]),Cartera1017[[#This Row],[Duracion en Dias]]/30, "No Aplica")</f>
        <v>No Aplica</v>
      </c>
      <c r="BJ207" s="109"/>
      <c r="BK207" s="28" t="s">
        <v>506</v>
      </c>
      <c r="BL207" s="110" t="s">
        <v>1260</v>
      </c>
      <c r="BM207" s="342">
        <v>46161.428472222222</v>
      </c>
      <c r="BN207" s="227"/>
      <c r="BO207" s="401"/>
      <c r="BP207" s="401"/>
      <c r="BQ20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2026-Q2</v>
      </c>
      <c r="BR207" s="14" t="str">
        <f>IFERROR(VLOOKUP(Cartera1017[[#This Row],[Aplicativo]],Tabla76[],2,FALSE),"Sin Aplicativo")</f>
        <v>Oracle</v>
      </c>
      <c r="BS207" s="14" t="str">
        <f>IFERROR(VLOOKUP(Cartera1017[[#This Row],[Aplicativo]],Tabla76[],3,FALSE),"Sin Aplicativo")</f>
        <v>Otros Requerimientos</v>
      </c>
      <c r="BT207" s="400"/>
      <c r="BU207" s="33"/>
      <c r="BV207" s="28"/>
      <c r="BW20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46179.199999999997</v>
      </c>
      <c r="BX20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2026-2</v>
      </c>
      <c r="BY207" s="149" t="str">
        <f ca="1">IF(Cartera1017[[#This Row],[Fecha Fin2]]="","No definido",CONCATENATE(TEXT(Cartera1017[[#This Row],[Fecha Fin2]],"mmm")," ",YEAR(Cartera1017[[#This Row],[Fecha Fin2]])))</f>
        <v>Jun 2026</v>
      </c>
      <c r="BZ207" s="28"/>
      <c r="CA207" s="48" t="str">
        <f>IF(Cartera1017[[#This Row],[Estado TI]] = "08. Producción Finalizada","Culminado",IF(Cartera1017[[#This Row],[Estado TI]]= "09. Descartado","Descartado","Activos"))</f>
        <v>Activos</v>
      </c>
      <c r="CB207" s="28"/>
      <c r="CC20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207" s="54" t="str">
        <f>IF(
AND(
Cartera1017[[#This Row],[DEVOLVER 27]]="NO",
NOT(ISBLANK(Cartera1017[[#This Row],[ESTADO NO DEVUELTOS 27]]))
),
"PRE",
"POST"
)</f>
        <v>POST</v>
      </c>
      <c r="CE207" s="54"/>
      <c r="CF207" s="28"/>
      <c r="CG20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0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RIESGO 🟡</v>
      </c>
      <c r="CI207"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0.797752808988764</v>
      </c>
      <c r="CJ207" s="406">
        <f>Cartera1017[[#This Row],[Porcentaje de Avance]]</f>
        <v>0.7</v>
      </c>
      <c r="CK207" s="388">
        <f ca="1">IF(
   OR(
     Cartera1017[[#This Row],[Estado TI]]="09. Descartado",
     Cartera1017[[#This Row],[Comienzo Desarrollo]]="",
     Cartera1017[[#This Row],[Fin Producción]]=""
   ),
   "",
   Cartera1017[[#This Row],[% PLANIFICADO]]-Cartera1017[[#This Row],[% COMPLETADO]]
)</f>
        <v>9.7752808988764039E-2</v>
      </c>
      <c r="CL207" s="388">
        <f ca="1">IF(
   OR(
     Cartera1017[[#This Row],[Estado TI]]="09. Descartado",
     Cartera1017[[#This Row],[Comienzo Desarrollo]]="",
     Cartera1017[[#This Row],[Fin Producción]]="",
     Cartera1017[[#This Row],[% PLANIFICADO]]=0
   ),
   "",
   MIN(Cartera1017[[#This Row],[% COMPLETADO]]/Cartera1017[[#This Row],[% PLANIFICADO]],1.2)
)</f>
        <v>0.87746478873239442</v>
      </c>
      <c r="CM207" s="229"/>
      <c r="CN207" s="377">
        <v>46063</v>
      </c>
      <c r="CO207" s="377">
        <v>46142</v>
      </c>
      <c r="CP207" s="377">
        <v>46143</v>
      </c>
      <c r="CQ207" s="377">
        <v>46182</v>
      </c>
      <c r="CR207" s="377">
        <v>46183</v>
      </c>
      <c r="CS207" s="377">
        <v>46188</v>
      </c>
      <c r="CT207" s="44">
        <f>IF(Cartera1017[[#This Row],[Fin Desarrollo]]="",25,IFERROR(NETWORKDAYS(Cartera1017[[#This Row],[Comienzo Desarrollo]],Cartera1017[[#This Row],[Fin Desarrollo]],FERIADOS[Fecha]),""))</f>
        <v>58</v>
      </c>
      <c r="CU20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207" s="44">
        <f>IF(OR(Cartera1017[[#This Row],[Comienzo Desarrollo]]="",Cartera1017[[#This Row],[Fin Desarrollo]]=""),200,IFERROR(Cartera1017[[#This Row],[DURACIÓN DESARROLLO DIAS]]*VLOOKUP(Cartera1017[[#This Row],[ID Mantenimiento]],MANT_HORAS[],2,FALSE),200))</f>
        <v>200</v>
      </c>
      <c r="CW207" s="110"/>
      <c r="CX207" s="110" t="str">
        <f>VLOOKUP(Cartera1017[[#This Row],[Estado TI]],Definiciones!$A$549:$B$559,2,FALSE)</f>
        <v>2. CALIDAD</v>
      </c>
      <c r="CY207" s="28">
        <f ca="1">1-Cartera1017[[#This Row],[Porcentaje avanzado desarrollo]]</f>
        <v>0</v>
      </c>
      <c r="CZ20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58</v>
      </c>
      <c r="DA207" s="28">
        <f ca="1">MAX(0,Cartera1017[[#This Row],[DURACIÓN DESARROLLO DIAS]]-Cartera1017[[#This Row],[Dias avanzados]])</f>
        <v>0</v>
      </c>
      <c r="DB207" s="28">
        <f ca="1">Cartera1017[[#This Row],[Dias avanzados]]*IFERROR(VLOOKUP(Cartera1017[[#This Row],[ID Mantenimiento]],MANT_HORAS[],2,FALSE),8)</f>
        <v>464</v>
      </c>
      <c r="DC207" s="28">
        <f ca="1">Cartera1017[[#This Row],[Dias faltantes]]*IFERROR(VLOOKUP(Cartera1017[[#This Row],[ID Mantenimiento]],MANT_HORAS[],2,FALSE),8)</f>
        <v>0</v>
      </c>
      <c r="DD207" s="28" t="str">
        <f>IF(Cartera1017[[#This Row],[Fin Producción]]=0,"Por definir",CONCATENATE(YEAR(Cartera1017[[#This Row],[Fin Producción]]),"-",ROUNDUP(MONTH(Cartera1017[[#This Row],[Fin Producción]]),0)))</f>
        <v>2026-6</v>
      </c>
      <c r="DE207" s="18" t="s">
        <v>1719</v>
      </c>
      <c r="DF207" s="28"/>
      <c r="DG207" s="28"/>
      <c r="DH207" s="565"/>
    </row>
    <row r="208" spans="1:112" ht="44.25" hidden="1" customHeight="1">
      <c r="A208" s="229" t="s">
        <v>1853</v>
      </c>
      <c r="B208" s="18">
        <v>3156</v>
      </c>
      <c r="C208" s="18" t="s">
        <v>485</v>
      </c>
      <c r="D208" s="18" t="s">
        <v>1854</v>
      </c>
      <c r="E208" s="18"/>
      <c r="F208" s="33" t="s">
        <v>1855</v>
      </c>
      <c r="G208" s="19"/>
      <c r="H208" s="18" t="s">
        <v>26</v>
      </c>
      <c r="I208" s="18" t="s">
        <v>1837</v>
      </c>
      <c r="J208" s="18"/>
      <c r="K208" s="20">
        <v>46028</v>
      </c>
      <c r="L208" s="50" t="s">
        <v>1856</v>
      </c>
      <c r="M208" s="50"/>
      <c r="N208" s="50"/>
      <c r="O208" s="18" t="s">
        <v>642</v>
      </c>
      <c r="P208" s="18" t="s">
        <v>495</v>
      </c>
      <c r="Q208" s="18" t="s">
        <v>496</v>
      </c>
      <c r="R208" s="18" t="s">
        <v>497</v>
      </c>
      <c r="S208" s="18"/>
      <c r="T208" s="18"/>
      <c r="U208" s="18"/>
      <c r="V208" s="18"/>
      <c r="W208" s="18"/>
      <c r="X208" s="18"/>
      <c r="Y208" s="80"/>
      <c r="Z208" s="18" t="s">
        <v>499</v>
      </c>
      <c r="AA208" s="20">
        <v>46119</v>
      </c>
      <c r="AB208" s="18" t="s">
        <v>500</v>
      </c>
      <c r="AC208" s="18"/>
      <c r="AD208" s="18"/>
      <c r="AE208" s="18" t="s">
        <v>27</v>
      </c>
      <c r="AF208" s="18" t="s">
        <v>340</v>
      </c>
      <c r="AG208" s="14" t="str">
        <f>VLOOKUP(AF208,Tabla3[[Estado Requerimiento]:[Macro estado]],2,FALSE)</f>
        <v>01. No iniciado</v>
      </c>
      <c r="AH208" s="18"/>
      <c r="AI208" s="80"/>
      <c r="AJ208" s="80"/>
      <c r="AK208" s="80"/>
      <c r="AL208" s="80"/>
      <c r="AM208" s="80"/>
      <c r="AN208" s="80"/>
      <c r="AO208" s="80"/>
      <c r="AP208" s="81" t="str">
        <f t="shared" si="6"/>
        <v/>
      </c>
      <c r="AQ208" s="80"/>
      <c r="AR208" s="80"/>
      <c r="AS208" s="81" t="str">
        <f t="shared" si="7"/>
        <v/>
      </c>
      <c r="AT208" s="198" t="s">
        <v>1857</v>
      </c>
      <c r="AU208" s="44" t="str">
        <f>VLOOKUP(Cartera1017[[#This Row],[Gerencia]],tbGerencia[#All],3,FALSE)</f>
        <v>B.Digital</v>
      </c>
      <c r="AV208" s="44" t="str">
        <f>IFERROR(VLOOKUP(Cartera1017[[#This Row],[Subgerencia]],Definiciones!$A$90:$B$144,2,FALSE),"")</f>
        <v>InnovaciónDigital</v>
      </c>
      <c r="AW208" s="44" t="str">
        <f>IF(OR(LEN(Cartera1017[[#This Row],[Fecha de Solicitud]])=0,(Cartera1017[[#This Row],[Fecha de Solicitud]])="No definido"),"No definido",IF(YEAR(Cartera1017[[#This Row],[Fecha de Solicitud]])&lt;2023," &lt;  2023",TEXT(Cartera1017[[#This Row],[Fecha de Solicitud]],"yyyy-mm")))</f>
        <v>2026-01</v>
      </c>
      <c r="AX208" s="44" t="str">
        <f>IF(Cartera1017[[#This Row],[Fecha de Priorización Comité]]="","No definido",TEXT(Cartera1017[[#This Row],[Fecha de Priorización Comité]],"yyyy-mm"))</f>
        <v>2026-04</v>
      </c>
      <c r="AY208" s="44" t="str">
        <f>IF(Cartera1017[[#This Row],[Fecha Fin- Desarrollo]]="","No definido",TEXT(Cartera1017[[#This Row],[Fecha Fin- Desarrollo]],"yyyy-mm"))</f>
        <v>No definido</v>
      </c>
      <c r="AZ208" s="44" t="str">
        <f>IF(Cartera1017[[#This Row],[Fecha Fin- Producción]]="","No definido",TEXT(Cartera1017[[#This Row],[Fecha Fin- Producción]],"yyyy-mm"))</f>
        <v>No definido</v>
      </c>
      <c r="BA208" s="44" t="str">
        <f>IF(Cartera1017[[#This Row],[Fecha Fin-Planificada]]="","No definido",TEXT(Cartera1017[[#This Row],[Fecha Fin-Planificada]],"yyyy-mm"))</f>
        <v>No definido</v>
      </c>
      <c r="BB208" s="33"/>
      <c r="BC208" s="108"/>
      <c r="BD208" s="108"/>
      <c r="BE208" s="108"/>
      <c r="BF208" s="127"/>
      <c r="BG208" s="28"/>
      <c r="BH20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08" s="90" t="str">
        <f>IF(ISNUMBER(Cartera1017[[#This Row],[Duracion en Dias]]),Cartera1017[[#This Row],[Duracion en Dias]]/30, "No Aplica")</f>
        <v>No Aplica</v>
      </c>
      <c r="BJ208" s="109"/>
      <c r="BK208" s="28"/>
      <c r="BL208" s="110"/>
      <c r="BM208" s="342"/>
      <c r="BN208" s="227"/>
      <c r="BO208" s="401"/>
      <c r="BP208" s="401"/>
      <c r="BQ20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08" s="14" t="str">
        <f>IFERROR(VLOOKUP(Cartera1017[[#This Row],[Aplicativo]],Tabla76[],2,FALSE),"Sin Aplicativo")</f>
        <v>Sin Aplicativo</v>
      </c>
      <c r="BS208" s="14" t="str">
        <f>IFERROR(VLOOKUP(Cartera1017[[#This Row],[Aplicativo]],Tabla76[],3,FALSE),"Sin Aplicativo")</f>
        <v>Sin Aplicativo</v>
      </c>
      <c r="BT208" s="400"/>
      <c r="BU208" s="33"/>
      <c r="BV208" s="28"/>
      <c r="BW20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08" s="149" t="str">
        <f ca="1">IF(Cartera1017[[#This Row],[Fecha Fin2]]="","No definido",CONCATENATE(TEXT(Cartera1017[[#This Row],[Fecha Fin2]],"mmm")," ",YEAR(Cartera1017[[#This Row],[Fecha Fin2]])))</f>
        <v>No definido</v>
      </c>
      <c r="BZ208" s="28"/>
      <c r="CA208" s="48" t="str">
        <f>IF(Cartera1017[[#This Row],[Estado TI]] = "08. Producción Finalizada","Culminado",IF(Cartera1017[[#This Row],[Estado TI]]= "09. Descartado","Descartado","Activos"))</f>
        <v>Activos</v>
      </c>
      <c r="CB208" s="28"/>
      <c r="CC20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08" s="54" t="str">
        <f>IF(
AND(
Cartera1017[[#This Row],[DEVOLVER 27]]="NO",
NOT(ISBLANK(Cartera1017[[#This Row],[ESTADO NO DEVUELTOS 27]]))
),
"PRE",
"POST"
)</f>
        <v>POST</v>
      </c>
      <c r="CE208" s="54"/>
      <c r="CF208" s="28"/>
      <c r="CG20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08"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8" s="406">
        <f>Cartera1017[[#This Row],[Porcentaje de Avance]]</f>
        <v>0.1</v>
      </c>
      <c r="CK208" s="388" t="str">
        <f>IF(
   OR(
     Cartera1017[[#This Row],[Estado TI]]="09. Descartado",
     Cartera1017[[#This Row],[Comienzo Desarrollo]]="",
     Cartera1017[[#This Row],[Fin Producción]]=""
   ),
   "",
   Cartera1017[[#This Row],[% PLANIFICADO]]-Cartera1017[[#This Row],[% COMPLETADO]]
)</f>
        <v/>
      </c>
      <c r="CL208" s="388" t="str">
        <f ca="1">IF(
   OR(
     Cartera1017[[#This Row],[Estado TI]]="09. Descartado",
     Cartera1017[[#This Row],[Comienzo Desarrollo]]="",
     Cartera1017[[#This Row],[Fin Producción]]="",
     Cartera1017[[#This Row],[% PLANIFICADO]]=0
   ),
   "",
   MIN(Cartera1017[[#This Row],[% COMPLETADO]]/Cartera1017[[#This Row],[% PLANIFICADO]],1.2)
)</f>
        <v/>
      </c>
      <c r="CM208" s="229"/>
      <c r="CN208" s="229"/>
      <c r="CO208" s="229"/>
      <c r="CP208" s="229"/>
      <c r="CQ208" s="229"/>
      <c r="CR208" s="229"/>
      <c r="CS208" s="229"/>
      <c r="CT208" s="44">
        <f>IF(Cartera1017[[#This Row],[Fin Desarrollo]]="",25,IFERROR(NETWORKDAYS(Cartera1017[[#This Row],[Comienzo Desarrollo]],Cartera1017[[#This Row],[Fin Desarrollo]],FERIADOS[Fecha]),""))</f>
        <v>25</v>
      </c>
      <c r="CU20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08" s="44">
        <f>IF(OR(Cartera1017[[#This Row],[Comienzo Desarrollo]]="",Cartera1017[[#This Row],[Fin Desarrollo]]=""),200,IFERROR(Cartera1017[[#This Row],[DURACIÓN DESARROLLO DIAS]]*VLOOKUP(Cartera1017[[#This Row],[ID Mantenimiento]],MANT_HORAS[],2,FALSE),200))</f>
        <v>200</v>
      </c>
      <c r="CW208" s="110"/>
      <c r="CX208" s="110" t="str">
        <f>VLOOKUP(Cartera1017[[#This Row],[Estado TI]],Definiciones!$A$549:$B$559,2,FALSE)</f>
        <v>1. DESARROLLO</v>
      </c>
      <c r="CY208" s="28">
        <f ca="1">1-Cartera1017[[#This Row],[Porcentaje avanzado desarrollo]]</f>
        <v>0.9</v>
      </c>
      <c r="CZ20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8" s="28">
        <f ca="1">MAX(0,Cartera1017[[#This Row],[DURACIÓN DESARROLLO DIAS]]-Cartera1017[[#This Row],[Dias avanzados]])</f>
        <v>24</v>
      </c>
      <c r="DB208" s="28">
        <f ca="1">Cartera1017[[#This Row],[Dias avanzados]]*IFERROR(VLOOKUP(Cartera1017[[#This Row],[ID Mantenimiento]],MANT_HORAS[],2,FALSE),8)</f>
        <v>8</v>
      </c>
      <c r="DC208" s="28">
        <f ca="1">Cartera1017[[#This Row],[Dias faltantes]]*IFERROR(VLOOKUP(Cartera1017[[#This Row],[ID Mantenimiento]],MANT_HORAS[],2,FALSE),8)</f>
        <v>192</v>
      </c>
      <c r="DD208" s="28" t="str">
        <f>IF(Cartera1017[[#This Row],[Fin Producción]]=0,"Por definir",CONCATENATE(YEAR(Cartera1017[[#This Row],[Fin Producción]]),"-",ROUNDUP(MONTH(Cartera1017[[#This Row],[Fin Producción]]),0)))</f>
        <v>Por definir</v>
      </c>
      <c r="DE208" s="18" t="s">
        <v>1719</v>
      </c>
      <c r="DF208" s="28"/>
      <c r="DG208" s="28"/>
      <c r="DH208" s="565"/>
    </row>
    <row r="209" spans="1:112" ht="44.25" hidden="1" customHeight="1">
      <c r="A209" s="229" t="s">
        <v>1858</v>
      </c>
      <c r="B209" s="18">
        <v>3157</v>
      </c>
      <c r="C209" s="18" t="s">
        <v>485</v>
      </c>
      <c r="D209" s="18" t="s">
        <v>1859</v>
      </c>
      <c r="E209" s="18" t="s">
        <v>1860</v>
      </c>
      <c r="F209" s="33" t="s">
        <v>1861</v>
      </c>
      <c r="G209" s="19"/>
      <c r="H209" s="18" t="s">
        <v>52</v>
      </c>
      <c r="I209" s="18" t="s">
        <v>596</v>
      </c>
      <c r="J209" s="18" t="s">
        <v>1862</v>
      </c>
      <c r="K209" s="20">
        <v>46031</v>
      </c>
      <c r="L209" s="50" t="s">
        <v>1863</v>
      </c>
      <c r="M209" s="50" t="s">
        <v>968</v>
      </c>
      <c r="N209" s="50"/>
      <c r="O209" s="18" t="s">
        <v>548</v>
      </c>
      <c r="P209" s="18" t="s">
        <v>495</v>
      </c>
      <c r="Q209" s="18" t="s">
        <v>496</v>
      </c>
      <c r="R209" s="18" t="s">
        <v>531</v>
      </c>
      <c r="S209" s="18"/>
      <c r="T209" s="18"/>
      <c r="U209" s="18"/>
      <c r="V209" s="18"/>
      <c r="W209" s="18"/>
      <c r="X209" s="18"/>
      <c r="Y209" s="80"/>
      <c r="Z209" s="18" t="s">
        <v>499</v>
      </c>
      <c r="AA209" s="20">
        <v>46119</v>
      </c>
      <c r="AB209" s="18" t="s">
        <v>500</v>
      </c>
      <c r="AC209" s="18"/>
      <c r="AD209" s="18" t="s">
        <v>162</v>
      </c>
      <c r="AE209" s="18" t="s">
        <v>47</v>
      </c>
      <c r="AF209" s="18" t="s">
        <v>35</v>
      </c>
      <c r="AG209" s="14" t="str">
        <f>VLOOKUP(AF209,Tabla3[[Estado Requerimiento]:[Macro estado]],2,FALSE)</f>
        <v>02. En Proceso</v>
      </c>
      <c r="AH209" s="18"/>
      <c r="AI209" s="80"/>
      <c r="AJ209" s="80"/>
      <c r="AK209" s="80">
        <v>46038</v>
      </c>
      <c r="AL209" s="80"/>
      <c r="AM209" s="80"/>
      <c r="AN209" s="80"/>
      <c r="AO209" s="80"/>
      <c r="AP209" s="81" t="str">
        <f t="shared" si="6"/>
        <v/>
      </c>
      <c r="AQ209" s="80">
        <v>46069</v>
      </c>
      <c r="AR209" s="80"/>
      <c r="AS209" s="81" t="str">
        <f t="shared" si="7"/>
        <v/>
      </c>
      <c r="AT209" s="198" t="s">
        <v>1864</v>
      </c>
      <c r="AU209" s="44" t="str">
        <f>VLOOKUP(Cartera1017[[#This Row],[Gerencia]],tbGerencia[#All],3,FALSE)</f>
        <v>Finanzas</v>
      </c>
      <c r="AV209" s="44" t="str">
        <f>IFERROR(VLOOKUP(Cartera1017[[#This Row],[Subgerencia]],Definiciones!$A$90:$B$144,2,FALSE),"")</f>
        <v>Contabilidad</v>
      </c>
      <c r="AW209" s="44" t="str">
        <f>IF(OR(LEN(Cartera1017[[#This Row],[Fecha de Solicitud]])=0,(Cartera1017[[#This Row],[Fecha de Solicitud]])="No definido"),"No definido",IF(YEAR(Cartera1017[[#This Row],[Fecha de Solicitud]])&lt;2023," &lt;  2023",TEXT(Cartera1017[[#This Row],[Fecha de Solicitud]],"yyyy-mm")))</f>
        <v>2026-01</v>
      </c>
      <c r="AX209" s="44" t="str">
        <f>IF(Cartera1017[[#This Row],[Fecha de Priorización Comité]]="","No definido",TEXT(Cartera1017[[#This Row],[Fecha de Priorización Comité]],"yyyy-mm"))</f>
        <v>2026-04</v>
      </c>
      <c r="AY209" s="44" t="str">
        <f>IF(Cartera1017[[#This Row],[Fecha Fin- Desarrollo]]="","No definido",TEXT(Cartera1017[[#This Row],[Fecha Fin- Desarrollo]],"yyyy-mm"))</f>
        <v>No definido</v>
      </c>
      <c r="AZ209" s="44" t="str">
        <f>IF(Cartera1017[[#This Row],[Fecha Fin- Producción]]="","No definido",TEXT(Cartera1017[[#This Row],[Fecha Fin- Producción]],"yyyy-mm"))</f>
        <v>No definido</v>
      </c>
      <c r="BA209" s="44" t="str">
        <f>IF(Cartera1017[[#This Row],[Fecha Fin-Planificada]]="","No definido",TEXT(Cartera1017[[#This Row],[Fecha Fin-Planificada]],"yyyy-mm"))</f>
        <v>No definido</v>
      </c>
      <c r="BB209" s="33"/>
      <c r="BC209" s="108"/>
      <c r="BD209" s="108"/>
      <c r="BE209" s="108"/>
      <c r="BF209" s="127"/>
      <c r="BG209" s="28"/>
      <c r="BH20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9" s="90" t="str">
        <f>IF(ISNUMBER(Cartera1017[[#This Row],[Duracion en Dias]]),Cartera1017[[#This Row],[Duracion en Dias]]/30, "No Aplica")</f>
        <v>No Aplica</v>
      </c>
      <c r="BJ209" s="109"/>
      <c r="BK209" s="28" t="s">
        <v>506</v>
      </c>
      <c r="BL209" s="110" t="s">
        <v>734</v>
      </c>
      <c r="BM209" s="342">
        <v>46069.465208333335</v>
      </c>
      <c r="BN209" s="227"/>
      <c r="BO209" s="401"/>
      <c r="BP209" s="401"/>
      <c r="BQ20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9" s="14" t="str">
        <f>IFERROR(VLOOKUP(Cartera1017[[#This Row],[Aplicativo]],Tabla76[],2,FALSE),"Sin Aplicativo")</f>
        <v>ATM-Agentes-VISA</v>
      </c>
      <c r="BS209" s="14" t="str">
        <f>IFERROR(VLOOKUP(Cartera1017[[#This Row],[Aplicativo]],Tabla76[],3,FALSE),"Sin Aplicativo")</f>
        <v>Canales Presenciales</v>
      </c>
      <c r="BT209" s="400"/>
      <c r="BU209" s="33"/>
      <c r="BV209" s="28"/>
      <c r="BW20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9" s="149" t="str">
        <f ca="1">IF(Cartera1017[[#This Row],[Fecha Fin2]]="","No definido",CONCATENATE(TEXT(Cartera1017[[#This Row],[Fecha Fin2]],"mmm")," ",YEAR(Cartera1017[[#This Row],[Fecha Fin2]])))</f>
        <v>No definido</v>
      </c>
      <c r="BZ209" s="28"/>
      <c r="CA209" s="48" t="str">
        <f>IF(Cartera1017[[#This Row],[Estado TI]] = "08. Producción Finalizada","Culminado",IF(Cartera1017[[#This Row],[Estado TI]]= "09. Descartado","Descartado","Activos"))</f>
        <v>Activos</v>
      </c>
      <c r="CB209" s="28"/>
      <c r="CC20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209" s="54" t="str">
        <f>IF(
AND(
Cartera1017[[#This Row],[DEVOLVER 27]]="NO",
NOT(ISBLANK(Cartera1017[[#This Row],[ESTADO NO DEVUELTOS 27]]))
),
"PRE",
"POST"
)</f>
        <v>POST</v>
      </c>
      <c r="CE209" s="54"/>
      <c r="CF209" s="28"/>
      <c r="CG20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09"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9" s="406">
        <f>Cartera1017[[#This Row],[Porcentaje de Avance]]</f>
        <v>0.9</v>
      </c>
      <c r="CK209" s="388" t="str">
        <f>IF(
   OR(
     Cartera1017[[#This Row],[Estado TI]]="09. Descartado",
     Cartera1017[[#This Row],[Comienzo Desarrollo]]="",
     Cartera1017[[#This Row],[Fin Producción]]=""
   ),
   "",
   Cartera1017[[#This Row],[% PLANIFICADO]]-Cartera1017[[#This Row],[% COMPLETADO]]
)</f>
        <v/>
      </c>
      <c r="CL209" s="388" t="str">
        <f ca="1">IF(
   OR(
     Cartera1017[[#This Row],[Estado TI]]="09. Descartado",
     Cartera1017[[#This Row],[Comienzo Desarrollo]]="",
     Cartera1017[[#This Row],[Fin Producción]]="",
     Cartera1017[[#This Row],[% PLANIFICADO]]=0
   ),
   "",
   MIN(Cartera1017[[#This Row],[% COMPLETADO]]/Cartera1017[[#This Row],[% PLANIFICADO]],1.2)
)</f>
        <v/>
      </c>
      <c r="CM209" s="229"/>
      <c r="CN209" s="229"/>
      <c r="CO209" s="229"/>
      <c r="CP209" s="229"/>
      <c r="CQ209" s="229"/>
      <c r="CR209" s="229"/>
      <c r="CS209" s="229"/>
      <c r="CT209" s="44">
        <f>IF(Cartera1017[[#This Row],[Fin Desarrollo]]="",25,IFERROR(NETWORKDAYS(Cartera1017[[#This Row],[Comienzo Desarrollo]],Cartera1017[[#This Row],[Fin Desarrollo]],FERIADOS[Fecha]),""))</f>
        <v>25</v>
      </c>
      <c r="CU20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09" s="44">
        <f>IF(OR(Cartera1017[[#This Row],[Comienzo Desarrollo]]="",Cartera1017[[#This Row],[Fin Desarrollo]]=""),200,IFERROR(Cartera1017[[#This Row],[DURACIÓN DESARROLLO DIAS]]*VLOOKUP(Cartera1017[[#This Row],[ID Mantenimiento]],MANT_HORAS[],2,FALSE),200))</f>
        <v>200</v>
      </c>
      <c r="CW209" s="110"/>
      <c r="CX209" s="110" t="str">
        <f>VLOOKUP(Cartera1017[[#This Row],[Estado TI]],Definiciones!$A$549:$B$559,2,FALSE)</f>
        <v>3. DESPLIEGUE</v>
      </c>
      <c r="CY209" s="28">
        <f ca="1">1-Cartera1017[[#This Row],[Porcentaje avanzado desarrollo]]</f>
        <v>0.9</v>
      </c>
      <c r="CZ20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9" s="28">
        <f ca="1">MAX(0,Cartera1017[[#This Row],[DURACIÓN DESARROLLO DIAS]]-Cartera1017[[#This Row],[Dias avanzados]])</f>
        <v>24</v>
      </c>
      <c r="DB209" s="28">
        <f ca="1">Cartera1017[[#This Row],[Dias avanzados]]*IFERROR(VLOOKUP(Cartera1017[[#This Row],[ID Mantenimiento]],MANT_HORAS[],2,FALSE),8)</f>
        <v>8</v>
      </c>
      <c r="DC209" s="28">
        <f ca="1">Cartera1017[[#This Row],[Dias faltantes]]*IFERROR(VLOOKUP(Cartera1017[[#This Row],[ID Mantenimiento]],MANT_HORAS[],2,FALSE),8)</f>
        <v>192</v>
      </c>
      <c r="DD209" s="28" t="str">
        <f>IF(Cartera1017[[#This Row],[Fin Producción]]=0,"Por definir",CONCATENATE(YEAR(Cartera1017[[#This Row],[Fin Producción]]),"-",ROUNDUP(MONTH(Cartera1017[[#This Row],[Fin Producción]]),0)))</f>
        <v>Por definir</v>
      </c>
      <c r="DE209" s="18" t="s">
        <v>1719</v>
      </c>
      <c r="DF209" s="28"/>
      <c r="DG209" s="28" t="s">
        <v>659</v>
      </c>
      <c r="DH209" s="565"/>
    </row>
    <row r="210" spans="1:112" ht="44.25" hidden="1" customHeight="1">
      <c r="A210" s="229" t="s">
        <v>1865</v>
      </c>
      <c r="B210" s="18">
        <v>3158</v>
      </c>
      <c r="C210" s="18" t="s">
        <v>485</v>
      </c>
      <c r="D210" s="18" t="s">
        <v>1866</v>
      </c>
      <c r="E210" s="18" t="s">
        <v>1867</v>
      </c>
      <c r="F210" s="33" t="s">
        <v>1868</v>
      </c>
      <c r="G210" s="19"/>
      <c r="H210" s="18" t="s">
        <v>59</v>
      </c>
      <c r="I210" s="18" t="s">
        <v>854</v>
      </c>
      <c r="J210" s="18" t="s">
        <v>855</v>
      </c>
      <c r="K210" s="20">
        <v>46041</v>
      </c>
      <c r="L210" s="50" t="s">
        <v>1869</v>
      </c>
      <c r="M210" s="50" t="s">
        <v>1870</v>
      </c>
      <c r="N210" s="50"/>
      <c r="O210" s="18" t="s">
        <v>530</v>
      </c>
      <c r="P210" s="18" t="s">
        <v>495</v>
      </c>
      <c r="Q210" s="18" t="s">
        <v>496</v>
      </c>
      <c r="R210" s="18" t="s">
        <v>531</v>
      </c>
      <c r="S210" s="18"/>
      <c r="T210" s="18"/>
      <c r="U210" s="18"/>
      <c r="V210" s="18"/>
      <c r="W210" s="18"/>
      <c r="X210" s="18"/>
      <c r="Y210" s="80"/>
      <c r="Z210" s="18" t="s">
        <v>499</v>
      </c>
      <c r="AA210" s="20">
        <v>46119</v>
      </c>
      <c r="AB210" s="18" t="s">
        <v>533</v>
      </c>
      <c r="AC210" s="18"/>
      <c r="AD210" s="18" t="s">
        <v>37</v>
      </c>
      <c r="AE210" s="18" t="s">
        <v>47</v>
      </c>
      <c r="AF210" s="18" t="s">
        <v>48</v>
      </c>
      <c r="AG210" s="14" t="str">
        <f>VLOOKUP(AF210,Tabla3[[Estado Requerimiento]:[Macro estado]],2,FALSE)</f>
        <v>02. En Proceso</v>
      </c>
      <c r="AH210" s="18"/>
      <c r="AI210" s="80"/>
      <c r="AJ210" s="80"/>
      <c r="AK210" s="80">
        <v>46042</v>
      </c>
      <c r="AL210" s="80"/>
      <c r="AM210" s="80"/>
      <c r="AN210" s="80"/>
      <c r="AO210" s="80"/>
      <c r="AP210" s="81" t="str">
        <f t="shared" si="6"/>
        <v/>
      </c>
      <c r="AQ210" s="80"/>
      <c r="AR210" s="80"/>
      <c r="AS210" s="81" t="str">
        <f t="shared" si="7"/>
        <v/>
      </c>
      <c r="AT210" s="198" t="s">
        <v>1871</v>
      </c>
      <c r="AU210" s="44" t="str">
        <f>VLOOKUP(Cartera1017[[#This Row],[Gerencia]],tbGerencia[#All],3,FALSE)</f>
        <v>RRHH</v>
      </c>
      <c r="AV210" s="44" t="str">
        <f>IFERROR(VLOOKUP(Cartera1017[[#This Row],[Subgerencia]],Definiciones!$A$90:$B$144,2,FALSE),"")</f>
        <v>Compensaciones</v>
      </c>
      <c r="AW210" s="44" t="str">
        <f>IF(OR(LEN(Cartera1017[[#This Row],[Fecha de Solicitud]])=0,(Cartera1017[[#This Row],[Fecha de Solicitud]])="No definido"),"No definido",IF(YEAR(Cartera1017[[#This Row],[Fecha de Solicitud]])&lt;2023," &lt;  2023",TEXT(Cartera1017[[#This Row],[Fecha de Solicitud]],"yyyy-mm")))</f>
        <v>2026-01</v>
      </c>
      <c r="AX210" s="44" t="str">
        <f>IF(Cartera1017[[#This Row],[Fecha de Priorización Comité]]="","No definido",TEXT(Cartera1017[[#This Row],[Fecha de Priorización Comité]],"yyyy-mm"))</f>
        <v>2026-04</v>
      </c>
      <c r="AY210" s="44" t="str">
        <f>IF(Cartera1017[[#This Row],[Fecha Fin- Desarrollo]]="","No definido",TEXT(Cartera1017[[#This Row],[Fecha Fin- Desarrollo]],"yyyy-mm"))</f>
        <v>No definido</v>
      </c>
      <c r="AZ210" s="44" t="str">
        <f>IF(Cartera1017[[#This Row],[Fecha Fin- Producción]]="","No definido",TEXT(Cartera1017[[#This Row],[Fecha Fin- Producción]],"yyyy-mm"))</f>
        <v>No definido</v>
      </c>
      <c r="BA210" s="44" t="str">
        <f>IF(Cartera1017[[#This Row],[Fecha Fin-Planificada]]="","No definido",TEXT(Cartera1017[[#This Row],[Fecha Fin-Planificada]],"yyyy-mm"))</f>
        <v>No definido</v>
      </c>
      <c r="BB210" s="33"/>
      <c r="BC210" s="108"/>
      <c r="BD210" s="108"/>
      <c r="BE210" s="108"/>
      <c r="BF210" s="127"/>
      <c r="BG210" s="28"/>
      <c r="BH21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0" s="90" t="str">
        <f>IF(ISNUMBER(Cartera1017[[#This Row],[Duracion en Dias]]),Cartera1017[[#This Row],[Duracion en Dias]]/30, "No Aplica")</f>
        <v>No Aplica</v>
      </c>
      <c r="BJ210" s="109"/>
      <c r="BK210" s="28" t="s">
        <v>1115</v>
      </c>
      <c r="BL210" s="110" t="s">
        <v>592</v>
      </c>
      <c r="BM210" s="342">
        <v>46042.382326388892</v>
      </c>
      <c r="BN210" s="227"/>
      <c r="BO210" s="401"/>
      <c r="BP210" s="401"/>
      <c r="BQ21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0" s="14" t="str">
        <f>IFERROR(VLOOKUP(Cartera1017[[#This Row],[Aplicativo]],Tabla76[],2,FALSE),"Sin Aplicativo")</f>
        <v>Sin Aplicativo</v>
      </c>
      <c r="BS210" s="14" t="str">
        <f>IFERROR(VLOOKUP(Cartera1017[[#This Row],[Aplicativo]],Tabla76[],3,FALSE),"Sin Aplicativo")</f>
        <v>Sin Aplicativo</v>
      </c>
      <c r="BT210" s="400"/>
      <c r="BU210" s="33"/>
      <c r="BV210" s="28"/>
      <c r="BW21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0" s="149" t="str">
        <f ca="1">IF(Cartera1017[[#This Row],[Fecha Fin2]]="","No definido",CONCATENATE(TEXT(Cartera1017[[#This Row],[Fecha Fin2]],"mmm")," ",YEAR(Cartera1017[[#This Row],[Fecha Fin2]])))</f>
        <v>No definido</v>
      </c>
      <c r="BZ210" s="28"/>
      <c r="CA210" s="48" t="str">
        <f>IF(Cartera1017[[#This Row],[Estado TI]] = "08. Producción Finalizada","Culminado",IF(Cartera1017[[#This Row],[Estado TI]]= "09. Descartado","Descartado","Activos"))</f>
        <v>Activos</v>
      </c>
      <c r="CB210" s="28"/>
      <c r="CC21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10" s="54" t="str">
        <f>IF(
AND(
Cartera1017[[#This Row],[DEVOLVER 27]]="NO",
NOT(ISBLANK(Cartera1017[[#This Row],[ESTADO NO DEVUELTOS 27]]))
),
"PRE",
"POST"
)</f>
        <v>POST</v>
      </c>
      <c r="CE210" s="54"/>
      <c r="CF210" s="28"/>
      <c r="CG21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1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10"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210" s="406">
        <f>Cartera1017[[#This Row],[Porcentaje de Avance]]</f>
        <v>0.15</v>
      </c>
      <c r="CK210" s="388">
        <f ca="1">IF(
   OR(
     Cartera1017[[#This Row],[Estado TI]]="09. Descartado",
     Cartera1017[[#This Row],[Comienzo Desarrollo]]="",
     Cartera1017[[#This Row],[Fin Producción]]=""
   ),
   "",
   Cartera1017[[#This Row],[% PLANIFICADO]]-Cartera1017[[#This Row],[% COMPLETADO]]
)</f>
        <v>-0.15</v>
      </c>
      <c r="CL210" s="388" t="str">
        <f ca="1">IF(
   OR(
     Cartera1017[[#This Row],[Estado TI]]="09. Descartado",
     Cartera1017[[#This Row],[Comienzo Desarrollo]]="",
     Cartera1017[[#This Row],[Fin Producción]]="",
     Cartera1017[[#This Row],[% PLANIFICADO]]=0
   ),
   "",
   MIN(Cartera1017[[#This Row],[% COMPLETADO]]/Cartera1017[[#This Row],[% PLANIFICADO]],1.2)
)</f>
        <v/>
      </c>
      <c r="CM210" s="229"/>
      <c r="CN210" s="377">
        <v>46204</v>
      </c>
      <c r="CO210" s="377">
        <v>46387</v>
      </c>
      <c r="CP210" s="377">
        <v>46388</v>
      </c>
      <c r="CQ210" s="377">
        <v>46479</v>
      </c>
      <c r="CR210" s="377">
        <v>46480</v>
      </c>
      <c r="CS210" s="377">
        <v>46485</v>
      </c>
      <c r="CT210" s="44">
        <f>IF(Cartera1017[[#This Row],[Fin Desarrollo]]="",25,IFERROR(NETWORKDAYS(Cartera1017[[#This Row],[Comienzo Desarrollo]],Cartera1017[[#This Row],[Fin Desarrollo]],FERIADOS[Fecha]),""))</f>
        <v>127</v>
      </c>
      <c r="CU21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V210" s="44">
        <f>IF(OR(Cartera1017[[#This Row],[Comienzo Desarrollo]]="",Cartera1017[[#This Row],[Fin Desarrollo]]=""),200,IFERROR(Cartera1017[[#This Row],[DURACIÓN DESARROLLO DIAS]]*VLOOKUP(Cartera1017[[#This Row],[ID Mantenimiento]],MANT_HORAS[],2,FALSE),200))</f>
        <v>508</v>
      </c>
      <c r="CW210" s="110"/>
      <c r="CX210" s="110" t="str">
        <f>VLOOKUP(Cartera1017[[#This Row],[Estado TI]],Definiciones!$A$549:$B$559,2,FALSE)</f>
        <v>1. DESARROLLO</v>
      </c>
      <c r="CY210" s="28">
        <f ca="1">1-Cartera1017[[#This Row],[Porcentaje avanzado desarrollo]]</f>
        <v>1</v>
      </c>
      <c r="CZ21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210" s="28">
        <f ca="1">MAX(0,Cartera1017[[#This Row],[DURACIÓN DESARROLLO DIAS]]-Cartera1017[[#This Row],[Dias avanzados]])</f>
        <v>127</v>
      </c>
      <c r="DB210" s="28">
        <f ca="1">Cartera1017[[#This Row],[Dias avanzados]]*IFERROR(VLOOKUP(Cartera1017[[#This Row],[ID Mantenimiento]],MANT_HORAS[],2,FALSE),8)</f>
        <v>0</v>
      </c>
      <c r="DC210" s="28">
        <f ca="1">Cartera1017[[#This Row],[Dias faltantes]]*IFERROR(VLOOKUP(Cartera1017[[#This Row],[ID Mantenimiento]],MANT_HORAS[],2,FALSE),8)</f>
        <v>508</v>
      </c>
      <c r="DD210" s="28" t="str">
        <f>IF(Cartera1017[[#This Row],[Fin Producción]]=0,"Por definir",CONCATENATE(YEAR(Cartera1017[[#This Row],[Fin Producción]]),"-",ROUNDUP(MONTH(Cartera1017[[#This Row],[Fin Producción]]),0)))</f>
        <v>2027-4</v>
      </c>
      <c r="DE210" s="18" t="s">
        <v>1719</v>
      </c>
      <c r="DF210" s="28"/>
      <c r="DG210" s="28"/>
      <c r="DH210" s="565"/>
    </row>
    <row r="211" spans="1:112" ht="44.25" hidden="1" customHeight="1">
      <c r="A211" s="229" t="s">
        <v>1872</v>
      </c>
      <c r="B211" s="18">
        <v>3159</v>
      </c>
      <c r="C211" s="18" t="s">
        <v>485</v>
      </c>
      <c r="D211" s="18" t="s">
        <v>1873</v>
      </c>
      <c r="E211" s="18" t="s">
        <v>1874</v>
      </c>
      <c r="F211" s="33" t="s">
        <v>1875</v>
      </c>
      <c r="G211" s="19"/>
      <c r="H211" s="18" t="s">
        <v>26</v>
      </c>
      <c r="I211" s="18" t="s">
        <v>539</v>
      </c>
      <c r="J211" s="18" t="s">
        <v>540</v>
      </c>
      <c r="K211" s="20">
        <v>45236</v>
      </c>
      <c r="L211" s="50" t="s">
        <v>1876</v>
      </c>
      <c r="M211" s="50" t="s">
        <v>1041</v>
      </c>
      <c r="N211" s="50"/>
      <c r="O211" s="18" t="s">
        <v>548</v>
      </c>
      <c r="P211" s="18" t="s">
        <v>495</v>
      </c>
      <c r="Q211" s="18" t="s">
        <v>496</v>
      </c>
      <c r="R211" s="18" t="s">
        <v>599</v>
      </c>
      <c r="S211" s="18"/>
      <c r="T211" s="18"/>
      <c r="U211" s="18"/>
      <c r="V211" s="18"/>
      <c r="W211" s="18"/>
      <c r="X211" s="18"/>
      <c r="Y211" s="80"/>
      <c r="Z211" s="18" t="s">
        <v>499</v>
      </c>
      <c r="AA211" s="20">
        <v>46119</v>
      </c>
      <c r="AB211" s="18" t="s">
        <v>713</v>
      </c>
      <c r="AC211" s="18"/>
      <c r="AD211" s="18" t="s">
        <v>1877</v>
      </c>
      <c r="AE211" s="18" t="s">
        <v>27</v>
      </c>
      <c r="AF211" s="18" t="s">
        <v>48</v>
      </c>
      <c r="AG211" s="14" t="str">
        <f>VLOOKUP(AF211,Tabla3[[Estado Requerimiento]:[Macro estado]],2,FALSE)</f>
        <v>02. En Proceso</v>
      </c>
      <c r="AH211" s="18"/>
      <c r="AI211" s="80"/>
      <c r="AJ211" s="80"/>
      <c r="AK211" s="80">
        <v>46050</v>
      </c>
      <c r="AL211" s="80"/>
      <c r="AM211" s="80"/>
      <c r="AN211" s="80"/>
      <c r="AO211" s="80"/>
      <c r="AP211" s="81" t="str">
        <f t="shared" si="6"/>
        <v/>
      </c>
      <c r="AQ211" s="80"/>
      <c r="AR211" s="80"/>
      <c r="AS211" s="81" t="str">
        <f t="shared" si="7"/>
        <v/>
      </c>
      <c r="AT211" s="198" t="s">
        <v>1878</v>
      </c>
      <c r="AU211" s="44" t="str">
        <f>VLOOKUP(Cartera1017[[#This Row],[Gerencia]],tbGerencia[#All],3,FALSE)</f>
        <v>B.Digital</v>
      </c>
      <c r="AV211" s="44" t="str">
        <f>IFERROR(VLOOKUP(Cartera1017[[#This Row],[Subgerencia]],Definiciones!$A$90:$B$144,2,FALSE),"")</f>
        <v>CanalesAlternos</v>
      </c>
      <c r="AW211" s="44" t="str">
        <f>IF(OR(LEN(Cartera1017[[#This Row],[Fecha de Solicitud]])=0,(Cartera1017[[#This Row],[Fecha de Solicitud]])="No definido"),"No definido",IF(YEAR(Cartera1017[[#This Row],[Fecha de Solicitud]])&lt;2023," &lt;  2023",TEXT(Cartera1017[[#This Row],[Fecha de Solicitud]],"yyyy-mm")))</f>
        <v>2023-11</v>
      </c>
      <c r="AX211" s="44" t="str">
        <f>IF(Cartera1017[[#This Row],[Fecha de Priorización Comité]]="","No definido",TEXT(Cartera1017[[#This Row],[Fecha de Priorización Comité]],"yyyy-mm"))</f>
        <v>2026-04</v>
      </c>
      <c r="AY211" s="44" t="str">
        <f>IF(Cartera1017[[#This Row],[Fecha Fin- Desarrollo]]="","No definido",TEXT(Cartera1017[[#This Row],[Fecha Fin- Desarrollo]],"yyyy-mm"))</f>
        <v>No definido</v>
      </c>
      <c r="AZ211" s="44" t="str">
        <f>IF(Cartera1017[[#This Row],[Fecha Fin- Producción]]="","No definido",TEXT(Cartera1017[[#This Row],[Fecha Fin- Producción]],"yyyy-mm"))</f>
        <v>No definido</v>
      </c>
      <c r="BA211" s="44" t="str">
        <f>IF(Cartera1017[[#This Row],[Fecha Fin-Planificada]]="","No definido",TEXT(Cartera1017[[#This Row],[Fecha Fin-Planificada]],"yyyy-mm"))</f>
        <v>No definido</v>
      </c>
      <c r="BB211" s="33"/>
      <c r="BC211" s="108"/>
      <c r="BD211" s="108"/>
      <c r="BE211" s="108"/>
      <c r="BF211" s="127"/>
      <c r="BG211" s="28"/>
      <c r="BH21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1" s="90" t="str">
        <f>IF(ISNUMBER(Cartera1017[[#This Row],[Duracion en Dias]]),Cartera1017[[#This Row],[Duracion en Dias]]/30, "No Aplica")</f>
        <v>No Aplica</v>
      </c>
      <c r="BJ211" s="109"/>
      <c r="BK211" s="28" t="s">
        <v>1529</v>
      </c>
      <c r="BL211" s="110" t="s">
        <v>592</v>
      </c>
      <c r="BM211" s="342">
        <v>46141.516759259262</v>
      </c>
      <c r="BN211" s="227"/>
      <c r="BO211" s="401"/>
      <c r="BP211" s="401"/>
      <c r="BQ21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1" s="14" t="str">
        <f>IFERROR(VLOOKUP(Cartera1017[[#This Row],[Aplicativo]],Tabla76[],2,FALSE),"Sin Aplicativo")</f>
        <v>Ventanilla</v>
      </c>
      <c r="BS211" s="14" t="str">
        <f>IFERROR(VLOOKUP(Cartera1017[[#This Row],[Aplicativo]],Tabla76[],3,FALSE),"Sin Aplicativo")</f>
        <v>Canales Presenciales</v>
      </c>
      <c r="BT211" s="400"/>
      <c r="BU211" s="33"/>
      <c r="BV211" s="28"/>
      <c r="BW21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1" s="149" t="str">
        <f ca="1">IF(Cartera1017[[#This Row],[Fecha Fin2]]="","No definido",CONCATENATE(TEXT(Cartera1017[[#This Row],[Fecha Fin2]],"mmm")," ",YEAR(Cartera1017[[#This Row],[Fecha Fin2]])))</f>
        <v>No definido</v>
      </c>
      <c r="BZ211" s="28"/>
      <c r="CA211" s="48" t="str">
        <f>IF(Cartera1017[[#This Row],[Estado TI]] = "08. Producción Finalizada","Culminado",IF(Cartera1017[[#This Row],[Estado TI]]= "09. Descartado","Descartado","Activos"))</f>
        <v>Activos</v>
      </c>
      <c r="CB211" s="28"/>
      <c r="CC21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11" s="54" t="str">
        <f>IF(
AND(
Cartera1017[[#This Row],[DEVOLVER 27]]="NO",
NOT(ISBLANK(Cartera1017[[#This Row],[ESTADO NO DEVUELTOS 27]]))
),
"PRE",
"POST"
)</f>
        <v>POST</v>
      </c>
      <c r="CE211" s="54"/>
      <c r="CF211" s="28"/>
      <c r="CG21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1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11"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11" s="406">
        <f>Cartera1017[[#This Row],[Porcentaje de Avance]]</f>
        <v>0.25</v>
      </c>
      <c r="CK211" s="388" t="str">
        <f>IF(
   OR(
     Cartera1017[[#This Row],[Estado TI]]="09. Descartado",
     Cartera1017[[#This Row],[Comienzo Desarrollo]]="",
     Cartera1017[[#This Row],[Fin Producción]]=""
   ),
   "",
   Cartera1017[[#This Row],[% PLANIFICADO]]-Cartera1017[[#This Row],[% COMPLETADO]]
)</f>
        <v/>
      </c>
      <c r="CL211" s="388" t="str">
        <f ca="1">IF(
   OR(
     Cartera1017[[#This Row],[Estado TI]]="09. Descartado",
     Cartera1017[[#This Row],[Comienzo Desarrollo]]="",
     Cartera1017[[#This Row],[Fin Producción]]="",
     Cartera1017[[#This Row],[% PLANIFICADO]]=0
   ),
   "",
   MIN(Cartera1017[[#This Row],[% COMPLETADO]]/Cartera1017[[#This Row],[% PLANIFICADO]],1.2)
)</f>
        <v/>
      </c>
      <c r="CM211" s="229"/>
      <c r="CN211" s="229"/>
      <c r="CO211" s="229"/>
      <c r="CP211" s="229"/>
      <c r="CQ211" s="229"/>
      <c r="CR211" s="229"/>
      <c r="CS211" s="229"/>
      <c r="CT211" s="44">
        <f>IF(Cartera1017[[#This Row],[Fin Desarrollo]]="",25,IFERROR(NETWORKDAYS(Cartera1017[[#This Row],[Comienzo Desarrollo]],Cartera1017[[#This Row],[Fin Desarrollo]],FERIADOS[Fecha]),""))</f>
        <v>25</v>
      </c>
      <c r="CU21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11" s="44">
        <f>IF(OR(Cartera1017[[#This Row],[Comienzo Desarrollo]]="",Cartera1017[[#This Row],[Fin Desarrollo]]=""),200,IFERROR(Cartera1017[[#This Row],[DURACIÓN DESARROLLO DIAS]]*VLOOKUP(Cartera1017[[#This Row],[ID Mantenimiento]],MANT_HORAS[],2,FALSE),200))</f>
        <v>200</v>
      </c>
      <c r="CW211" s="110"/>
      <c r="CX211" s="110" t="str">
        <f>VLOOKUP(Cartera1017[[#This Row],[Estado TI]],Definiciones!$A$549:$B$559,2,FALSE)</f>
        <v>1. DESARROLLO</v>
      </c>
      <c r="CY211" s="28">
        <f ca="1">1-Cartera1017[[#This Row],[Porcentaje avanzado desarrollo]]</f>
        <v>0.9</v>
      </c>
      <c r="CZ21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1" s="28">
        <f ca="1">MAX(0,Cartera1017[[#This Row],[DURACIÓN DESARROLLO DIAS]]-Cartera1017[[#This Row],[Dias avanzados]])</f>
        <v>24</v>
      </c>
      <c r="DB211" s="28">
        <f ca="1">Cartera1017[[#This Row],[Dias avanzados]]*IFERROR(VLOOKUP(Cartera1017[[#This Row],[ID Mantenimiento]],MANT_HORAS[],2,FALSE),8)</f>
        <v>4.6666666666666661</v>
      </c>
      <c r="DC211" s="28">
        <f ca="1">Cartera1017[[#This Row],[Dias faltantes]]*IFERROR(VLOOKUP(Cartera1017[[#This Row],[ID Mantenimiento]],MANT_HORAS[],2,FALSE),8)</f>
        <v>111.99999999999999</v>
      </c>
      <c r="DD211" s="28" t="str">
        <f>IF(Cartera1017[[#This Row],[Fin Producción]]=0,"Por definir",CONCATENATE(YEAR(Cartera1017[[#This Row],[Fin Producción]]),"-",ROUNDUP(MONTH(Cartera1017[[#This Row],[Fin Producción]]),0)))</f>
        <v>Por definir</v>
      </c>
      <c r="DE211" s="18" t="s">
        <v>1719</v>
      </c>
      <c r="DF211" s="28"/>
      <c r="DG211" s="28"/>
      <c r="DH211" s="565"/>
    </row>
    <row r="212" spans="1:112" ht="44.25" hidden="1" customHeight="1">
      <c r="A212" s="229" t="s">
        <v>1879</v>
      </c>
      <c r="B212" s="18">
        <v>3160</v>
      </c>
      <c r="C212" s="18" t="s">
        <v>485</v>
      </c>
      <c r="D212" s="18" t="s">
        <v>1880</v>
      </c>
      <c r="E212" s="18" t="s">
        <v>1881</v>
      </c>
      <c r="F212" s="33" t="s">
        <v>1882</v>
      </c>
      <c r="G212" s="19"/>
      <c r="H212" s="18" t="s">
        <v>40</v>
      </c>
      <c r="I212" s="18" t="s">
        <v>842</v>
      </c>
      <c r="J212" s="18" t="s">
        <v>843</v>
      </c>
      <c r="K212" s="20">
        <v>46044</v>
      </c>
      <c r="L212" s="50" t="s">
        <v>1883</v>
      </c>
      <c r="M212" s="50" t="s">
        <v>1683</v>
      </c>
      <c r="N212" s="50"/>
      <c r="O212" s="18" t="s">
        <v>530</v>
      </c>
      <c r="P212" s="18" t="s">
        <v>1884</v>
      </c>
      <c r="Q212" s="18" t="s">
        <v>1685</v>
      </c>
      <c r="R212" s="18" t="s">
        <v>497</v>
      </c>
      <c r="S212" s="18"/>
      <c r="T212" s="18"/>
      <c r="U212" s="18"/>
      <c r="V212" s="18"/>
      <c r="W212" s="18"/>
      <c r="X212" s="18"/>
      <c r="Y212" s="80"/>
      <c r="Z212" s="18" t="s">
        <v>499</v>
      </c>
      <c r="AA212" s="20">
        <v>46119</v>
      </c>
      <c r="AB212" s="18" t="s">
        <v>533</v>
      </c>
      <c r="AC212" s="18"/>
      <c r="AD212" s="18" t="s">
        <v>37</v>
      </c>
      <c r="AE212" s="18" t="s">
        <v>41</v>
      </c>
      <c r="AF212" s="18" t="s">
        <v>53</v>
      </c>
      <c r="AG212" s="14" t="str">
        <f>VLOOKUP(AF212,Tabla3[[Estado Requerimiento]:[Macro estado]],2,FALSE)</f>
        <v>03. Culminado</v>
      </c>
      <c r="AH212" s="18"/>
      <c r="AI212" s="80"/>
      <c r="AJ212" s="80"/>
      <c r="AK212" s="80">
        <v>46050</v>
      </c>
      <c r="AL212" s="80">
        <v>46063</v>
      </c>
      <c r="AM212" s="80"/>
      <c r="AN212" s="80">
        <v>46069</v>
      </c>
      <c r="AO212" s="80">
        <v>46071</v>
      </c>
      <c r="AP212" s="81">
        <f t="shared" si="6"/>
        <v>46068.2</v>
      </c>
      <c r="AQ212" s="80">
        <v>46092</v>
      </c>
      <c r="AR212" s="80">
        <v>46092</v>
      </c>
      <c r="AS212" s="81">
        <f t="shared" si="7"/>
        <v>46075.199999999997</v>
      </c>
      <c r="AT212" s="198" t="s">
        <v>1885</v>
      </c>
      <c r="AU212" s="44" t="str">
        <f>VLOOKUP(Cartera1017[[#This Row],[Gerencia]],tbGerencia[#All],3,FALSE)</f>
        <v>Operac.</v>
      </c>
      <c r="AV212" s="44" t="str">
        <f>IFERROR(VLOOKUP(Cartera1017[[#This Row],[Subgerencia]],Definiciones!$A$90:$B$144,2,FALSE),"")</f>
        <v>CajaValores</v>
      </c>
      <c r="AW212" s="44" t="str">
        <f>IF(OR(LEN(Cartera1017[[#This Row],[Fecha de Solicitud]])=0,(Cartera1017[[#This Row],[Fecha de Solicitud]])="No definido"),"No definido",IF(YEAR(Cartera1017[[#This Row],[Fecha de Solicitud]])&lt;2023," &lt;  2023",TEXT(Cartera1017[[#This Row],[Fecha de Solicitud]],"yyyy-mm")))</f>
        <v>2026-01</v>
      </c>
      <c r="AX212" s="44" t="str">
        <f>IF(Cartera1017[[#This Row],[Fecha de Priorización Comité]]="","No definido",TEXT(Cartera1017[[#This Row],[Fecha de Priorización Comité]],"yyyy-mm"))</f>
        <v>2026-04</v>
      </c>
      <c r="AY212" s="44" t="str">
        <f>IF(Cartera1017[[#This Row],[Fecha Fin- Desarrollo]]="","No definido",TEXT(Cartera1017[[#This Row],[Fecha Fin- Desarrollo]],"yyyy-mm"))</f>
        <v>2026-02</v>
      </c>
      <c r="AZ212" s="44" t="str">
        <f>IF(Cartera1017[[#This Row],[Fecha Fin- Producción]]="","No definido",TEXT(Cartera1017[[#This Row],[Fecha Fin- Producción]],"yyyy-mm"))</f>
        <v>2026-03</v>
      </c>
      <c r="BA212" s="44" t="str">
        <f>IF(Cartera1017[[#This Row],[Fecha Fin-Planificada]]="","No definido",TEXT(Cartera1017[[#This Row],[Fecha Fin-Planificada]],"yyyy-mm"))</f>
        <v>2026-02</v>
      </c>
      <c r="BB212" s="33"/>
      <c r="BC212" s="108"/>
      <c r="BD212" s="108"/>
      <c r="BE212" s="108"/>
      <c r="BF212" s="127"/>
      <c r="BG212" s="28"/>
      <c r="BH21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42</v>
      </c>
      <c r="BI212" s="90">
        <f>IF(ISNUMBER(Cartera1017[[#This Row],[Duracion en Dias]]),Cartera1017[[#This Row],[Duracion en Dias]]/30, "No Aplica")</f>
        <v>1.4</v>
      </c>
      <c r="BJ212" s="109"/>
      <c r="BK212" s="28" t="s">
        <v>506</v>
      </c>
      <c r="BL212" s="110" t="s">
        <v>536</v>
      </c>
      <c r="BM212" s="342">
        <v>46092.759097222224</v>
      </c>
      <c r="BN212" s="227"/>
      <c r="BO212" s="401"/>
      <c r="BP212" s="401"/>
      <c r="BQ21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2" s="14" t="str">
        <f>IFERROR(VLOOKUP(Cartera1017[[#This Row],[Aplicativo]],Tabla76[],2,FALSE),"Sin Aplicativo")</f>
        <v>Sin Aplicativo</v>
      </c>
      <c r="BS212" s="14" t="str">
        <f>IFERROR(VLOOKUP(Cartera1017[[#This Row],[Aplicativo]],Tabla76[],3,FALSE),"Sin Aplicativo")</f>
        <v>Sin Aplicativo</v>
      </c>
      <c r="BT212" s="400"/>
      <c r="BU212" s="33"/>
      <c r="BV212" s="28"/>
      <c r="BW21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46092</v>
      </c>
      <c r="BX21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2" s="149" t="str">
        <f ca="1">IF(Cartera1017[[#This Row],[Fecha Fin2]]="","No definido",CONCATENATE(TEXT(Cartera1017[[#This Row],[Fecha Fin2]],"mmm")," ",YEAR(Cartera1017[[#This Row],[Fecha Fin2]])))</f>
        <v>Mar 2026</v>
      </c>
      <c r="BZ212" s="28"/>
      <c r="CA212" s="48" t="str">
        <f>IF(Cartera1017[[#This Row],[Estado TI]] = "08. Producción Finalizada","Culminado",IF(Cartera1017[[#This Row],[Estado TI]]= "09. Descartado","Descartado","Activos"))</f>
        <v>Culminado</v>
      </c>
      <c r="CB212" s="28"/>
      <c r="CC21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12" s="54" t="str">
        <f>IF(
AND(
Cartera1017[[#This Row],[DEVOLVER 27]]="NO",
NOT(ISBLANK(Cartera1017[[#This Row],[ESTADO NO DEVUELTOS 27]]))
),
"PRE",
"POST"
)</f>
        <v>POST</v>
      </c>
      <c r="CE212" s="54"/>
      <c r="CF212" s="28"/>
      <c r="CG21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1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12"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12" s="406">
        <f>Cartera1017[[#This Row],[Porcentaje de Avance]]</f>
        <v>1</v>
      </c>
      <c r="CK212" s="388" t="str">
        <f>IF(
   OR(
     Cartera1017[[#This Row],[Estado TI]]="09. Descartado",
     Cartera1017[[#This Row],[Comienzo Desarrollo]]="",
     Cartera1017[[#This Row],[Fin Producción]]=""
   ),
   "",
   Cartera1017[[#This Row],[% PLANIFICADO]]-Cartera1017[[#This Row],[% COMPLETADO]]
)</f>
        <v/>
      </c>
      <c r="CL212" s="388" t="str">
        <f ca="1">IF(
   OR(
     Cartera1017[[#This Row],[Estado TI]]="09. Descartado",
     Cartera1017[[#This Row],[Comienzo Desarrollo]]="",
     Cartera1017[[#This Row],[Fin Producción]]="",
     Cartera1017[[#This Row],[% PLANIFICADO]]=0
   ),
   "",
   MIN(Cartera1017[[#This Row],[% COMPLETADO]]/Cartera1017[[#This Row],[% PLANIFICADO]],1.2)
)</f>
        <v/>
      </c>
      <c r="CM212" s="229"/>
      <c r="CN212" s="229"/>
      <c r="CO212" s="229"/>
      <c r="CP212" s="229"/>
      <c r="CQ212" s="229"/>
      <c r="CR212" s="229"/>
      <c r="CS212" s="229"/>
      <c r="CT212" s="44">
        <f>IF(Cartera1017[[#This Row],[Fin Desarrollo]]="",25,IFERROR(NETWORKDAYS(Cartera1017[[#This Row],[Comienzo Desarrollo]],Cartera1017[[#This Row],[Fin Desarrollo]],FERIADOS[Fecha]),""))</f>
        <v>25</v>
      </c>
      <c r="CU21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12" s="44">
        <f>IF(OR(Cartera1017[[#This Row],[Comienzo Desarrollo]]="",Cartera1017[[#This Row],[Fin Desarrollo]]=""),200,IFERROR(Cartera1017[[#This Row],[DURACIÓN DESARROLLO DIAS]]*VLOOKUP(Cartera1017[[#This Row],[ID Mantenimiento]],MANT_HORAS[],2,FALSE),200))</f>
        <v>200</v>
      </c>
      <c r="CW212" s="110"/>
      <c r="CX212" s="110" t="str">
        <f>VLOOKUP(Cartera1017[[#This Row],[Estado TI]],Definiciones!$A$549:$B$559,2,FALSE)</f>
        <v>4. PRODUCCIÓN</v>
      </c>
      <c r="CY212" s="28">
        <f ca="1">1-Cartera1017[[#This Row],[Porcentaje avanzado desarrollo]]</f>
        <v>0.9</v>
      </c>
      <c r="CZ21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2" s="28">
        <f ca="1">MAX(0,Cartera1017[[#This Row],[DURACIÓN DESARROLLO DIAS]]-Cartera1017[[#This Row],[Dias avanzados]])</f>
        <v>24</v>
      </c>
      <c r="DB212" s="28">
        <f ca="1">Cartera1017[[#This Row],[Dias avanzados]]*IFERROR(VLOOKUP(Cartera1017[[#This Row],[ID Mantenimiento]],MANT_HORAS[],2,FALSE),8)</f>
        <v>8</v>
      </c>
      <c r="DC212" s="28">
        <f ca="1">Cartera1017[[#This Row],[Dias faltantes]]*IFERROR(VLOOKUP(Cartera1017[[#This Row],[ID Mantenimiento]],MANT_HORAS[],2,FALSE),8)</f>
        <v>192</v>
      </c>
      <c r="DD212" s="28" t="str">
        <f>IF(Cartera1017[[#This Row],[Fin Producción]]=0,"Por definir",CONCATENATE(YEAR(Cartera1017[[#This Row],[Fin Producción]]),"-",ROUNDUP(MONTH(Cartera1017[[#This Row],[Fin Producción]]),0)))</f>
        <v>Por definir</v>
      </c>
      <c r="DE212" s="18" t="s">
        <v>1719</v>
      </c>
      <c r="DF212" s="28"/>
      <c r="DG212" s="28"/>
      <c r="DH212" s="565"/>
    </row>
    <row r="213" spans="1:112" ht="44.25" customHeight="1">
      <c r="A213" s="229" t="s">
        <v>1886</v>
      </c>
      <c r="B213" s="18">
        <v>3161</v>
      </c>
      <c r="C213" s="18" t="s">
        <v>485</v>
      </c>
      <c r="D213" s="18" t="s">
        <v>1887</v>
      </c>
      <c r="E213" s="18" t="s">
        <v>1888</v>
      </c>
      <c r="F213" s="33" t="s">
        <v>1889</v>
      </c>
      <c r="G213" s="19"/>
      <c r="H213" s="18" t="s">
        <v>82</v>
      </c>
      <c r="I213" s="18" t="s">
        <v>700</v>
      </c>
      <c r="J213" s="18" t="s">
        <v>1158</v>
      </c>
      <c r="K213" s="20">
        <v>45968</v>
      </c>
      <c r="L213" s="50" t="s">
        <v>1890</v>
      </c>
      <c r="M213" s="50" t="s">
        <v>684</v>
      </c>
      <c r="N213" s="50" t="s">
        <v>1168</v>
      </c>
      <c r="O213" s="18" t="s">
        <v>530</v>
      </c>
      <c r="P213" s="18" t="s">
        <v>495</v>
      </c>
      <c r="Q213" s="18" t="s">
        <v>496</v>
      </c>
      <c r="R213" s="18" t="s">
        <v>780</v>
      </c>
      <c r="S213" s="18"/>
      <c r="T213" s="18" t="s">
        <v>652</v>
      </c>
      <c r="U213" s="18"/>
      <c r="V213" s="18"/>
      <c r="W213" s="18"/>
      <c r="X213" s="18"/>
      <c r="Y213" s="80"/>
      <c r="Z213" s="18" t="s">
        <v>499</v>
      </c>
      <c r="AA213" s="20">
        <v>46119</v>
      </c>
      <c r="AB213" s="18" t="s">
        <v>533</v>
      </c>
      <c r="AC213" s="18"/>
      <c r="AD213" s="18" t="s">
        <v>190</v>
      </c>
      <c r="AE213" s="18" t="s">
        <v>47</v>
      </c>
      <c r="AF213" s="18" t="s">
        <v>53</v>
      </c>
      <c r="AG213" s="14" t="str">
        <f>VLOOKUP(AF213,Tabla3[[Estado Requerimiento]:[Macro estado]],2,FALSE)</f>
        <v>03. Culminado</v>
      </c>
      <c r="AH213" s="18"/>
      <c r="AI213" s="80"/>
      <c r="AJ213" s="80"/>
      <c r="AK213" s="80">
        <v>46057</v>
      </c>
      <c r="AL213" s="80">
        <v>46076</v>
      </c>
      <c r="AM213" s="80"/>
      <c r="AN213" s="80">
        <v>46077</v>
      </c>
      <c r="AO213" s="80">
        <v>46084</v>
      </c>
      <c r="AP213" s="81">
        <f t="shared" si="6"/>
        <v>46083.6</v>
      </c>
      <c r="AQ213" s="80">
        <v>46090</v>
      </c>
      <c r="AR213" s="80">
        <v>46094</v>
      </c>
      <c r="AS213" s="81">
        <f t="shared" si="7"/>
        <v>46090.6</v>
      </c>
      <c r="AT213" s="198" t="s">
        <v>1891</v>
      </c>
      <c r="AU213" s="44" t="str">
        <f>VLOOKUP(Cartera1017[[#This Row],[Gerencia]],tbGerencia[#All],3,FALSE)</f>
        <v>Riesgos</v>
      </c>
      <c r="AV213" s="44" t="str">
        <f>IFERROR(VLOOKUP(Cartera1017[[#This Row],[Subgerencia]],Definiciones!$A$90:$B$144,2,FALSE),"")</f>
        <v>CrediticiosFinancieros</v>
      </c>
      <c r="AW213" s="44" t="str">
        <f>IF(OR(LEN(Cartera1017[[#This Row],[Fecha de Solicitud]])=0,(Cartera1017[[#This Row],[Fecha de Solicitud]])="No definido"),"No definido",IF(YEAR(Cartera1017[[#This Row],[Fecha de Solicitud]])&lt;2023," &lt;  2023",TEXT(Cartera1017[[#This Row],[Fecha de Solicitud]],"yyyy-mm")))</f>
        <v>2025-11</v>
      </c>
      <c r="AX213" s="44" t="str">
        <f>IF(Cartera1017[[#This Row],[Fecha de Priorización Comité]]="","No definido",TEXT(Cartera1017[[#This Row],[Fecha de Priorización Comité]],"yyyy-mm"))</f>
        <v>2026-04</v>
      </c>
      <c r="AY213" s="44" t="str">
        <f>IF(Cartera1017[[#This Row],[Fecha Fin- Desarrollo]]="","No definido",TEXT(Cartera1017[[#This Row],[Fecha Fin- Desarrollo]],"yyyy-mm"))</f>
        <v>2026-02</v>
      </c>
      <c r="AZ213" s="44" t="str">
        <f>IF(Cartera1017[[#This Row],[Fecha Fin- Producción]]="","No definido",TEXT(Cartera1017[[#This Row],[Fecha Fin- Producción]],"yyyy-mm"))</f>
        <v>2026-03</v>
      </c>
      <c r="BA213" s="44" t="str">
        <f>IF(Cartera1017[[#This Row],[Fecha Fin-Planificada]]="","No definido",TEXT(Cartera1017[[#This Row],[Fecha Fin-Planificada]],"yyyy-mm"))</f>
        <v>2026-03</v>
      </c>
      <c r="BB213" s="33"/>
      <c r="BC213" s="108"/>
      <c r="BD213" s="108"/>
      <c r="BE213" s="108"/>
      <c r="BF213" s="127"/>
      <c r="BG213" s="28"/>
      <c r="BH21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37</v>
      </c>
      <c r="BI213" s="90">
        <f>IF(ISNUMBER(Cartera1017[[#This Row],[Duracion en Dias]]),Cartera1017[[#This Row],[Duracion en Dias]]/30, "No Aplica")</f>
        <v>1.2333333333333334</v>
      </c>
      <c r="BJ213" s="109"/>
      <c r="BK213" s="28" t="s">
        <v>506</v>
      </c>
      <c r="BL213" s="110" t="s">
        <v>536</v>
      </c>
      <c r="BM213" s="342">
        <v>46104.514409722222</v>
      </c>
      <c r="BN213" s="227"/>
      <c r="BO213" s="401"/>
      <c r="BP213" s="401"/>
      <c r="BQ21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3" s="14" t="str">
        <f>IFERROR(VLOOKUP(Cartera1017[[#This Row],[Aplicativo]],Tabla76[],2,FALSE),"Sin Aplicativo")</f>
        <v>BackOffice</v>
      </c>
      <c r="BS213" s="14" t="str">
        <f>IFERROR(VLOOKUP(Cartera1017[[#This Row],[Aplicativo]],Tabla76[],3,FALSE),"Sin Aplicativo")</f>
        <v>Otros Requerimientos</v>
      </c>
      <c r="BT213" s="400"/>
      <c r="BU213" s="33"/>
      <c r="BV213" s="28"/>
      <c r="BW21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46094</v>
      </c>
      <c r="BX21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3" s="149" t="str">
        <f ca="1">IF(Cartera1017[[#This Row],[Fecha Fin2]]="","No definido",CONCATENATE(TEXT(Cartera1017[[#This Row],[Fecha Fin2]],"mmm")," ",YEAR(Cartera1017[[#This Row],[Fecha Fin2]])))</f>
        <v>Mar 2026</v>
      </c>
      <c r="BZ213" s="28"/>
      <c r="CA213" s="48" t="str">
        <f>IF(Cartera1017[[#This Row],[Estado TI]] = "08. Producción Finalizada","Culminado",IF(Cartera1017[[#This Row],[Estado TI]]= "09. Descartado","Descartado","Activos"))</f>
        <v>Culminado</v>
      </c>
      <c r="CB213" s="28"/>
      <c r="CC21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13" s="54" t="str">
        <f>IF(
AND(
Cartera1017[[#This Row],[DEVOLVER 27]]="NO",
NOT(ISBLANK(Cartera1017[[#This Row],[ESTADO NO DEVUELTOS 27]]))
),
"PRE",
"POST"
)</f>
        <v>POST</v>
      </c>
      <c r="CE213" s="54"/>
      <c r="CF213" s="28"/>
      <c r="CG21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1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13"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13" s="406">
        <f>Cartera1017[[#This Row],[Porcentaje de Avance]]</f>
        <v>1</v>
      </c>
      <c r="CK213" s="388" t="str">
        <f>IF(
   OR(
     Cartera1017[[#This Row],[Estado TI]]="09. Descartado",
     Cartera1017[[#This Row],[Comienzo Desarrollo]]="",
     Cartera1017[[#This Row],[Fin Producción]]=""
   ),
   "",
   Cartera1017[[#This Row],[% PLANIFICADO]]-Cartera1017[[#This Row],[% COMPLETADO]]
)</f>
        <v/>
      </c>
      <c r="CL213" s="388" t="str">
        <f ca="1">IF(
   OR(
     Cartera1017[[#This Row],[Estado TI]]="09. Descartado",
     Cartera1017[[#This Row],[Comienzo Desarrollo]]="",
     Cartera1017[[#This Row],[Fin Producción]]="",
     Cartera1017[[#This Row],[% PLANIFICADO]]=0
   ),
   "",
   MIN(Cartera1017[[#This Row],[% COMPLETADO]]/Cartera1017[[#This Row],[% PLANIFICADO]],1.2)
)</f>
        <v/>
      </c>
      <c r="CM213" s="229"/>
      <c r="CN213" s="229"/>
      <c r="CO213" s="229"/>
      <c r="CP213" s="229"/>
      <c r="CQ213" s="229"/>
      <c r="CR213" s="229"/>
      <c r="CS213" s="229"/>
      <c r="CT213" s="44">
        <f>IF(Cartera1017[[#This Row],[Fin Desarrollo]]="",25,IFERROR(NETWORKDAYS(Cartera1017[[#This Row],[Comienzo Desarrollo]],Cartera1017[[#This Row],[Fin Desarrollo]],FERIADOS[Fecha]),""))</f>
        <v>25</v>
      </c>
      <c r="CU21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13" s="44">
        <f>IF(OR(Cartera1017[[#This Row],[Comienzo Desarrollo]]="",Cartera1017[[#This Row],[Fin Desarrollo]]=""),200,IFERROR(Cartera1017[[#This Row],[DURACIÓN DESARROLLO DIAS]]*VLOOKUP(Cartera1017[[#This Row],[ID Mantenimiento]],MANT_HORAS[],2,FALSE),200))</f>
        <v>200</v>
      </c>
      <c r="CW213" s="110"/>
      <c r="CX213" s="110" t="str">
        <f>VLOOKUP(Cartera1017[[#This Row],[Estado TI]],Definiciones!$A$549:$B$559,2,FALSE)</f>
        <v>4. PRODUCCIÓN</v>
      </c>
      <c r="CY213" s="28">
        <f ca="1">1-Cartera1017[[#This Row],[Porcentaje avanzado desarrollo]]</f>
        <v>0.9</v>
      </c>
      <c r="CZ21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3" s="28">
        <f ca="1">MAX(0,Cartera1017[[#This Row],[DURACIÓN DESARROLLO DIAS]]-Cartera1017[[#This Row],[Dias avanzados]])</f>
        <v>24</v>
      </c>
      <c r="DB213" s="28">
        <f ca="1">Cartera1017[[#This Row],[Dias avanzados]]*IFERROR(VLOOKUP(Cartera1017[[#This Row],[ID Mantenimiento]],MANT_HORAS[],2,FALSE),8)</f>
        <v>8</v>
      </c>
      <c r="DC213" s="28">
        <f ca="1">Cartera1017[[#This Row],[Dias faltantes]]*IFERROR(VLOOKUP(Cartera1017[[#This Row],[ID Mantenimiento]],MANT_HORAS[],2,FALSE),8)</f>
        <v>192</v>
      </c>
      <c r="DD213" s="28" t="str">
        <f>IF(Cartera1017[[#This Row],[Fin Producción]]=0,"Por definir",CONCATENATE(YEAR(Cartera1017[[#This Row],[Fin Producción]]),"-",ROUNDUP(MONTH(Cartera1017[[#This Row],[Fin Producción]]),0)))</f>
        <v>Por definir</v>
      </c>
      <c r="DE213" s="18" t="s">
        <v>1719</v>
      </c>
      <c r="DF213" s="28"/>
      <c r="DG213" s="28"/>
      <c r="DH213" s="565"/>
    </row>
    <row r="214" spans="1:112" ht="44.25" customHeight="1">
      <c r="A214" s="229" t="s">
        <v>1892</v>
      </c>
      <c r="B214" s="18">
        <v>3162</v>
      </c>
      <c r="C214" s="18" t="s">
        <v>485</v>
      </c>
      <c r="D214" s="18" t="s">
        <v>1893</v>
      </c>
      <c r="E214" s="18" t="s">
        <v>1894</v>
      </c>
      <c r="F214" s="33" t="s">
        <v>1895</v>
      </c>
      <c r="G214" s="19"/>
      <c r="H214" s="18" t="s">
        <v>82</v>
      </c>
      <c r="I214" s="18" t="s">
        <v>700</v>
      </c>
      <c r="J214" s="18" t="s">
        <v>1158</v>
      </c>
      <c r="K214" s="20">
        <v>45968</v>
      </c>
      <c r="L214" s="50" t="s">
        <v>1890</v>
      </c>
      <c r="M214" s="50" t="s">
        <v>684</v>
      </c>
      <c r="N214" s="50" t="s">
        <v>1168</v>
      </c>
      <c r="O214" s="18" t="s">
        <v>530</v>
      </c>
      <c r="P214" s="18" t="s">
        <v>495</v>
      </c>
      <c r="Q214" s="18" t="s">
        <v>496</v>
      </c>
      <c r="R214" s="18" t="s">
        <v>497</v>
      </c>
      <c r="S214" s="18"/>
      <c r="T214" s="18"/>
      <c r="U214" s="18"/>
      <c r="V214" s="18"/>
      <c r="W214" s="18"/>
      <c r="X214" s="18"/>
      <c r="Y214" s="80"/>
      <c r="Z214" s="18" t="s">
        <v>499</v>
      </c>
      <c r="AA214" s="20">
        <v>46119</v>
      </c>
      <c r="AB214" s="18" t="s">
        <v>533</v>
      </c>
      <c r="AC214" s="18"/>
      <c r="AD214" s="18" t="s">
        <v>190</v>
      </c>
      <c r="AE214" s="18" t="s">
        <v>47</v>
      </c>
      <c r="AF214" s="18" t="s">
        <v>53</v>
      </c>
      <c r="AG214" s="14" t="str">
        <f>VLOOKUP(AF214,Tabla3[[Estado Requerimiento]:[Macro estado]],2,FALSE)</f>
        <v>03. Culminado</v>
      </c>
      <c r="AH214" s="18"/>
      <c r="AI214" s="80"/>
      <c r="AJ214" s="80"/>
      <c r="AK214" s="80">
        <v>46057</v>
      </c>
      <c r="AL214" s="80">
        <v>46076</v>
      </c>
      <c r="AM214" s="80"/>
      <c r="AN214" s="80">
        <v>46077</v>
      </c>
      <c r="AO214" s="80">
        <v>46083</v>
      </c>
      <c r="AP214" s="81">
        <f t="shared" si="6"/>
        <v>46083.6</v>
      </c>
      <c r="AQ214" s="80">
        <v>46090</v>
      </c>
      <c r="AR214" s="80">
        <v>46094</v>
      </c>
      <c r="AS214" s="81">
        <f t="shared" si="7"/>
        <v>46090.6</v>
      </c>
      <c r="AT214" s="198" t="s">
        <v>1896</v>
      </c>
      <c r="AU214" s="44" t="str">
        <f>VLOOKUP(Cartera1017[[#This Row],[Gerencia]],tbGerencia[#All],3,FALSE)</f>
        <v>Riesgos</v>
      </c>
      <c r="AV214" s="44" t="str">
        <f>IFERROR(VLOOKUP(Cartera1017[[#This Row],[Subgerencia]],Definiciones!$A$90:$B$144,2,FALSE),"")</f>
        <v>CrediticiosFinancieros</v>
      </c>
      <c r="AW214" s="44" t="str">
        <f>IF(OR(LEN(Cartera1017[[#This Row],[Fecha de Solicitud]])=0,(Cartera1017[[#This Row],[Fecha de Solicitud]])="No definido"),"No definido",IF(YEAR(Cartera1017[[#This Row],[Fecha de Solicitud]])&lt;2023," &lt;  2023",TEXT(Cartera1017[[#This Row],[Fecha de Solicitud]],"yyyy-mm")))</f>
        <v>2025-11</v>
      </c>
      <c r="AX214" s="44" t="str">
        <f>IF(Cartera1017[[#This Row],[Fecha de Priorización Comité]]="","No definido",TEXT(Cartera1017[[#This Row],[Fecha de Priorización Comité]],"yyyy-mm"))</f>
        <v>2026-04</v>
      </c>
      <c r="AY214" s="44" t="str">
        <f>IF(Cartera1017[[#This Row],[Fecha Fin- Desarrollo]]="","No definido",TEXT(Cartera1017[[#This Row],[Fecha Fin- Desarrollo]],"yyyy-mm"))</f>
        <v>2026-02</v>
      </c>
      <c r="AZ214" s="44" t="str">
        <f>IF(Cartera1017[[#This Row],[Fecha Fin- Producción]]="","No definido",TEXT(Cartera1017[[#This Row],[Fecha Fin- Producción]],"yyyy-mm"))</f>
        <v>2026-03</v>
      </c>
      <c r="BA214" s="44" t="str">
        <f>IF(Cartera1017[[#This Row],[Fecha Fin-Planificada]]="","No definido",TEXT(Cartera1017[[#This Row],[Fecha Fin-Planificada]],"yyyy-mm"))</f>
        <v>2026-03</v>
      </c>
      <c r="BB214" s="33"/>
      <c r="BC214" s="108"/>
      <c r="BD214" s="108"/>
      <c r="BE214" s="108"/>
      <c r="BF214" s="127"/>
      <c r="BG214" s="28"/>
      <c r="BH21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37</v>
      </c>
      <c r="BI214" s="90">
        <f>IF(ISNUMBER(Cartera1017[[#This Row],[Duracion en Dias]]),Cartera1017[[#This Row],[Duracion en Dias]]/30, "No Aplica")</f>
        <v>1.2333333333333334</v>
      </c>
      <c r="BJ214" s="109"/>
      <c r="BK214" s="28" t="s">
        <v>506</v>
      </c>
      <c r="BL214" s="110" t="s">
        <v>536</v>
      </c>
      <c r="BM214" s="342">
        <v>46104.516087962962</v>
      </c>
      <c r="BN214" s="227"/>
      <c r="BO214" s="401"/>
      <c r="BP214" s="401"/>
      <c r="BQ21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4" s="14" t="str">
        <f>IFERROR(VLOOKUP(Cartera1017[[#This Row],[Aplicativo]],Tabla76[],2,FALSE),"Sin Aplicativo")</f>
        <v>BackOffice</v>
      </c>
      <c r="BS214" s="14" t="str">
        <f>IFERROR(VLOOKUP(Cartera1017[[#This Row],[Aplicativo]],Tabla76[],3,FALSE),"Sin Aplicativo")</f>
        <v>Otros Requerimientos</v>
      </c>
      <c r="BT214" s="400"/>
      <c r="BU214" s="33"/>
      <c r="BV214" s="28"/>
      <c r="BW21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46094</v>
      </c>
      <c r="BX21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4" s="149" t="str">
        <f ca="1">IF(Cartera1017[[#This Row],[Fecha Fin2]]="","No definido",CONCATENATE(TEXT(Cartera1017[[#This Row],[Fecha Fin2]],"mmm")," ",YEAR(Cartera1017[[#This Row],[Fecha Fin2]])))</f>
        <v>Mar 2026</v>
      </c>
      <c r="BZ214" s="28"/>
      <c r="CA214" s="48" t="str">
        <f>IF(Cartera1017[[#This Row],[Estado TI]] = "08. Producción Finalizada","Culminado",IF(Cartera1017[[#This Row],[Estado TI]]= "09. Descartado","Descartado","Activos"))</f>
        <v>Culminado</v>
      </c>
      <c r="CB214" s="28"/>
      <c r="CC21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14" s="54" t="str">
        <f>IF(
AND(
Cartera1017[[#This Row],[DEVOLVER 27]]="NO",
NOT(ISBLANK(Cartera1017[[#This Row],[ESTADO NO DEVUELTOS 27]]))
),
"PRE",
"POST"
)</f>
        <v>POST</v>
      </c>
      <c r="CE214" s="54"/>
      <c r="CF214" s="28"/>
      <c r="CG21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1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14"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14" s="406">
        <f>Cartera1017[[#This Row],[Porcentaje de Avance]]</f>
        <v>1</v>
      </c>
      <c r="CK214" s="388" t="str">
        <f>IF(
   OR(
     Cartera1017[[#This Row],[Estado TI]]="09. Descartado",
     Cartera1017[[#This Row],[Comienzo Desarrollo]]="",
     Cartera1017[[#This Row],[Fin Producción]]=""
   ),
   "",
   Cartera1017[[#This Row],[% PLANIFICADO]]-Cartera1017[[#This Row],[% COMPLETADO]]
)</f>
        <v/>
      </c>
      <c r="CL214" s="388" t="str">
        <f ca="1">IF(
   OR(
     Cartera1017[[#This Row],[Estado TI]]="09. Descartado",
     Cartera1017[[#This Row],[Comienzo Desarrollo]]="",
     Cartera1017[[#This Row],[Fin Producción]]="",
     Cartera1017[[#This Row],[% PLANIFICADO]]=0
   ),
   "",
   MIN(Cartera1017[[#This Row],[% COMPLETADO]]/Cartera1017[[#This Row],[% PLANIFICADO]],1.2)
)</f>
        <v/>
      </c>
      <c r="CM214" s="229"/>
      <c r="CN214" s="229"/>
      <c r="CO214" s="229"/>
      <c r="CP214" s="229"/>
      <c r="CQ214" s="229"/>
      <c r="CR214" s="229"/>
      <c r="CS214" s="229"/>
      <c r="CT214" s="44">
        <f>IF(Cartera1017[[#This Row],[Fin Desarrollo]]="",25,IFERROR(NETWORKDAYS(Cartera1017[[#This Row],[Comienzo Desarrollo]],Cartera1017[[#This Row],[Fin Desarrollo]],FERIADOS[Fecha]),""))</f>
        <v>25</v>
      </c>
      <c r="CU21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14" s="44">
        <f>IF(OR(Cartera1017[[#This Row],[Comienzo Desarrollo]]="",Cartera1017[[#This Row],[Fin Desarrollo]]=""),200,IFERROR(Cartera1017[[#This Row],[DURACIÓN DESARROLLO DIAS]]*VLOOKUP(Cartera1017[[#This Row],[ID Mantenimiento]],MANT_HORAS[],2,FALSE),200))</f>
        <v>200</v>
      </c>
      <c r="CW214" s="110"/>
      <c r="CX214" s="110" t="str">
        <f>VLOOKUP(Cartera1017[[#This Row],[Estado TI]],Definiciones!$A$549:$B$559,2,FALSE)</f>
        <v>4. PRODUCCIÓN</v>
      </c>
      <c r="CY214" s="28">
        <f ca="1">1-Cartera1017[[#This Row],[Porcentaje avanzado desarrollo]]</f>
        <v>0.9</v>
      </c>
      <c r="CZ21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4" s="28">
        <f ca="1">MAX(0,Cartera1017[[#This Row],[DURACIÓN DESARROLLO DIAS]]-Cartera1017[[#This Row],[Dias avanzados]])</f>
        <v>24</v>
      </c>
      <c r="DB214" s="28">
        <f ca="1">Cartera1017[[#This Row],[Dias avanzados]]*IFERROR(VLOOKUP(Cartera1017[[#This Row],[ID Mantenimiento]],MANT_HORAS[],2,FALSE),8)</f>
        <v>8</v>
      </c>
      <c r="DC214" s="28">
        <f ca="1">Cartera1017[[#This Row],[Dias faltantes]]*IFERROR(VLOOKUP(Cartera1017[[#This Row],[ID Mantenimiento]],MANT_HORAS[],2,FALSE),8)</f>
        <v>192</v>
      </c>
      <c r="DD214" s="28" t="str">
        <f>IF(Cartera1017[[#This Row],[Fin Producción]]=0,"Por definir",CONCATENATE(YEAR(Cartera1017[[#This Row],[Fin Producción]]),"-",ROUNDUP(MONTH(Cartera1017[[#This Row],[Fin Producción]]),0)))</f>
        <v>Por definir</v>
      </c>
      <c r="DE214" s="18" t="s">
        <v>1719</v>
      </c>
      <c r="DF214" s="28"/>
      <c r="DG214" s="28"/>
      <c r="DH214" s="565"/>
    </row>
    <row r="215" spans="1:112" ht="44.25" hidden="1" customHeight="1">
      <c r="A215" s="229" t="s">
        <v>1897</v>
      </c>
      <c r="B215" s="18">
        <v>3163</v>
      </c>
      <c r="C215" s="18" t="s">
        <v>485</v>
      </c>
      <c r="D215" s="18" t="s">
        <v>1898</v>
      </c>
      <c r="E215" s="18" t="s">
        <v>1899</v>
      </c>
      <c r="F215" s="33" t="s">
        <v>1900</v>
      </c>
      <c r="G215" s="19"/>
      <c r="H215" s="18" t="s">
        <v>33</v>
      </c>
      <c r="I215" s="18" t="s">
        <v>727</v>
      </c>
      <c r="J215" s="18" t="s">
        <v>1148</v>
      </c>
      <c r="K215" s="20">
        <v>46052</v>
      </c>
      <c r="L215" s="50" t="s">
        <v>1901</v>
      </c>
      <c r="M215" s="50" t="s">
        <v>1149</v>
      </c>
      <c r="N215" s="50"/>
      <c r="O215" s="18" t="s">
        <v>548</v>
      </c>
      <c r="P215" s="18" t="s">
        <v>1077</v>
      </c>
      <c r="Q215" s="18" t="s">
        <v>496</v>
      </c>
      <c r="R215" s="18" t="s">
        <v>497</v>
      </c>
      <c r="S215" s="18"/>
      <c r="T215" s="18"/>
      <c r="U215" s="18"/>
      <c r="V215" s="18"/>
      <c r="W215" s="18"/>
      <c r="X215" s="18"/>
      <c r="Y215" s="80"/>
      <c r="Z215" s="18" t="s">
        <v>499</v>
      </c>
      <c r="AA215" s="20">
        <v>46119</v>
      </c>
      <c r="AB215" s="18" t="s">
        <v>500</v>
      </c>
      <c r="AC215" s="18"/>
      <c r="AD215" s="18" t="s">
        <v>150</v>
      </c>
      <c r="AE215" s="18" t="s">
        <v>34</v>
      </c>
      <c r="AF215" s="18" t="s">
        <v>53</v>
      </c>
      <c r="AG215" s="14" t="str">
        <f>VLOOKUP(AF215,Tabla3[[Estado Requerimiento]:[Macro estado]],2,FALSE)</f>
        <v>03. Culminado</v>
      </c>
      <c r="AH215" s="18"/>
      <c r="AI215" s="80"/>
      <c r="AJ215" s="80"/>
      <c r="AK215" s="80">
        <v>46055</v>
      </c>
      <c r="AL215" s="80">
        <v>46079</v>
      </c>
      <c r="AM215" s="80"/>
      <c r="AN215" s="80">
        <v>46080</v>
      </c>
      <c r="AO215" s="80">
        <v>46085</v>
      </c>
      <c r="AP215" s="81">
        <f t="shared" si="6"/>
        <v>46088.6</v>
      </c>
      <c r="AQ215" s="80">
        <v>46090</v>
      </c>
      <c r="AR215" s="80">
        <v>46090</v>
      </c>
      <c r="AS215" s="81">
        <f t="shared" si="7"/>
        <v>46095.6</v>
      </c>
      <c r="AT215" s="198" t="s">
        <v>1902</v>
      </c>
      <c r="AU215" s="44" t="str">
        <f>VLOOKUP(Cartera1017[[#This Row],[Gerencia]],tbGerencia[#All],3,FALSE)</f>
        <v>Productos</v>
      </c>
      <c r="AV215" s="44" t="str">
        <f>IFERROR(VLOOKUP(Cartera1017[[#This Row],[Subgerencia]],Definiciones!$A$90:$B$144,2,FALSE),"")</f>
        <v>BancaPersonal</v>
      </c>
      <c r="AW215" s="44" t="str">
        <f>IF(OR(LEN(Cartera1017[[#This Row],[Fecha de Solicitud]])=0,(Cartera1017[[#This Row],[Fecha de Solicitud]])="No definido"),"No definido",IF(YEAR(Cartera1017[[#This Row],[Fecha de Solicitud]])&lt;2023," &lt;  2023",TEXT(Cartera1017[[#This Row],[Fecha de Solicitud]],"yyyy-mm")))</f>
        <v>2026-01</v>
      </c>
      <c r="AX215" s="44" t="str">
        <f>IF(Cartera1017[[#This Row],[Fecha de Priorización Comité]]="","No definido",TEXT(Cartera1017[[#This Row],[Fecha de Priorización Comité]],"yyyy-mm"))</f>
        <v>2026-04</v>
      </c>
      <c r="AY215" s="44" t="str">
        <f>IF(Cartera1017[[#This Row],[Fecha Fin- Desarrollo]]="","No definido",TEXT(Cartera1017[[#This Row],[Fecha Fin- Desarrollo]],"yyyy-mm"))</f>
        <v>2026-02</v>
      </c>
      <c r="AZ215" s="44" t="str">
        <f>IF(Cartera1017[[#This Row],[Fecha Fin- Producción]]="","No definido",TEXT(Cartera1017[[#This Row],[Fecha Fin- Producción]],"yyyy-mm"))</f>
        <v>2026-03</v>
      </c>
      <c r="BA215" s="44" t="str">
        <f>IF(Cartera1017[[#This Row],[Fecha Fin-Planificada]]="","No definido",TEXT(Cartera1017[[#This Row],[Fecha Fin-Planificada]],"yyyy-mm"))</f>
        <v>2026-03</v>
      </c>
      <c r="BB215" s="33"/>
      <c r="BC215" s="108"/>
      <c r="BD215" s="108"/>
      <c r="BE215" s="108"/>
      <c r="BF215" s="127"/>
      <c r="BG215" s="28"/>
      <c r="BH21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35</v>
      </c>
      <c r="BI215" s="90">
        <f>IF(ISNUMBER(Cartera1017[[#This Row],[Duracion en Dias]]),Cartera1017[[#This Row],[Duracion en Dias]]/30, "No Aplica")</f>
        <v>1.1666666666666667</v>
      </c>
      <c r="BJ215" s="109"/>
      <c r="BK215" s="28" t="s">
        <v>506</v>
      </c>
      <c r="BL215" s="110" t="s">
        <v>536</v>
      </c>
      <c r="BM215" s="342">
        <v>46090.376493055555</v>
      </c>
      <c r="BN215" s="227"/>
      <c r="BO215" s="401"/>
      <c r="BP215" s="401"/>
      <c r="BQ21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5" s="14" t="str">
        <f>IFERROR(VLOOKUP(Cartera1017[[#This Row],[Aplicativo]],Tabla76[],2,FALSE),"Sin Aplicativo")</f>
        <v>Préstamos Multired</v>
      </c>
      <c r="BS215" s="14" t="str">
        <f>IFERROR(VLOOKUP(Cartera1017[[#This Row],[Aplicativo]],Tabla76[],3,FALSE),"Sin Aplicativo")</f>
        <v>Productos</v>
      </c>
      <c r="BT215" s="400"/>
      <c r="BU215" s="33"/>
      <c r="BV215" s="28"/>
      <c r="BW21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21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5" s="149" t="str">
        <f ca="1">IF(Cartera1017[[#This Row],[Fecha Fin2]]="","No definido",CONCATENATE(TEXT(Cartera1017[[#This Row],[Fecha Fin2]],"mmm")," ",YEAR(Cartera1017[[#This Row],[Fecha Fin2]])))</f>
        <v>Mar 2026</v>
      </c>
      <c r="BZ215" s="28"/>
      <c r="CA215" s="48" t="str">
        <f>IF(Cartera1017[[#This Row],[Estado TI]] = "08. Producción Finalizada","Culminado",IF(Cartera1017[[#This Row],[Estado TI]]= "09. Descartado","Descartado","Activos"))</f>
        <v>Culminado</v>
      </c>
      <c r="CB215" s="28"/>
      <c r="CC21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15" s="54" t="str">
        <f>IF(
AND(
Cartera1017[[#This Row],[DEVOLVER 27]]="NO",
NOT(ISBLANK(Cartera1017[[#This Row],[ESTADO NO DEVUELTOS 27]]))
),
"PRE",
"POST"
)</f>
        <v>POST</v>
      </c>
      <c r="CE215" s="54"/>
      <c r="CF215" s="28"/>
      <c r="CG21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1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15"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15" s="406">
        <f>Cartera1017[[#This Row],[Porcentaje de Avance]]</f>
        <v>1</v>
      </c>
      <c r="CK215" s="388" t="str">
        <f>IF(
   OR(
     Cartera1017[[#This Row],[Estado TI]]="09. Descartado",
     Cartera1017[[#This Row],[Comienzo Desarrollo]]="",
     Cartera1017[[#This Row],[Fin Producción]]=""
   ),
   "",
   Cartera1017[[#This Row],[% PLANIFICADO]]-Cartera1017[[#This Row],[% COMPLETADO]]
)</f>
        <v/>
      </c>
      <c r="CL215" s="388" t="str">
        <f ca="1">IF(
   OR(
     Cartera1017[[#This Row],[Estado TI]]="09. Descartado",
     Cartera1017[[#This Row],[Comienzo Desarrollo]]="",
     Cartera1017[[#This Row],[Fin Producción]]="",
     Cartera1017[[#This Row],[% PLANIFICADO]]=0
   ),
   "",
   MIN(Cartera1017[[#This Row],[% COMPLETADO]]/Cartera1017[[#This Row],[% PLANIFICADO]],1.2)
)</f>
        <v/>
      </c>
      <c r="CM215" s="229"/>
      <c r="CN215" s="229"/>
      <c r="CO215" s="229"/>
      <c r="CP215" s="229"/>
      <c r="CQ215" s="229"/>
      <c r="CR215" s="229"/>
      <c r="CS215" s="229"/>
      <c r="CT215" s="44">
        <f>IF(Cartera1017[[#This Row],[Fin Desarrollo]]="",25,IFERROR(NETWORKDAYS(Cartera1017[[#This Row],[Comienzo Desarrollo]],Cartera1017[[#This Row],[Fin Desarrollo]],FERIADOS[Fecha]),""))</f>
        <v>25</v>
      </c>
      <c r="CU21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15" s="44">
        <f>IF(OR(Cartera1017[[#This Row],[Comienzo Desarrollo]]="",Cartera1017[[#This Row],[Fin Desarrollo]]=""),200,IFERROR(Cartera1017[[#This Row],[DURACIÓN DESARROLLO DIAS]]*VLOOKUP(Cartera1017[[#This Row],[ID Mantenimiento]],MANT_HORAS[],2,FALSE),200))</f>
        <v>200</v>
      </c>
      <c r="CW215" s="110"/>
      <c r="CX215" s="110" t="str">
        <f>VLOOKUP(Cartera1017[[#This Row],[Estado TI]],Definiciones!$A$549:$B$559,2,FALSE)</f>
        <v>4. PRODUCCIÓN</v>
      </c>
      <c r="CY215" s="28">
        <f ca="1">1-Cartera1017[[#This Row],[Porcentaje avanzado desarrollo]]</f>
        <v>0.9</v>
      </c>
      <c r="CZ21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5" s="28">
        <f ca="1">MAX(0,Cartera1017[[#This Row],[DURACIÓN DESARROLLO DIAS]]-Cartera1017[[#This Row],[Dias avanzados]])</f>
        <v>24</v>
      </c>
      <c r="DB215" s="28">
        <f ca="1">Cartera1017[[#This Row],[Dias avanzados]]*IFERROR(VLOOKUP(Cartera1017[[#This Row],[ID Mantenimiento]],MANT_HORAS[],2,FALSE),8)</f>
        <v>8</v>
      </c>
      <c r="DC215" s="28">
        <f ca="1">Cartera1017[[#This Row],[Dias faltantes]]*IFERROR(VLOOKUP(Cartera1017[[#This Row],[ID Mantenimiento]],MANT_HORAS[],2,FALSE),8)</f>
        <v>192</v>
      </c>
      <c r="DD215" s="28" t="str">
        <f>IF(Cartera1017[[#This Row],[Fin Producción]]=0,"Por definir",CONCATENATE(YEAR(Cartera1017[[#This Row],[Fin Producción]]),"-",ROUNDUP(MONTH(Cartera1017[[#This Row],[Fin Producción]]),0)))</f>
        <v>Por definir</v>
      </c>
      <c r="DE215" s="18" t="s">
        <v>1719</v>
      </c>
      <c r="DF215" s="28"/>
      <c r="DG215" s="28"/>
      <c r="DH215" s="565"/>
    </row>
    <row r="216" spans="1:112" ht="44.25" hidden="1" customHeight="1">
      <c r="A216" s="229" t="s">
        <v>1903</v>
      </c>
      <c r="B216" s="18">
        <v>3164</v>
      </c>
      <c r="C216" s="18" t="s">
        <v>485</v>
      </c>
      <c r="D216" s="18" t="s">
        <v>1904</v>
      </c>
      <c r="E216" s="18" t="s">
        <v>1905</v>
      </c>
      <c r="F216" s="33" t="s">
        <v>1906</v>
      </c>
      <c r="G216" s="19"/>
      <c r="H216" s="18" t="s">
        <v>26</v>
      </c>
      <c r="I216" s="18" t="s">
        <v>539</v>
      </c>
      <c r="J216" s="18" t="s">
        <v>540</v>
      </c>
      <c r="K216" s="20">
        <v>46045</v>
      </c>
      <c r="L216" s="50" t="s">
        <v>1907</v>
      </c>
      <c r="M216" s="50" t="s">
        <v>812</v>
      </c>
      <c r="N216" s="50"/>
      <c r="O216" s="18" t="s">
        <v>712</v>
      </c>
      <c r="P216" s="18" t="s">
        <v>495</v>
      </c>
      <c r="Q216" s="18" t="s">
        <v>496</v>
      </c>
      <c r="R216" s="18" t="s">
        <v>599</v>
      </c>
      <c r="S216" s="18"/>
      <c r="T216" s="18" t="s">
        <v>650</v>
      </c>
      <c r="U216" s="18" t="s">
        <v>1908</v>
      </c>
      <c r="V216" s="18"/>
      <c r="W216" s="18"/>
      <c r="X216" s="18"/>
      <c r="Y216" s="80"/>
      <c r="Z216" s="18" t="s">
        <v>499</v>
      </c>
      <c r="AA216" s="20">
        <v>46119</v>
      </c>
      <c r="AB216" s="18" t="s">
        <v>500</v>
      </c>
      <c r="AC216" s="18"/>
      <c r="AD216" s="18" t="s">
        <v>30</v>
      </c>
      <c r="AE216" s="18" t="s">
        <v>27</v>
      </c>
      <c r="AF216" s="18" t="s">
        <v>48</v>
      </c>
      <c r="AG216" s="14" t="str">
        <f>VLOOKUP(AF216,Tabla3[[Estado Requerimiento]:[Macro estado]],2,FALSE)</f>
        <v>02. En Proceso</v>
      </c>
      <c r="AH216" s="18"/>
      <c r="AI216" s="80"/>
      <c r="AJ216" s="80"/>
      <c r="AK216" s="80">
        <v>46055</v>
      </c>
      <c r="AL216" s="80"/>
      <c r="AM216" s="80"/>
      <c r="AN216" s="80"/>
      <c r="AO216" s="80"/>
      <c r="AP216" s="81" t="str">
        <f t="shared" si="6"/>
        <v/>
      </c>
      <c r="AQ216" s="80"/>
      <c r="AR216" s="80"/>
      <c r="AS216" s="81" t="str">
        <f t="shared" si="7"/>
        <v/>
      </c>
      <c r="AT216" s="198" t="s">
        <v>1909</v>
      </c>
      <c r="AU216" s="44" t="str">
        <f>VLOOKUP(Cartera1017[[#This Row],[Gerencia]],tbGerencia[#All],3,FALSE)</f>
        <v>B.Digital</v>
      </c>
      <c r="AV216" s="44" t="str">
        <f>IFERROR(VLOOKUP(Cartera1017[[#This Row],[Subgerencia]],Definiciones!$A$90:$B$144,2,FALSE),"")</f>
        <v>CanalesAlternos</v>
      </c>
      <c r="AW216" s="44" t="str">
        <f>IF(OR(LEN(Cartera1017[[#This Row],[Fecha de Solicitud]])=0,(Cartera1017[[#This Row],[Fecha de Solicitud]])="No definido"),"No definido",IF(YEAR(Cartera1017[[#This Row],[Fecha de Solicitud]])&lt;2023," &lt;  2023",TEXT(Cartera1017[[#This Row],[Fecha de Solicitud]],"yyyy-mm")))</f>
        <v>2026-01</v>
      </c>
      <c r="AX216" s="44" t="str">
        <f>IF(Cartera1017[[#This Row],[Fecha de Priorización Comité]]="","No definido",TEXT(Cartera1017[[#This Row],[Fecha de Priorización Comité]],"yyyy-mm"))</f>
        <v>2026-04</v>
      </c>
      <c r="AY216" s="44" t="str">
        <f>IF(Cartera1017[[#This Row],[Fecha Fin- Desarrollo]]="","No definido",TEXT(Cartera1017[[#This Row],[Fecha Fin- Desarrollo]],"yyyy-mm"))</f>
        <v>No definido</v>
      </c>
      <c r="AZ216" s="44" t="str">
        <f>IF(Cartera1017[[#This Row],[Fecha Fin- Producción]]="","No definido",TEXT(Cartera1017[[#This Row],[Fecha Fin- Producción]],"yyyy-mm"))</f>
        <v>No definido</v>
      </c>
      <c r="BA216" s="44" t="str">
        <f>IF(Cartera1017[[#This Row],[Fecha Fin-Planificada]]="","No definido",TEXT(Cartera1017[[#This Row],[Fecha Fin-Planificada]],"yyyy-mm"))</f>
        <v>No definido</v>
      </c>
      <c r="BB216" s="33"/>
      <c r="BC216" s="108"/>
      <c r="BD216" s="108"/>
      <c r="BE216" s="108"/>
      <c r="BF216" s="127"/>
      <c r="BG216" s="28"/>
      <c r="BH21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6" s="90" t="str">
        <f>IF(ISNUMBER(Cartera1017[[#This Row],[Duracion en Dias]]),Cartera1017[[#This Row],[Duracion en Dias]]/30, "No Aplica")</f>
        <v>No Aplica</v>
      </c>
      <c r="BJ216" s="109"/>
      <c r="BK216" s="28" t="s">
        <v>613</v>
      </c>
      <c r="BL216" s="110" t="s">
        <v>592</v>
      </c>
      <c r="BM216" s="342">
        <v>46055.499583333331</v>
      </c>
      <c r="BN216" s="227"/>
      <c r="BO216" s="401"/>
      <c r="BP216" s="401"/>
      <c r="BQ21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6" s="14" t="str">
        <f>IFERROR(VLOOKUP(Cartera1017[[#This Row],[Aplicativo]],Tabla76[],2,FALSE),"Sin Aplicativo")</f>
        <v>ATM-Agentes-VISA</v>
      </c>
      <c r="BS216" s="14" t="str">
        <f>IFERROR(VLOOKUP(Cartera1017[[#This Row],[Aplicativo]],Tabla76[],3,FALSE),"Sin Aplicativo")</f>
        <v>Canales Presenciales</v>
      </c>
      <c r="BT216" s="400"/>
      <c r="BU216" s="33"/>
      <c r="BV216" s="28"/>
      <c r="BW21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6" s="149" t="str">
        <f ca="1">IF(Cartera1017[[#This Row],[Fecha Fin2]]="","No definido",CONCATENATE(TEXT(Cartera1017[[#This Row],[Fecha Fin2]],"mmm")," ",YEAR(Cartera1017[[#This Row],[Fecha Fin2]])))</f>
        <v>No definido</v>
      </c>
      <c r="BZ216" s="28"/>
      <c r="CA216" s="48" t="str">
        <f>IF(Cartera1017[[#This Row],[Estado TI]] = "08. Producción Finalizada","Culminado",IF(Cartera1017[[#This Row],[Estado TI]]= "09. Descartado","Descartado","Activos"))</f>
        <v>Activos</v>
      </c>
      <c r="CB216" s="28"/>
      <c r="CC21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16" s="54" t="str">
        <f>IF(
AND(
Cartera1017[[#This Row],[DEVOLVER 27]]="NO",
NOT(ISBLANK(Cartera1017[[#This Row],[ESTADO NO DEVUELTOS 27]]))
),
"PRE",
"POST"
)</f>
        <v>POST</v>
      </c>
      <c r="CE216" s="54"/>
      <c r="CF216" s="28"/>
      <c r="CG21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1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16"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16" s="406">
        <f>Cartera1017[[#This Row],[Porcentaje de Avance]]</f>
        <v>0.25</v>
      </c>
      <c r="CK216" s="388" t="str">
        <f>IF(
   OR(
     Cartera1017[[#This Row],[Estado TI]]="09. Descartado",
     Cartera1017[[#This Row],[Comienzo Desarrollo]]="",
     Cartera1017[[#This Row],[Fin Producción]]=""
   ),
   "",
   Cartera1017[[#This Row],[% PLANIFICADO]]-Cartera1017[[#This Row],[% COMPLETADO]]
)</f>
        <v/>
      </c>
      <c r="CL216" s="388" t="str">
        <f ca="1">IF(
   OR(
     Cartera1017[[#This Row],[Estado TI]]="09. Descartado",
     Cartera1017[[#This Row],[Comienzo Desarrollo]]="",
     Cartera1017[[#This Row],[Fin Producción]]="",
     Cartera1017[[#This Row],[% PLANIFICADO]]=0
   ),
   "",
   MIN(Cartera1017[[#This Row],[% COMPLETADO]]/Cartera1017[[#This Row],[% PLANIFICADO]],1.2)
)</f>
        <v/>
      </c>
      <c r="CM216" s="229"/>
      <c r="CN216" s="229"/>
      <c r="CO216" s="229"/>
      <c r="CP216" s="229"/>
      <c r="CQ216" s="229"/>
      <c r="CR216" s="229"/>
      <c r="CS216" s="229"/>
      <c r="CT216" s="44">
        <f>IF(Cartera1017[[#This Row],[Fin Desarrollo]]="",25,IFERROR(NETWORKDAYS(Cartera1017[[#This Row],[Comienzo Desarrollo]],Cartera1017[[#This Row],[Fin Desarrollo]],FERIADOS[Fecha]),""))</f>
        <v>25</v>
      </c>
      <c r="CU21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16" s="44">
        <f>IF(OR(Cartera1017[[#This Row],[Comienzo Desarrollo]]="",Cartera1017[[#This Row],[Fin Desarrollo]]=""),200,IFERROR(Cartera1017[[#This Row],[DURACIÓN DESARROLLO DIAS]]*VLOOKUP(Cartera1017[[#This Row],[ID Mantenimiento]],MANT_HORAS[],2,FALSE),200))</f>
        <v>200</v>
      </c>
      <c r="CW216" s="110"/>
      <c r="CX216" s="110" t="str">
        <f>VLOOKUP(Cartera1017[[#This Row],[Estado TI]],Definiciones!$A$549:$B$559,2,FALSE)</f>
        <v>1. DESARROLLO</v>
      </c>
      <c r="CY216" s="28">
        <f ca="1">1-Cartera1017[[#This Row],[Porcentaje avanzado desarrollo]]</f>
        <v>0.9</v>
      </c>
      <c r="CZ21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6" s="28">
        <f ca="1">MAX(0,Cartera1017[[#This Row],[DURACIÓN DESARROLLO DIAS]]-Cartera1017[[#This Row],[Dias avanzados]])</f>
        <v>24</v>
      </c>
      <c r="DB216" s="28">
        <f ca="1">Cartera1017[[#This Row],[Dias avanzados]]*IFERROR(VLOOKUP(Cartera1017[[#This Row],[ID Mantenimiento]],MANT_HORAS[],2,FALSE),8)</f>
        <v>0.72727272727272729</v>
      </c>
      <c r="DC216" s="28">
        <f ca="1">Cartera1017[[#This Row],[Dias faltantes]]*IFERROR(VLOOKUP(Cartera1017[[#This Row],[ID Mantenimiento]],MANT_HORAS[],2,FALSE),8)</f>
        <v>17.454545454545453</v>
      </c>
      <c r="DD216" s="28" t="str">
        <f>IF(Cartera1017[[#This Row],[Fin Producción]]=0,"Por definir",CONCATENATE(YEAR(Cartera1017[[#This Row],[Fin Producción]]),"-",ROUNDUP(MONTH(Cartera1017[[#This Row],[Fin Producción]]),0)))</f>
        <v>Por definir</v>
      </c>
      <c r="DE216" s="18" t="s">
        <v>1719</v>
      </c>
      <c r="DF216" s="28"/>
      <c r="DG216" s="28"/>
      <c r="DH216" s="565"/>
    </row>
    <row r="217" spans="1:112" ht="44.25" hidden="1" customHeight="1">
      <c r="A217" s="229" t="s">
        <v>1910</v>
      </c>
      <c r="B217" s="18">
        <v>3165</v>
      </c>
      <c r="C217" s="18" t="s">
        <v>485</v>
      </c>
      <c r="D217" s="18" t="s">
        <v>1911</v>
      </c>
      <c r="E217" s="18" t="s">
        <v>1912</v>
      </c>
      <c r="F217" s="33" t="s">
        <v>1913</v>
      </c>
      <c r="G217" s="19"/>
      <c r="H217" s="18" t="s">
        <v>108</v>
      </c>
      <c r="I217" s="18" t="s">
        <v>811</v>
      </c>
      <c r="J217" s="18" t="s">
        <v>500</v>
      </c>
      <c r="K217" s="20">
        <v>46051</v>
      </c>
      <c r="L217" s="50" t="s">
        <v>1914</v>
      </c>
      <c r="M217" s="50" t="s">
        <v>914</v>
      </c>
      <c r="N217" s="50"/>
      <c r="O217" s="18" t="s">
        <v>548</v>
      </c>
      <c r="P217" s="18" t="s">
        <v>912</v>
      </c>
      <c r="Q217" s="18" t="s">
        <v>822</v>
      </c>
      <c r="R217" s="18" t="s">
        <v>497</v>
      </c>
      <c r="S217" s="18"/>
      <c r="T217" s="18"/>
      <c r="U217" s="18"/>
      <c r="V217" s="18"/>
      <c r="W217" s="18"/>
      <c r="X217" s="18"/>
      <c r="Y217" s="80"/>
      <c r="Z217" s="18" t="s">
        <v>499</v>
      </c>
      <c r="AA217" s="20">
        <v>46119</v>
      </c>
      <c r="AB217" s="18" t="s">
        <v>500</v>
      </c>
      <c r="AC217" s="18"/>
      <c r="AD217" s="18" t="s">
        <v>43</v>
      </c>
      <c r="AE217" s="18" t="s">
        <v>109</v>
      </c>
      <c r="AF217" s="18" t="s">
        <v>48</v>
      </c>
      <c r="AG217" s="14" t="str">
        <f>VLOOKUP(AF217,Tabla3[[Estado Requerimiento]:[Macro estado]],2,FALSE)</f>
        <v>02. En Proceso</v>
      </c>
      <c r="AH217" s="18"/>
      <c r="AI217" s="80"/>
      <c r="AJ217" s="80"/>
      <c r="AK217" s="80"/>
      <c r="AL217" s="80"/>
      <c r="AM217" s="80"/>
      <c r="AN217" s="80"/>
      <c r="AO217" s="80"/>
      <c r="AP217" s="81" t="str">
        <f t="shared" si="6"/>
        <v/>
      </c>
      <c r="AQ217" s="80"/>
      <c r="AR217" s="80"/>
      <c r="AS217" s="81" t="str">
        <f t="shared" si="7"/>
        <v/>
      </c>
      <c r="AT217" s="198" t="s">
        <v>1915</v>
      </c>
      <c r="AU217" s="44" t="str">
        <f>VLOOKUP(Cartera1017[[#This Row],[Gerencia]],tbGerencia[#All],3,FALSE)</f>
        <v>TI</v>
      </c>
      <c r="AV217" s="44" t="str">
        <f>IFERROR(VLOOKUP(Cartera1017[[#This Row],[Subgerencia]],Definiciones!$A$90:$B$144,2,FALSE),"")</f>
        <v>ConstrucciónAplicaciones</v>
      </c>
      <c r="AW217" s="44" t="str">
        <f>IF(OR(LEN(Cartera1017[[#This Row],[Fecha de Solicitud]])=0,(Cartera1017[[#This Row],[Fecha de Solicitud]])="No definido"),"No definido",IF(YEAR(Cartera1017[[#This Row],[Fecha de Solicitud]])&lt;2023," &lt;  2023",TEXT(Cartera1017[[#This Row],[Fecha de Solicitud]],"yyyy-mm")))</f>
        <v>2026-01</v>
      </c>
      <c r="AX217" s="44" t="str">
        <f>IF(Cartera1017[[#This Row],[Fecha de Priorización Comité]]="","No definido",TEXT(Cartera1017[[#This Row],[Fecha de Priorización Comité]],"yyyy-mm"))</f>
        <v>2026-04</v>
      </c>
      <c r="AY217" s="44" t="str">
        <f>IF(Cartera1017[[#This Row],[Fecha Fin- Desarrollo]]="","No definido",TEXT(Cartera1017[[#This Row],[Fecha Fin- Desarrollo]],"yyyy-mm"))</f>
        <v>No definido</v>
      </c>
      <c r="AZ217" s="44" t="str">
        <f>IF(Cartera1017[[#This Row],[Fecha Fin- Producción]]="","No definido",TEXT(Cartera1017[[#This Row],[Fecha Fin- Producción]],"yyyy-mm"))</f>
        <v>No definido</v>
      </c>
      <c r="BA217" s="44" t="str">
        <f>IF(Cartera1017[[#This Row],[Fecha Fin-Planificada]]="","No definido",TEXT(Cartera1017[[#This Row],[Fecha Fin-Planificada]],"yyyy-mm"))</f>
        <v>No definido</v>
      </c>
      <c r="BB217" s="33"/>
      <c r="BC217" s="108"/>
      <c r="BD217" s="108"/>
      <c r="BE217" s="108"/>
      <c r="BF217" s="127"/>
      <c r="BG217" s="28"/>
      <c r="BH21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17" s="90" t="str">
        <f>IF(ISNUMBER(Cartera1017[[#This Row],[Duracion en Dias]]),Cartera1017[[#This Row],[Duracion en Dias]]/30, "No Aplica")</f>
        <v>No Aplica</v>
      </c>
      <c r="BJ217" s="109"/>
      <c r="BK217" s="28" t="s">
        <v>506</v>
      </c>
      <c r="BL217" s="110" t="s">
        <v>581</v>
      </c>
      <c r="BM217" s="342">
        <v>46112.666585648149</v>
      </c>
      <c r="BN217" s="227"/>
      <c r="BO217" s="401"/>
      <c r="BP217" s="401"/>
      <c r="BQ21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7" s="14" t="str">
        <f>IFERROR(VLOOKUP(Cartera1017[[#This Row],[Aplicativo]],Tabla76[],2,FALSE),"Sin Aplicativo")</f>
        <v>Créditos Hipotecarios</v>
      </c>
      <c r="BS217" s="14" t="str">
        <f>IFERROR(VLOOKUP(Cartera1017[[#This Row],[Aplicativo]],Tabla76[],3,FALSE),"Sin Aplicativo")</f>
        <v>Productos</v>
      </c>
      <c r="BT217" s="400"/>
      <c r="BU217" s="33"/>
      <c r="BV217" s="28"/>
      <c r="BW21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7" s="149" t="str">
        <f ca="1">IF(Cartera1017[[#This Row],[Fecha Fin2]]="","No definido",CONCATENATE(TEXT(Cartera1017[[#This Row],[Fecha Fin2]],"mmm")," ",YEAR(Cartera1017[[#This Row],[Fecha Fin2]])))</f>
        <v>No definido</v>
      </c>
      <c r="BZ217" s="28"/>
      <c r="CA217" s="48" t="str">
        <f>IF(Cartera1017[[#This Row],[Estado TI]] = "08. Producción Finalizada","Culminado",IF(Cartera1017[[#This Row],[Estado TI]]= "09. Descartado","Descartado","Activos"))</f>
        <v>Activos</v>
      </c>
      <c r="CB217" s="28"/>
      <c r="CC21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217" s="54" t="str">
        <f>IF(
AND(
Cartera1017[[#This Row],[DEVOLVER 27]]="NO",
NOT(ISBLANK(Cartera1017[[#This Row],[ESTADO NO DEVUELTOS 27]]))
),
"PRE",
"POST"
)</f>
        <v>POST</v>
      </c>
      <c r="CE217" s="54"/>
      <c r="CF217" s="28"/>
      <c r="CG21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1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17"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217" s="406">
        <f>Cartera1017[[#This Row],[Porcentaje de Avance]]</f>
        <v>0.45</v>
      </c>
      <c r="CK217" s="388">
        <f ca="1">IF(
   OR(
     Cartera1017[[#This Row],[Estado TI]]="09. Descartado",
     Cartera1017[[#This Row],[Comienzo Desarrollo]]="",
     Cartera1017[[#This Row],[Fin Producción]]=""
   ),
   "",
   Cartera1017[[#This Row],[% PLANIFICADO]]-Cartera1017[[#This Row],[% COMPLETADO]]
)</f>
        <v>-0.45</v>
      </c>
      <c r="CL217" s="388" t="str">
        <f ca="1">IF(
   OR(
     Cartera1017[[#This Row],[Estado TI]]="09. Descartado",
     Cartera1017[[#This Row],[Comienzo Desarrollo]]="",
     Cartera1017[[#This Row],[Fin Producción]]="",
     Cartera1017[[#This Row],[% PLANIFICADO]]=0
   ),
   "",
   MIN(Cartera1017[[#This Row],[% COMPLETADO]]/Cartera1017[[#This Row],[% PLANIFICADO]],1.2)
)</f>
        <v/>
      </c>
      <c r="CM217" s="229"/>
      <c r="CN217" s="540">
        <v>46209</v>
      </c>
      <c r="CO217" s="229">
        <v>46295</v>
      </c>
      <c r="CP217" s="229">
        <v>46302</v>
      </c>
      <c r="CQ217" s="229">
        <v>46359</v>
      </c>
      <c r="CR217" s="229">
        <v>46367</v>
      </c>
      <c r="CS217" s="229">
        <v>46374</v>
      </c>
      <c r="CT217" s="44">
        <f>IF(Cartera1017[[#This Row],[Fin Desarrollo]]="",25,IFERROR(NETWORKDAYS(Cartera1017[[#This Row],[Comienzo Desarrollo]],Cartera1017[[#This Row],[Fin Desarrollo]],FERIADOS[Fecha]),""))</f>
        <v>61</v>
      </c>
      <c r="CU21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V217" s="44">
        <f>IF(OR(Cartera1017[[#This Row],[Comienzo Desarrollo]]="",Cartera1017[[#This Row],[Fin Desarrollo]]=""),200,IFERROR(Cartera1017[[#This Row],[DURACIÓN DESARROLLO DIAS]]*VLOOKUP(Cartera1017[[#This Row],[ID Mantenimiento]],MANT_HORAS[],2,FALSE),200))</f>
        <v>69.714285714285708</v>
      </c>
      <c r="CW217" s="110"/>
      <c r="CX217" s="110" t="str">
        <f>VLOOKUP(Cartera1017[[#This Row],[Estado TI]],Definiciones!$A$549:$B$559,2,FALSE)</f>
        <v>1. DESARROLLO</v>
      </c>
      <c r="CY217" s="28">
        <f ca="1">1-Cartera1017[[#This Row],[Porcentaje avanzado desarrollo]]</f>
        <v>1</v>
      </c>
      <c r="CZ21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217" s="28">
        <f ca="1">MAX(0,Cartera1017[[#This Row],[DURACIÓN DESARROLLO DIAS]]-Cartera1017[[#This Row],[Dias avanzados]])</f>
        <v>61</v>
      </c>
      <c r="DB217" s="28">
        <f ca="1">Cartera1017[[#This Row],[Dias avanzados]]*IFERROR(VLOOKUP(Cartera1017[[#This Row],[ID Mantenimiento]],MANT_HORAS[],2,FALSE),8)</f>
        <v>0</v>
      </c>
      <c r="DC217" s="28">
        <f ca="1">Cartera1017[[#This Row],[Dias faltantes]]*IFERROR(VLOOKUP(Cartera1017[[#This Row],[ID Mantenimiento]],MANT_HORAS[],2,FALSE),8)</f>
        <v>69.714285714285708</v>
      </c>
      <c r="DD217" s="28" t="str">
        <f>IF(Cartera1017[[#This Row],[Fin Producción]]=0,"Por definir",CONCATENATE(YEAR(Cartera1017[[#This Row],[Fin Producción]]),"-",ROUNDUP(MONTH(Cartera1017[[#This Row],[Fin Producción]]),0)))</f>
        <v>2026-12</v>
      </c>
      <c r="DE217" s="18" t="s">
        <v>1719</v>
      </c>
      <c r="DF217" s="28"/>
      <c r="DG217" s="28"/>
      <c r="DH217" s="565"/>
    </row>
    <row r="218" spans="1:112" ht="44.25" hidden="1" customHeight="1">
      <c r="A218" s="229" t="s">
        <v>1916</v>
      </c>
      <c r="B218" s="18">
        <v>3166</v>
      </c>
      <c r="C218" s="18" t="s">
        <v>485</v>
      </c>
      <c r="D218" s="18" t="s">
        <v>1917</v>
      </c>
      <c r="E218" s="18" t="s">
        <v>1918</v>
      </c>
      <c r="F218" s="33" t="s">
        <v>1919</v>
      </c>
      <c r="G218" s="19"/>
      <c r="H218" s="18" t="s">
        <v>108</v>
      </c>
      <c r="I218" s="18" t="s">
        <v>811</v>
      </c>
      <c r="J218" s="18" t="s">
        <v>500</v>
      </c>
      <c r="K218" s="20">
        <v>46051</v>
      </c>
      <c r="L218" s="50" t="s">
        <v>1920</v>
      </c>
      <c r="M218" s="50" t="s">
        <v>579</v>
      </c>
      <c r="N218" s="50"/>
      <c r="O218" s="18" t="s">
        <v>548</v>
      </c>
      <c r="P218" s="18" t="s">
        <v>549</v>
      </c>
      <c r="Q218" s="18" t="s">
        <v>496</v>
      </c>
      <c r="R218" s="18" t="s">
        <v>497</v>
      </c>
      <c r="S218" s="18"/>
      <c r="T218" s="18"/>
      <c r="U218" s="18"/>
      <c r="V218" s="18"/>
      <c r="W218" s="18"/>
      <c r="X218" s="18"/>
      <c r="Y218" s="80"/>
      <c r="Z218" s="18" t="s">
        <v>499</v>
      </c>
      <c r="AA218" s="20">
        <v>46119</v>
      </c>
      <c r="AB218" s="18" t="s">
        <v>500</v>
      </c>
      <c r="AC218" s="18"/>
      <c r="AD218" s="18" t="s">
        <v>43</v>
      </c>
      <c r="AE218" s="18" t="s">
        <v>109</v>
      </c>
      <c r="AF218" s="18" t="s">
        <v>48</v>
      </c>
      <c r="AG218" s="14" t="str">
        <f>VLOOKUP(AF218,Tabla3[[Estado Requerimiento]:[Macro estado]],2,FALSE)</f>
        <v>02. En Proceso</v>
      </c>
      <c r="AH218" s="18"/>
      <c r="AI218" s="80"/>
      <c r="AJ218" s="80"/>
      <c r="AK218" s="80"/>
      <c r="AL218" s="80"/>
      <c r="AM218" s="80"/>
      <c r="AN218" s="80"/>
      <c r="AO218" s="80"/>
      <c r="AP218" s="81" t="str">
        <f t="shared" si="6"/>
        <v/>
      </c>
      <c r="AQ218" s="80"/>
      <c r="AR218" s="80"/>
      <c r="AS218" s="81" t="str">
        <f t="shared" si="7"/>
        <v/>
      </c>
      <c r="AT218" s="198" t="s">
        <v>1921</v>
      </c>
      <c r="AU218" s="44" t="str">
        <f>VLOOKUP(Cartera1017[[#This Row],[Gerencia]],tbGerencia[#All],3,FALSE)</f>
        <v>TI</v>
      </c>
      <c r="AV218" s="44" t="str">
        <f>IFERROR(VLOOKUP(Cartera1017[[#This Row],[Subgerencia]],Definiciones!$A$90:$B$144,2,FALSE),"")</f>
        <v>ConstrucciónAplicaciones</v>
      </c>
      <c r="AW218" s="44" t="str">
        <f>IF(OR(LEN(Cartera1017[[#This Row],[Fecha de Solicitud]])=0,(Cartera1017[[#This Row],[Fecha de Solicitud]])="No definido"),"No definido",IF(YEAR(Cartera1017[[#This Row],[Fecha de Solicitud]])&lt;2023," &lt;  2023",TEXT(Cartera1017[[#This Row],[Fecha de Solicitud]],"yyyy-mm")))</f>
        <v>2026-01</v>
      </c>
      <c r="AX218" s="44" t="str">
        <f>IF(Cartera1017[[#This Row],[Fecha de Priorización Comité]]="","No definido",TEXT(Cartera1017[[#This Row],[Fecha de Priorización Comité]],"yyyy-mm"))</f>
        <v>2026-04</v>
      </c>
      <c r="AY218" s="44" t="str">
        <f>IF(Cartera1017[[#This Row],[Fecha Fin- Desarrollo]]="","No definido",TEXT(Cartera1017[[#This Row],[Fecha Fin- Desarrollo]],"yyyy-mm"))</f>
        <v>No definido</v>
      </c>
      <c r="AZ218" s="44" t="str">
        <f>IF(Cartera1017[[#This Row],[Fecha Fin- Producción]]="","No definido",TEXT(Cartera1017[[#This Row],[Fecha Fin- Producción]],"yyyy-mm"))</f>
        <v>No definido</v>
      </c>
      <c r="BA218" s="44" t="str">
        <f>IF(Cartera1017[[#This Row],[Fecha Fin-Planificada]]="","No definido",TEXT(Cartera1017[[#This Row],[Fecha Fin-Planificada]],"yyyy-mm"))</f>
        <v>No definido</v>
      </c>
      <c r="BB218" s="33"/>
      <c r="BC218" s="108"/>
      <c r="BD218" s="108"/>
      <c r="BE218" s="108"/>
      <c r="BF218" s="127"/>
      <c r="BG218" s="28"/>
      <c r="BH21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18" s="90" t="str">
        <f>IF(ISNUMBER(Cartera1017[[#This Row],[Duracion en Dias]]),Cartera1017[[#This Row],[Duracion en Dias]]/30, "No Aplica")</f>
        <v>No Aplica</v>
      </c>
      <c r="BJ218" s="109"/>
      <c r="BK218" s="28" t="s">
        <v>506</v>
      </c>
      <c r="BL218" s="110" t="s">
        <v>581</v>
      </c>
      <c r="BM218" s="342">
        <v>46135.387384259258</v>
      </c>
      <c r="BN218" s="227"/>
      <c r="BO218" s="401"/>
      <c r="BP218" s="401"/>
      <c r="BQ21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8" s="14" t="str">
        <f>IFERROR(VLOOKUP(Cartera1017[[#This Row],[Aplicativo]],Tabla76[],2,FALSE),"Sin Aplicativo")</f>
        <v>Clientes (BDUC)</v>
      </c>
      <c r="BS218" s="14" t="str">
        <f>IFERROR(VLOOKUP(Cartera1017[[#This Row],[Aplicativo]],Tabla76[],3,FALSE),"Sin Aplicativo")</f>
        <v>Canales Presenciales</v>
      </c>
      <c r="BT218" s="400"/>
      <c r="BU218" s="33"/>
      <c r="BV218" s="28"/>
      <c r="BW21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8" s="149" t="str">
        <f ca="1">IF(Cartera1017[[#This Row],[Fecha Fin2]]="","No definido",CONCATENATE(TEXT(Cartera1017[[#This Row],[Fecha Fin2]],"mmm")," ",YEAR(Cartera1017[[#This Row],[Fecha Fin2]])))</f>
        <v>No definido</v>
      </c>
      <c r="BZ218" s="28"/>
      <c r="CA218" s="48" t="str">
        <f>IF(Cartera1017[[#This Row],[Estado TI]] = "08. Producción Finalizada","Culminado",IF(Cartera1017[[#This Row],[Estado TI]]= "09. Descartado","Descartado","Activos"))</f>
        <v>Activos</v>
      </c>
      <c r="CB218" s="28"/>
      <c r="CC21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218" s="54" t="str">
        <f>IF(
AND(
Cartera1017[[#This Row],[DEVOLVER 27]]="NO",
NOT(ISBLANK(Cartera1017[[#This Row],[ESTADO NO DEVUELTOS 27]]))
),
"PRE",
"POST"
)</f>
        <v>POST</v>
      </c>
      <c r="CE218" s="54"/>
      <c r="CF218" s="28"/>
      <c r="CG21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1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18"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218" s="406">
        <f>Cartera1017[[#This Row],[Porcentaje de Avance]]</f>
        <v>0.45</v>
      </c>
      <c r="CK218" s="388">
        <f ca="1">IF(
   OR(
     Cartera1017[[#This Row],[Estado TI]]="09. Descartado",
     Cartera1017[[#This Row],[Comienzo Desarrollo]]="",
     Cartera1017[[#This Row],[Fin Producción]]=""
   ),
   "",
   Cartera1017[[#This Row],[% PLANIFICADO]]-Cartera1017[[#This Row],[% COMPLETADO]]
)</f>
        <v>-0.45</v>
      </c>
      <c r="CL218" s="388" t="str">
        <f ca="1">IF(
   OR(
     Cartera1017[[#This Row],[Estado TI]]="09. Descartado",
     Cartera1017[[#This Row],[Comienzo Desarrollo]]="",
     Cartera1017[[#This Row],[Fin Producción]]="",
     Cartera1017[[#This Row],[% PLANIFICADO]]=0
   ),
   "",
   MIN(Cartera1017[[#This Row],[% COMPLETADO]]/Cartera1017[[#This Row],[% PLANIFICADO]],1.2)
)</f>
        <v/>
      </c>
      <c r="CM218" s="229"/>
      <c r="CN218" s="540">
        <v>46209</v>
      </c>
      <c r="CO218" s="229">
        <v>46295</v>
      </c>
      <c r="CP218" s="229">
        <v>46302</v>
      </c>
      <c r="CQ218" s="229">
        <v>46359</v>
      </c>
      <c r="CR218" s="229">
        <v>46367</v>
      </c>
      <c r="CS218" s="229">
        <v>46374</v>
      </c>
      <c r="CT218" s="44">
        <f>IF(Cartera1017[[#This Row],[Fin Desarrollo]]="",25,IFERROR(NETWORKDAYS(Cartera1017[[#This Row],[Comienzo Desarrollo]],Cartera1017[[#This Row],[Fin Desarrollo]],FERIADOS[Fecha]),""))</f>
        <v>61</v>
      </c>
      <c r="CU21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V218" s="44">
        <f>IF(OR(Cartera1017[[#This Row],[Comienzo Desarrollo]]="",Cartera1017[[#This Row],[Fin Desarrollo]]=""),200,IFERROR(Cartera1017[[#This Row],[DURACIÓN DESARROLLO DIAS]]*VLOOKUP(Cartera1017[[#This Row],[ID Mantenimiento]],MANT_HORAS[],2,FALSE),200))</f>
        <v>69.714285714285708</v>
      </c>
      <c r="CW218" s="110"/>
      <c r="CX218" s="110" t="str">
        <f>VLOOKUP(Cartera1017[[#This Row],[Estado TI]],Definiciones!$A$549:$B$559,2,FALSE)</f>
        <v>1. DESARROLLO</v>
      </c>
      <c r="CY218" s="28">
        <f ca="1">1-Cartera1017[[#This Row],[Porcentaje avanzado desarrollo]]</f>
        <v>1</v>
      </c>
      <c r="CZ21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218" s="28">
        <f ca="1">MAX(0,Cartera1017[[#This Row],[DURACIÓN DESARROLLO DIAS]]-Cartera1017[[#This Row],[Dias avanzados]])</f>
        <v>61</v>
      </c>
      <c r="DB218" s="28">
        <f ca="1">Cartera1017[[#This Row],[Dias avanzados]]*IFERROR(VLOOKUP(Cartera1017[[#This Row],[ID Mantenimiento]],MANT_HORAS[],2,FALSE),8)</f>
        <v>0</v>
      </c>
      <c r="DC218" s="28">
        <f ca="1">Cartera1017[[#This Row],[Dias faltantes]]*IFERROR(VLOOKUP(Cartera1017[[#This Row],[ID Mantenimiento]],MANT_HORAS[],2,FALSE),8)</f>
        <v>69.714285714285708</v>
      </c>
      <c r="DD218" s="28" t="str">
        <f>IF(Cartera1017[[#This Row],[Fin Producción]]=0,"Por definir",CONCATENATE(YEAR(Cartera1017[[#This Row],[Fin Producción]]),"-",ROUNDUP(MONTH(Cartera1017[[#This Row],[Fin Producción]]),0)))</f>
        <v>2026-12</v>
      </c>
      <c r="DE218" s="18" t="s">
        <v>1719</v>
      </c>
      <c r="DF218" s="28"/>
      <c r="DG218" s="28"/>
      <c r="DH218" s="565"/>
    </row>
    <row r="219" spans="1:112" ht="44.25" customHeight="1">
      <c r="A219" s="229" t="s">
        <v>1922</v>
      </c>
      <c r="B219" s="18">
        <v>3167</v>
      </c>
      <c r="C219" s="18" t="s">
        <v>485</v>
      </c>
      <c r="D219" s="18" t="s">
        <v>1923</v>
      </c>
      <c r="E219" s="18" t="s">
        <v>1924</v>
      </c>
      <c r="F219" s="33" t="s">
        <v>1925</v>
      </c>
      <c r="G219" s="19"/>
      <c r="H219" s="18" t="s">
        <v>82</v>
      </c>
      <c r="I219" s="18" t="s">
        <v>700</v>
      </c>
      <c r="J219" s="18" t="s">
        <v>1158</v>
      </c>
      <c r="K219" s="20">
        <v>46051</v>
      </c>
      <c r="L219" s="50" t="s">
        <v>1926</v>
      </c>
      <c r="M219" s="50" t="s">
        <v>684</v>
      </c>
      <c r="N219" s="50" t="s">
        <v>1168</v>
      </c>
      <c r="O219" s="18" t="s">
        <v>530</v>
      </c>
      <c r="P219" s="18" t="s">
        <v>495</v>
      </c>
      <c r="Q219" s="18" t="s">
        <v>496</v>
      </c>
      <c r="R219" s="18" t="s">
        <v>497</v>
      </c>
      <c r="S219" s="18"/>
      <c r="T219" s="18"/>
      <c r="U219" s="18"/>
      <c r="V219" s="18"/>
      <c r="W219" s="18"/>
      <c r="X219" s="18"/>
      <c r="Y219" s="80"/>
      <c r="Z219" s="18" t="s">
        <v>499</v>
      </c>
      <c r="AA219" s="20">
        <v>46119</v>
      </c>
      <c r="AB219" s="18" t="s">
        <v>533</v>
      </c>
      <c r="AC219" s="18"/>
      <c r="AD219" s="18" t="s">
        <v>190</v>
      </c>
      <c r="AE219" s="18" t="s">
        <v>47</v>
      </c>
      <c r="AF219" s="18" t="s">
        <v>48</v>
      </c>
      <c r="AG219" s="14" t="str">
        <f>VLOOKUP(AF219,Tabla3[[Estado Requerimiento]:[Macro estado]],2,FALSE)</f>
        <v>02. En Proceso</v>
      </c>
      <c r="AH219" s="18"/>
      <c r="AI219" s="80"/>
      <c r="AJ219" s="80"/>
      <c r="AK219" s="80">
        <v>46057</v>
      </c>
      <c r="AL219" s="80"/>
      <c r="AM219" s="80"/>
      <c r="AN219" s="80"/>
      <c r="AO219" s="80"/>
      <c r="AP219" s="81" t="str">
        <f t="shared" si="6"/>
        <v/>
      </c>
      <c r="AQ219" s="80"/>
      <c r="AR219" s="80"/>
      <c r="AS219" s="81" t="str">
        <f t="shared" si="7"/>
        <v/>
      </c>
      <c r="AT219" s="198" t="s">
        <v>1921</v>
      </c>
      <c r="AU219" s="44" t="str">
        <f>VLOOKUP(Cartera1017[[#This Row],[Gerencia]],tbGerencia[#All],3,FALSE)</f>
        <v>Riesgos</v>
      </c>
      <c r="AV219" s="44" t="str">
        <f>IFERROR(VLOOKUP(Cartera1017[[#This Row],[Subgerencia]],Definiciones!$A$90:$B$144,2,FALSE),"")</f>
        <v>CrediticiosFinancieros</v>
      </c>
      <c r="AW219" s="44" t="str">
        <f>IF(OR(LEN(Cartera1017[[#This Row],[Fecha de Solicitud]])=0,(Cartera1017[[#This Row],[Fecha de Solicitud]])="No definido"),"No definido",IF(YEAR(Cartera1017[[#This Row],[Fecha de Solicitud]])&lt;2023," &lt;  2023",TEXT(Cartera1017[[#This Row],[Fecha de Solicitud]],"yyyy-mm")))</f>
        <v>2026-01</v>
      </c>
      <c r="AX219" s="44" t="str">
        <f>IF(Cartera1017[[#This Row],[Fecha de Priorización Comité]]="","No definido",TEXT(Cartera1017[[#This Row],[Fecha de Priorización Comité]],"yyyy-mm"))</f>
        <v>2026-04</v>
      </c>
      <c r="AY219" s="44" t="str">
        <f>IF(Cartera1017[[#This Row],[Fecha Fin- Desarrollo]]="","No definido",TEXT(Cartera1017[[#This Row],[Fecha Fin- Desarrollo]],"yyyy-mm"))</f>
        <v>No definido</v>
      </c>
      <c r="AZ219" s="44" t="str">
        <f>IF(Cartera1017[[#This Row],[Fecha Fin- Producción]]="","No definido",TEXT(Cartera1017[[#This Row],[Fecha Fin- Producción]],"yyyy-mm"))</f>
        <v>No definido</v>
      </c>
      <c r="BA219" s="44" t="str">
        <f>IF(Cartera1017[[#This Row],[Fecha Fin-Planificada]]="","No definido",TEXT(Cartera1017[[#This Row],[Fecha Fin-Planificada]],"yyyy-mm"))</f>
        <v>No definido</v>
      </c>
      <c r="BB219" s="33"/>
      <c r="BC219" s="108"/>
      <c r="BD219" s="108"/>
      <c r="BE219" s="108"/>
      <c r="BF219" s="127"/>
      <c r="BG219" s="28"/>
      <c r="BH21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9" s="90" t="str">
        <f>IF(ISNUMBER(Cartera1017[[#This Row],[Duracion en Dias]]),Cartera1017[[#This Row],[Duracion en Dias]]/30, "No Aplica")</f>
        <v>No Aplica</v>
      </c>
      <c r="BJ219" s="109"/>
      <c r="BK219" s="28" t="s">
        <v>1115</v>
      </c>
      <c r="BL219" s="110" t="s">
        <v>592</v>
      </c>
      <c r="BM219" s="342">
        <v>46057.411203703705</v>
      </c>
      <c r="BN219" s="227"/>
      <c r="BO219" s="401"/>
      <c r="BP219" s="401"/>
      <c r="BQ21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9" s="14" t="str">
        <f>IFERROR(VLOOKUP(Cartera1017[[#This Row],[Aplicativo]],Tabla76[],2,FALSE),"Sin Aplicativo")</f>
        <v>BackOffice</v>
      </c>
      <c r="BS219" s="14" t="str">
        <f>IFERROR(VLOOKUP(Cartera1017[[#This Row],[Aplicativo]],Tabla76[],3,FALSE),"Sin Aplicativo")</f>
        <v>Otros Requerimientos</v>
      </c>
      <c r="BT219" s="400"/>
      <c r="BU219" s="33"/>
      <c r="BV219" s="28"/>
      <c r="BW21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9" s="149" t="str">
        <f ca="1">IF(Cartera1017[[#This Row],[Fecha Fin2]]="","No definido",CONCATENATE(TEXT(Cartera1017[[#This Row],[Fecha Fin2]],"mmm")," ",YEAR(Cartera1017[[#This Row],[Fecha Fin2]])))</f>
        <v>No definido</v>
      </c>
      <c r="BZ219" s="28"/>
      <c r="CA219" s="48" t="str">
        <f>IF(Cartera1017[[#This Row],[Estado TI]] = "08. Producción Finalizada","Culminado",IF(Cartera1017[[#This Row],[Estado TI]]= "09. Descartado","Descartado","Activos"))</f>
        <v>Activos</v>
      </c>
      <c r="CB219" s="28"/>
      <c r="CC219" s="406">
        <v>0.7</v>
      </c>
      <c r="CD219" s="54" t="str">
        <f>IF(
AND(
Cartera1017[[#This Row],[DEVOLVER 27]]="NO",
NOT(ISBLANK(Cartera1017[[#This Row],[ESTADO NO DEVUELTOS 27]]))
),
"PRE",
"POST"
)</f>
        <v>POST</v>
      </c>
      <c r="CE219" s="54"/>
      <c r="CF219" s="28"/>
      <c r="CG21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1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19" s="426">
        <v>0.7</v>
      </c>
      <c r="CJ219" s="406">
        <f>Cartera1017[[#This Row],[Porcentaje de Avance]]</f>
        <v>0.7</v>
      </c>
      <c r="CK219" s="388">
        <f>IF(
   OR(
     Cartera1017[[#This Row],[Estado TI]]="09. Descartado",
     Cartera1017[[#This Row],[Comienzo Desarrollo]]="",
     Cartera1017[[#This Row],[Fin Producción]]=""
   ),
   "",
   Cartera1017[[#This Row],[% PLANIFICADO]]-Cartera1017[[#This Row],[% COMPLETADO]]
)</f>
        <v>0</v>
      </c>
      <c r="CL219" s="388">
        <f>IF(
   OR(
     Cartera1017[[#This Row],[Estado TI]]="09. Descartado",
     Cartera1017[[#This Row],[Comienzo Desarrollo]]="",
     Cartera1017[[#This Row],[Fin Producción]]="",
     Cartera1017[[#This Row],[% PLANIFICADO]]=0
   ),
   "",
   MIN(Cartera1017[[#This Row],[% COMPLETADO]]/Cartera1017[[#This Row],[% PLANIFICADO]],1.2)
)</f>
        <v>1</v>
      </c>
      <c r="CM219" s="229"/>
      <c r="CN219" s="229">
        <v>46057</v>
      </c>
      <c r="CO219" s="229">
        <v>46171</v>
      </c>
      <c r="CP219" s="229">
        <v>46171</v>
      </c>
      <c r="CQ219" s="229">
        <v>46191</v>
      </c>
      <c r="CR219" s="229">
        <v>46192</v>
      </c>
      <c r="CS219" s="229">
        <v>46203</v>
      </c>
      <c r="CT219" s="44">
        <f>IF(Cartera1017[[#This Row],[Fin Desarrollo]]="",25,IFERROR(NETWORKDAYS(Cartera1017[[#This Row],[Comienzo Desarrollo]],Cartera1017[[#This Row],[Fin Desarrollo]],FERIADOS[Fecha]),""))</f>
        <v>82</v>
      </c>
      <c r="CU21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0.90361445783132532</v>
      </c>
      <c r="CV219" s="44">
        <f>IF(OR(Cartera1017[[#This Row],[Comienzo Desarrollo]]="",Cartera1017[[#This Row],[Fin Desarrollo]]=""),200,IFERROR(Cartera1017[[#This Row],[DURACIÓN DESARROLLO DIAS]]*VLOOKUP(Cartera1017[[#This Row],[ID Mantenimiento]],MANT_HORAS[],2,FALSE),200))</f>
        <v>218.66666666666666</v>
      </c>
      <c r="CW219" s="110"/>
      <c r="CX219" s="110" t="str">
        <f>VLOOKUP(Cartera1017[[#This Row],[Estado TI]],Definiciones!$A$549:$B$559,2,FALSE)</f>
        <v>1. DESARROLLO</v>
      </c>
      <c r="CY219" s="28">
        <f ca="1">1-Cartera1017[[#This Row],[Porcentaje avanzado desarrollo]]</f>
        <v>9.6385542168674676E-2</v>
      </c>
      <c r="CZ21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74</v>
      </c>
      <c r="DA219" s="28">
        <f ca="1">MAX(0,Cartera1017[[#This Row],[DURACIÓN DESARROLLO DIAS]]-Cartera1017[[#This Row],[Dias avanzados]])</f>
        <v>8</v>
      </c>
      <c r="DB219" s="28">
        <f ca="1">Cartera1017[[#This Row],[Dias avanzados]]*IFERROR(VLOOKUP(Cartera1017[[#This Row],[ID Mantenimiento]],MANT_HORAS[],2,FALSE),8)</f>
        <v>197.33333333333331</v>
      </c>
      <c r="DC219" s="28">
        <f ca="1">Cartera1017[[#This Row],[Dias faltantes]]*IFERROR(VLOOKUP(Cartera1017[[#This Row],[ID Mantenimiento]],MANT_HORAS[],2,FALSE),8)</f>
        <v>21.333333333333332</v>
      </c>
      <c r="DD219" s="28" t="str">
        <f>IF(Cartera1017[[#This Row],[Fin Producción]]=0,"Por definir",CONCATENATE(YEAR(Cartera1017[[#This Row],[Fin Producción]]),"-",ROUNDUP(MONTH(Cartera1017[[#This Row],[Fin Producción]]),0)))</f>
        <v>2026-6</v>
      </c>
      <c r="DE219" s="18" t="s">
        <v>1719</v>
      </c>
      <c r="DF219" s="28"/>
      <c r="DG219" s="28"/>
      <c r="DH219" s="565"/>
    </row>
    <row r="220" spans="1:112" ht="44.25" hidden="1" customHeight="1">
      <c r="A220" s="229" t="s">
        <v>1927</v>
      </c>
      <c r="B220" s="18">
        <v>3168</v>
      </c>
      <c r="C220" s="18" t="s">
        <v>485</v>
      </c>
      <c r="D220" s="18" t="s">
        <v>1928</v>
      </c>
      <c r="E220" s="18" t="s">
        <v>1929</v>
      </c>
      <c r="F220" s="33" t="s">
        <v>1930</v>
      </c>
      <c r="G220" s="19"/>
      <c r="H220" s="18" t="s">
        <v>40</v>
      </c>
      <c r="I220" s="18" t="s">
        <v>490</v>
      </c>
      <c r="J220" s="18" t="s">
        <v>1336</v>
      </c>
      <c r="K220" s="20">
        <v>46050</v>
      </c>
      <c r="L220" s="50" t="s">
        <v>1931</v>
      </c>
      <c r="M220" s="50" t="s">
        <v>1338</v>
      </c>
      <c r="N220" s="50"/>
      <c r="O220" s="18" t="s">
        <v>530</v>
      </c>
      <c r="P220" s="18" t="s">
        <v>1336</v>
      </c>
      <c r="Q220" s="18" t="s">
        <v>496</v>
      </c>
      <c r="R220" s="18" t="s">
        <v>497</v>
      </c>
      <c r="S220" s="18"/>
      <c r="T220" s="18"/>
      <c r="U220" s="18"/>
      <c r="V220" s="18"/>
      <c r="W220" s="18"/>
      <c r="X220" s="18"/>
      <c r="Y220" s="80"/>
      <c r="Z220" s="18" t="s">
        <v>499</v>
      </c>
      <c r="AA220" s="20">
        <v>46119</v>
      </c>
      <c r="AB220" s="18" t="s">
        <v>533</v>
      </c>
      <c r="AC220" s="18"/>
      <c r="AD220" s="18" t="s">
        <v>236</v>
      </c>
      <c r="AE220" s="18" t="s">
        <v>41</v>
      </c>
      <c r="AF220" s="18" t="s">
        <v>53</v>
      </c>
      <c r="AG220" s="14" t="str">
        <f>VLOOKUP(AF220,Tabla3[[Estado Requerimiento]:[Macro estado]],2,FALSE)</f>
        <v>03. Culminado</v>
      </c>
      <c r="AH220" s="18"/>
      <c r="AI220" s="80"/>
      <c r="AJ220" s="80"/>
      <c r="AK220" s="80">
        <v>46059</v>
      </c>
      <c r="AL220" s="80">
        <v>46064</v>
      </c>
      <c r="AM220" s="80"/>
      <c r="AN220" s="80">
        <v>46069</v>
      </c>
      <c r="AO220" s="80">
        <v>46073</v>
      </c>
      <c r="AP220" s="81">
        <f t="shared" si="6"/>
        <v>46066</v>
      </c>
      <c r="AQ220" s="80">
        <v>46090</v>
      </c>
      <c r="AR220" s="80">
        <v>46090</v>
      </c>
      <c r="AS220" s="81">
        <f t="shared" si="7"/>
        <v>46073</v>
      </c>
      <c r="AT220" s="198" t="s">
        <v>1932</v>
      </c>
      <c r="AU220" s="44" t="str">
        <f>VLOOKUP(Cartera1017[[#This Row],[Gerencia]],tbGerencia[#All],3,FALSE)</f>
        <v>Operac.</v>
      </c>
      <c r="AV220" s="44" t="str">
        <f>IFERROR(VLOOKUP(Cartera1017[[#This Row],[Subgerencia]],Definiciones!$A$90:$B$144,2,FALSE),"")</f>
        <v>BancariosRecaudación</v>
      </c>
      <c r="AW220" s="44" t="str">
        <f>IF(OR(LEN(Cartera1017[[#This Row],[Fecha de Solicitud]])=0,(Cartera1017[[#This Row],[Fecha de Solicitud]])="No definido"),"No definido",IF(YEAR(Cartera1017[[#This Row],[Fecha de Solicitud]])&lt;2023," &lt;  2023",TEXT(Cartera1017[[#This Row],[Fecha de Solicitud]],"yyyy-mm")))</f>
        <v>2026-01</v>
      </c>
      <c r="AX220" s="44" t="str">
        <f>IF(Cartera1017[[#This Row],[Fecha de Priorización Comité]]="","No definido",TEXT(Cartera1017[[#This Row],[Fecha de Priorización Comité]],"yyyy-mm"))</f>
        <v>2026-04</v>
      </c>
      <c r="AY220" s="44" t="str">
        <f>IF(Cartera1017[[#This Row],[Fecha Fin- Desarrollo]]="","No definido",TEXT(Cartera1017[[#This Row],[Fecha Fin- Desarrollo]],"yyyy-mm"))</f>
        <v>2026-02</v>
      </c>
      <c r="AZ220" s="44" t="str">
        <f>IF(Cartera1017[[#This Row],[Fecha Fin- Producción]]="","No definido",TEXT(Cartera1017[[#This Row],[Fecha Fin- Producción]],"yyyy-mm"))</f>
        <v>2026-03</v>
      </c>
      <c r="BA220" s="44" t="str">
        <f>IF(Cartera1017[[#This Row],[Fecha Fin-Planificada]]="","No definido",TEXT(Cartera1017[[#This Row],[Fecha Fin-Planificada]],"yyyy-mm"))</f>
        <v>2026-02</v>
      </c>
      <c r="BB220" s="33"/>
      <c r="BC220" s="108"/>
      <c r="BD220" s="108"/>
      <c r="BE220" s="108"/>
      <c r="BF220" s="127"/>
      <c r="BG220" s="28"/>
      <c r="BH22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31</v>
      </c>
      <c r="BI220" s="90">
        <f>IF(ISNUMBER(Cartera1017[[#This Row],[Duracion en Dias]]),Cartera1017[[#This Row],[Duracion en Dias]]/30, "No Aplica")</f>
        <v>1.0333333333333334</v>
      </c>
      <c r="BJ220" s="109"/>
      <c r="BK220" s="28" t="s">
        <v>506</v>
      </c>
      <c r="BL220" s="110" t="s">
        <v>536</v>
      </c>
      <c r="BM220" s="342">
        <v>46094.621076388888</v>
      </c>
      <c r="BN220" s="227"/>
      <c r="BO220" s="401"/>
      <c r="BP220" s="401"/>
      <c r="BQ22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20" s="14" t="str">
        <f>IFERROR(VLOOKUP(Cartera1017[[#This Row],[Aplicativo]],Tabla76[],2,FALSE),"Sin Aplicativo")</f>
        <v>BackOffice</v>
      </c>
      <c r="BS220" s="14" t="str">
        <f>IFERROR(VLOOKUP(Cartera1017[[#This Row],[Aplicativo]],Tabla76[],3,FALSE),"Sin Aplicativo")</f>
        <v>Otros Requerimientos</v>
      </c>
      <c r="BT220" s="400"/>
      <c r="BU220" s="33"/>
      <c r="BV220" s="28"/>
      <c r="BW22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22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20" s="149" t="str">
        <f ca="1">IF(Cartera1017[[#This Row],[Fecha Fin2]]="","No definido",CONCATENATE(TEXT(Cartera1017[[#This Row],[Fecha Fin2]],"mmm")," ",YEAR(Cartera1017[[#This Row],[Fecha Fin2]])))</f>
        <v>Mar 2026</v>
      </c>
      <c r="BZ220" s="28"/>
      <c r="CA220" s="48" t="str">
        <f>IF(Cartera1017[[#This Row],[Estado TI]] = "08. Producción Finalizada","Culminado",IF(Cartera1017[[#This Row],[Estado TI]]= "09. Descartado","Descartado","Activos"))</f>
        <v>Culminado</v>
      </c>
      <c r="CB220" s="28"/>
      <c r="CC22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20" s="54" t="str">
        <f>IF(
AND(
Cartera1017[[#This Row],[DEVOLVER 27]]="NO",
NOT(ISBLANK(Cartera1017[[#This Row],[ESTADO NO DEVUELTOS 27]]))
),
"PRE",
"POST"
)</f>
        <v>POST</v>
      </c>
      <c r="CE220" s="54"/>
      <c r="CF220" s="28"/>
      <c r="CG22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2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20"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20" s="406">
        <f>Cartera1017[[#This Row],[Porcentaje de Avance]]</f>
        <v>1</v>
      </c>
      <c r="CK220" s="388" t="str">
        <f>IF(
   OR(
     Cartera1017[[#This Row],[Estado TI]]="09. Descartado",
     Cartera1017[[#This Row],[Comienzo Desarrollo]]="",
     Cartera1017[[#This Row],[Fin Producción]]=""
   ),
   "",
   Cartera1017[[#This Row],[% PLANIFICADO]]-Cartera1017[[#This Row],[% COMPLETADO]]
)</f>
        <v/>
      </c>
      <c r="CL220" s="388" t="str">
        <f ca="1">IF(
   OR(
     Cartera1017[[#This Row],[Estado TI]]="09. Descartado",
     Cartera1017[[#This Row],[Comienzo Desarrollo]]="",
     Cartera1017[[#This Row],[Fin Producción]]="",
     Cartera1017[[#This Row],[% PLANIFICADO]]=0
   ),
   "",
   MIN(Cartera1017[[#This Row],[% COMPLETADO]]/Cartera1017[[#This Row],[% PLANIFICADO]],1.2)
)</f>
        <v/>
      </c>
      <c r="CM220" s="229"/>
      <c r="CN220" s="229"/>
      <c r="CO220" s="229"/>
      <c r="CP220" s="229"/>
      <c r="CQ220" s="229"/>
      <c r="CR220" s="229"/>
      <c r="CS220" s="229"/>
      <c r="CT220" s="44">
        <f>IF(Cartera1017[[#This Row],[Fin Desarrollo]]="",25,IFERROR(NETWORKDAYS(Cartera1017[[#This Row],[Comienzo Desarrollo]],Cartera1017[[#This Row],[Fin Desarrollo]],FERIADOS[Fecha]),""))</f>
        <v>25</v>
      </c>
      <c r="CU22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20" s="44">
        <f>IF(OR(Cartera1017[[#This Row],[Comienzo Desarrollo]]="",Cartera1017[[#This Row],[Fin Desarrollo]]=""),200,IFERROR(Cartera1017[[#This Row],[DURACIÓN DESARROLLO DIAS]]*VLOOKUP(Cartera1017[[#This Row],[ID Mantenimiento]],MANT_HORAS[],2,FALSE),200))</f>
        <v>200</v>
      </c>
      <c r="CW220" s="110"/>
      <c r="CX220" s="110" t="str">
        <f>VLOOKUP(Cartera1017[[#This Row],[Estado TI]],Definiciones!$A$549:$B$559,2,FALSE)</f>
        <v>4. PRODUCCIÓN</v>
      </c>
      <c r="CY220" s="28">
        <f ca="1">1-Cartera1017[[#This Row],[Porcentaje avanzado desarrollo]]</f>
        <v>0.9</v>
      </c>
      <c r="CZ22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0" s="28">
        <f ca="1">MAX(0,Cartera1017[[#This Row],[DURACIÓN DESARROLLO DIAS]]-Cartera1017[[#This Row],[Dias avanzados]])</f>
        <v>24</v>
      </c>
      <c r="DB220" s="28">
        <f ca="1">Cartera1017[[#This Row],[Dias avanzados]]*IFERROR(VLOOKUP(Cartera1017[[#This Row],[ID Mantenimiento]],MANT_HORAS[],2,FALSE),8)</f>
        <v>8</v>
      </c>
      <c r="DC220" s="28">
        <f ca="1">Cartera1017[[#This Row],[Dias faltantes]]*IFERROR(VLOOKUP(Cartera1017[[#This Row],[ID Mantenimiento]],MANT_HORAS[],2,FALSE),8)</f>
        <v>192</v>
      </c>
      <c r="DD220" s="28" t="str">
        <f>IF(Cartera1017[[#This Row],[Fin Producción]]=0,"Por definir",CONCATENATE(YEAR(Cartera1017[[#This Row],[Fin Producción]]),"-",ROUNDUP(MONTH(Cartera1017[[#This Row],[Fin Producción]]),0)))</f>
        <v>Por definir</v>
      </c>
      <c r="DE220" s="18" t="s">
        <v>1719</v>
      </c>
      <c r="DF220" s="28"/>
      <c r="DG220" s="28"/>
      <c r="DH220" s="565"/>
    </row>
    <row r="221" spans="1:112" ht="44.25" hidden="1" customHeight="1">
      <c r="A221" s="229" t="s">
        <v>1933</v>
      </c>
      <c r="B221" s="18">
        <v>3169</v>
      </c>
      <c r="C221" s="18" t="s">
        <v>485</v>
      </c>
      <c r="D221" s="18" t="s">
        <v>1934</v>
      </c>
      <c r="E221" s="18" t="s">
        <v>1935</v>
      </c>
      <c r="F221" s="33" t="s">
        <v>1936</v>
      </c>
      <c r="G221" s="19"/>
      <c r="H221" s="18" t="s">
        <v>26</v>
      </c>
      <c r="I221" s="18" t="s">
        <v>539</v>
      </c>
      <c r="J221" s="18" t="s">
        <v>540</v>
      </c>
      <c r="K221" s="20">
        <v>46055</v>
      </c>
      <c r="L221" s="50" t="s">
        <v>1937</v>
      </c>
      <c r="M221" s="50" t="s">
        <v>812</v>
      </c>
      <c r="N221" s="50"/>
      <c r="O221" s="18" t="s">
        <v>712</v>
      </c>
      <c r="P221" s="18" t="s">
        <v>495</v>
      </c>
      <c r="Q221" s="18" t="s">
        <v>496</v>
      </c>
      <c r="R221" s="18" t="s">
        <v>599</v>
      </c>
      <c r="S221" s="18"/>
      <c r="T221" s="18" t="s">
        <v>650</v>
      </c>
      <c r="U221" s="18" t="s">
        <v>1938</v>
      </c>
      <c r="V221" s="18"/>
      <c r="W221" s="18"/>
      <c r="X221" s="18"/>
      <c r="Y221" s="80"/>
      <c r="Z221" s="18" t="s">
        <v>499</v>
      </c>
      <c r="AA221" s="20">
        <v>46119</v>
      </c>
      <c r="AB221" s="18" t="s">
        <v>500</v>
      </c>
      <c r="AC221" s="18"/>
      <c r="AD221" s="18" t="s">
        <v>30</v>
      </c>
      <c r="AE221" s="18" t="s">
        <v>27</v>
      </c>
      <c r="AF221" s="18" t="s">
        <v>48</v>
      </c>
      <c r="AG221" s="14" t="str">
        <f>VLOOKUP(AF221,Tabla3[[Estado Requerimiento]:[Macro estado]],2,FALSE)</f>
        <v>02. En Proceso</v>
      </c>
      <c r="AH221" s="18"/>
      <c r="AI221" s="80"/>
      <c r="AJ221" s="80"/>
      <c r="AK221" s="80">
        <v>46058</v>
      </c>
      <c r="AL221" s="80"/>
      <c r="AM221" s="80"/>
      <c r="AN221" s="80"/>
      <c r="AO221" s="80"/>
      <c r="AP221" s="81" t="str">
        <f t="shared" si="6"/>
        <v/>
      </c>
      <c r="AQ221" s="80"/>
      <c r="AR221" s="80"/>
      <c r="AS221" s="81" t="str">
        <f t="shared" si="7"/>
        <v/>
      </c>
      <c r="AT221" s="198" t="s">
        <v>1939</v>
      </c>
      <c r="AU221" s="44" t="str">
        <f>VLOOKUP(Cartera1017[[#This Row],[Gerencia]],tbGerencia[#All],3,FALSE)</f>
        <v>B.Digital</v>
      </c>
      <c r="AV221" s="44" t="str">
        <f>IFERROR(VLOOKUP(Cartera1017[[#This Row],[Subgerencia]],Definiciones!$A$90:$B$144,2,FALSE),"")</f>
        <v>CanalesAlternos</v>
      </c>
      <c r="AW221" s="44" t="str">
        <f>IF(OR(LEN(Cartera1017[[#This Row],[Fecha de Solicitud]])=0,(Cartera1017[[#This Row],[Fecha de Solicitud]])="No definido"),"No definido",IF(YEAR(Cartera1017[[#This Row],[Fecha de Solicitud]])&lt;2023," &lt;  2023",TEXT(Cartera1017[[#This Row],[Fecha de Solicitud]],"yyyy-mm")))</f>
        <v>2026-02</v>
      </c>
      <c r="AX221" s="44" t="str">
        <f>IF(Cartera1017[[#This Row],[Fecha de Priorización Comité]]="","No definido",TEXT(Cartera1017[[#This Row],[Fecha de Priorización Comité]],"yyyy-mm"))</f>
        <v>2026-04</v>
      </c>
      <c r="AY221" s="44" t="str">
        <f>IF(Cartera1017[[#This Row],[Fecha Fin- Desarrollo]]="","No definido",TEXT(Cartera1017[[#This Row],[Fecha Fin- Desarrollo]],"yyyy-mm"))</f>
        <v>No definido</v>
      </c>
      <c r="AZ221" s="44" t="str">
        <f>IF(Cartera1017[[#This Row],[Fecha Fin- Producción]]="","No definido",TEXT(Cartera1017[[#This Row],[Fecha Fin- Producción]],"yyyy-mm"))</f>
        <v>No definido</v>
      </c>
      <c r="BA221" s="44" t="str">
        <f>IF(Cartera1017[[#This Row],[Fecha Fin-Planificada]]="","No definido",TEXT(Cartera1017[[#This Row],[Fecha Fin-Planificada]],"yyyy-mm"))</f>
        <v>No definido</v>
      </c>
      <c r="BB221" s="33"/>
      <c r="BC221" s="108"/>
      <c r="BD221" s="108"/>
      <c r="BE221" s="108"/>
      <c r="BF221" s="127"/>
      <c r="BG221" s="28"/>
      <c r="BH22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1" s="90" t="str">
        <f>IF(ISNUMBER(Cartera1017[[#This Row],[Duracion en Dias]]),Cartera1017[[#This Row],[Duracion en Dias]]/30, "No Aplica")</f>
        <v>No Aplica</v>
      </c>
      <c r="BJ221" s="109"/>
      <c r="BK221" s="28" t="s">
        <v>613</v>
      </c>
      <c r="BL221" s="110" t="s">
        <v>592</v>
      </c>
      <c r="BM221" s="342">
        <v>46076.416828703703</v>
      </c>
      <c r="BN221" s="227"/>
      <c r="BO221" s="401"/>
      <c r="BP221" s="401"/>
      <c r="BQ22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21" s="14" t="str">
        <f>IFERROR(VLOOKUP(Cartera1017[[#This Row],[Aplicativo]],Tabla76[],2,FALSE),"Sin Aplicativo")</f>
        <v>ATM-Agentes-VISA</v>
      </c>
      <c r="BS221" s="14" t="str">
        <f>IFERROR(VLOOKUP(Cartera1017[[#This Row],[Aplicativo]],Tabla76[],3,FALSE),"Sin Aplicativo")</f>
        <v>Canales Presenciales</v>
      </c>
      <c r="BT221" s="400"/>
      <c r="BU221" s="33"/>
      <c r="BV221" s="28"/>
      <c r="BW22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21" s="149" t="str">
        <f ca="1">IF(Cartera1017[[#This Row],[Fecha Fin2]]="","No definido",CONCATENATE(TEXT(Cartera1017[[#This Row],[Fecha Fin2]],"mmm")," ",YEAR(Cartera1017[[#This Row],[Fecha Fin2]])))</f>
        <v>No definido</v>
      </c>
      <c r="BZ221" s="28"/>
      <c r="CA221" s="48" t="str">
        <f>IF(Cartera1017[[#This Row],[Estado TI]] = "08. Producción Finalizada","Culminado",IF(Cartera1017[[#This Row],[Estado TI]]= "09. Descartado","Descartado","Activos"))</f>
        <v>Activos</v>
      </c>
      <c r="CB221" s="28"/>
      <c r="CC22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21" s="54" t="str">
        <f>IF(
AND(
Cartera1017[[#This Row],[DEVOLVER 27]]="NO",
NOT(ISBLANK(Cartera1017[[#This Row],[ESTADO NO DEVUELTOS 27]]))
),
"PRE",
"POST"
)</f>
        <v>POST</v>
      </c>
      <c r="CE221" s="54"/>
      <c r="CF221" s="28"/>
      <c r="CG22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2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21"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1" s="406">
        <f>Cartera1017[[#This Row],[Porcentaje de Avance]]</f>
        <v>0.25</v>
      </c>
      <c r="CK221" s="388" t="str">
        <f>IF(
   OR(
     Cartera1017[[#This Row],[Estado TI]]="09. Descartado",
     Cartera1017[[#This Row],[Comienzo Desarrollo]]="",
     Cartera1017[[#This Row],[Fin Producción]]=""
   ),
   "",
   Cartera1017[[#This Row],[% PLANIFICADO]]-Cartera1017[[#This Row],[% COMPLETADO]]
)</f>
        <v/>
      </c>
      <c r="CL221" s="388" t="str">
        <f ca="1">IF(
   OR(
     Cartera1017[[#This Row],[Estado TI]]="09. Descartado",
     Cartera1017[[#This Row],[Comienzo Desarrollo]]="",
     Cartera1017[[#This Row],[Fin Producción]]="",
     Cartera1017[[#This Row],[% PLANIFICADO]]=0
   ),
   "",
   MIN(Cartera1017[[#This Row],[% COMPLETADO]]/Cartera1017[[#This Row],[% PLANIFICADO]],1.2)
)</f>
        <v/>
      </c>
      <c r="CM221" s="229"/>
      <c r="CN221" s="229"/>
      <c r="CO221" s="229"/>
      <c r="CP221" s="229"/>
      <c r="CQ221" s="229"/>
      <c r="CR221" s="229"/>
      <c r="CS221" s="229"/>
      <c r="CT221" s="44">
        <f>IF(Cartera1017[[#This Row],[Fin Desarrollo]]="",25,IFERROR(NETWORKDAYS(Cartera1017[[#This Row],[Comienzo Desarrollo]],Cartera1017[[#This Row],[Fin Desarrollo]],FERIADOS[Fecha]),""))</f>
        <v>25</v>
      </c>
      <c r="CU22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21" s="44">
        <f>IF(OR(Cartera1017[[#This Row],[Comienzo Desarrollo]]="",Cartera1017[[#This Row],[Fin Desarrollo]]=""),200,IFERROR(Cartera1017[[#This Row],[DURACIÓN DESARROLLO DIAS]]*VLOOKUP(Cartera1017[[#This Row],[ID Mantenimiento]],MANT_HORAS[],2,FALSE),200))</f>
        <v>200</v>
      </c>
      <c r="CW221" s="110"/>
      <c r="CX221" s="110" t="str">
        <f>VLOOKUP(Cartera1017[[#This Row],[Estado TI]],Definiciones!$A$549:$B$559,2,FALSE)</f>
        <v>1. DESARROLLO</v>
      </c>
      <c r="CY221" s="28">
        <f ca="1">1-Cartera1017[[#This Row],[Porcentaje avanzado desarrollo]]</f>
        <v>0.9</v>
      </c>
      <c r="CZ22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1" s="28">
        <f ca="1">MAX(0,Cartera1017[[#This Row],[DURACIÓN DESARROLLO DIAS]]-Cartera1017[[#This Row],[Dias avanzados]])</f>
        <v>24</v>
      </c>
      <c r="DB221" s="28">
        <f ca="1">Cartera1017[[#This Row],[Dias avanzados]]*IFERROR(VLOOKUP(Cartera1017[[#This Row],[ID Mantenimiento]],MANT_HORAS[],2,FALSE),8)</f>
        <v>0.72727272727272729</v>
      </c>
      <c r="DC221" s="28">
        <f ca="1">Cartera1017[[#This Row],[Dias faltantes]]*IFERROR(VLOOKUP(Cartera1017[[#This Row],[ID Mantenimiento]],MANT_HORAS[],2,FALSE),8)</f>
        <v>17.454545454545453</v>
      </c>
      <c r="DD221" s="28" t="str">
        <f>IF(Cartera1017[[#This Row],[Fin Producción]]=0,"Por definir",CONCATENATE(YEAR(Cartera1017[[#This Row],[Fin Producción]]),"-",ROUNDUP(MONTH(Cartera1017[[#This Row],[Fin Producción]]),0)))</f>
        <v>Por definir</v>
      </c>
      <c r="DE221" s="18" t="s">
        <v>1719</v>
      </c>
      <c r="DF221" s="28"/>
      <c r="DG221" s="28"/>
      <c r="DH221" s="565"/>
    </row>
    <row r="222" spans="1:112" ht="44.25" hidden="1" customHeight="1">
      <c r="A222" s="229" t="s">
        <v>1940</v>
      </c>
      <c r="B222" s="18">
        <v>3170</v>
      </c>
      <c r="C222" s="18" t="s">
        <v>485</v>
      </c>
      <c r="D222" s="18" t="s">
        <v>1941</v>
      </c>
      <c r="E222" s="18" t="s">
        <v>1942</v>
      </c>
      <c r="F222" s="33" t="s">
        <v>1943</v>
      </c>
      <c r="G222" s="19"/>
      <c r="H222" s="18" t="s">
        <v>62</v>
      </c>
      <c r="I222" s="18" t="s">
        <v>628</v>
      </c>
      <c r="J222" s="18" t="s">
        <v>1689</v>
      </c>
      <c r="K222" s="20">
        <v>46057</v>
      </c>
      <c r="L222" s="50" t="s">
        <v>1944</v>
      </c>
      <c r="M222" s="50" t="s">
        <v>1691</v>
      </c>
      <c r="N222" s="50"/>
      <c r="O222" s="18" t="s">
        <v>548</v>
      </c>
      <c r="P222" s="18" t="s">
        <v>495</v>
      </c>
      <c r="Q222" s="18" t="s">
        <v>496</v>
      </c>
      <c r="R222" s="18" t="s">
        <v>497</v>
      </c>
      <c r="S222" s="18"/>
      <c r="T222" s="18"/>
      <c r="U222" s="18"/>
      <c r="V222" s="18"/>
      <c r="W222" s="18"/>
      <c r="X222" s="18"/>
      <c r="Y222" s="80"/>
      <c r="Z222" s="18" t="s">
        <v>499</v>
      </c>
      <c r="AA222" s="20">
        <v>46119</v>
      </c>
      <c r="AB222" s="18" t="s">
        <v>1945</v>
      </c>
      <c r="AC222" s="18"/>
      <c r="AD222" s="18" t="s">
        <v>37</v>
      </c>
      <c r="AE222" s="18" t="s">
        <v>63</v>
      </c>
      <c r="AF222" s="18" t="s">
        <v>53</v>
      </c>
      <c r="AG222" s="14" t="str">
        <f>VLOOKUP(AF222,Tabla3[[Estado Requerimiento]:[Macro estado]],2,FALSE)</f>
        <v>03. Culminado</v>
      </c>
      <c r="AH222" s="18"/>
      <c r="AI222" s="80"/>
      <c r="AJ222" s="80"/>
      <c r="AK222" s="80">
        <v>46059</v>
      </c>
      <c r="AL222" s="80"/>
      <c r="AM222" s="80"/>
      <c r="AN222" s="80"/>
      <c r="AO222" s="80"/>
      <c r="AP222" s="81" t="str">
        <f t="shared" si="6"/>
        <v/>
      </c>
      <c r="AQ222" s="80">
        <v>46059</v>
      </c>
      <c r="AR222" s="80">
        <v>46059</v>
      </c>
      <c r="AS222" s="81" t="str">
        <f t="shared" si="7"/>
        <v/>
      </c>
      <c r="AT222" s="198" t="s">
        <v>1946</v>
      </c>
      <c r="AU222" s="44" t="str">
        <f>VLOOKUP(Cartera1017[[#This Row],[Gerencia]],tbGerencia[#All],3,FALSE)</f>
        <v>Logística</v>
      </c>
      <c r="AV222" s="44" t="str">
        <f>IFERROR(VLOOKUP(Cartera1017[[#This Row],[Subgerencia]],Definiciones!$A$90:$B$144,2,FALSE),"")</f>
        <v>Servicios</v>
      </c>
      <c r="AW222" s="44" t="str">
        <f>IF(OR(LEN(Cartera1017[[#This Row],[Fecha de Solicitud]])=0,(Cartera1017[[#This Row],[Fecha de Solicitud]])="No definido"),"No definido",IF(YEAR(Cartera1017[[#This Row],[Fecha de Solicitud]])&lt;2023," &lt;  2023",TEXT(Cartera1017[[#This Row],[Fecha de Solicitud]],"yyyy-mm")))</f>
        <v>2026-02</v>
      </c>
      <c r="AX222" s="44" t="str">
        <f>IF(Cartera1017[[#This Row],[Fecha de Priorización Comité]]="","No definido",TEXT(Cartera1017[[#This Row],[Fecha de Priorización Comité]],"yyyy-mm"))</f>
        <v>2026-04</v>
      </c>
      <c r="AY222" s="44" t="str">
        <f>IF(Cartera1017[[#This Row],[Fecha Fin- Desarrollo]]="","No definido",TEXT(Cartera1017[[#This Row],[Fecha Fin- Desarrollo]],"yyyy-mm"))</f>
        <v>No definido</v>
      </c>
      <c r="AZ222" s="44" t="str">
        <f>IF(Cartera1017[[#This Row],[Fecha Fin- Producción]]="","No definido",TEXT(Cartera1017[[#This Row],[Fecha Fin- Producción]],"yyyy-mm"))</f>
        <v>2026-02</v>
      </c>
      <c r="BA222" s="44" t="str">
        <f>IF(Cartera1017[[#This Row],[Fecha Fin-Planificada]]="","No definido",TEXT(Cartera1017[[#This Row],[Fecha Fin-Planificada]],"yyyy-mm"))</f>
        <v>No definido</v>
      </c>
      <c r="BB222" s="33"/>
      <c r="BC222" s="108"/>
      <c r="BD222" s="108"/>
      <c r="BE222" s="108"/>
      <c r="BF222" s="127"/>
      <c r="BG222" s="28"/>
      <c r="BH22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0</v>
      </c>
      <c r="BI222" s="90">
        <f>IF(ISNUMBER(Cartera1017[[#This Row],[Duracion en Dias]]),Cartera1017[[#This Row],[Duracion en Dias]]/30, "No Aplica")</f>
        <v>0</v>
      </c>
      <c r="BJ222" s="109"/>
      <c r="BK222" s="28" t="s">
        <v>506</v>
      </c>
      <c r="BL222" s="110" t="s">
        <v>636</v>
      </c>
      <c r="BM222" s="342">
        <v>46059.753761574073</v>
      </c>
      <c r="BN222" s="227"/>
      <c r="BO222" s="401"/>
      <c r="BP222" s="401"/>
      <c r="BQ22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22" s="14" t="str">
        <f>IFERROR(VLOOKUP(Cartera1017[[#This Row],[Aplicativo]],Tabla76[],2,FALSE),"Sin Aplicativo")</f>
        <v>BackOffice</v>
      </c>
      <c r="BS222" s="14" t="str">
        <f>IFERROR(VLOOKUP(Cartera1017[[#This Row],[Aplicativo]],Tabla76[],3,FALSE),"Sin Aplicativo")</f>
        <v>Otros Requerimientos</v>
      </c>
      <c r="BT222" s="400"/>
      <c r="BU222" s="33"/>
      <c r="BV222" s="28"/>
      <c r="BW22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46059</v>
      </c>
      <c r="BX22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22" s="149" t="str">
        <f ca="1">IF(Cartera1017[[#This Row],[Fecha Fin2]]="","No definido",CONCATENATE(TEXT(Cartera1017[[#This Row],[Fecha Fin2]],"mmm")," ",YEAR(Cartera1017[[#This Row],[Fecha Fin2]])))</f>
        <v>Feb 2026</v>
      </c>
      <c r="BZ222" s="28"/>
      <c r="CA222" s="48" t="str">
        <f>IF(Cartera1017[[#This Row],[Estado TI]] = "08. Producción Finalizada","Culminado",IF(Cartera1017[[#This Row],[Estado TI]]= "09. Descartado","Descartado","Activos"))</f>
        <v>Culminado</v>
      </c>
      <c r="CB222" s="28"/>
      <c r="CC22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22" s="54" t="str">
        <f>IF(
AND(
Cartera1017[[#This Row],[DEVOLVER 27]]="NO",
NOT(ISBLANK(Cartera1017[[#This Row],[ESTADO NO DEVUELTOS 27]]))
),
"PRE",
"POST"
)</f>
        <v>POST</v>
      </c>
      <c r="CE222" s="54"/>
      <c r="CF222" s="28"/>
      <c r="CG22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2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22"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22" s="406">
        <f>Cartera1017[[#This Row],[Porcentaje de Avance]]</f>
        <v>1</v>
      </c>
      <c r="CK222" s="388" t="str">
        <f>IF(
   OR(
     Cartera1017[[#This Row],[Estado TI]]="09. Descartado",
     Cartera1017[[#This Row],[Comienzo Desarrollo]]="",
     Cartera1017[[#This Row],[Fin Producción]]=""
   ),
   "",
   Cartera1017[[#This Row],[% PLANIFICADO]]-Cartera1017[[#This Row],[% COMPLETADO]]
)</f>
        <v/>
      </c>
      <c r="CL222" s="388" t="str">
        <f ca="1">IF(
   OR(
     Cartera1017[[#This Row],[Estado TI]]="09. Descartado",
     Cartera1017[[#This Row],[Comienzo Desarrollo]]="",
     Cartera1017[[#This Row],[Fin Producción]]="",
     Cartera1017[[#This Row],[% PLANIFICADO]]=0
   ),
   "",
   MIN(Cartera1017[[#This Row],[% COMPLETADO]]/Cartera1017[[#This Row],[% PLANIFICADO]],1.2)
)</f>
        <v/>
      </c>
      <c r="CM222" s="229"/>
      <c r="CN222" s="229"/>
      <c r="CO222" s="229"/>
      <c r="CP222" s="229"/>
      <c r="CQ222" s="229"/>
      <c r="CR222" s="229"/>
      <c r="CS222" s="229"/>
      <c r="CT222" s="44">
        <f>IF(Cartera1017[[#This Row],[Fin Desarrollo]]="",25,IFERROR(NETWORKDAYS(Cartera1017[[#This Row],[Comienzo Desarrollo]],Cartera1017[[#This Row],[Fin Desarrollo]],FERIADOS[Fecha]),""))</f>
        <v>25</v>
      </c>
      <c r="CU22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22" s="44">
        <f>IF(OR(Cartera1017[[#This Row],[Comienzo Desarrollo]]="",Cartera1017[[#This Row],[Fin Desarrollo]]=""),200,IFERROR(Cartera1017[[#This Row],[DURACIÓN DESARROLLO DIAS]]*VLOOKUP(Cartera1017[[#This Row],[ID Mantenimiento]],MANT_HORAS[],2,FALSE),200))</f>
        <v>200</v>
      </c>
      <c r="CW222" s="110"/>
      <c r="CX222" s="110" t="str">
        <f>VLOOKUP(Cartera1017[[#This Row],[Estado TI]],Definiciones!$A$549:$B$559,2,FALSE)</f>
        <v>4. PRODUCCIÓN</v>
      </c>
      <c r="CY222" s="28">
        <f ca="1">1-Cartera1017[[#This Row],[Porcentaje avanzado desarrollo]]</f>
        <v>0.9</v>
      </c>
      <c r="CZ22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2" s="28">
        <f ca="1">MAX(0,Cartera1017[[#This Row],[DURACIÓN DESARROLLO DIAS]]-Cartera1017[[#This Row],[Dias avanzados]])</f>
        <v>24</v>
      </c>
      <c r="DB222" s="28">
        <f ca="1">Cartera1017[[#This Row],[Dias avanzados]]*IFERROR(VLOOKUP(Cartera1017[[#This Row],[ID Mantenimiento]],MANT_HORAS[],2,FALSE),8)</f>
        <v>8</v>
      </c>
      <c r="DC222" s="28">
        <f ca="1">Cartera1017[[#This Row],[Dias faltantes]]*IFERROR(VLOOKUP(Cartera1017[[#This Row],[ID Mantenimiento]],MANT_HORAS[],2,FALSE),8)</f>
        <v>192</v>
      </c>
      <c r="DD222" s="28" t="str">
        <f>IF(Cartera1017[[#This Row],[Fin Producción]]=0,"Por definir",CONCATENATE(YEAR(Cartera1017[[#This Row],[Fin Producción]]),"-",ROUNDUP(MONTH(Cartera1017[[#This Row],[Fin Producción]]),0)))</f>
        <v>Por definir</v>
      </c>
      <c r="DE222" s="18" t="s">
        <v>1719</v>
      </c>
      <c r="DF222" s="28"/>
      <c r="DG222" s="28"/>
      <c r="DH222" s="565"/>
    </row>
    <row r="223" spans="1:112" ht="44.25" hidden="1" customHeight="1">
      <c r="A223" s="229" t="s">
        <v>1947</v>
      </c>
      <c r="B223" s="18">
        <v>3171</v>
      </c>
      <c r="C223" s="18" t="s">
        <v>485</v>
      </c>
      <c r="D223" s="18" t="s">
        <v>1948</v>
      </c>
      <c r="E223" s="18" t="s">
        <v>1949</v>
      </c>
      <c r="F223" s="33" t="s">
        <v>1950</v>
      </c>
      <c r="G223" s="19"/>
      <c r="H223" s="18" t="s">
        <v>33</v>
      </c>
      <c r="I223" s="18" t="s">
        <v>727</v>
      </c>
      <c r="J223" s="18" t="s">
        <v>728</v>
      </c>
      <c r="K223" s="20">
        <v>46059</v>
      </c>
      <c r="L223" s="50" t="s">
        <v>1951</v>
      </c>
      <c r="M223" s="50" t="s">
        <v>730</v>
      </c>
      <c r="N223" s="50"/>
      <c r="O223" s="18" t="s">
        <v>530</v>
      </c>
      <c r="P223" s="18" t="s">
        <v>731</v>
      </c>
      <c r="Q223" s="18" t="s">
        <v>496</v>
      </c>
      <c r="R223" s="18" t="s">
        <v>599</v>
      </c>
      <c r="S223" s="18"/>
      <c r="T223" s="18" t="s">
        <v>652</v>
      </c>
      <c r="U223" s="18"/>
      <c r="V223" s="18"/>
      <c r="W223" s="18"/>
      <c r="X223" s="18"/>
      <c r="Y223" s="80">
        <v>45901</v>
      </c>
      <c r="Z223" s="18" t="s">
        <v>499</v>
      </c>
      <c r="AA223" s="20">
        <v>46119</v>
      </c>
      <c r="AB223" s="18" t="s">
        <v>500</v>
      </c>
      <c r="AC223" s="18"/>
      <c r="AD223" s="18" t="s">
        <v>165</v>
      </c>
      <c r="AE223" s="18" t="s">
        <v>34</v>
      </c>
      <c r="AF223" s="18" t="s">
        <v>48</v>
      </c>
      <c r="AG223" s="14" t="str">
        <f>VLOOKUP(AF223,Tabla3[[Estado Requerimiento]:[Macro estado]],2,FALSE)</f>
        <v>02. En Proceso</v>
      </c>
      <c r="AH223" s="18"/>
      <c r="AI223" s="80"/>
      <c r="AJ223" s="80"/>
      <c r="AK223" s="80"/>
      <c r="AL223" s="80"/>
      <c r="AM223" s="80"/>
      <c r="AN223" s="80"/>
      <c r="AO223" s="80"/>
      <c r="AP223" s="81" t="str">
        <f t="shared" si="6"/>
        <v/>
      </c>
      <c r="AQ223" s="80"/>
      <c r="AR223" s="80"/>
      <c r="AS223" s="81" t="str">
        <f t="shared" si="7"/>
        <v/>
      </c>
      <c r="AT223" s="198" t="s">
        <v>1952</v>
      </c>
      <c r="AU223" s="44" t="str">
        <f>VLOOKUP(Cartera1017[[#This Row],[Gerencia]],tbGerencia[#All],3,FALSE)</f>
        <v>Productos</v>
      </c>
      <c r="AV223" s="44" t="str">
        <f>IFERROR(VLOOKUP(Cartera1017[[#This Row],[Subgerencia]],Definiciones!$A$90:$B$144,2,FALSE),"")</f>
        <v>BancaPersonal</v>
      </c>
      <c r="AW223" s="44" t="str">
        <f>IF(OR(LEN(Cartera1017[[#This Row],[Fecha de Solicitud]])=0,(Cartera1017[[#This Row],[Fecha de Solicitud]])="No definido"),"No definido",IF(YEAR(Cartera1017[[#This Row],[Fecha de Solicitud]])&lt;2023," &lt;  2023",TEXT(Cartera1017[[#This Row],[Fecha de Solicitud]],"yyyy-mm")))</f>
        <v>2026-02</v>
      </c>
      <c r="AX223" s="44" t="str">
        <f>IF(Cartera1017[[#This Row],[Fecha de Priorización Comité]]="","No definido",TEXT(Cartera1017[[#This Row],[Fecha de Priorización Comité]],"yyyy-mm"))</f>
        <v>2026-04</v>
      </c>
      <c r="AY223" s="44" t="str">
        <f>IF(Cartera1017[[#This Row],[Fecha Fin- Desarrollo]]="","No definido",TEXT(Cartera1017[[#This Row],[Fecha Fin- Desarrollo]],"yyyy-mm"))</f>
        <v>No definido</v>
      </c>
      <c r="AZ223" s="44" t="str">
        <f>IF(Cartera1017[[#This Row],[Fecha Fin- Producción]]="","No definido",TEXT(Cartera1017[[#This Row],[Fecha Fin- Producción]],"yyyy-mm"))</f>
        <v>No definido</v>
      </c>
      <c r="BA223" s="44" t="str">
        <f>IF(Cartera1017[[#This Row],[Fecha Fin-Planificada]]="","No definido",TEXT(Cartera1017[[#This Row],[Fecha Fin-Planificada]],"yyyy-mm"))</f>
        <v>No definido</v>
      </c>
      <c r="BB223" s="33"/>
      <c r="BC223" s="108"/>
      <c r="BD223" s="108"/>
      <c r="BE223" s="108"/>
      <c r="BF223" s="127"/>
      <c r="BG223" s="28"/>
      <c r="BH22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23" s="90" t="str">
        <f>IF(ISNUMBER(Cartera1017[[#This Row],[Duracion en Dias]]),Cartera1017[[#This Row],[Duracion en Dias]]/30, "No Aplica")</f>
        <v>No Aplica</v>
      </c>
      <c r="BJ223" s="109"/>
      <c r="BK223" s="28" t="s">
        <v>506</v>
      </c>
      <c r="BL223" s="110" t="s">
        <v>581</v>
      </c>
      <c r="BM223" s="342">
        <v>46147.408900462964</v>
      </c>
      <c r="BN223" s="227"/>
      <c r="BO223" s="401"/>
      <c r="BP223" s="401"/>
      <c r="BQ22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23" s="14" t="str">
        <f>IFERROR(VLOOKUP(Cartera1017[[#This Row],[Aplicativo]],Tabla76[],2,FALSE),"Sin Aplicativo")</f>
        <v>Tarjeta Tesoro</v>
      </c>
      <c r="BS223" s="14" t="str">
        <f>IFERROR(VLOOKUP(Cartera1017[[#This Row],[Aplicativo]],Tabla76[],3,FALSE),"Sin Aplicativo")</f>
        <v>Productos</v>
      </c>
      <c r="BT223" s="400"/>
      <c r="BU223" s="33"/>
      <c r="BV223" s="28"/>
      <c r="BW22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23" s="149" t="str">
        <f ca="1">IF(Cartera1017[[#This Row],[Fecha Fin2]]="","No definido",CONCATENATE(TEXT(Cartera1017[[#This Row],[Fecha Fin2]],"mmm")," ",YEAR(Cartera1017[[#This Row],[Fecha Fin2]])))</f>
        <v>No definido</v>
      </c>
      <c r="BZ223" s="28"/>
      <c r="CA223" s="48" t="str">
        <f>IF(Cartera1017[[#This Row],[Estado TI]] = "08. Producción Finalizada","Culminado",IF(Cartera1017[[#This Row],[Estado TI]]= "09. Descartado","Descartado","Activos"))</f>
        <v>Activos</v>
      </c>
      <c r="CB223" s="28"/>
      <c r="CC22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223" s="54" t="str">
        <f>IF(
AND(
Cartera1017[[#This Row],[DEVOLVER 27]]="NO",
NOT(ISBLANK(Cartera1017[[#This Row],[ESTADO NO DEVUELTOS 27]]))
),
"PRE",
"POST"
)</f>
        <v>POST</v>
      </c>
      <c r="CE223" s="54"/>
      <c r="CF223" s="28"/>
      <c r="CG22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2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23"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3" s="406">
        <f>Cartera1017[[#This Row],[Porcentaje de Avance]]</f>
        <v>0.45</v>
      </c>
      <c r="CK223" s="388" t="str">
        <f>IF(
   OR(
     Cartera1017[[#This Row],[Estado TI]]="09. Descartado",
     Cartera1017[[#This Row],[Comienzo Desarrollo]]="",
     Cartera1017[[#This Row],[Fin Producción]]=""
   ),
   "",
   Cartera1017[[#This Row],[% PLANIFICADO]]-Cartera1017[[#This Row],[% COMPLETADO]]
)</f>
        <v/>
      </c>
      <c r="CL223" s="388" t="str">
        <f ca="1">IF(
   OR(
     Cartera1017[[#This Row],[Estado TI]]="09. Descartado",
     Cartera1017[[#This Row],[Comienzo Desarrollo]]="",
     Cartera1017[[#This Row],[Fin Producción]]="",
     Cartera1017[[#This Row],[% PLANIFICADO]]=0
   ),
   "",
   MIN(Cartera1017[[#This Row],[% COMPLETADO]]/Cartera1017[[#This Row],[% PLANIFICADO]],1.2)
)</f>
        <v/>
      </c>
      <c r="CM223" s="229"/>
      <c r="CN223" s="229"/>
      <c r="CO223" s="229"/>
      <c r="CP223" s="229"/>
      <c r="CQ223" s="229"/>
      <c r="CR223" s="229"/>
      <c r="CS223" s="229"/>
      <c r="CT223" s="44">
        <f>IF(Cartera1017[[#This Row],[Fin Desarrollo]]="",25,IFERROR(NETWORKDAYS(Cartera1017[[#This Row],[Comienzo Desarrollo]],Cartera1017[[#This Row],[Fin Desarrollo]],FERIADOS[Fecha]),""))</f>
        <v>25</v>
      </c>
      <c r="CU22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23" s="44">
        <f>IF(OR(Cartera1017[[#This Row],[Comienzo Desarrollo]]="",Cartera1017[[#This Row],[Fin Desarrollo]]=""),200,IFERROR(Cartera1017[[#This Row],[DURACIÓN DESARROLLO DIAS]]*VLOOKUP(Cartera1017[[#This Row],[ID Mantenimiento]],MANT_HORAS[],2,FALSE),200))</f>
        <v>200</v>
      </c>
      <c r="CW223" s="110"/>
      <c r="CX223" s="110" t="str">
        <f>VLOOKUP(Cartera1017[[#This Row],[Estado TI]],Definiciones!$A$549:$B$559,2,FALSE)</f>
        <v>1. DESARROLLO</v>
      </c>
      <c r="CY223" s="28">
        <f ca="1">1-Cartera1017[[#This Row],[Porcentaje avanzado desarrollo]]</f>
        <v>0.9</v>
      </c>
      <c r="CZ22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3" s="28">
        <f ca="1">MAX(0,Cartera1017[[#This Row],[DURACIÓN DESARROLLO DIAS]]-Cartera1017[[#This Row],[Dias avanzados]])</f>
        <v>24</v>
      </c>
      <c r="DB223" s="28">
        <f ca="1">Cartera1017[[#This Row],[Dias avanzados]]*IFERROR(VLOOKUP(Cartera1017[[#This Row],[ID Mantenimiento]],MANT_HORAS[],2,FALSE),8)</f>
        <v>8</v>
      </c>
      <c r="DC223" s="28">
        <f ca="1">Cartera1017[[#This Row],[Dias faltantes]]*IFERROR(VLOOKUP(Cartera1017[[#This Row],[ID Mantenimiento]],MANT_HORAS[],2,FALSE),8)</f>
        <v>192</v>
      </c>
      <c r="DD223" s="28" t="str">
        <f>IF(Cartera1017[[#This Row],[Fin Producción]]=0,"Por definir",CONCATENATE(YEAR(Cartera1017[[#This Row],[Fin Producción]]),"-",ROUNDUP(MONTH(Cartera1017[[#This Row],[Fin Producción]]),0)))</f>
        <v>Por definir</v>
      </c>
      <c r="DE223" s="18" t="s">
        <v>1719</v>
      </c>
      <c r="DF223" s="28"/>
      <c r="DG223" s="28"/>
      <c r="DH223" s="565"/>
    </row>
    <row r="224" spans="1:112" ht="44.25" hidden="1" customHeight="1">
      <c r="A224" s="229" t="s">
        <v>1953</v>
      </c>
      <c r="B224" s="18">
        <v>3172</v>
      </c>
      <c r="C224" s="18" t="s">
        <v>485</v>
      </c>
      <c r="D224" s="18" t="s">
        <v>1954</v>
      </c>
      <c r="E224" s="18" t="s">
        <v>1955</v>
      </c>
      <c r="F224" s="33" t="s">
        <v>1956</v>
      </c>
      <c r="G224" s="19"/>
      <c r="H224" s="18" t="s">
        <v>40</v>
      </c>
      <c r="I224" s="18" t="s">
        <v>490</v>
      </c>
      <c r="J224" s="18" t="s">
        <v>662</v>
      </c>
      <c r="K224" s="20">
        <v>45953</v>
      </c>
      <c r="L224" s="50" t="s">
        <v>1717</v>
      </c>
      <c r="M224" s="50" t="s">
        <v>931</v>
      </c>
      <c r="N224" s="50"/>
      <c r="O224" s="18" t="s">
        <v>548</v>
      </c>
      <c r="P224" s="18" t="s">
        <v>495</v>
      </c>
      <c r="Q224" s="18" t="s">
        <v>496</v>
      </c>
      <c r="R224" s="18" t="s">
        <v>497</v>
      </c>
      <c r="S224" s="18"/>
      <c r="T224" s="18"/>
      <c r="U224" s="18"/>
      <c r="V224" s="18"/>
      <c r="W224" s="18"/>
      <c r="X224" s="18"/>
      <c r="Y224" s="80"/>
      <c r="Z224" s="18" t="s">
        <v>499</v>
      </c>
      <c r="AA224" s="20">
        <v>46119</v>
      </c>
      <c r="AB224" s="18" t="s">
        <v>500</v>
      </c>
      <c r="AC224" s="18"/>
      <c r="AD224" s="18" t="s">
        <v>162</v>
      </c>
      <c r="AE224" s="18" t="s">
        <v>41</v>
      </c>
      <c r="AF224" s="18" t="s">
        <v>502</v>
      </c>
      <c r="AG224" s="14" t="str">
        <f>VLOOKUP(AF224,Tabla3[[Estado Requerimiento]:[Macro estado]],2,FALSE)</f>
        <v>05. Descartado</v>
      </c>
      <c r="AH224" s="18"/>
      <c r="AI224" s="80"/>
      <c r="AJ224" s="80"/>
      <c r="AK224" s="80">
        <v>46064</v>
      </c>
      <c r="AL224" s="80"/>
      <c r="AM224" s="80"/>
      <c r="AN224" s="80"/>
      <c r="AO224" s="80"/>
      <c r="AP224" s="81" t="str">
        <f t="shared" si="6"/>
        <v/>
      </c>
      <c r="AQ224" s="80"/>
      <c r="AR224" s="80"/>
      <c r="AS224" s="81" t="str">
        <f t="shared" si="7"/>
        <v/>
      </c>
      <c r="AT224" s="198" t="s">
        <v>1957</v>
      </c>
      <c r="AU224" s="44" t="str">
        <f>VLOOKUP(Cartera1017[[#This Row],[Gerencia]],tbGerencia[#All],3,FALSE)</f>
        <v>Operac.</v>
      </c>
      <c r="AV224" s="44" t="str">
        <f>IFERROR(VLOOKUP(Cartera1017[[#This Row],[Subgerencia]],Definiciones!$A$90:$B$144,2,FALSE),"")</f>
        <v>BancariosRecaudación</v>
      </c>
      <c r="AW224" s="44" t="str">
        <f>IF(OR(LEN(Cartera1017[[#This Row],[Fecha de Solicitud]])=0,(Cartera1017[[#This Row],[Fecha de Solicitud]])="No definido"),"No definido",IF(YEAR(Cartera1017[[#This Row],[Fecha de Solicitud]])&lt;2023," &lt;  2023",TEXT(Cartera1017[[#This Row],[Fecha de Solicitud]],"yyyy-mm")))</f>
        <v>2025-10</v>
      </c>
      <c r="AX224" s="44" t="str">
        <f>IF(Cartera1017[[#This Row],[Fecha de Priorización Comité]]="","No definido",TEXT(Cartera1017[[#This Row],[Fecha de Priorización Comité]],"yyyy-mm"))</f>
        <v>2026-04</v>
      </c>
      <c r="AY224" s="44" t="str">
        <f>IF(Cartera1017[[#This Row],[Fecha Fin- Desarrollo]]="","No definido",TEXT(Cartera1017[[#This Row],[Fecha Fin- Desarrollo]],"yyyy-mm"))</f>
        <v>No definido</v>
      </c>
      <c r="AZ224" s="44" t="str">
        <f>IF(Cartera1017[[#This Row],[Fecha Fin- Producción]]="","No definido",TEXT(Cartera1017[[#This Row],[Fecha Fin- Producción]],"yyyy-mm"))</f>
        <v>No definido</v>
      </c>
      <c r="BA224" s="44" t="str">
        <f>IF(Cartera1017[[#This Row],[Fecha Fin-Planificada]]="","No definido",TEXT(Cartera1017[[#This Row],[Fecha Fin-Planificada]],"yyyy-mm"))</f>
        <v>No definido</v>
      </c>
      <c r="BB224" s="33"/>
      <c r="BC224" s="108"/>
      <c r="BD224" s="108"/>
      <c r="BE224" s="108"/>
      <c r="BF224" s="127"/>
      <c r="BG224" s="28"/>
      <c r="BH22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4" s="90" t="str">
        <f>IF(ISNUMBER(Cartera1017[[#This Row],[Duracion en Dias]]),Cartera1017[[#This Row],[Duracion en Dias]]/30, "No Aplica")</f>
        <v>No Aplica</v>
      </c>
      <c r="BJ224" s="109"/>
      <c r="BK224" s="28" t="s">
        <v>1958</v>
      </c>
      <c r="BL224" s="110" t="s">
        <v>507</v>
      </c>
      <c r="BM224" s="342">
        <v>46139.461770833332</v>
      </c>
      <c r="BN224" s="227"/>
      <c r="BO224" s="401"/>
      <c r="BP224" s="401"/>
      <c r="BQ22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24" s="14" t="str">
        <f>IFERROR(VLOOKUP(Cartera1017[[#This Row],[Aplicativo]],Tabla76[],2,FALSE),"Sin Aplicativo")</f>
        <v>BackOffice</v>
      </c>
      <c r="BS224" s="14" t="str">
        <f>IFERROR(VLOOKUP(Cartera1017[[#This Row],[Aplicativo]],Tabla76[],3,FALSE),"Sin Aplicativo")</f>
        <v>Otros Requerimientos</v>
      </c>
      <c r="BT224" s="400"/>
      <c r="BU224" s="33"/>
      <c r="BV224" s="28"/>
      <c r="BW22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24" s="149" t="str">
        <f ca="1">IF(Cartera1017[[#This Row],[Fecha Fin2]]="","No definido",CONCATENATE(TEXT(Cartera1017[[#This Row],[Fecha Fin2]],"mmm")," ",YEAR(Cartera1017[[#This Row],[Fecha Fin2]])))</f>
        <v>No definido</v>
      </c>
      <c r="BZ224" s="28"/>
      <c r="CA224" s="48" t="str">
        <f>IF(Cartera1017[[#This Row],[Estado TI]] = "08. Producción Finalizada","Culminado",IF(Cartera1017[[#This Row],[Estado TI]]= "09. Descartado","Descartado","Activos"))</f>
        <v>Descartado</v>
      </c>
      <c r="CB224" s="28"/>
      <c r="CC22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224" s="54" t="str">
        <f>IF(
AND(
Cartera1017[[#This Row],[DEVOLVER 27]]="NO",
NOT(ISBLANK(Cartera1017[[#This Row],[ESTADO NO DEVUELTOS 27]]))
),
"PRE",
"POST"
)</f>
        <v>POST</v>
      </c>
      <c r="CE224" s="54"/>
      <c r="CF224" s="28"/>
      <c r="CG22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2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24"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4" s="406">
        <f>Cartera1017[[#This Row],[Porcentaje de Avance]]</f>
        <v>-0.01</v>
      </c>
      <c r="CK224" s="388" t="str">
        <f>IF(
   OR(
     Cartera1017[[#This Row],[Estado TI]]="09. Descartado",
     Cartera1017[[#This Row],[Comienzo Desarrollo]]="",
     Cartera1017[[#This Row],[Fin Producción]]=""
   ),
   "",
   Cartera1017[[#This Row],[% PLANIFICADO]]-Cartera1017[[#This Row],[% COMPLETADO]]
)</f>
        <v/>
      </c>
      <c r="CL224" s="388" t="str">
        <f ca="1">IF(
   OR(
     Cartera1017[[#This Row],[Estado TI]]="09. Descartado",
     Cartera1017[[#This Row],[Comienzo Desarrollo]]="",
     Cartera1017[[#This Row],[Fin Producción]]="",
     Cartera1017[[#This Row],[% PLANIFICADO]]=0
   ),
   "",
   MIN(Cartera1017[[#This Row],[% COMPLETADO]]/Cartera1017[[#This Row],[% PLANIFICADO]],1.2)
)</f>
        <v/>
      </c>
      <c r="CM224" s="229"/>
      <c r="CN224" s="229"/>
      <c r="CO224" s="229"/>
      <c r="CP224" s="229"/>
      <c r="CQ224" s="229"/>
      <c r="CR224" s="229"/>
      <c r="CS224" s="229"/>
      <c r="CT224" s="44">
        <f>IF(Cartera1017[[#This Row],[Fin Desarrollo]]="",25,IFERROR(NETWORKDAYS(Cartera1017[[#This Row],[Comienzo Desarrollo]],Cartera1017[[#This Row],[Fin Desarrollo]],FERIADOS[Fecha]),""))</f>
        <v>25</v>
      </c>
      <c r="CU22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24" s="44">
        <f>IF(OR(Cartera1017[[#This Row],[Comienzo Desarrollo]]="",Cartera1017[[#This Row],[Fin Desarrollo]]=""),200,IFERROR(Cartera1017[[#This Row],[DURACIÓN DESARROLLO DIAS]]*VLOOKUP(Cartera1017[[#This Row],[ID Mantenimiento]],MANT_HORAS[],2,FALSE),200))</f>
        <v>200</v>
      </c>
      <c r="CW224" s="110"/>
      <c r="CX224" s="110" t="str">
        <f>VLOOKUP(Cartera1017[[#This Row],[Estado TI]],Definiciones!$A$549:$B$559,2,FALSE)</f>
        <v>5. DESCARTADO</v>
      </c>
      <c r="CY224" s="28">
        <f ca="1">1-Cartera1017[[#This Row],[Porcentaje avanzado desarrollo]]</f>
        <v>0.9</v>
      </c>
      <c r="CZ22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4" s="28">
        <f ca="1">MAX(0,Cartera1017[[#This Row],[DURACIÓN DESARROLLO DIAS]]-Cartera1017[[#This Row],[Dias avanzados]])</f>
        <v>24</v>
      </c>
      <c r="DB224" s="28">
        <f ca="1">Cartera1017[[#This Row],[Dias avanzados]]*IFERROR(VLOOKUP(Cartera1017[[#This Row],[ID Mantenimiento]],MANT_HORAS[],2,FALSE),8)</f>
        <v>8</v>
      </c>
      <c r="DC224" s="28">
        <f ca="1">Cartera1017[[#This Row],[Dias faltantes]]*IFERROR(VLOOKUP(Cartera1017[[#This Row],[ID Mantenimiento]],MANT_HORAS[],2,FALSE),8)</f>
        <v>192</v>
      </c>
      <c r="DD224" s="28" t="str">
        <f>IF(Cartera1017[[#This Row],[Fin Producción]]=0,"Por definir",CONCATENATE(YEAR(Cartera1017[[#This Row],[Fin Producción]]),"-",ROUNDUP(MONTH(Cartera1017[[#This Row],[Fin Producción]]),0)))</f>
        <v>Por definir</v>
      </c>
      <c r="DE224" s="18" t="s">
        <v>1719</v>
      </c>
      <c r="DF224" s="28"/>
      <c r="DG224" s="28"/>
      <c r="DH224" s="565"/>
    </row>
    <row r="225" spans="1:112" ht="44.25" hidden="1" customHeight="1">
      <c r="A225" s="229" t="s">
        <v>1959</v>
      </c>
      <c r="B225" s="18">
        <v>3173</v>
      </c>
      <c r="C225" s="18" t="s">
        <v>485</v>
      </c>
      <c r="D225" s="18" t="s">
        <v>1960</v>
      </c>
      <c r="E225" s="18" t="s">
        <v>1961</v>
      </c>
      <c r="F225" s="33" t="s">
        <v>1962</v>
      </c>
      <c r="G225" s="19"/>
      <c r="H225" s="18" t="s">
        <v>40</v>
      </c>
      <c r="I225" s="18" t="s">
        <v>490</v>
      </c>
      <c r="J225" s="18" t="s">
        <v>662</v>
      </c>
      <c r="K225" s="20">
        <v>45968</v>
      </c>
      <c r="L225" s="50" t="s">
        <v>1963</v>
      </c>
      <c r="M225" s="50" t="s">
        <v>931</v>
      </c>
      <c r="N225" s="50"/>
      <c r="O225" s="18" t="s">
        <v>548</v>
      </c>
      <c r="P225" s="18" t="s">
        <v>495</v>
      </c>
      <c r="Q225" s="18" t="s">
        <v>496</v>
      </c>
      <c r="R225" s="18" t="s">
        <v>497</v>
      </c>
      <c r="S225" s="18"/>
      <c r="T225" s="18"/>
      <c r="U225" s="18"/>
      <c r="V225" s="18"/>
      <c r="W225" s="18"/>
      <c r="X225" s="18"/>
      <c r="Y225" s="80"/>
      <c r="Z225" s="18" t="s">
        <v>499</v>
      </c>
      <c r="AA225" s="20">
        <v>46119</v>
      </c>
      <c r="AB225" s="18" t="s">
        <v>500</v>
      </c>
      <c r="AC225" s="18"/>
      <c r="AD225" s="18" t="s">
        <v>54</v>
      </c>
      <c r="AE225" s="18" t="s">
        <v>41</v>
      </c>
      <c r="AF225" s="18" t="s">
        <v>53</v>
      </c>
      <c r="AG225" s="14" t="str">
        <f>VLOOKUP(AF225,Tabla3[[Estado Requerimiento]:[Macro estado]],2,FALSE)</f>
        <v>03. Culminado</v>
      </c>
      <c r="AH225" s="18"/>
      <c r="AI225" s="80"/>
      <c r="AJ225" s="80"/>
      <c r="AK225" s="80">
        <v>46064</v>
      </c>
      <c r="AL225" s="80"/>
      <c r="AM225" s="80"/>
      <c r="AN225" s="80"/>
      <c r="AO225" s="80"/>
      <c r="AP225" s="81" t="str">
        <f t="shared" si="6"/>
        <v/>
      </c>
      <c r="AQ225" s="80">
        <v>46087</v>
      </c>
      <c r="AR225" s="80">
        <v>46091</v>
      </c>
      <c r="AS225" s="81" t="str">
        <f t="shared" si="7"/>
        <v/>
      </c>
      <c r="AT225" s="198" t="s">
        <v>1964</v>
      </c>
      <c r="AU225" s="44" t="str">
        <f>VLOOKUP(Cartera1017[[#This Row],[Gerencia]],tbGerencia[#All],3,FALSE)</f>
        <v>Operac.</v>
      </c>
      <c r="AV225" s="44" t="str">
        <f>IFERROR(VLOOKUP(Cartera1017[[#This Row],[Subgerencia]],Definiciones!$A$90:$B$144,2,FALSE),"")</f>
        <v>BancariosRecaudación</v>
      </c>
      <c r="AW225" s="44" t="str">
        <f>IF(OR(LEN(Cartera1017[[#This Row],[Fecha de Solicitud]])=0,(Cartera1017[[#This Row],[Fecha de Solicitud]])="No definido"),"No definido",IF(YEAR(Cartera1017[[#This Row],[Fecha de Solicitud]])&lt;2023," &lt;  2023",TEXT(Cartera1017[[#This Row],[Fecha de Solicitud]],"yyyy-mm")))</f>
        <v>2025-11</v>
      </c>
      <c r="AX225" s="44" t="str">
        <f>IF(Cartera1017[[#This Row],[Fecha de Priorización Comité]]="","No definido",TEXT(Cartera1017[[#This Row],[Fecha de Priorización Comité]],"yyyy-mm"))</f>
        <v>2026-04</v>
      </c>
      <c r="AY225" s="44" t="str">
        <f>IF(Cartera1017[[#This Row],[Fecha Fin- Desarrollo]]="","No definido",TEXT(Cartera1017[[#This Row],[Fecha Fin- Desarrollo]],"yyyy-mm"))</f>
        <v>No definido</v>
      </c>
      <c r="AZ225" s="44" t="str">
        <f>IF(Cartera1017[[#This Row],[Fecha Fin- Producción]]="","No definido",TEXT(Cartera1017[[#This Row],[Fecha Fin- Producción]],"yyyy-mm"))</f>
        <v>2026-03</v>
      </c>
      <c r="BA225" s="44" t="str">
        <f>IF(Cartera1017[[#This Row],[Fecha Fin-Planificada]]="","No definido",TEXT(Cartera1017[[#This Row],[Fecha Fin-Planificada]],"yyyy-mm"))</f>
        <v>No definido</v>
      </c>
      <c r="BB225" s="33"/>
      <c r="BC225" s="108"/>
      <c r="BD225" s="108"/>
      <c r="BE225" s="108"/>
      <c r="BF225" s="127"/>
      <c r="BG225" s="28"/>
      <c r="BH22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v>
      </c>
      <c r="BI225" s="90">
        <f>IF(ISNUMBER(Cartera1017[[#This Row],[Duracion en Dias]]),Cartera1017[[#This Row],[Duracion en Dias]]/30, "No Aplica")</f>
        <v>0.9</v>
      </c>
      <c r="BJ225" s="109"/>
      <c r="BK225" s="28" t="s">
        <v>506</v>
      </c>
      <c r="BL225" s="110" t="s">
        <v>636</v>
      </c>
      <c r="BM225" s="342">
        <v>46154.39947916667</v>
      </c>
      <c r="BN225" s="227"/>
      <c r="BO225" s="401"/>
      <c r="BP225" s="401"/>
      <c r="BQ22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25" s="14" t="str">
        <f>IFERROR(VLOOKUP(Cartera1017[[#This Row],[Aplicativo]],Tabla76[],2,FALSE),"Sin Aplicativo")</f>
        <v>BackOffice</v>
      </c>
      <c r="BS225" s="14" t="str">
        <f>IFERROR(VLOOKUP(Cartera1017[[#This Row],[Aplicativo]],Tabla76[],3,FALSE),"Sin Aplicativo")</f>
        <v>Otros Requerimientos</v>
      </c>
      <c r="BT225" s="400"/>
      <c r="BU225" s="33"/>
      <c r="BV225" s="28"/>
      <c r="BW22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22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25" s="149" t="str">
        <f ca="1">IF(Cartera1017[[#This Row],[Fecha Fin2]]="","No definido",CONCATENATE(TEXT(Cartera1017[[#This Row],[Fecha Fin2]],"mmm")," ",YEAR(Cartera1017[[#This Row],[Fecha Fin2]])))</f>
        <v>Mar 2026</v>
      </c>
      <c r="BZ225" s="28"/>
      <c r="CA225" s="48" t="str">
        <f>IF(Cartera1017[[#This Row],[Estado TI]] = "08. Producción Finalizada","Culminado",IF(Cartera1017[[#This Row],[Estado TI]]= "09. Descartado","Descartado","Activos"))</f>
        <v>Culminado</v>
      </c>
      <c r="CB225" s="28"/>
      <c r="CC22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25" s="54" t="str">
        <f>IF(
AND(
Cartera1017[[#This Row],[DEVOLVER 27]]="NO",
NOT(ISBLANK(Cartera1017[[#This Row],[ESTADO NO DEVUELTOS 27]]))
),
"PRE",
"POST"
)</f>
        <v>POST</v>
      </c>
      <c r="CE225" s="54"/>
      <c r="CF225" s="28"/>
      <c r="CG22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2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25"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25" s="406">
        <f>Cartera1017[[#This Row],[Porcentaje de Avance]]</f>
        <v>1</v>
      </c>
      <c r="CK225" s="388" t="str">
        <f>IF(
   OR(
     Cartera1017[[#This Row],[Estado TI]]="09. Descartado",
     Cartera1017[[#This Row],[Comienzo Desarrollo]]="",
     Cartera1017[[#This Row],[Fin Producción]]=""
   ),
   "",
   Cartera1017[[#This Row],[% PLANIFICADO]]-Cartera1017[[#This Row],[% COMPLETADO]]
)</f>
        <v/>
      </c>
      <c r="CL225" s="388" t="str">
        <f ca="1">IF(
   OR(
     Cartera1017[[#This Row],[Estado TI]]="09. Descartado",
     Cartera1017[[#This Row],[Comienzo Desarrollo]]="",
     Cartera1017[[#This Row],[Fin Producción]]="",
     Cartera1017[[#This Row],[% PLANIFICADO]]=0
   ),
   "",
   MIN(Cartera1017[[#This Row],[% COMPLETADO]]/Cartera1017[[#This Row],[% PLANIFICADO]],1.2)
)</f>
        <v/>
      </c>
      <c r="CM225" s="229"/>
      <c r="CN225" s="229"/>
      <c r="CO225" s="229"/>
      <c r="CP225" s="229"/>
      <c r="CQ225" s="229"/>
      <c r="CR225" s="229"/>
      <c r="CS225" s="229"/>
      <c r="CT225" s="44">
        <f>IF(Cartera1017[[#This Row],[Fin Desarrollo]]="",25,IFERROR(NETWORKDAYS(Cartera1017[[#This Row],[Comienzo Desarrollo]],Cartera1017[[#This Row],[Fin Desarrollo]],FERIADOS[Fecha]),""))</f>
        <v>25</v>
      </c>
      <c r="CU22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25" s="44">
        <f>IF(OR(Cartera1017[[#This Row],[Comienzo Desarrollo]]="",Cartera1017[[#This Row],[Fin Desarrollo]]=""),200,IFERROR(Cartera1017[[#This Row],[DURACIÓN DESARROLLO DIAS]]*VLOOKUP(Cartera1017[[#This Row],[ID Mantenimiento]],MANT_HORAS[],2,FALSE),200))</f>
        <v>200</v>
      </c>
      <c r="CW225" s="110"/>
      <c r="CX225" s="110" t="str">
        <f>VLOOKUP(Cartera1017[[#This Row],[Estado TI]],Definiciones!$A$549:$B$559,2,FALSE)</f>
        <v>4. PRODUCCIÓN</v>
      </c>
      <c r="CY225" s="28">
        <f ca="1">1-Cartera1017[[#This Row],[Porcentaje avanzado desarrollo]]</f>
        <v>0.9</v>
      </c>
      <c r="CZ22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5" s="28">
        <f ca="1">MAX(0,Cartera1017[[#This Row],[DURACIÓN DESARROLLO DIAS]]-Cartera1017[[#This Row],[Dias avanzados]])</f>
        <v>24</v>
      </c>
      <c r="DB225" s="28">
        <f ca="1">Cartera1017[[#This Row],[Dias avanzados]]*IFERROR(VLOOKUP(Cartera1017[[#This Row],[ID Mantenimiento]],MANT_HORAS[],2,FALSE),8)</f>
        <v>8</v>
      </c>
      <c r="DC225" s="28">
        <f ca="1">Cartera1017[[#This Row],[Dias faltantes]]*IFERROR(VLOOKUP(Cartera1017[[#This Row],[ID Mantenimiento]],MANT_HORAS[],2,FALSE),8)</f>
        <v>192</v>
      </c>
      <c r="DD225" s="28" t="str">
        <f>IF(Cartera1017[[#This Row],[Fin Producción]]=0,"Por definir",CONCATENATE(YEAR(Cartera1017[[#This Row],[Fin Producción]]),"-",ROUNDUP(MONTH(Cartera1017[[#This Row],[Fin Producción]]),0)))</f>
        <v>Por definir</v>
      </c>
      <c r="DE225" s="18" t="s">
        <v>1719</v>
      </c>
      <c r="DF225" s="28"/>
      <c r="DG225" s="28"/>
      <c r="DH225" s="565"/>
    </row>
    <row r="226" spans="1:112" ht="44.25" hidden="1" customHeight="1">
      <c r="A226" s="229" t="s">
        <v>1965</v>
      </c>
      <c r="B226" s="18">
        <v>3174</v>
      </c>
      <c r="C226" s="18" t="s">
        <v>485</v>
      </c>
      <c r="D226" s="18" t="s">
        <v>1966</v>
      </c>
      <c r="E226" s="18" t="s">
        <v>1967</v>
      </c>
      <c r="F226" s="33" t="s">
        <v>1968</v>
      </c>
      <c r="G226" s="19"/>
      <c r="H226" s="18" t="s">
        <v>40</v>
      </c>
      <c r="I226" s="18" t="s">
        <v>490</v>
      </c>
      <c r="J226" s="18" t="s">
        <v>1336</v>
      </c>
      <c r="K226" s="20">
        <v>46044</v>
      </c>
      <c r="L226" s="50" t="s">
        <v>1969</v>
      </c>
      <c r="M226" s="50" t="s">
        <v>1338</v>
      </c>
      <c r="N226" s="50"/>
      <c r="O226" s="18" t="s">
        <v>530</v>
      </c>
      <c r="P226" s="18" t="s">
        <v>1336</v>
      </c>
      <c r="Q226" s="18" t="s">
        <v>496</v>
      </c>
      <c r="R226" s="18" t="s">
        <v>497</v>
      </c>
      <c r="S226" s="18"/>
      <c r="T226" s="18"/>
      <c r="U226" s="18"/>
      <c r="V226" s="18"/>
      <c r="W226" s="18"/>
      <c r="X226" s="18"/>
      <c r="Y226" s="80"/>
      <c r="Z226" s="18" t="s">
        <v>499</v>
      </c>
      <c r="AA226" s="20">
        <v>46119</v>
      </c>
      <c r="AB226" s="18" t="s">
        <v>533</v>
      </c>
      <c r="AC226" s="18"/>
      <c r="AD226" s="18" t="s">
        <v>236</v>
      </c>
      <c r="AE226" s="18" t="s">
        <v>41</v>
      </c>
      <c r="AF226" s="18" t="s">
        <v>53</v>
      </c>
      <c r="AG226" s="14" t="str">
        <f>VLOOKUP(AF226,Tabla3[[Estado Requerimiento]:[Macro estado]],2,FALSE)</f>
        <v>03. Culminado</v>
      </c>
      <c r="AH226" s="18"/>
      <c r="AI226" s="80"/>
      <c r="AJ226" s="80"/>
      <c r="AK226" s="80">
        <v>46073</v>
      </c>
      <c r="AL226" s="80">
        <v>46084</v>
      </c>
      <c r="AM226" s="80"/>
      <c r="AN226" s="80">
        <v>46084</v>
      </c>
      <c r="AO226" s="80">
        <v>46094</v>
      </c>
      <c r="AP226" s="81">
        <f t="shared" si="6"/>
        <v>46088.4</v>
      </c>
      <c r="AQ226" s="80">
        <v>46099</v>
      </c>
      <c r="AR226" s="80">
        <v>46099</v>
      </c>
      <c r="AS226" s="81">
        <f t="shared" si="7"/>
        <v>46095.4</v>
      </c>
      <c r="AT226" s="198" t="s">
        <v>1970</v>
      </c>
      <c r="AU226" s="44" t="str">
        <f>VLOOKUP(Cartera1017[[#This Row],[Gerencia]],tbGerencia[#All],3,FALSE)</f>
        <v>Operac.</v>
      </c>
      <c r="AV226" s="44" t="str">
        <f>IFERROR(VLOOKUP(Cartera1017[[#This Row],[Subgerencia]],Definiciones!$A$90:$B$144,2,FALSE),"")</f>
        <v>BancariosRecaudación</v>
      </c>
      <c r="AW226" s="44" t="str">
        <f>IF(OR(LEN(Cartera1017[[#This Row],[Fecha de Solicitud]])=0,(Cartera1017[[#This Row],[Fecha de Solicitud]])="No definido"),"No definido",IF(YEAR(Cartera1017[[#This Row],[Fecha de Solicitud]])&lt;2023," &lt;  2023",TEXT(Cartera1017[[#This Row],[Fecha de Solicitud]],"yyyy-mm")))</f>
        <v>2026-01</v>
      </c>
      <c r="AX226" s="44" t="str">
        <f>IF(Cartera1017[[#This Row],[Fecha de Priorización Comité]]="","No definido",TEXT(Cartera1017[[#This Row],[Fecha de Priorización Comité]],"yyyy-mm"))</f>
        <v>2026-04</v>
      </c>
      <c r="AY226" s="44" t="str">
        <f>IF(Cartera1017[[#This Row],[Fecha Fin- Desarrollo]]="","No definido",TEXT(Cartera1017[[#This Row],[Fecha Fin- Desarrollo]],"yyyy-mm"))</f>
        <v>2026-03</v>
      </c>
      <c r="AZ226" s="44" t="str">
        <f>IF(Cartera1017[[#This Row],[Fecha Fin- Producción]]="","No definido",TEXT(Cartera1017[[#This Row],[Fecha Fin- Producción]],"yyyy-mm"))</f>
        <v>2026-03</v>
      </c>
      <c r="BA226" s="44" t="str">
        <f>IF(Cartera1017[[#This Row],[Fecha Fin-Planificada]]="","No definido",TEXT(Cartera1017[[#This Row],[Fecha Fin-Planificada]],"yyyy-mm"))</f>
        <v>2026-03</v>
      </c>
      <c r="BB226" s="33"/>
      <c r="BC226" s="108"/>
      <c r="BD226" s="108"/>
      <c r="BE226" s="108"/>
      <c r="BF226" s="127"/>
      <c r="BG226" s="28"/>
      <c r="BH22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26</v>
      </c>
      <c r="BI226" s="90">
        <f>IF(ISNUMBER(Cartera1017[[#This Row],[Duracion en Dias]]),Cartera1017[[#This Row],[Duracion en Dias]]/30, "No Aplica")</f>
        <v>0.8666666666666667</v>
      </c>
      <c r="BJ226" s="109"/>
      <c r="BK226" s="28" t="s">
        <v>506</v>
      </c>
      <c r="BL226" s="110" t="s">
        <v>536</v>
      </c>
      <c r="BM226" s="342">
        <v>46135.381284722222</v>
      </c>
      <c r="BN226" s="227"/>
      <c r="BO226" s="401"/>
      <c r="BP226" s="401"/>
      <c r="BQ22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26" s="14" t="str">
        <f>IFERROR(VLOOKUP(Cartera1017[[#This Row],[Aplicativo]],Tabla76[],2,FALSE),"Sin Aplicativo")</f>
        <v>BackOffice</v>
      </c>
      <c r="BS226" s="14" t="str">
        <f>IFERROR(VLOOKUP(Cartera1017[[#This Row],[Aplicativo]],Tabla76[],3,FALSE),"Sin Aplicativo")</f>
        <v>Otros Requerimientos</v>
      </c>
      <c r="BT226" s="400"/>
      <c r="BU226" s="33"/>
      <c r="BV226" s="28"/>
      <c r="BW22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46099</v>
      </c>
      <c r="BX22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26" s="149" t="str">
        <f ca="1">IF(Cartera1017[[#This Row],[Fecha Fin2]]="","No definido",CONCATENATE(TEXT(Cartera1017[[#This Row],[Fecha Fin2]],"mmm")," ",YEAR(Cartera1017[[#This Row],[Fecha Fin2]])))</f>
        <v>Mar 2026</v>
      </c>
      <c r="BZ226" s="28"/>
      <c r="CA226" s="48" t="str">
        <f>IF(Cartera1017[[#This Row],[Estado TI]] = "08. Producción Finalizada","Culminado",IF(Cartera1017[[#This Row],[Estado TI]]= "09. Descartado","Descartado","Activos"))</f>
        <v>Culminado</v>
      </c>
      <c r="CB226" s="28"/>
      <c r="CC22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26" s="54" t="str">
        <f>IF(
AND(
Cartera1017[[#This Row],[DEVOLVER 27]]="NO",
NOT(ISBLANK(Cartera1017[[#This Row],[ESTADO NO DEVUELTOS 27]]))
),
"PRE",
"POST"
)</f>
        <v>POST</v>
      </c>
      <c r="CE226" s="54"/>
      <c r="CF226" s="28"/>
      <c r="CG22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2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26"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26" s="406">
        <f>Cartera1017[[#This Row],[Porcentaje de Avance]]</f>
        <v>1</v>
      </c>
      <c r="CK226" s="388" t="str">
        <f>IF(
   OR(
     Cartera1017[[#This Row],[Estado TI]]="09. Descartado",
     Cartera1017[[#This Row],[Comienzo Desarrollo]]="",
     Cartera1017[[#This Row],[Fin Producción]]=""
   ),
   "",
   Cartera1017[[#This Row],[% PLANIFICADO]]-Cartera1017[[#This Row],[% COMPLETADO]]
)</f>
        <v/>
      </c>
      <c r="CL226" s="388" t="str">
        <f ca="1">IF(
   OR(
     Cartera1017[[#This Row],[Estado TI]]="09. Descartado",
     Cartera1017[[#This Row],[Comienzo Desarrollo]]="",
     Cartera1017[[#This Row],[Fin Producción]]="",
     Cartera1017[[#This Row],[% PLANIFICADO]]=0
   ),
   "",
   MIN(Cartera1017[[#This Row],[% COMPLETADO]]/Cartera1017[[#This Row],[% PLANIFICADO]],1.2)
)</f>
        <v/>
      </c>
      <c r="CM226" s="229"/>
      <c r="CN226" s="229"/>
      <c r="CO226" s="229"/>
      <c r="CP226" s="229"/>
      <c r="CQ226" s="229"/>
      <c r="CR226" s="229"/>
      <c r="CS226" s="229"/>
      <c r="CT226" s="44">
        <f>IF(Cartera1017[[#This Row],[Fin Desarrollo]]="",25,IFERROR(NETWORKDAYS(Cartera1017[[#This Row],[Comienzo Desarrollo]],Cartera1017[[#This Row],[Fin Desarrollo]],FERIADOS[Fecha]),""))</f>
        <v>25</v>
      </c>
      <c r="CU22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26" s="44">
        <f>IF(OR(Cartera1017[[#This Row],[Comienzo Desarrollo]]="",Cartera1017[[#This Row],[Fin Desarrollo]]=""),200,IFERROR(Cartera1017[[#This Row],[DURACIÓN DESARROLLO DIAS]]*VLOOKUP(Cartera1017[[#This Row],[ID Mantenimiento]],MANT_HORAS[],2,FALSE),200))</f>
        <v>200</v>
      </c>
      <c r="CW226" s="110"/>
      <c r="CX226" s="110" t="str">
        <f>VLOOKUP(Cartera1017[[#This Row],[Estado TI]],Definiciones!$A$549:$B$559,2,FALSE)</f>
        <v>4. PRODUCCIÓN</v>
      </c>
      <c r="CY226" s="28">
        <f ca="1">1-Cartera1017[[#This Row],[Porcentaje avanzado desarrollo]]</f>
        <v>0.9</v>
      </c>
      <c r="CZ22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6" s="28">
        <f ca="1">MAX(0,Cartera1017[[#This Row],[DURACIÓN DESARROLLO DIAS]]-Cartera1017[[#This Row],[Dias avanzados]])</f>
        <v>24</v>
      </c>
      <c r="DB226" s="28">
        <f ca="1">Cartera1017[[#This Row],[Dias avanzados]]*IFERROR(VLOOKUP(Cartera1017[[#This Row],[ID Mantenimiento]],MANT_HORAS[],2,FALSE),8)</f>
        <v>8</v>
      </c>
      <c r="DC226" s="28">
        <f ca="1">Cartera1017[[#This Row],[Dias faltantes]]*IFERROR(VLOOKUP(Cartera1017[[#This Row],[ID Mantenimiento]],MANT_HORAS[],2,FALSE),8)</f>
        <v>192</v>
      </c>
      <c r="DD226" s="28" t="str">
        <f>IF(Cartera1017[[#This Row],[Fin Producción]]=0,"Por definir",CONCATENATE(YEAR(Cartera1017[[#This Row],[Fin Producción]]),"-",ROUNDUP(MONTH(Cartera1017[[#This Row],[Fin Producción]]),0)))</f>
        <v>Por definir</v>
      </c>
      <c r="DE226" s="18" t="s">
        <v>1719</v>
      </c>
      <c r="DF226" s="28"/>
      <c r="DG226" s="28"/>
      <c r="DH226" s="565"/>
    </row>
    <row r="227" spans="1:112" ht="44.25" hidden="1" customHeight="1">
      <c r="A227" s="229" t="s">
        <v>1971</v>
      </c>
      <c r="B227" s="18">
        <v>3175</v>
      </c>
      <c r="C227" s="18" t="s">
        <v>485</v>
      </c>
      <c r="D227" s="18" t="s">
        <v>1972</v>
      </c>
      <c r="E227" s="18"/>
      <c r="F227" s="33" t="s">
        <v>1973</v>
      </c>
      <c r="G227" s="19"/>
      <c r="H227" s="18" t="s">
        <v>40</v>
      </c>
      <c r="I227" s="18" t="s">
        <v>577</v>
      </c>
      <c r="J227" s="18" t="s">
        <v>1118</v>
      </c>
      <c r="K227" s="20">
        <v>46057</v>
      </c>
      <c r="L227" s="50" t="s">
        <v>1974</v>
      </c>
      <c r="M227" s="50"/>
      <c r="N227" s="50"/>
      <c r="O227" s="18" t="s">
        <v>712</v>
      </c>
      <c r="P227" s="18" t="s">
        <v>495</v>
      </c>
      <c r="Q227" s="18" t="s">
        <v>1127</v>
      </c>
      <c r="R227" s="18" t="s">
        <v>497</v>
      </c>
      <c r="S227" s="18"/>
      <c r="T227" s="18"/>
      <c r="U227" s="18"/>
      <c r="V227" s="18"/>
      <c r="W227" s="18"/>
      <c r="X227" s="18"/>
      <c r="Y227" s="80"/>
      <c r="Z227" s="18" t="s">
        <v>499</v>
      </c>
      <c r="AA227" s="20">
        <v>46119</v>
      </c>
      <c r="AB227" s="18" t="s">
        <v>500</v>
      </c>
      <c r="AC227" s="18"/>
      <c r="AD227" s="18"/>
      <c r="AE227" s="18" t="s">
        <v>41</v>
      </c>
      <c r="AF227" s="18" t="s">
        <v>340</v>
      </c>
      <c r="AG227" s="14" t="str">
        <f>VLOOKUP(AF227,Tabla3[[Estado Requerimiento]:[Macro estado]],2,FALSE)</f>
        <v>01. No iniciado</v>
      </c>
      <c r="AH227" s="18"/>
      <c r="AI227" s="80"/>
      <c r="AJ227" s="80"/>
      <c r="AK227" s="80"/>
      <c r="AL227" s="80"/>
      <c r="AM227" s="80"/>
      <c r="AN227" s="80"/>
      <c r="AO227" s="80"/>
      <c r="AP227" s="81" t="str">
        <f t="shared" si="6"/>
        <v/>
      </c>
      <c r="AQ227" s="80"/>
      <c r="AR227" s="80"/>
      <c r="AS227" s="81" t="str">
        <f t="shared" si="7"/>
        <v/>
      </c>
      <c r="AT227" s="198" t="s">
        <v>1975</v>
      </c>
      <c r="AU227" s="44" t="str">
        <f>VLOOKUP(Cartera1017[[#This Row],[Gerencia]],tbGerencia[#All],3,FALSE)</f>
        <v>Operac.</v>
      </c>
      <c r="AV227" s="44" t="str">
        <f>IFERROR(VLOOKUP(Cartera1017[[#This Row],[Subgerencia]],Definiciones!$A$90:$B$144,2,FALSE),"")</f>
        <v>CaptacionesPagaduría</v>
      </c>
      <c r="AW227" s="44" t="str">
        <f>IF(OR(LEN(Cartera1017[[#This Row],[Fecha de Solicitud]])=0,(Cartera1017[[#This Row],[Fecha de Solicitud]])="No definido"),"No definido",IF(YEAR(Cartera1017[[#This Row],[Fecha de Solicitud]])&lt;2023," &lt;  2023",TEXT(Cartera1017[[#This Row],[Fecha de Solicitud]],"yyyy-mm")))</f>
        <v>2026-02</v>
      </c>
      <c r="AX227" s="44" t="str">
        <f>IF(Cartera1017[[#This Row],[Fecha de Priorización Comité]]="","No definido",TEXT(Cartera1017[[#This Row],[Fecha de Priorización Comité]],"yyyy-mm"))</f>
        <v>2026-04</v>
      </c>
      <c r="AY227" s="44" t="str">
        <f>IF(Cartera1017[[#This Row],[Fecha Fin- Desarrollo]]="","No definido",TEXT(Cartera1017[[#This Row],[Fecha Fin- Desarrollo]],"yyyy-mm"))</f>
        <v>No definido</v>
      </c>
      <c r="AZ227" s="44" t="str">
        <f>IF(Cartera1017[[#This Row],[Fecha Fin- Producción]]="","No definido",TEXT(Cartera1017[[#This Row],[Fecha Fin- Producción]],"yyyy-mm"))</f>
        <v>No definido</v>
      </c>
      <c r="BA227" s="44" t="str">
        <f>IF(Cartera1017[[#This Row],[Fecha Fin-Planificada]]="","No definido",TEXT(Cartera1017[[#This Row],[Fecha Fin-Planificada]],"yyyy-mm"))</f>
        <v>No definido</v>
      </c>
      <c r="BB227" s="33"/>
      <c r="BC227" s="108"/>
      <c r="BD227" s="108"/>
      <c r="BE227" s="108"/>
      <c r="BF227" s="127"/>
      <c r="BG227" s="28"/>
      <c r="BH22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27" s="90" t="str">
        <f>IF(ISNUMBER(Cartera1017[[#This Row],[Duracion en Dias]]),Cartera1017[[#This Row],[Duracion en Dias]]/30, "No Aplica")</f>
        <v>No Aplica</v>
      </c>
      <c r="BJ227" s="109"/>
      <c r="BK227" s="28"/>
      <c r="BL227" s="110"/>
      <c r="BM227" s="342"/>
      <c r="BN227" s="227"/>
      <c r="BO227" s="401"/>
      <c r="BP227" s="401"/>
      <c r="BQ22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27" s="14" t="str">
        <f>IFERROR(VLOOKUP(Cartera1017[[#This Row],[Aplicativo]],Tabla76[],2,FALSE),"Sin Aplicativo")</f>
        <v>Sin Aplicativo</v>
      </c>
      <c r="BS227" s="14" t="str">
        <f>IFERROR(VLOOKUP(Cartera1017[[#This Row],[Aplicativo]],Tabla76[],3,FALSE),"Sin Aplicativo")</f>
        <v>Sin Aplicativo</v>
      </c>
      <c r="BT227" s="400"/>
      <c r="BU227" s="33"/>
      <c r="BV227" s="28"/>
      <c r="BW22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27" s="149" t="str">
        <f ca="1">IF(Cartera1017[[#This Row],[Fecha Fin2]]="","No definido",CONCATENATE(TEXT(Cartera1017[[#This Row],[Fecha Fin2]],"mmm")," ",YEAR(Cartera1017[[#This Row],[Fecha Fin2]])))</f>
        <v>No definido</v>
      </c>
      <c r="BZ227" s="28"/>
      <c r="CA227" s="48" t="str">
        <f>IF(Cartera1017[[#This Row],[Estado TI]] = "08. Producción Finalizada","Culminado",IF(Cartera1017[[#This Row],[Estado TI]]= "09. Descartado","Descartado","Activos"))</f>
        <v>Activos</v>
      </c>
      <c r="CB227" s="28"/>
      <c r="CC22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27" s="54" t="str">
        <f>IF(
AND(
Cartera1017[[#This Row],[DEVOLVER 27]]="NO",
NOT(ISBLANK(Cartera1017[[#This Row],[ESTADO NO DEVUELTOS 27]]))
),
"PRE",
"POST"
)</f>
        <v>POST</v>
      </c>
      <c r="CE227" s="54"/>
      <c r="CF227" s="28"/>
      <c r="CG22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2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27"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7" s="406">
        <f>Cartera1017[[#This Row],[Porcentaje de Avance]]</f>
        <v>0.1</v>
      </c>
      <c r="CK227" s="388" t="str">
        <f>IF(
   OR(
     Cartera1017[[#This Row],[Estado TI]]="09. Descartado",
     Cartera1017[[#This Row],[Comienzo Desarrollo]]="",
     Cartera1017[[#This Row],[Fin Producción]]=""
   ),
   "",
   Cartera1017[[#This Row],[% PLANIFICADO]]-Cartera1017[[#This Row],[% COMPLETADO]]
)</f>
        <v/>
      </c>
      <c r="CL227" s="388" t="str">
        <f ca="1">IF(
   OR(
     Cartera1017[[#This Row],[Estado TI]]="09. Descartado",
     Cartera1017[[#This Row],[Comienzo Desarrollo]]="",
     Cartera1017[[#This Row],[Fin Producción]]="",
     Cartera1017[[#This Row],[% PLANIFICADO]]=0
   ),
   "",
   MIN(Cartera1017[[#This Row],[% COMPLETADO]]/Cartera1017[[#This Row],[% PLANIFICADO]],1.2)
)</f>
        <v/>
      </c>
      <c r="CM227" s="229"/>
      <c r="CN227" s="229"/>
      <c r="CO227" s="229"/>
      <c r="CP227" s="229"/>
      <c r="CQ227" s="229"/>
      <c r="CR227" s="229"/>
      <c r="CS227" s="229"/>
      <c r="CT227" s="44">
        <f>IF(Cartera1017[[#This Row],[Fin Desarrollo]]="",25,IFERROR(NETWORKDAYS(Cartera1017[[#This Row],[Comienzo Desarrollo]],Cartera1017[[#This Row],[Fin Desarrollo]],FERIADOS[Fecha]),""))</f>
        <v>25</v>
      </c>
      <c r="CU22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27" s="44">
        <f>IF(OR(Cartera1017[[#This Row],[Comienzo Desarrollo]]="",Cartera1017[[#This Row],[Fin Desarrollo]]=""),200,IFERROR(Cartera1017[[#This Row],[DURACIÓN DESARROLLO DIAS]]*VLOOKUP(Cartera1017[[#This Row],[ID Mantenimiento]],MANT_HORAS[],2,FALSE),200))</f>
        <v>200</v>
      </c>
      <c r="CW227" s="110"/>
      <c r="CX227" s="110" t="str">
        <f>VLOOKUP(Cartera1017[[#This Row],[Estado TI]],Definiciones!$A$549:$B$559,2,FALSE)</f>
        <v>1. DESARROLLO</v>
      </c>
      <c r="CY227" s="28">
        <f ca="1">1-Cartera1017[[#This Row],[Porcentaje avanzado desarrollo]]</f>
        <v>0.9</v>
      </c>
      <c r="CZ22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7" s="28">
        <f ca="1">MAX(0,Cartera1017[[#This Row],[DURACIÓN DESARROLLO DIAS]]-Cartera1017[[#This Row],[Dias avanzados]])</f>
        <v>24</v>
      </c>
      <c r="DB227" s="28">
        <f ca="1">Cartera1017[[#This Row],[Dias avanzados]]*IFERROR(VLOOKUP(Cartera1017[[#This Row],[ID Mantenimiento]],MANT_HORAS[],2,FALSE),8)</f>
        <v>8</v>
      </c>
      <c r="DC227" s="28">
        <f ca="1">Cartera1017[[#This Row],[Dias faltantes]]*IFERROR(VLOOKUP(Cartera1017[[#This Row],[ID Mantenimiento]],MANT_HORAS[],2,FALSE),8)</f>
        <v>192</v>
      </c>
      <c r="DD227" s="28" t="str">
        <f>IF(Cartera1017[[#This Row],[Fin Producción]]=0,"Por definir",CONCATENATE(YEAR(Cartera1017[[#This Row],[Fin Producción]]),"-",ROUNDUP(MONTH(Cartera1017[[#This Row],[Fin Producción]]),0)))</f>
        <v>Por definir</v>
      </c>
      <c r="DE227" s="18" t="s">
        <v>1719</v>
      </c>
      <c r="DF227" s="28"/>
      <c r="DG227" s="28"/>
      <c r="DH227" s="565"/>
    </row>
    <row r="228" spans="1:112" ht="44.25" hidden="1" customHeight="1">
      <c r="A228" s="229" t="s">
        <v>1976</v>
      </c>
      <c r="B228" s="18">
        <v>3176</v>
      </c>
      <c r="C228" s="18" t="s">
        <v>485</v>
      </c>
      <c r="D228" s="18" t="s">
        <v>1977</v>
      </c>
      <c r="E228" s="18" t="s">
        <v>1978</v>
      </c>
      <c r="F228" s="33" t="s">
        <v>1979</v>
      </c>
      <c r="G228" s="19"/>
      <c r="H228" s="18" t="s">
        <v>40</v>
      </c>
      <c r="I228" s="18" t="s">
        <v>490</v>
      </c>
      <c r="J228" s="18" t="s">
        <v>1336</v>
      </c>
      <c r="K228" s="20">
        <v>46045</v>
      </c>
      <c r="L228" s="50" t="s">
        <v>1980</v>
      </c>
      <c r="M228" s="50" t="s">
        <v>1981</v>
      </c>
      <c r="N228" s="50"/>
      <c r="O228" s="18" t="s">
        <v>530</v>
      </c>
      <c r="P228" s="18" t="s">
        <v>797</v>
      </c>
      <c r="Q228" s="18" t="s">
        <v>822</v>
      </c>
      <c r="R228" s="18" t="s">
        <v>497</v>
      </c>
      <c r="S228" s="18"/>
      <c r="T228" s="18"/>
      <c r="U228" s="18"/>
      <c r="V228" s="18"/>
      <c r="W228" s="18"/>
      <c r="X228" s="18"/>
      <c r="Y228" s="80"/>
      <c r="Z228" s="18" t="s">
        <v>499</v>
      </c>
      <c r="AA228" s="20">
        <v>46119</v>
      </c>
      <c r="AB228" s="18" t="s">
        <v>533</v>
      </c>
      <c r="AC228" s="18"/>
      <c r="AD228" s="18" t="s">
        <v>190</v>
      </c>
      <c r="AE228" s="18" t="s">
        <v>41</v>
      </c>
      <c r="AF228" s="18" t="s">
        <v>87</v>
      </c>
      <c r="AG228" s="14" t="str">
        <f>VLOOKUP(AF228,Tabla3[[Estado Requerimiento]:[Macro estado]],2,FALSE)</f>
        <v>02. En Proceso</v>
      </c>
      <c r="AH228" s="18"/>
      <c r="AI228" s="80"/>
      <c r="AJ228" s="80"/>
      <c r="AK228" s="80">
        <v>46073</v>
      </c>
      <c r="AL228" s="80">
        <v>46121</v>
      </c>
      <c r="AM228" s="80"/>
      <c r="AN228" s="80">
        <v>46121</v>
      </c>
      <c r="AO228" s="80"/>
      <c r="AP228" s="81">
        <f t="shared" si="6"/>
        <v>46140.2</v>
      </c>
      <c r="AQ228" s="80"/>
      <c r="AR228" s="80"/>
      <c r="AS228" s="81">
        <f t="shared" si="7"/>
        <v>46147.199999999997</v>
      </c>
      <c r="AT228" s="198" t="s">
        <v>1982</v>
      </c>
      <c r="AU228" s="44" t="str">
        <f>VLOOKUP(Cartera1017[[#This Row],[Gerencia]],tbGerencia[#All],3,FALSE)</f>
        <v>Operac.</v>
      </c>
      <c r="AV228" s="44" t="str">
        <f>IFERROR(VLOOKUP(Cartera1017[[#This Row],[Subgerencia]],Definiciones!$A$90:$B$144,2,FALSE),"")</f>
        <v>BancariosRecaudación</v>
      </c>
      <c r="AW228" s="44" t="str">
        <f>IF(OR(LEN(Cartera1017[[#This Row],[Fecha de Solicitud]])=0,(Cartera1017[[#This Row],[Fecha de Solicitud]])="No definido"),"No definido",IF(YEAR(Cartera1017[[#This Row],[Fecha de Solicitud]])&lt;2023," &lt;  2023",TEXT(Cartera1017[[#This Row],[Fecha de Solicitud]],"yyyy-mm")))</f>
        <v>2026-01</v>
      </c>
      <c r="AX228" s="44" t="str">
        <f>IF(Cartera1017[[#This Row],[Fecha de Priorización Comité]]="","No definido",TEXT(Cartera1017[[#This Row],[Fecha de Priorización Comité]],"yyyy-mm"))</f>
        <v>2026-04</v>
      </c>
      <c r="AY228" s="44" t="str">
        <f>IF(Cartera1017[[#This Row],[Fecha Fin- Desarrollo]]="","No definido",TEXT(Cartera1017[[#This Row],[Fecha Fin- Desarrollo]],"yyyy-mm"))</f>
        <v>2026-04</v>
      </c>
      <c r="AZ228" s="44" t="str">
        <f>IF(Cartera1017[[#This Row],[Fecha Fin- Producción]]="","No definido",TEXT(Cartera1017[[#This Row],[Fecha Fin- Producción]],"yyyy-mm"))</f>
        <v>No definido</v>
      </c>
      <c r="BA228" s="44" t="str">
        <f>IF(Cartera1017[[#This Row],[Fecha Fin-Planificada]]="","No definido",TEXT(Cartera1017[[#This Row],[Fecha Fin-Planificada]],"yyyy-mm"))</f>
        <v>2026-05</v>
      </c>
      <c r="BB228" s="33"/>
      <c r="BC228" s="108"/>
      <c r="BD228" s="108"/>
      <c r="BE228" s="108"/>
      <c r="BF228" s="127"/>
      <c r="BG228" s="28"/>
      <c r="BH22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8" s="90" t="str">
        <f>IF(ISNUMBER(Cartera1017[[#This Row],[Duracion en Dias]]),Cartera1017[[#This Row],[Duracion en Dias]]/30, "No Aplica")</f>
        <v>No Aplica</v>
      </c>
      <c r="BJ228" s="109"/>
      <c r="BK228" s="28" t="s">
        <v>506</v>
      </c>
      <c r="BL228" s="110" t="s">
        <v>1260</v>
      </c>
      <c r="BM228" s="342">
        <v>46121.654490740744</v>
      </c>
      <c r="BN228" s="227"/>
      <c r="BO228" s="401"/>
      <c r="BP228" s="401"/>
      <c r="BQ22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28" s="14" t="str">
        <f>IFERROR(VLOOKUP(Cartera1017[[#This Row],[Aplicativo]],Tabla76[],2,FALSE),"Sin Aplicativo")</f>
        <v>Sin Aplicativo</v>
      </c>
      <c r="BS228" s="14" t="str">
        <f>IFERROR(VLOOKUP(Cartera1017[[#This Row],[Aplicativo]],Tabla76[],3,FALSE),"Sin Aplicativo")</f>
        <v>Sin Aplicativo</v>
      </c>
      <c r="BT228" s="400"/>
      <c r="BU228" s="33"/>
      <c r="BV228" s="28"/>
      <c r="BW22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28" s="149" t="str">
        <f ca="1">IF(Cartera1017[[#This Row],[Fecha Fin2]]="","No definido",CONCATENATE(TEXT(Cartera1017[[#This Row],[Fecha Fin2]],"mmm")," ",YEAR(Cartera1017[[#This Row],[Fecha Fin2]])))</f>
        <v>No definido</v>
      </c>
      <c r="BZ228" s="28"/>
      <c r="CA228" s="48" t="str">
        <f>IF(Cartera1017[[#This Row],[Estado TI]] = "08. Producción Finalizada","Culminado",IF(Cartera1017[[#This Row],[Estado TI]]= "09. Descartado","Descartado","Activos"))</f>
        <v>Activos</v>
      </c>
      <c r="CB228" s="28"/>
      <c r="CC22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228" s="54" t="str">
        <f>IF(
AND(
Cartera1017[[#This Row],[DEVOLVER 27]]="NO",
NOT(ISBLANK(Cartera1017[[#This Row],[ESTADO NO DEVUELTOS 27]]))
),
"PRE",
"POST"
)</f>
        <v>POST</v>
      </c>
      <c r="CE228" s="54"/>
      <c r="CF228" s="28"/>
      <c r="CG22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2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28"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8" s="406">
        <f>Cartera1017[[#This Row],[Porcentaje de Avance]]</f>
        <v>0.7</v>
      </c>
      <c r="CK228" s="388" t="str">
        <f>IF(
   OR(
     Cartera1017[[#This Row],[Estado TI]]="09. Descartado",
     Cartera1017[[#This Row],[Comienzo Desarrollo]]="",
     Cartera1017[[#This Row],[Fin Producción]]=""
   ),
   "",
   Cartera1017[[#This Row],[% PLANIFICADO]]-Cartera1017[[#This Row],[% COMPLETADO]]
)</f>
        <v/>
      </c>
      <c r="CL228" s="388" t="str">
        <f ca="1">IF(
   OR(
     Cartera1017[[#This Row],[Estado TI]]="09. Descartado",
     Cartera1017[[#This Row],[Comienzo Desarrollo]]="",
     Cartera1017[[#This Row],[Fin Producción]]="",
     Cartera1017[[#This Row],[% PLANIFICADO]]=0
   ),
   "",
   MIN(Cartera1017[[#This Row],[% COMPLETADO]]/Cartera1017[[#This Row],[% PLANIFICADO]],1.2)
)</f>
        <v/>
      </c>
      <c r="CM228" s="229"/>
      <c r="CN228" s="229"/>
      <c r="CO228" s="229"/>
      <c r="CP228" s="229"/>
      <c r="CQ228" s="229"/>
      <c r="CR228" s="229"/>
      <c r="CS228" s="229"/>
      <c r="CT228" s="44">
        <f>IF(Cartera1017[[#This Row],[Fin Desarrollo]]="",25,IFERROR(NETWORKDAYS(Cartera1017[[#This Row],[Comienzo Desarrollo]],Cartera1017[[#This Row],[Fin Desarrollo]],FERIADOS[Fecha]),""))</f>
        <v>25</v>
      </c>
      <c r="CU22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28" s="44">
        <f>IF(OR(Cartera1017[[#This Row],[Comienzo Desarrollo]]="",Cartera1017[[#This Row],[Fin Desarrollo]]=""),200,IFERROR(Cartera1017[[#This Row],[DURACIÓN DESARROLLO DIAS]]*VLOOKUP(Cartera1017[[#This Row],[ID Mantenimiento]],MANT_HORAS[],2,FALSE),200))</f>
        <v>200</v>
      </c>
      <c r="CW228" s="110"/>
      <c r="CX228" s="110" t="str">
        <f>VLOOKUP(Cartera1017[[#This Row],[Estado TI]],Definiciones!$A$549:$B$559,2,FALSE)</f>
        <v>2. CALIDAD</v>
      </c>
      <c r="CY228" s="28">
        <f ca="1">1-Cartera1017[[#This Row],[Porcentaje avanzado desarrollo]]</f>
        <v>0.9</v>
      </c>
      <c r="CZ22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8" s="28">
        <f ca="1">MAX(0,Cartera1017[[#This Row],[DURACIÓN DESARROLLO DIAS]]-Cartera1017[[#This Row],[Dias avanzados]])</f>
        <v>24</v>
      </c>
      <c r="DB228" s="28">
        <f ca="1">Cartera1017[[#This Row],[Dias avanzados]]*IFERROR(VLOOKUP(Cartera1017[[#This Row],[ID Mantenimiento]],MANT_HORAS[],2,FALSE),8)</f>
        <v>8</v>
      </c>
      <c r="DC228" s="28">
        <f ca="1">Cartera1017[[#This Row],[Dias faltantes]]*IFERROR(VLOOKUP(Cartera1017[[#This Row],[ID Mantenimiento]],MANT_HORAS[],2,FALSE),8)</f>
        <v>192</v>
      </c>
      <c r="DD228" s="28" t="str">
        <f>IF(Cartera1017[[#This Row],[Fin Producción]]=0,"Por definir",CONCATENATE(YEAR(Cartera1017[[#This Row],[Fin Producción]]),"-",ROUNDUP(MONTH(Cartera1017[[#This Row],[Fin Producción]]),0)))</f>
        <v>Por definir</v>
      </c>
      <c r="DE228" s="18" t="s">
        <v>1719</v>
      </c>
      <c r="DF228" s="28"/>
      <c r="DG228" s="28"/>
      <c r="DH228" s="565"/>
    </row>
    <row r="229" spans="1:112" ht="44.25" hidden="1" customHeight="1">
      <c r="A229" s="229" t="s">
        <v>1983</v>
      </c>
      <c r="B229" s="18">
        <v>3179</v>
      </c>
      <c r="C229" s="18" t="s">
        <v>485</v>
      </c>
      <c r="D229" s="18"/>
      <c r="E229" s="18"/>
      <c r="F229" s="33" t="s">
        <v>1984</v>
      </c>
      <c r="G229" s="19"/>
      <c r="H229" s="18" t="s">
        <v>59</v>
      </c>
      <c r="I229" s="18" t="s">
        <v>618</v>
      </c>
      <c r="J229" s="18" t="s">
        <v>1985</v>
      </c>
      <c r="K229" s="20">
        <v>46050</v>
      </c>
      <c r="L229" s="50" t="s">
        <v>1986</v>
      </c>
      <c r="M229" s="50"/>
      <c r="N229" s="50"/>
      <c r="O229" s="18" t="s">
        <v>530</v>
      </c>
      <c r="P229" s="18" t="s">
        <v>495</v>
      </c>
      <c r="Q229" s="18"/>
      <c r="R229" s="18" t="s">
        <v>497</v>
      </c>
      <c r="S229" s="18"/>
      <c r="T229" s="18"/>
      <c r="U229" s="18"/>
      <c r="V229" s="18"/>
      <c r="W229" s="18"/>
      <c r="X229" s="18"/>
      <c r="Y229" s="80"/>
      <c r="Z229" s="18" t="s">
        <v>499</v>
      </c>
      <c r="AA229" s="20">
        <v>46119</v>
      </c>
      <c r="AB229" s="18" t="s">
        <v>533</v>
      </c>
      <c r="AC229" s="18"/>
      <c r="AD229" s="18"/>
      <c r="AE229" s="18" t="s">
        <v>47</v>
      </c>
      <c r="AF229" s="18" t="s">
        <v>502</v>
      </c>
      <c r="AG229" s="14" t="str">
        <f>VLOOKUP(AF229,Tabla3[[Estado Requerimiento]:[Macro estado]],2,FALSE)</f>
        <v>05. Descartado</v>
      </c>
      <c r="AH229" s="18" t="s">
        <v>559</v>
      </c>
      <c r="AI229" s="18"/>
      <c r="AJ229" s="80"/>
      <c r="AK229" s="80"/>
      <c r="AL229" s="80"/>
      <c r="AM229" s="80"/>
      <c r="AN229" s="80"/>
      <c r="AO229" s="80"/>
      <c r="AP229" s="81" t="str">
        <f t="shared" si="6"/>
        <v/>
      </c>
      <c r="AQ229" s="80"/>
      <c r="AR229" s="80"/>
      <c r="AS229" s="81" t="str">
        <f t="shared" si="7"/>
        <v/>
      </c>
      <c r="AT229" s="198" t="s">
        <v>1987</v>
      </c>
      <c r="AU229" s="44" t="str">
        <f>VLOOKUP(Cartera1017[[#This Row],[Gerencia]],tbGerencia[#All],3,FALSE)</f>
        <v>RRHH</v>
      </c>
      <c r="AV229" s="44" t="str">
        <f>IFERROR(VLOOKUP(Cartera1017[[#This Row],[Subgerencia]],Definiciones!$A$90:$B$144,2,FALSE),"")</f>
        <v>AdministraciónPersonal</v>
      </c>
      <c r="AW229" s="44" t="str">
        <f>IF(OR(LEN(Cartera1017[[#This Row],[Fecha de Solicitud]])=0,(Cartera1017[[#This Row],[Fecha de Solicitud]])="No definido"),"No definido",IF(YEAR(Cartera1017[[#This Row],[Fecha de Solicitud]])&lt;2023," &lt;  2023",TEXT(Cartera1017[[#This Row],[Fecha de Solicitud]],"yyyy-mm")))</f>
        <v>2026-01</v>
      </c>
      <c r="AX229" s="44" t="str">
        <f>IF(Cartera1017[[#This Row],[Fecha de Priorización Comité]]="","No definido",TEXT(Cartera1017[[#This Row],[Fecha de Priorización Comité]],"yyyy-mm"))</f>
        <v>2026-04</v>
      </c>
      <c r="AY229" s="44" t="str">
        <f>IF(Cartera1017[[#This Row],[Fecha Fin- Desarrollo]]="","No definido",TEXT(Cartera1017[[#This Row],[Fecha Fin- Desarrollo]],"yyyy-mm"))</f>
        <v>No definido</v>
      </c>
      <c r="AZ229" s="44" t="str">
        <f>IF(Cartera1017[[#This Row],[Fecha Fin- Producción]]="","No definido",TEXT(Cartera1017[[#This Row],[Fecha Fin- Producción]],"yyyy-mm"))</f>
        <v>No definido</v>
      </c>
      <c r="BA229" s="44" t="str">
        <f>IF(Cartera1017[[#This Row],[Fecha Fin-Planificada]]="","No definido",TEXT(Cartera1017[[#This Row],[Fecha Fin-Planificada]],"yyyy-mm"))</f>
        <v>No definido</v>
      </c>
      <c r="BB229" s="33"/>
      <c r="BC229" s="108"/>
      <c r="BD229" s="108"/>
      <c r="BE229" s="108"/>
      <c r="BF229" s="127"/>
      <c r="BG229" s="28"/>
      <c r="BH22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29" s="90" t="str">
        <f>IF(ISNUMBER(Cartera1017[[#This Row],[Duracion en Dias]]),Cartera1017[[#This Row],[Duracion en Dias]]/30, "No Aplica")</f>
        <v>No Aplica</v>
      </c>
      <c r="BJ229" s="109"/>
      <c r="BK229" s="28"/>
      <c r="BL229" s="110"/>
      <c r="BM229" s="342"/>
      <c r="BN229" s="227"/>
      <c r="BO229" s="401"/>
      <c r="BP229" s="401"/>
      <c r="BQ22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29" s="14" t="str">
        <f>IFERROR(VLOOKUP(Cartera1017[[#This Row],[Aplicativo]],Tabla76[],2,FALSE),"Sin Aplicativo")</f>
        <v>Sin Aplicativo</v>
      </c>
      <c r="BS229" s="14" t="str">
        <f>IFERROR(VLOOKUP(Cartera1017[[#This Row],[Aplicativo]],Tabla76[],3,FALSE),"Sin Aplicativo")</f>
        <v>Sin Aplicativo</v>
      </c>
      <c r="BT229" s="400"/>
      <c r="BU229" s="33"/>
      <c r="BV229" s="28"/>
      <c r="BW22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29" s="149" t="str">
        <f ca="1">IF(Cartera1017[[#This Row],[Fecha Fin2]]="","No definido",CONCATENATE(TEXT(Cartera1017[[#This Row],[Fecha Fin2]],"mmm")," ",YEAR(Cartera1017[[#This Row],[Fecha Fin2]])))</f>
        <v>No definido</v>
      </c>
      <c r="BZ229" s="28"/>
      <c r="CA229" s="48" t="str">
        <f>IF(Cartera1017[[#This Row],[Estado TI]] = "08. Producción Finalizada","Culminado",IF(Cartera1017[[#This Row],[Estado TI]]= "09. Descartado","Descartado","Activos"))</f>
        <v>Descartado</v>
      </c>
      <c r="CB229" s="28"/>
      <c r="CC22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229" s="54" t="str">
        <f>IF(
AND(
Cartera1017[[#This Row],[DEVOLVER 27]]="NO",
NOT(ISBLANK(Cartera1017[[#This Row],[ESTADO NO DEVUELTOS 27]]))
),
"PRE",
"POST"
)</f>
        <v>POST</v>
      </c>
      <c r="CE229" s="54"/>
      <c r="CF229" s="28"/>
      <c r="CG22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2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29"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9" s="406">
        <f>Cartera1017[[#This Row],[Porcentaje de Avance]]</f>
        <v>-0.01</v>
      </c>
      <c r="CK229" s="388" t="str">
        <f>IF(
   OR(
     Cartera1017[[#This Row],[Estado TI]]="09. Descartado",
     Cartera1017[[#This Row],[Comienzo Desarrollo]]="",
     Cartera1017[[#This Row],[Fin Producción]]=""
   ),
   "",
   Cartera1017[[#This Row],[% PLANIFICADO]]-Cartera1017[[#This Row],[% COMPLETADO]]
)</f>
        <v/>
      </c>
      <c r="CL229" s="388" t="str">
        <f ca="1">IF(
   OR(
     Cartera1017[[#This Row],[Estado TI]]="09. Descartado",
     Cartera1017[[#This Row],[Comienzo Desarrollo]]="",
     Cartera1017[[#This Row],[Fin Producción]]="",
     Cartera1017[[#This Row],[% PLANIFICADO]]=0
   ),
   "",
   MIN(Cartera1017[[#This Row],[% COMPLETADO]]/Cartera1017[[#This Row],[% PLANIFICADO]],1.2)
)</f>
        <v/>
      </c>
      <c r="CM229" s="229"/>
      <c r="CN229" s="229"/>
      <c r="CO229" s="229"/>
      <c r="CP229" s="229"/>
      <c r="CQ229" s="229"/>
      <c r="CR229" s="229"/>
      <c r="CS229" s="229"/>
      <c r="CT229" s="44">
        <f>IF(Cartera1017[[#This Row],[Fin Desarrollo]]="",25,IFERROR(NETWORKDAYS(Cartera1017[[#This Row],[Comienzo Desarrollo]],Cartera1017[[#This Row],[Fin Desarrollo]],FERIADOS[Fecha]),""))</f>
        <v>25</v>
      </c>
      <c r="CU22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29" s="44">
        <f>IF(OR(Cartera1017[[#This Row],[Comienzo Desarrollo]]="",Cartera1017[[#This Row],[Fin Desarrollo]]=""),200,IFERROR(Cartera1017[[#This Row],[DURACIÓN DESARROLLO DIAS]]*VLOOKUP(Cartera1017[[#This Row],[ID Mantenimiento]],MANT_HORAS[],2,FALSE),200))</f>
        <v>200</v>
      </c>
      <c r="CW229" s="110"/>
      <c r="CX229" s="110" t="str">
        <f>VLOOKUP(Cartera1017[[#This Row],[Estado TI]],Definiciones!$A$549:$B$559,2,FALSE)</f>
        <v>5. DESCARTADO</v>
      </c>
      <c r="CY229" s="28">
        <f ca="1">1-Cartera1017[[#This Row],[Porcentaje avanzado desarrollo]]</f>
        <v>0.9</v>
      </c>
      <c r="CZ22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9" s="28">
        <f ca="1">MAX(0,Cartera1017[[#This Row],[DURACIÓN DESARROLLO DIAS]]-Cartera1017[[#This Row],[Dias avanzados]])</f>
        <v>24</v>
      </c>
      <c r="DB229" s="28">
        <f ca="1">Cartera1017[[#This Row],[Dias avanzados]]*IFERROR(VLOOKUP(Cartera1017[[#This Row],[ID Mantenimiento]],MANT_HORAS[],2,FALSE),8)</f>
        <v>8</v>
      </c>
      <c r="DC229" s="28">
        <f ca="1">Cartera1017[[#This Row],[Dias faltantes]]*IFERROR(VLOOKUP(Cartera1017[[#This Row],[ID Mantenimiento]],MANT_HORAS[],2,FALSE),8)</f>
        <v>192</v>
      </c>
      <c r="DD229" s="28" t="str">
        <f>IF(Cartera1017[[#This Row],[Fin Producción]]=0,"Por definir",CONCATENATE(YEAR(Cartera1017[[#This Row],[Fin Producción]]),"-",ROUNDUP(MONTH(Cartera1017[[#This Row],[Fin Producción]]),0)))</f>
        <v>Por definir</v>
      </c>
      <c r="DE229" s="18" t="s">
        <v>1719</v>
      </c>
      <c r="DF229" s="28"/>
      <c r="DG229" s="28"/>
      <c r="DH229" s="565"/>
    </row>
    <row r="230" spans="1:112" ht="44.25" hidden="1" customHeight="1">
      <c r="A230" s="229" t="s">
        <v>1988</v>
      </c>
      <c r="B230" s="18">
        <v>3180</v>
      </c>
      <c r="C230" s="18" t="s">
        <v>485</v>
      </c>
      <c r="D230" s="18" t="s">
        <v>1989</v>
      </c>
      <c r="E230" s="18" t="s">
        <v>1990</v>
      </c>
      <c r="F230" s="33" t="s">
        <v>1991</v>
      </c>
      <c r="G230" s="19"/>
      <c r="H230" s="18" t="s">
        <v>62</v>
      </c>
      <c r="I230" s="18" t="s">
        <v>628</v>
      </c>
      <c r="J230" s="18" t="s">
        <v>1689</v>
      </c>
      <c r="K230" s="20">
        <v>46079</v>
      </c>
      <c r="L230" s="50" t="s">
        <v>1992</v>
      </c>
      <c r="M230" s="50" t="s">
        <v>1691</v>
      </c>
      <c r="N230" s="50"/>
      <c r="O230" s="18" t="s">
        <v>548</v>
      </c>
      <c r="P230" s="18" t="s">
        <v>495</v>
      </c>
      <c r="Q230" s="18"/>
      <c r="R230" s="18" t="s">
        <v>497</v>
      </c>
      <c r="S230" s="18"/>
      <c r="T230" s="18"/>
      <c r="U230" s="18"/>
      <c r="V230" s="18"/>
      <c r="W230" s="18"/>
      <c r="X230" s="18"/>
      <c r="Y230" s="80"/>
      <c r="Z230" s="18" t="s">
        <v>499</v>
      </c>
      <c r="AA230" s="20">
        <v>46119</v>
      </c>
      <c r="AB230" s="18" t="s">
        <v>533</v>
      </c>
      <c r="AC230" s="18"/>
      <c r="AD230" s="18" t="s">
        <v>37</v>
      </c>
      <c r="AE230" s="18" t="s">
        <v>63</v>
      </c>
      <c r="AF230" s="18" t="s">
        <v>53</v>
      </c>
      <c r="AG230" s="14" t="str">
        <f>VLOOKUP(AF230,Tabla3[[Estado Requerimiento]:[Macro estado]],2,FALSE)</f>
        <v>03. Culminado</v>
      </c>
      <c r="AH230" s="18"/>
      <c r="AI230" s="80"/>
      <c r="AJ230" s="80"/>
      <c r="AK230" s="80">
        <v>46079</v>
      </c>
      <c r="AL230" s="80">
        <v>46080</v>
      </c>
      <c r="AM230" s="80"/>
      <c r="AN230" s="80">
        <v>46080</v>
      </c>
      <c r="AO230" s="80">
        <v>46080</v>
      </c>
      <c r="AP230" s="81">
        <f t="shared" si="6"/>
        <v>46080.4</v>
      </c>
      <c r="AQ230" s="80">
        <v>46106</v>
      </c>
      <c r="AR230" s="80">
        <v>46106</v>
      </c>
      <c r="AS230" s="81">
        <f t="shared" si="7"/>
        <v>46087.4</v>
      </c>
      <c r="AT230" s="198" t="s">
        <v>1993</v>
      </c>
      <c r="AU230" s="44" t="str">
        <f>VLOOKUP(Cartera1017[[#This Row],[Gerencia]],tbGerencia[#All],3,FALSE)</f>
        <v>Logística</v>
      </c>
      <c r="AV230" s="44" t="str">
        <f>IFERROR(VLOOKUP(Cartera1017[[#This Row],[Subgerencia]],Definiciones!$A$90:$B$144,2,FALSE),"")</f>
        <v>Servicios</v>
      </c>
      <c r="AW230" s="44" t="str">
        <f>IF(OR(LEN(Cartera1017[[#This Row],[Fecha de Solicitud]])=0,(Cartera1017[[#This Row],[Fecha de Solicitud]])="No definido"),"No definido",IF(YEAR(Cartera1017[[#This Row],[Fecha de Solicitud]])&lt;2023," &lt;  2023",TEXT(Cartera1017[[#This Row],[Fecha de Solicitud]],"yyyy-mm")))</f>
        <v>2026-02</v>
      </c>
      <c r="AX230" s="44" t="str">
        <f>IF(Cartera1017[[#This Row],[Fecha de Priorización Comité]]="","No definido",TEXT(Cartera1017[[#This Row],[Fecha de Priorización Comité]],"yyyy-mm"))</f>
        <v>2026-04</v>
      </c>
      <c r="AY230" s="44" t="str">
        <f>IF(Cartera1017[[#This Row],[Fecha Fin- Desarrollo]]="","No definido",TEXT(Cartera1017[[#This Row],[Fecha Fin- Desarrollo]],"yyyy-mm"))</f>
        <v>2026-02</v>
      </c>
      <c r="AZ230" s="44" t="str">
        <f>IF(Cartera1017[[#This Row],[Fecha Fin- Producción]]="","No definido",TEXT(Cartera1017[[#This Row],[Fecha Fin- Producción]],"yyyy-mm"))</f>
        <v>2026-03</v>
      </c>
      <c r="BA230" s="44" t="str">
        <f>IF(Cartera1017[[#This Row],[Fecha Fin-Planificada]]="","No definido",TEXT(Cartera1017[[#This Row],[Fecha Fin-Planificada]],"yyyy-mm"))</f>
        <v>2026-03</v>
      </c>
      <c r="BB230" s="33"/>
      <c r="BC230" s="108"/>
      <c r="BD230" s="108"/>
      <c r="BE230" s="108"/>
      <c r="BF230" s="127"/>
      <c r="BG230" s="28"/>
      <c r="BH23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v>
      </c>
      <c r="BI230" s="90">
        <f>IF(ISNUMBER(Cartera1017[[#This Row],[Duracion en Dias]]),Cartera1017[[#This Row],[Duracion en Dias]]/30, "No Aplica")</f>
        <v>0.9</v>
      </c>
      <c r="BJ230" s="109"/>
      <c r="BK230" s="28" t="s">
        <v>506</v>
      </c>
      <c r="BL230" s="110" t="s">
        <v>536</v>
      </c>
      <c r="BM230" s="342">
        <v>46106.383379629631</v>
      </c>
      <c r="BN230" s="227"/>
      <c r="BO230" s="401"/>
      <c r="BP230" s="401"/>
      <c r="BQ23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0" s="14" t="str">
        <f>IFERROR(VLOOKUP(Cartera1017[[#This Row],[Aplicativo]],Tabla76[],2,FALSE),"Sin Aplicativo")</f>
        <v>BackOffice</v>
      </c>
      <c r="BS230" s="14" t="str">
        <f>IFERROR(VLOOKUP(Cartera1017[[#This Row],[Aplicativo]],Tabla76[],3,FALSE),"Sin Aplicativo")</f>
        <v>Otros Requerimientos</v>
      </c>
      <c r="BT230" s="400"/>
      <c r="BU230" s="33"/>
      <c r="BV230" s="28"/>
      <c r="BW23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46106</v>
      </c>
      <c r="BX23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0" s="149" t="str">
        <f ca="1">IF(Cartera1017[[#This Row],[Fecha Fin2]]="","No definido",CONCATENATE(TEXT(Cartera1017[[#This Row],[Fecha Fin2]],"mmm")," ",YEAR(Cartera1017[[#This Row],[Fecha Fin2]])))</f>
        <v>Mar 2026</v>
      </c>
      <c r="BZ230" s="28"/>
      <c r="CA230" s="48" t="str">
        <f>IF(Cartera1017[[#This Row],[Estado TI]] = "08. Producción Finalizada","Culminado",IF(Cartera1017[[#This Row],[Estado TI]]= "09. Descartado","Descartado","Activos"))</f>
        <v>Culminado</v>
      </c>
      <c r="CB230" s="28"/>
      <c r="CC23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30" s="54" t="str">
        <f>IF(
AND(
Cartera1017[[#This Row],[DEVOLVER 27]]="NO",
NOT(ISBLANK(Cartera1017[[#This Row],[ESTADO NO DEVUELTOS 27]]))
),
"PRE",
"POST"
)</f>
        <v>POST</v>
      </c>
      <c r="CE230" s="54"/>
      <c r="CF230" s="28"/>
      <c r="CG23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3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30"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0" s="406">
        <f>Cartera1017[[#This Row],[Porcentaje de Avance]]</f>
        <v>1</v>
      </c>
      <c r="CK230" s="388" t="str">
        <f>IF(
   OR(
     Cartera1017[[#This Row],[Estado TI]]="09. Descartado",
     Cartera1017[[#This Row],[Comienzo Desarrollo]]="",
     Cartera1017[[#This Row],[Fin Producción]]=""
   ),
   "",
   Cartera1017[[#This Row],[% PLANIFICADO]]-Cartera1017[[#This Row],[% COMPLETADO]]
)</f>
        <v/>
      </c>
      <c r="CL230" s="388" t="str">
        <f ca="1">IF(
   OR(
     Cartera1017[[#This Row],[Estado TI]]="09. Descartado",
     Cartera1017[[#This Row],[Comienzo Desarrollo]]="",
     Cartera1017[[#This Row],[Fin Producción]]="",
     Cartera1017[[#This Row],[% PLANIFICADO]]=0
   ),
   "",
   MIN(Cartera1017[[#This Row],[% COMPLETADO]]/Cartera1017[[#This Row],[% PLANIFICADO]],1.2)
)</f>
        <v/>
      </c>
      <c r="CM230" s="229"/>
      <c r="CN230" s="229"/>
      <c r="CO230" s="229"/>
      <c r="CP230" s="229"/>
      <c r="CQ230" s="229"/>
      <c r="CR230" s="229"/>
      <c r="CS230" s="229"/>
      <c r="CT230" s="44">
        <f>IF(Cartera1017[[#This Row],[Fin Desarrollo]]="",25,IFERROR(NETWORKDAYS(Cartera1017[[#This Row],[Comienzo Desarrollo]],Cartera1017[[#This Row],[Fin Desarrollo]],FERIADOS[Fecha]),""))</f>
        <v>25</v>
      </c>
      <c r="CU23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30" s="44">
        <f>IF(OR(Cartera1017[[#This Row],[Comienzo Desarrollo]]="",Cartera1017[[#This Row],[Fin Desarrollo]]=""),200,IFERROR(Cartera1017[[#This Row],[DURACIÓN DESARROLLO DIAS]]*VLOOKUP(Cartera1017[[#This Row],[ID Mantenimiento]],MANT_HORAS[],2,FALSE),200))</f>
        <v>200</v>
      </c>
      <c r="CW230" s="110"/>
      <c r="CX230" s="110" t="str">
        <f>VLOOKUP(Cartera1017[[#This Row],[Estado TI]],Definiciones!$A$549:$B$559,2,FALSE)</f>
        <v>4. PRODUCCIÓN</v>
      </c>
      <c r="CY230" s="28">
        <f ca="1">1-Cartera1017[[#This Row],[Porcentaje avanzado desarrollo]]</f>
        <v>0.9</v>
      </c>
      <c r="CZ23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0" s="28">
        <f ca="1">MAX(0,Cartera1017[[#This Row],[DURACIÓN DESARROLLO DIAS]]-Cartera1017[[#This Row],[Dias avanzados]])</f>
        <v>24</v>
      </c>
      <c r="DB230" s="28">
        <f ca="1">Cartera1017[[#This Row],[Dias avanzados]]*IFERROR(VLOOKUP(Cartera1017[[#This Row],[ID Mantenimiento]],MANT_HORAS[],2,FALSE),8)</f>
        <v>8</v>
      </c>
      <c r="DC230" s="28">
        <f ca="1">Cartera1017[[#This Row],[Dias faltantes]]*IFERROR(VLOOKUP(Cartera1017[[#This Row],[ID Mantenimiento]],MANT_HORAS[],2,FALSE),8)</f>
        <v>192</v>
      </c>
      <c r="DD230" s="28" t="str">
        <f>IF(Cartera1017[[#This Row],[Fin Producción]]=0,"Por definir",CONCATENATE(YEAR(Cartera1017[[#This Row],[Fin Producción]]),"-",ROUNDUP(MONTH(Cartera1017[[#This Row],[Fin Producción]]),0)))</f>
        <v>Por definir</v>
      </c>
      <c r="DE230" s="18" t="s">
        <v>1719</v>
      </c>
      <c r="DF230" s="28"/>
      <c r="DG230" s="28"/>
      <c r="DH230" s="565"/>
    </row>
    <row r="231" spans="1:112" ht="44.25" hidden="1" customHeight="1">
      <c r="A231" s="229" t="s">
        <v>1994</v>
      </c>
      <c r="B231" s="18">
        <v>3181</v>
      </c>
      <c r="C231" s="18" t="s">
        <v>485</v>
      </c>
      <c r="D231" s="18" t="s">
        <v>1995</v>
      </c>
      <c r="E231" s="18" t="s">
        <v>1996</v>
      </c>
      <c r="F231" s="33" t="s">
        <v>1997</v>
      </c>
      <c r="G231" s="19"/>
      <c r="H231" s="18" t="s">
        <v>26</v>
      </c>
      <c r="I231" s="18" t="s">
        <v>539</v>
      </c>
      <c r="J231" s="18" t="s">
        <v>554</v>
      </c>
      <c r="K231" s="20">
        <v>46072</v>
      </c>
      <c r="L231" s="50" t="s">
        <v>1998</v>
      </c>
      <c r="M231" s="50" t="s">
        <v>742</v>
      </c>
      <c r="N231" s="50"/>
      <c r="O231" s="18" t="s">
        <v>1769</v>
      </c>
      <c r="P231" s="18"/>
      <c r="Q231" s="18"/>
      <c r="R231" s="18" t="s">
        <v>531</v>
      </c>
      <c r="S231" s="18"/>
      <c r="T231" s="18"/>
      <c r="U231" s="18"/>
      <c r="V231" s="18"/>
      <c r="W231" s="18"/>
      <c r="X231" s="18"/>
      <c r="Y231" s="80"/>
      <c r="Z231" s="18" t="s">
        <v>499</v>
      </c>
      <c r="AA231" s="20">
        <v>46119</v>
      </c>
      <c r="AB231" s="18" t="s">
        <v>713</v>
      </c>
      <c r="AC231" s="18"/>
      <c r="AD231" s="18"/>
      <c r="AE231" s="18" t="s">
        <v>27</v>
      </c>
      <c r="AF231" s="18" t="s">
        <v>340</v>
      </c>
      <c r="AG231" s="14" t="str">
        <f>VLOOKUP(AF231,Tabla3[[Estado Requerimiento]:[Macro estado]],2,FALSE)</f>
        <v>01. No iniciado</v>
      </c>
      <c r="AH231" s="18"/>
      <c r="AI231" s="80"/>
      <c r="AJ231" s="80"/>
      <c r="AK231" s="80"/>
      <c r="AL231" s="80"/>
      <c r="AM231" s="80"/>
      <c r="AN231" s="80"/>
      <c r="AO231" s="80"/>
      <c r="AP231" s="81" t="str">
        <f t="shared" si="6"/>
        <v/>
      </c>
      <c r="AQ231" s="80"/>
      <c r="AR231" s="80"/>
      <c r="AS231" s="81" t="str">
        <f t="shared" si="7"/>
        <v/>
      </c>
      <c r="AT231" s="198" t="s">
        <v>1999</v>
      </c>
      <c r="AU231" s="44" t="str">
        <f>VLOOKUP(Cartera1017[[#This Row],[Gerencia]],tbGerencia[#All],3,FALSE)</f>
        <v>B.Digital</v>
      </c>
      <c r="AV231" s="44" t="str">
        <f>IFERROR(VLOOKUP(Cartera1017[[#This Row],[Subgerencia]],Definiciones!$A$90:$B$144,2,FALSE),"")</f>
        <v>CanalesAlternos</v>
      </c>
      <c r="AW231" s="44" t="str">
        <f>IF(OR(LEN(Cartera1017[[#This Row],[Fecha de Solicitud]])=0,(Cartera1017[[#This Row],[Fecha de Solicitud]])="No definido"),"No definido",IF(YEAR(Cartera1017[[#This Row],[Fecha de Solicitud]])&lt;2023," &lt;  2023",TEXT(Cartera1017[[#This Row],[Fecha de Solicitud]],"yyyy-mm")))</f>
        <v>2026-02</v>
      </c>
      <c r="AX231" s="44" t="str">
        <f>IF(Cartera1017[[#This Row],[Fecha de Priorización Comité]]="","No definido",TEXT(Cartera1017[[#This Row],[Fecha de Priorización Comité]],"yyyy-mm"))</f>
        <v>2026-04</v>
      </c>
      <c r="AY231" s="44" t="str">
        <f>IF(Cartera1017[[#This Row],[Fecha Fin- Desarrollo]]="","No definido",TEXT(Cartera1017[[#This Row],[Fecha Fin- Desarrollo]],"yyyy-mm"))</f>
        <v>No definido</v>
      </c>
      <c r="AZ231" s="44" t="str">
        <f>IF(Cartera1017[[#This Row],[Fecha Fin- Producción]]="","No definido",TEXT(Cartera1017[[#This Row],[Fecha Fin- Producción]],"yyyy-mm"))</f>
        <v>No definido</v>
      </c>
      <c r="BA231" s="44" t="str">
        <f>IF(Cartera1017[[#This Row],[Fecha Fin-Planificada]]="","No definido",TEXT(Cartera1017[[#This Row],[Fecha Fin-Planificada]],"yyyy-mm"))</f>
        <v>No definido</v>
      </c>
      <c r="BB231" s="33"/>
      <c r="BC231" s="108"/>
      <c r="BD231" s="108"/>
      <c r="BE231" s="108"/>
      <c r="BF231" s="127"/>
      <c r="BG231" s="28"/>
      <c r="BH23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31" s="90" t="str">
        <f>IF(ISNUMBER(Cartera1017[[#This Row],[Duracion en Dias]]),Cartera1017[[#This Row],[Duracion en Dias]]/30, "No Aplica")</f>
        <v>No Aplica</v>
      </c>
      <c r="BJ231" s="109"/>
      <c r="BK231" s="28"/>
      <c r="BL231" s="110" t="s">
        <v>2000</v>
      </c>
      <c r="BM231" s="342">
        <v>46092.463194444441</v>
      </c>
      <c r="BN231" s="227"/>
      <c r="BO231" s="401"/>
      <c r="BP231" s="401"/>
      <c r="BQ23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31" s="14" t="str">
        <f>IFERROR(VLOOKUP(Cartera1017[[#This Row],[Aplicativo]],Tabla76[],2,FALSE),"Sin Aplicativo")</f>
        <v>Pagalo.pe</v>
      </c>
      <c r="BS231" s="14" t="str">
        <f>IFERROR(VLOOKUP(Cartera1017[[#This Row],[Aplicativo]],Tabla76[],3,FALSE),"Sin Aplicativo")</f>
        <v>Canales Virtuales</v>
      </c>
      <c r="BT231" s="400"/>
      <c r="BU231" s="33"/>
      <c r="BV231" s="28"/>
      <c r="BW23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1" s="149" t="str">
        <f ca="1">IF(Cartera1017[[#This Row],[Fecha Fin2]]="","No definido",CONCATENATE(TEXT(Cartera1017[[#This Row],[Fecha Fin2]],"mmm")," ",YEAR(Cartera1017[[#This Row],[Fecha Fin2]])))</f>
        <v>No definido</v>
      </c>
      <c r="BZ231" s="28"/>
      <c r="CA231" s="48" t="str">
        <f>IF(Cartera1017[[#This Row],[Estado TI]] = "08. Producción Finalizada","Culminado",IF(Cartera1017[[#This Row],[Estado TI]]= "09. Descartado","Descartado","Activos"))</f>
        <v>Activos</v>
      </c>
      <c r="CB231" s="28"/>
      <c r="CC23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31" s="54" t="str">
        <f>IF(
AND(
Cartera1017[[#This Row],[DEVOLVER 27]]="NO",
NOT(ISBLANK(Cartera1017[[#This Row],[ESTADO NO DEVUELTOS 27]]))
),
"PRE",
"POST"
)</f>
        <v>POST</v>
      </c>
      <c r="CE231" s="54"/>
      <c r="CF231" s="28"/>
      <c r="CG23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3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31"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31" s="406">
        <f>Cartera1017[[#This Row],[Porcentaje de Avance]]</f>
        <v>0.1</v>
      </c>
      <c r="CK231" s="388" t="str">
        <f>IF(
   OR(
     Cartera1017[[#This Row],[Estado TI]]="09. Descartado",
     Cartera1017[[#This Row],[Comienzo Desarrollo]]="",
     Cartera1017[[#This Row],[Fin Producción]]=""
   ),
   "",
   Cartera1017[[#This Row],[% PLANIFICADO]]-Cartera1017[[#This Row],[% COMPLETADO]]
)</f>
        <v/>
      </c>
      <c r="CL231" s="388" t="str">
        <f ca="1">IF(
   OR(
     Cartera1017[[#This Row],[Estado TI]]="09. Descartado",
     Cartera1017[[#This Row],[Comienzo Desarrollo]]="",
     Cartera1017[[#This Row],[Fin Producción]]="",
     Cartera1017[[#This Row],[% PLANIFICADO]]=0
   ),
   "",
   MIN(Cartera1017[[#This Row],[% COMPLETADO]]/Cartera1017[[#This Row],[% PLANIFICADO]],1.2)
)</f>
        <v/>
      </c>
      <c r="CM231" s="229"/>
      <c r="CN231" s="229"/>
      <c r="CO231" s="229"/>
      <c r="CP231" s="229"/>
      <c r="CQ231" s="229"/>
      <c r="CR231" s="229"/>
      <c r="CS231" s="229"/>
      <c r="CT231" s="44">
        <f>IF(Cartera1017[[#This Row],[Fin Desarrollo]]="",25,IFERROR(NETWORKDAYS(Cartera1017[[#This Row],[Comienzo Desarrollo]],Cartera1017[[#This Row],[Fin Desarrollo]],FERIADOS[Fecha]),""))</f>
        <v>25</v>
      </c>
      <c r="CU23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31" s="44">
        <f>IF(OR(Cartera1017[[#This Row],[Comienzo Desarrollo]]="",Cartera1017[[#This Row],[Fin Desarrollo]]=""),200,IFERROR(Cartera1017[[#This Row],[DURACIÓN DESARROLLO DIAS]]*VLOOKUP(Cartera1017[[#This Row],[ID Mantenimiento]],MANT_HORAS[],2,FALSE),200))</f>
        <v>200</v>
      </c>
      <c r="CW231" s="110"/>
      <c r="CX231" s="110" t="str">
        <f>VLOOKUP(Cartera1017[[#This Row],[Estado TI]],Definiciones!$A$549:$B$559,2,FALSE)</f>
        <v>1. DESARROLLO</v>
      </c>
      <c r="CY231" s="28">
        <f ca="1">1-Cartera1017[[#This Row],[Porcentaje avanzado desarrollo]]</f>
        <v>0.9</v>
      </c>
      <c r="CZ23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1" s="28">
        <f ca="1">MAX(0,Cartera1017[[#This Row],[DURACIÓN DESARROLLO DIAS]]-Cartera1017[[#This Row],[Dias avanzados]])</f>
        <v>24</v>
      </c>
      <c r="DB231" s="28">
        <f ca="1">Cartera1017[[#This Row],[Dias avanzados]]*IFERROR(VLOOKUP(Cartera1017[[#This Row],[ID Mantenimiento]],MANT_HORAS[],2,FALSE),8)</f>
        <v>8</v>
      </c>
      <c r="DC231" s="28">
        <f ca="1">Cartera1017[[#This Row],[Dias faltantes]]*IFERROR(VLOOKUP(Cartera1017[[#This Row],[ID Mantenimiento]],MANT_HORAS[],2,FALSE),8)</f>
        <v>192</v>
      </c>
      <c r="DD231" s="28" t="str">
        <f>IF(Cartera1017[[#This Row],[Fin Producción]]=0,"Por definir",CONCATENATE(YEAR(Cartera1017[[#This Row],[Fin Producción]]),"-",ROUNDUP(MONTH(Cartera1017[[#This Row],[Fin Producción]]),0)))</f>
        <v>Por definir</v>
      </c>
      <c r="DE231" s="18" t="s">
        <v>1719</v>
      </c>
      <c r="DF231" s="28"/>
      <c r="DG231" s="28"/>
      <c r="DH231" s="565"/>
    </row>
    <row r="232" spans="1:112" ht="44.25" hidden="1" customHeight="1">
      <c r="A232" s="229" t="s">
        <v>2001</v>
      </c>
      <c r="B232" s="18">
        <v>3182</v>
      </c>
      <c r="C232" s="18" t="s">
        <v>485</v>
      </c>
      <c r="D232" s="18" t="s">
        <v>2002</v>
      </c>
      <c r="E232" s="18" t="s">
        <v>2003</v>
      </c>
      <c r="F232" s="33" t="s">
        <v>2004</v>
      </c>
      <c r="G232" s="19"/>
      <c r="H232" s="18" t="s">
        <v>40</v>
      </c>
      <c r="I232" s="18" t="s">
        <v>577</v>
      </c>
      <c r="J232" s="18" t="s">
        <v>1118</v>
      </c>
      <c r="K232" s="20">
        <v>46078</v>
      </c>
      <c r="L232" s="50" t="s">
        <v>2005</v>
      </c>
      <c r="M232" s="50" t="s">
        <v>2006</v>
      </c>
      <c r="N232" s="50"/>
      <c r="O232" s="18" t="s">
        <v>712</v>
      </c>
      <c r="P232" s="18" t="s">
        <v>495</v>
      </c>
      <c r="Q232" s="18"/>
      <c r="R232" s="18" t="s">
        <v>497</v>
      </c>
      <c r="S232" s="18"/>
      <c r="T232" s="18"/>
      <c r="U232" s="18"/>
      <c r="V232" s="18"/>
      <c r="W232" s="18"/>
      <c r="X232" s="18"/>
      <c r="Y232" s="80"/>
      <c r="Z232" s="18" t="s">
        <v>499</v>
      </c>
      <c r="AA232" s="20">
        <v>46119</v>
      </c>
      <c r="AB232" s="18" t="s">
        <v>713</v>
      </c>
      <c r="AC232" s="18"/>
      <c r="AD232" s="18" t="s">
        <v>105</v>
      </c>
      <c r="AE232" s="18" t="s">
        <v>109</v>
      </c>
      <c r="AF232" s="517" t="s">
        <v>53</v>
      </c>
      <c r="AG232" s="14" t="str">
        <f>VLOOKUP(AF232,Tabla3[[Estado Requerimiento]:[Macro estado]],2,FALSE)</f>
        <v>03. Culminado</v>
      </c>
      <c r="AH232" s="18" t="s">
        <v>659</v>
      </c>
      <c r="AI232" s="80"/>
      <c r="AJ232" s="80"/>
      <c r="AK232" s="80">
        <v>46084</v>
      </c>
      <c r="AL232" s="80">
        <v>46085</v>
      </c>
      <c r="AM232" s="80"/>
      <c r="AN232" s="80">
        <v>46090</v>
      </c>
      <c r="AO232" s="80">
        <v>46134</v>
      </c>
      <c r="AP232" s="81">
        <f t="shared" si="6"/>
        <v>46085.4</v>
      </c>
      <c r="AQ232" s="80">
        <v>46160</v>
      </c>
      <c r="AR232" s="80">
        <v>46161</v>
      </c>
      <c r="AS232" s="81">
        <f t="shared" si="7"/>
        <v>46092.4</v>
      </c>
      <c r="AT232" s="198" t="s">
        <v>2007</v>
      </c>
      <c r="AU232" s="44" t="str">
        <f>VLOOKUP(Cartera1017[[#This Row],[Gerencia]],tbGerencia[#All],3,FALSE)</f>
        <v>Operac.</v>
      </c>
      <c r="AV232" s="44" t="str">
        <f>IFERROR(VLOOKUP(Cartera1017[[#This Row],[Subgerencia]],Definiciones!$A$90:$B$144,2,FALSE),"")</f>
        <v>CaptacionesPagaduría</v>
      </c>
      <c r="AW232" s="44" t="str">
        <f>IF(OR(LEN(Cartera1017[[#This Row],[Fecha de Solicitud]])=0,(Cartera1017[[#This Row],[Fecha de Solicitud]])="No definido"),"No definido",IF(YEAR(Cartera1017[[#This Row],[Fecha de Solicitud]])&lt;2023," &lt;  2023",TEXT(Cartera1017[[#This Row],[Fecha de Solicitud]],"yyyy-mm")))</f>
        <v>2026-02</v>
      </c>
      <c r="AX232" s="44" t="str">
        <f>IF(Cartera1017[[#This Row],[Fecha de Priorización Comité]]="","No definido",TEXT(Cartera1017[[#This Row],[Fecha de Priorización Comité]],"yyyy-mm"))</f>
        <v>2026-04</v>
      </c>
      <c r="AY232" s="44" t="str">
        <f>IF(Cartera1017[[#This Row],[Fecha Fin- Desarrollo]]="","No definido",TEXT(Cartera1017[[#This Row],[Fecha Fin- Desarrollo]],"yyyy-mm"))</f>
        <v>2026-03</v>
      </c>
      <c r="AZ232" s="44" t="str">
        <f>IF(Cartera1017[[#This Row],[Fecha Fin- Producción]]="","No definido",TEXT(Cartera1017[[#This Row],[Fecha Fin- Producción]],"yyyy-mm"))</f>
        <v>2026-05</v>
      </c>
      <c r="BA232" s="44" t="str">
        <f>IF(Cartera1017[[#This Row],[Fecha Fin-Planificada]]="","No definido",TEXT(Cartera1017[[#This Row],[Fecha Fin-Planificada]],"yyyy-mm"))</f>
        <v>2026-03</v>
      </c>
      <c r="BB232" s="33"/>
      <c r="BC232" s="108"/>
      <c r="BD232" s="108"/>
      <c r="BE232" s="108"/>
      <c r="BF232" s="127"/>
      <c r="BG232" s="28"/>
      <c r="BH23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77</v>
      </c>
      <c r="BI232" s="90">
        <f>IF(ISNUMBER(Cartera1017[[#This Row],[Duracion en Dias]]),Cartera1017[[#This Row],[Duracion en Dias]]/30, "No Aplica")</f>
        <v>2.5666666666666669</v>
      </c>
      <c r="BJ232" s="109"/>
      <c r="BK232" s="28" t="s">
        <v>506</v>
      </c>
      <c r="BL232" s="110" t="s">
        <v>536</v>
      </c>
      <c r="BM232" s="342">
        <v>46161.467951388891</v>
      </c>
      <c r="BN232" s="227"/>
      <c r="BO232" s="401"/>
      <c r="BP232" s="401"/>
      <c r="BQ23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2" s="14" t="str">
        <f>IFERROR(VLOOKUP(Cartera1017[[#This Row],[Aplicativo]],Tabla76[],2,FALSE),"Sin Aplicativo")</f>
        <v>Interoperabilidad</v>
      </c>
      <c r="BS232" s="14" t="str">
        <f>IFERROR(VLOOKUP(Cartera1017[[#This Row],[Aplicativo]],Tabla76[],3,FALSE),"Sin Aplicativo")</f>
        <v>Canales Virtuales</v>
      </c>
      <c r="BT232" s="400"/>
      <c r="BU232" s="33"/>
      <c r="BV232" s="28"/>
      <c r="BW23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46161</v>
      </c>
      <c r="BX23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2" s="149" t="str">
        <f ca="1">IF(Cartera1017[[#This Row],[Fecha Fin2]]="","No definido",CONCATENATE(TEXT(Cartera1017[[#This Row],[Fecha Fin2]],"mmm")," ",YEAR(Cartera1017[[#This Row],[Fecha Fin2]])))</f>
        <v>May 2026</v>
      </c>
      <c r="BZ232" s="28"/>
      <c r="CA232" s="48" t="str">
        <f>IF(Cartera1017[[#This Row],[Estado TI]] = "08. Producción Finalizada","Culminado",IF(Cartera1017[[#This Row],[Estado TI]]= "09. Descartado","Descartado","Activos"))</f>
        <v>Culminado</v>
      </c>
      <c r="CB232" s="28"/>
      <c r="CC23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32" s="54" t="str">
        <f>IF(
AND(
Cartera1017[[#This Row],[DEVOLVER 27]]="NO",
NOT(ISBLANK(Cartera1017[[#This Row],[ESTADO NO DEVUELTOS 27]]))
),
"PRE",
"POST"
)</f>
        <v>POST</v>
      </c>
      <c r="CE232" s="54"/>
      <c r="CF232" s="28"/>
      <c r="CG23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3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32"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2" s="406">
        <f>Cartera1017[[#This Row],[Porcentaje de Avance]]</f>
        <v>1</v>
      </c>
      <c r="CK232" s="388" t="str">
        <f>IF(
   OR(
     Cartera1017[[#This Row],[Estado TI]]="09. Descartado",
     Cartera1017[[#This Row],[Comienzo Desarrollo]]="",
     Cartera1017[[#This Row],[Fin Producción]]=""
   ),
   "",
   Cartera1017[[#This Row],[% PLANIFICADO]]-Cartera1017[[#This Row],[% COMPLETADO]]
)</f>
        <v/>
      </c>
      <c r="CL232" s="388" t="str">
        <f ca="1">IF(
   OR(
     Cartera1017[[#This Row],[Estado TI]]="09. Descartado",
     Cartera1017[[#This Row],[Comienzo Desarrollo]]="",
     Cartera1017[[#This Row],[Fin Producción]]="",
     Cartera1017[[#This Row],[% PLANIFICADO]]=0
   ),
   "",
   MIN(Cartera1017[[#This Row],[% COMPLETADO]]/Cartera1017[[#This Row],[% PLANIFICADO]],1.2)
)</f>
        <v/>
      </c>
      <c r="CM232" s="229"/>
      <c r="CN232" s="229"/>
      <c r="CO232" s="229"/>
      <c r="CP232" s="229"/>
      <c r="CQ232" s="229"/>
      <c r="CR232" s="229"/>
      <c r="CS232" s="229"/>
      <c r="CT232" s="44">
        <f>IF(Cartera1017[[#This Row],[Fin Desarrollo]]="",25,IFERROR(NETWORKDAYS(Cartera1017[[#This Row],[Comienzo Desarrollo]],Cartera1017[[#This Row],[Fin Desarrollo]],FERIADOS[Fecha]),""))</f>
        <v>25</v>
      </c>
      <c r="CU23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32" s="44">
        <f>IF(OR(Cartera1017[[#This Row],[Comienzo Desarrollo]]="",Cartera1017[[#This Row],[Fin Desarrollo]]=""),200,IFERROR(Cartera1017[[#This Row],[DURACIÓN DESARROLLO DIAS]]*VLOOKUP(Cartera1017[[#This Row],[ID Mantenimiento]],MANT_HORAS[],2,FALSE),200))</f>
        <v>200</v>
      </c>
      <c r="CW232" s="110"/>
      <c r="CX232" s="110" t="str">
        <f>VLOOKUP(Cartera1017[[#This Row],[Estado TI]],Definiciones!$A$549:$B$559,2,FALSE)</f>
        <v>4. PRODUCCIÓN</v>
      </c>
      <c r="CY232" s="28">
        <f ca="1">1-Cartera1017[[#This Row],[Porcentaje avanzado desarrollo]]</f>
        <v>0.9</v>
      </c>
      <c r="CZ23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2" s="28">
        <f ca="1">MAX(0,Cartera1017[[#This Row],[DURACIÓN DESARROLLO DIAS]]-Cartera1017[[#This Row],[Dias avanzados]])</f>
        <v>24</v>
      </c>
      <c r="DB232" s="28">
        <f ca="1">Cartera1017[[#This Row],[Dias avanzados]]*IFERROR(VLOOKUP(Cartera1017[[#This Row],[ID Mantenimiento]],MANT_HORAS[],2,FALSE),8)</f>
        <v>8</v>
      </c>
      <c r="DC232" s="28">
        <f ca="1">Cartera1017[[#This Row],[Dias faltantes]]*IFERROR(VLOOKUP(Cartera1017[[#This Row],[ID Mantenimiento]],MANT_HORAS[],2,FALSE),8)</f>
        <v>192</v>
      </c>
      <c r="DD232" s="28" t="str">
        <f>IF(Cartera1017[[#This Row],[Fin Producción]]=0,"Por definir",CONCATENATE(YEAR(Cartera1017[[#This Row],[Fin Producción]]),"-",ROUNDUP(MONTH(Cartera1017[[#This Row],[Fin Producción]]),0)))</f>
        <v>Por definir</v>
      </c>
      <c r="DE232" s="18" t="s">
        <v>1719</v>
      </c>
      <c r="DF232" s="28"/>
      <c r="DG232" s="28" t="s">
        <v>622</v>
      </c>
      <c r="DH232" s="565"/>
    </row>
    <row r="233" spans="1:112" ht="44.25" hidden="1" customHeight="1">
      <c r="A233" s="229" t="s">
        <v>2008</v>
      </c>
      <c r="B233" s="18">
        <v>3183</v>
      </c>
      <c r="C233" s="18" t="s">
        <v>485</v>
      </c>
      <c r="D233" s="18" t="s">
        <v>2009</v>
      </c>
      <c r="E233" s="18" t="s">
        <v>2010</v>
      </c>
      <c r="F233" s="33" t="s">
        <v>2011</v>
      </c>
      <c r="G233" s="19"/>
      <c r="H233" s="18" t="s">
        <v>33</v>
      </c>
      <c r="I233" s="18" t="s">
        <v>727</v>
      </c>
      <c r="J233" s="18" t="s">
        <v>1148</v>
      </c>
      <c r="K233" s="20">
        <v>46073</v>
      </c>
      <c r="L233" s="50" t="s">
        <v>2012</v>
      </c>
      <c r="M233" s="50" t="s">
        <v>1149</v>
      </c>
      <c r="N233" s="50"/>
      <c r="O233" s="39" t="s">
        <v>548</v>
      </c>
      <c r="P233" s="39" t="s">
        <v>1077</v>
      </c>
      <c r="Q233" s="39"/>
      <c r="R233" s="18" t="s">
        <v>497</v>
      </c>
      <c r="S233" s="18"/>
      <c r="T233" s="18"/>
      <c r="U233" s="18"/>
      <c r="V233" s="18"/>
      <c r="W233" s="18"/>
      <c r="X233" s="18"/>
      <c r="Y233" s="80"/>
      <c r="Z233" s="18" t="s">
        <v>499</v>
      </c>
      <c r="AA233" s="20">
        <v>46119</v>
      </c>
      <c r="AB233" s="18" t="s">
        <v>500</v>
      </c>
      <c r="AC233" s="18"/>
      <c r="AD233" s="18" t="s">
        <v>150</v>
      </c>
      <c r="AE233" s="18" t="s">
        <v>34</v>
      </c>
      <c r="AF233" s="18" t="s">
        <v>53</v>
      </c>
      <c r="AG233" s="14" t="str">
        <f>VLOOKUP(AF233,Tabla3[[Estado Requerimiento]:[Macro estado]],2,FALSE)</f>
        <v>03. Culminado</v>
      </c>
      <c r="AH233" s="18"/>
      <c r="AI233" s="80"/>
      <c r="AJ233" s="80"/>
      <c r="AK233" s="80">
        <v>46085</v>
      </c>
      <c r="AL233" s="80">
        <v>46097</v>
      </c>
      <c r="AM233" s="80"/>
      <c r="AN233" s="80">
        <v>46098</v>
      </c>
      <c r="AO233" s="80">
        <v>46100</v>
      </c>
      <c r="AP233" s="81">
        <f t="shared" si="6"/>
        <v>46101.8</v>
      </c>
      <c r="AQ233" s="80">
        <v>46104</v>
      </c>
      <c r="AR233" s="80">
        <v>46104</v>
      </c>
      <c r="AS233" s="81">
        <f t="shared" si="7"/>
        <v>46108.800000000003</v>
      </c>
      <c r="AT233" s="198" t="s">
        <v>2013</v>
      </c>
      <c r="AU233" s="44" t="str">
        <f>VLOOKUP(Cartera1017[[#This Row],[Gerencia]],tbGerencia[#All],3,FALSE)</f>
        <v>Productos</v>
      </c>
      <c r="AV233" s="44" t="str">
        <f>IFERROR(VLOOKUP(Cartera1017[[#This Row],[Subgerencia]],Definiciones!$A$90:$B$144,2,FALSE),"")</f>
        <v>BancaPersonal</v>
      </c>
      <c r="AW233" s="44" t="str">
        <f>IF(OR(LEN(Cartera1017[[#This Row],[Fecha de Solicitud]])=0,(Cartera1017[[#This Row],[Fecha de Solicitud]])="No definido"),"No definido",IF(YEAR(Cartera1017[[#This Row],[Fecha de Solicitud]])&lt;2023," &lt;  2023",TEXT(Cartera1017[[#This Row],[Fecha de Solicitud]],"yyyy-mm")))</f>
        <v>2026-02</v>
      </c>
      <c r="AX233" s="44" t="str">
        <f>IF(Cartera1017[[#This Row],[Fecha de Priorización Comité]]="","No definido",TEXT(Cartera1017[[#This Row],[Fecha de Priorización Comité]],"yyyy-mm"))</f>
        <v>2026-04</v>
      </c>
      <c r="AY233" s="44" t="str">
        <f>IF(Cartera1017[[#This Row],[Fecha Fin- Desarrollo]]="","No definido",TEXT(Cartera1017[[#This Row],[Fecha Fin- Desarrollo]],"yyyy-mm"))</f>
        <v>2026-03</v>
      </c>
      <c r="AZ233" s="44" t="str">
        <f>IF(Cartera1017[[#This Row],[Fecha Fin- Producción]]="","No definido",TEXT(Cartera1017[[#This Row],[Fecha Fin- Producción]],"yyyy-mm"))</f>
        <v>2026-03</v>
      </c>
      <c r="BA233" s="44" t="str">
        <f>IF(Cartera1017[[#This Row],[Fecha Fin-Planificada]]="","No definido",TEXT(Cartera1017[[#This Row],[Fecha Fin-Planificada]],"yyyy-mm"))</f>
        <v>2026-03</v>
      </c>
      <c r="BB233" s="33"/>
      <c r="BC233" s="108"/>
      <c r="BD233" s="108"/>
      <c r="BE233" s="108"/>
      <c r="BF233" s="127"/>
      <c r="BG233" s="28"/>
      <c r="BH23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19</v>
      </c>
      <c r="BI233" s="90">
        <f>IF(ISNUMBER(Cartera1017[[#This Row],[Duracion en Dias]]),Cartera1017[[#This Row],[Duracion en Dias]]/30, "No Aplica")</f>
        <v>0.6333333333333333</v>
      </c>
      <c r="BJ233" s="109"/>
      <c r="BK233" s="28" t="s">
        <v>506</v>
      </c>
      <c r="BL233" s="110" t="s">
        <v>536</v>
      </c>
      <c r="BM233" s="342">
        <v>46104.70989583333</v>
      </c>
      <c r="BN233" s="227"/>
      <c r="BO233" s="401"/>
      <c r="BP233" s="401"/>
      <c r="BQ23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3" s="14" t="str">
        <f>IFERROR(VLOOKUP(Cartera1017[[#This Row],[Aplicativo]],Tabla76[],2,FALSE),"Sin Aplicativo")</f>
        <v>Préstamos Multired</v>
      </c>
      <c r="BS233" s="14" t="str">
        <f>IFERROR(VLOOKUP(Cartera1017[[#This Row],[Aplicativo]],Tabla76[],3,FALSE),"Sin Aplicativo")</f>
        <v>Productos</v>
      </c>
      <c r="BT233" s="400"/>
      <c r="BU233" s="33"/>
      <c r="BV233" s="28"/>
      <c r="BW23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23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3" s="149" t="str">
        <f ca="1">IF(Cartera1017[[#This Row],[Fecha Fin2]]="","No definido",CONCATENATE(TEXT(Cartera1017[[#This Row],[Fecha Fin2]],"mmm")," ",YEAR(Cartera1017[[#This Row],[Fecha Fin2]])))</f>
        <v>Mar 2026</v>
      </c>
      <c r="BZ233" s="28"/>
      <c r="CA233" s="48" t="str">
        <f>IF(Cartera1017[[#This Row],[Estado TI]] = "08. Producción Finalizada","Culminado",IF(Cartera1017[[#This Row],[Estado TI]]= "09. Descartado","Descartado","Activos"))</f>
        <v>Culminado</v>
      </c>
      <c r="CB233" s="28"/>
      <c r="CC23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33" s="54" t="str">
        <f>IF(
AND(
Cartera1017[[#This Row],[DEVOLVER 27]]="NO",
NOT(ISBLANK(Cartera1017[[#This Row],[ESTADO NO DEVUELTOS 27]]))
),
"PRE",
"POST"
)</f>
        <v>POST</v>
      </c>
      <c r="CE233" s="54"/>
      <c r="CF233" s="28"/>
      <c r="CG23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3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33"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3" s="406">
        <f>Cartera1017[[#This Row],[Porcentaje de Avance]]</f>
        <v>1</v>
      </c>
      <c r="CK233" s="388" t="str">
        <f>IF(
   OR(
     Cartera1017[[#This Row],[Estado TI]]="09. Descartado",
     Cartera1017[[#This Row],[Comienzo Desarrollo]]="",
     Cartera1017[[#This Row],[Fin Producción]]=""
   ),
   "",
   Cartera1017[[#This Row],[% PLANIFICADO]]-Cartera1017[[#This Row],[% COMPLETADO]]
)</f>
        <v/>
      </c>
      <c r="CL233" s="388" t="str">
        <f ca="1">IF(
   OR(
     Cartera1017[[#This Row],[Estado TI]]="09. Descartado",
     Cartera1017[[#This Row],[Comienzo Desarrollo]]="",
     Cartera1017[[#This Row],[Fin Producción]]="",
     Cartera1017[[#This Row],[% PLANIFICADO]]=0
   ),
   "",
   MIN(Cartera1017[[#This Row],[% COMPLETADO]]/Cartera1017[[#This Row],[% PLANIFICADO]],1.2)
)</f>
        <v/>
      </c>
      <c r="CM233" s="229"/>
      <c r="CN233" s="229"/>
      <c r="CO233" s="229"/>
      <c r="CP233" s="229"/>
      <c r="CQ233" s="229"/>
      <c r="CR233" s="229"/>
      <c r="CS233" s="229"/>
      <c r="CT233" s="44">
        <f>IF(Cartera1017[[#This Row],[Fin Desarrollo]]="",25,IFERROR(NETWORKDAYS(Cartera1017[[#This Row],[Comienzo Desarrollo]],Cartera1017[[#This Row],[Fin Desarrollo]],FERIADOS[Fecha]),""))</f>
        <v>25</v>
      </c>
      <c r="CU23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33" s="44">
        <f>IF(OR(Cartera1017[[#This Row],[Comienzo Desarrollo]]="",Cartera1017[[#This Row],[Fin Desarrollo]]=""),200,IFERROR(Cartera1017[[#This Row],[DURACIÓN DESARROLLO DIAS]]*VLOOKUP(Cartera1017[[#This Row],[ID Mantenimiento]],MANT_HORAS[],2,FALSE),200))</f>
        <v>200</v>
      </c>
      <c r="CW233" s="110"/>
      <c r="CX233" s="110" t="str">
        <f>VLOOKUP(Cartera1017[[#This Row],[Estado TI]],Definiciones!$A$549:$B$559,2,FALSE)</f>
        <v>4. PRODUCCIÓN</v>
      </c>
      <c r="CY233" s="28">
        <f ca="1">1-Cartera1017[[#This Row],[Porcentaje avanzado desarrollo]]</f>
        <v>0.9</v>
      </c>
      <c r="CZ23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3" s="28">
        <f ca="1">MAX(0,Cartera1017[[#This Row],[DURACIÓN DESARROLLO DIAS]]-Cartera1017[[#This Row],[Dias avanzados]])</f>
        <v>24</v>
      </c>
      <c r="DB233" s="28">
        <f ca="1">Cartera1017[[#This Row],[Dias avanzados]]*IFERROR(VLOOKUP(Cartera1017[[#This Row],[ID Mantenimiento]],MANT_HORAS[],2,FALSE),8)</f>
        <v>8</v>
      </c>
      <c r="DC233" s="28">
        <f ca="1">Cartera1017[[#This Row],[Dias faltantes]]*IFERROR(VLOOKUP(Cartera1017[[#This Row],[ID Mantenimiento]],MANT_HORAS[],2,FALSE),8)</f>
        <v>192</v>
      </c>
      <c r="DD233" s="28" t="str">
        <f>IF(Cartera1017[[#This Row],[Fin Producción]]=0,"Por definir",CONCATENATE(YEAR(Cartera1017[[#This Row],[Fin Producción]]),"-",ROUNDUP(MONTH(Cartera1017[[#This Row],[Fin Producción]]),0)))</f>
        <v>Por definir</v>
      </c>
      <c r="DE233" s="18" t="s">
        <v>1719</v>
      </c>
      <c r="DF233" s="28"/>
      <c r="DG233" s="28"/>
      <c r="DH233" s="565"/>
    </row>
    <row r="234" spans="1:112" ht="44.25" hidden="1" customHeight="1">
      <c r="A234" s="229" t="s">
        <v>2014</v>
      </c>
      <c r="B234" s="18">
        <v>3185</v>
      </c>
      <c r="C234" s="18" t="s">
        <v>485</v>
      </c>
      <c r="D234" s="18" t="s">
        <v>2015</v>
      </c>
      <c r="E234" s="18" t="s">
        <v>2016</v>
      </c>
      <c r="F234" s="33" t="s">
        <v>2017</v>
      </c>
      <c r="G234" s="19"/>
      <c r="H234" s="18" t="s">
        <v>33</v>
      </c>
      <c r="I234" s="18" t="s">
        <v>1189</v>
      </c>
      <c r="J234" s="18" t="s">
        <v>2018</v>
      </c>
      <c r="K234" s="20">
        <v>46080</v>
      </c>
      <c r="L234" s="50" t="s">
        <v>2019</v>
      </c>
      <c r="M234" s="50" t="s">
        <v>1041</v>
      </c>
      <c r="N234" s="50"/>
      <c r="O234" s="18" t="s">
        <v>548</v>
      </c>
      <c r="P234" s="18" t="s">
        <v>495</v>
      </c>
      <c r="Q234" s="18" t="s">
        <v>496</v>
      </c>
      <c r="R234" s="18" t="s">
        <v>497</v>
      </c>
      <c r="S234" s="18"/>
      <c r="T234" s="18"/>
      <c r="U234" s="18"/>
      <c r="V234" s="18"/>
      <c r="W234" s="18"/>
      <c r="X234" s="18"/>
      <c r="Y234" s="80"/>
      <c r="Z234" s="18" t="s">
        <v>499</v>
      </c>
      <c r="AA234" s="20">
        <v>46119</v>
      </c>
      <c r="AB234" s="18" t="s">
        <v>500</v>
      </c>
      <c r="AC234" s="18"/>
      <c r="AD234" s="18" t="s">
        <v>210</v>
      </c>
      <c r="AE234" s="18" t="s">
        <v>34</v>
      </c>
      <c r="AF234" s="18" t="s">
        <v>48</v>
      </c>
      <c r="AG234" s="14" t="str">
        <f>VLOOKUP(AF234,Tabla3[[Estado Requerimiento]:[Macro estado]],2,FALSE)</f>
        <v>02. En Proceso</v>
      </c>
      <c r="AH234" s="18"/>
      <c r="AI234" s="80"/>
      <c r="AJ234" s="80"/>
      <c r="AK234" s="80">
        <v>46097</v>
      </c>
      <c r="AL234" s="80"/>
      <c r="AM234" s="80"/>
      <c r="AN234" s="80"/>
      <c r="AO234" s="80"/>
      <c r="AP234" s="81" t="str">
        <f t="shared" si="6"/>
        <v/>
      </c>
      <c r="AQ234" s="80"/>
      <c r="AR234" s="80"/>
      <c r="AS234" s="81" t="str">
        <f t="shared" si="7"/>
        <v/>
      </c>
      <c r="AT234" s="198" t="s">
        <v>2020</v>
      </c>
      <c r="AU234" s="44" t="str">
        <f>VLOOKUP(Cartera1017[[#This Row],[Gerencia]],tbGerencia[#All],3,FALSE)</f>
        <v>Productos</v>
      </c>
      <c r="AV234" s="44" t="str">
        <f>IFERROR(VLOOKUP(Cartera1017[[#This Row],[Subgerencia]],Definiciones!$A$90:$B$144,2,FALSE),"")</f>
        <v>InclusiónFinanciera</v>
      </c>
      <c r="AW234" s="44" t="str">
        <f>IF(OR(LEN(Cartera1017[[#This Row],[Fecha de Solicitud]])=0,(Cartera1017[[#This Row],[Fecha de Solicitud]])="No definido"),"No definido",IF(YEAR(Cartera1017[[#This Row],[Fecha de Solicitud]])&lt;2023," &lt;  2023",TEXT(Cartera1017[[#This Row],[Fecha de Solicitud]],"yyyy-mm")))</f>
        <v>2026-02</v>
      </c>
      <c r="AX234" s="44" t="str">
        <f>IF(Cartera1017[[#This Row],[Fecha de Priorización Comité]]="","No definido",TEXT(Cartera1017[[#This Row],[Fecha de Priorización Comité]],"yyyy-mm"))</f>
        <v>2026-04</v>
      </c>
      <c r="AY234" s="44" t="str">
        <f>IF(Cartera1017[[#This Row],[Fecha Fin- Desarrollo]]="","No definido",TEXT(Cartera1017[[#This Row],[Fecha Fin- Desarrollo]],"yyyy-mm"))</f>
        <v>No definido</v>
      </c>
      <c r="AZ234" s="44" t="str">
        <f>IF(Cartera1017[[#This Row],[Fecha Fin- Producción]]="","No definido",TEXT(Cartera1017[[#This Row],[Fecha Fin- Producción]],"yyyy-mm"))</f>
        <v>No definido</v>
      </c>
      <c r="BA234" s="44" t="str">
        <f>IF(Cartera1017[[#This Row],[Fecha Fin-Planificada]]="","No definido",TEXT(Cartera1017[[#This Row],[Fecha Fin-Planificada]],"yyyy-mm"))</f>
        <v>No definido</v>
      </c>
      <c r="BB234" s="33"/>
      <c r="BC234" s="108"/>
      <c r="BD234" s="108"/>
      <c r="BE234" s="108"/>
      <c r="BF234" s="127"/>
      <c r="BG234" s="28"/>
      <c r="BH23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4" s="90" t="str">
        <f>IF(ISNUMBER(Cartera1017[[#This Row],[Duracion en Dias]]),Cartera1017[[#This Row],[Duracion en Dias]]/30, "No Aplica")</f>
        <v>No Aplica</v>
      </c>
      <c r="BJ234" s="109"/>
      <c r="BK234" s="28" t="s">
        <v>613</v>
      </c>
      <c r="BL234" s="110" t="s">
        <v>592</v>
      </c>
      <c r="BM234" s="342">
        <v>46097.624143518522</v>
      </c>
      <c r="BN234" s="227"/>
      <c r="BO234" s="401"/>
      <c r="BP234" s="401"/>
      <c r="BQ23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34" s="14" t="str">
        <f>IFERROR(VLOOKUP(Cartera1017[[#This Row],[Aplicativo]],Tabla76[],2,FALSE),"Sin Aplicativo")</f>
        <v>Ventanilla</v>
      </c>
      <c r="BS234" s="14" t="str">
        <f>IFERROR(VLOOKUP(Cartera1017[[#This Row],[Aplicativo]],Tabla76[],3,FALSE),"Sin Aplicativo")</f>
        <v>Canales Presenciales</v>
      </c>
      <c r="BT234" s="400"/>
      <c r="BU234" s="33"/>
      <c r="BV234" s="28"/>
      <c r="BW23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4" s="149" t="str">
        <f ca="1">IF(Cartera1017[[#This Row],[Fecha Fin2]]="","No definido",CONCATENATE(TEXT(Cartera1017[[#This Row],[Fecha Fin2]],"mmm")," ",YEAR(Cartera1017[[#This Row],[Fecha Fin2]])))</f>
        <v>No definido</v>
      </c>
      <c r="BZ234" s="28"/>
      <c r="CA234" s="48" t="str">
        <f>IF(Cartera1017[[#This Row],[Estado TI]] = "08. Producción Finalizada","Culminado",IF(Cartera1017[[#This Row],[Estado TI]]= "09. Descartado","Descartado","Activos"))</f>
        <v>Activos</v>
      </c>
      <c r="CB234" s="28"/>
      <c r="CC23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34" s="54" t="str">
        <f>IF(
AND(
Cartera1017[[#This Row],[DEVOLVER 27]]="NO",
NOT(ISBLANK(Cartera1017[[#This Row],[ESTADO NO DEVUELTOS 27]]))
),
"PRE",
"POST"
)</f>
        <v>POST</v>
      </c>
      <c r="CE234" s="54"/>
      <c r="CF234" s="28"/>
      <c r="CG23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3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34"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34" s="406">
        <f>Cartera1017[[#This Row],[Porcentaje de Avance]]</f>
        <v>0.25</v>
      </c>
      <c r="CK234" s="388" t="str">
        <f>IF(
   OR(
     Cartera1017[[#This Row],[Estado TI]]="09. Descartado",
     Cartera1017[[#This Row],[Comienzo Desarrollo]]="",
     Cartera1017[[#This Row],[Fin Producción]]=""
   ),
   "",
   Cartera1017[[#This Row],[% PLANIFICADO]]-Cartera1017[[#This Row],[% COMPLETADO]]
)</f>
        <v/>
      </c>
      <c r="CL234" s="388" t="str">
        <f ca="1">IF(
   OR(
     Cartera1017[[#This Row],[Estado TI]]="09. Descartado",
     Cartera1017[[#This Row],[Comienzo Desarrollo]]="",
     Cartera1017[[#This Row],[Fin Producción]]="",
     Cartera1017[[#This Row],[% PLANIFICADO]]=0
   ),
   "",
   MIN(Cartera1017[[#This Row],[% COMPLETADO]]/Cartera1017[[#This Row],[% PLANIFICADO]],1.2)
)</f>
        <v/>
      </c>
      <c r="CM234" s="229"/>
      <c r="CN234" s="229"/>
      <c r="CO234" s="229"/>
      <c r="CP234" s="229"/>
      <c r="CQ234" s="229"/>
      <c r="CR234" s="229"/>
      <c r="CS234" s="229"/>
      <c r="CT234" s="44">
        <f>IF(Cartera1017[[#This Row],[Fin Desarrollo]]="",25,IFERROR(NETWORKDAYS(Cartera1017[[#This Row],[Comienzo Desarrollo]],Cartera1017[[#This Row],[Fin Desarrollo]],FERIADOS[Fecha]),""))</f>
        <v>25</v>
      </c>
      <c r="CU23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34" s="44">
        <f>IF(OR(Cartera1017[[#This Row],[Comienzo Desarrollo]]="",Cartera1017[[#This Row],[Fin Desarrollo]]=""),200,IFERROR(Cartera1017[[#This Row],[DURACIÓN DESARROLLO DIAS]]*VLOOKUP(Cartera1017[[#This Row],[ID Mantenimiento]],MANT_HORAS[],2,FALSE),200))</f>
        <v>200</v>
      </c>
      <c r="CW234" s="110"/>
      <c r="CX234" s="110" t="str">
        <f>VLOOKUP(Cartera1017[[#This Row],[Estado TI]],Definiciones!$A$549:$B$559,2,FALSE)</f>
        <v>1. DESARROLLO</v>
      </c>
      <c r="CY234" s="28">
        <f ca="1">1-Cartera1017[[#This Row],[Porcentaje avanzado desarrollo]]</f>
        <v>0.9</v>
      </c>
      <c r="CZ23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4" s="28">
        <f ca="1">MAX(0,Cartera1017[[#This Row],[DURACIÓN DESARROLLO DIAS]]-Cartera1017[[#This Row],[Dias avanzados]])</f>
        <v>24</v>
      </c>
      <c r="DB234" s="28">
        <f ca="1">Cartera1017[[#This Row],[Dias avanzados]]*IFERROR(VLOOKUP(Cartera1017[[#This Row],[ID Mantenimiento]],MANT_HORAS[],2,FALSE),8)</f>
        <v>2</v>
      </c>
      <c r="DC234" s="28">
        <f ca="1">Cartera1017[[#This Row],[Dias faltantes]]*IFERROR(VLOOKUP(Cartera1017[[#This Row],[ID Mantenimiento]],MANT_HORAS[],2,FALSE),8)</f>
        <v>48</v>
      </c>
      <c r="DD234" s="28" t="str">
        <f>IF(Cartera1017[[#This Row],[Fin Producción]]=0,"Por definir",CONCATENATE(YEAR(Cartera1017[[#This Row],[Fin Producción]]),"-",ROUNDUP(MONTH(Cartera1017[[#This Row],[Fin Producción]]),0)))</f>
        <v>Por definir</v>
      </c>
      <c r="DE234" s="18" t="s">
        <v>1719</v>
      </c>
      <c r="DF234" s="28"/>
      <c r="DG234" s="28"/>
      <c r="DH234" s="565"/>
    </row>
    <row r="235" spans="1:112" ht="44.25" hidden="1" customHeight="1">
      <c r="A235" s="229" t="s">
        <v>2021</v>
      </c>
      <c r="B235" s="18">
        <v>3186</v>
      </c>
      <c r="C235" s="18" t="s">
        <v>485</v>
      </c>
      <c r="D235" s="18" t="s">
        <v>2022</v>
      </c>
      <c r="E235" s="18" t="s">
        <v>2023</v>
      </c>
      <c r="F235" s="33" t="s">
        <v>2024</v>
      </c>
      <c r="G235" s="19"/>
      <c r="H235" s="18" t="s">
        <v>33</v>
      </c>
      <c r="I235" s="18" t="s">
        <v>1189</v>
      </c>
      <c r="J235" s="18" t="s">
        <v>2018</v>
      </c>
      <c r="K235" s="20">
        <v>46080</v>
      </c>
      <c r="L235" s="50" t="s">
        <v>2019</v>
      </c>
      <c r="M235" s="50" t="s">
        <v>556</v>
      </c>
      <c r="N235" s="50"/>
      <c r="O235" s="18" t="s">
        <v>548</v>
      </c>
      <c r="P235" s="18" t="s">
        <v>495</v>
      </c>
      <c r="Q235" s="18" t="s">
        <v>496</v>
      </c>
      <c r="R235" s="18" t="s">
        <v>497</v>
      </c>
      <c r="S235" s="18"/>
      <c r="T235" s="18"/>
      <c r="U235" s="18"/>
      <c r="V235" s="18"/>
      <c r="W235" s="18"/>
      <c r="X235" s="18"/>
      <c r="Y235" s="80"/>
      <c r="Z235" s="18" t="s">
        <v>499</v>
      </c>
      <c r="AA235" s="20">
        <v>46119</v>
      </c>
      <c r="AB235" s="18" t="s">
        <v>500</v>
      </c>
      <c r="AC235" s="18"/>
      <c r="AD235" s="18" t="s">
        <v>30</v>
      </c>
      <c r="AE235" s="18" t="s">
        <v>34</v>
      </c>
      <c r="AF235" s="517" t="s">
        <v>87</v>
      </c>
      <c r="AG235" s="14" t="str">
        <f>VLOOKUP(AF235,Tabla3[[Estado Requerimiento]:[Macro estado]],2,FALSE)</f>
        <v>02. En Proceso</v>
      </c>
      <c r="AH235" s="18" t="s">
        <v>659</v>
      </c>
      <c r="AI235" s="80"/>
      <c r="AJ235" s="80"/>
      <c r="AK235" s="80">
        <v>46104</v>
      </c>
      <c r="AL235" s="80">
        <v>46108</v>
      </c>
      <c r="AM235" s="80"/>
      <c r="AN235" s="80">
        <v>46127</v>
      </c>
      <c r="AO235" s="80">
        <v>46134</v>
      </c>
      <c r="AP235" s="81">
        <f t="shared" si="6"/>
        <v>46109.599999999999</v>
      </c>
      <c r="AQ235" s="80"/>
      <c r="AR235" s="80"/>
      <c r="AS235" s="81">
        <f t="shared" si="7"/>
        <v>46116.6</v>
      </c>
      <c r="AT235" s="198" t="s">
        <v>2025</v>
      </c>
      <c r="AU235" s="44" t="str">
        <f>VLOOKUP(Cartera1017[[#This Row],[Gerencia]],tbGerencia[#All],3,FALSE)</f>
        <v>Productos</v>
      </c>
      <c r="AV235" s="44" t="str">
        <f>IFERROR(VLOOKUP(Cartera1017[[#This Row],[Subgerencia]],Definiciones!$A$90:$B$144,2,FALSE),"")</f>
        <v>InclusiónFinanciera</v>
      </c>
      <c r="AW235" s="44" t="str">
        <f>IF(OR(LEN(Cartera1017[[#This Row],[Fecha de Solicitud]])=0,(Cartera1017[[#This Row],[Fecha de Solicitud]])="No definido"),"No definido",IF(YEAR(Cartera1017[[#This Row],[Fecha de Solicitud]])&lt;2023," &lt;  2023",TEXT(Cartera1017[[#This Row],[Fecha de Solicitud]],"yyyy-mm")))</f>
        <v>2026-02</v>
      </c>
      <c r="AX235" s="44" t="str">
        <f>IF(Cartera1017[[#This Row],[Fecha de Priorización Comité]]="","No definido",TEXT(Cartera1017[[#This Row],[Fecha de Priorización Comité]],"yyyy-mm"))</f>
        <v>2026-04</v>
      </c>
      <c r="AY235" s="44" t="str">
        <f>IF(Cartera1017[[#This Row],[Fecha Fin- Desarrollo]]="","No definido",TEXT(Cartera1017[[#This Row],[Fecha Fin- Desarrollo]],"yyyy-mm"))</f>
        <v>2026-03</v>
      </c>
      <c r="AZ235" s="44" t="str">
        <f>IF(Cartera1017[[#This Row],[Fecha Fin- Producción]]="","No definido",TEXT(Cartera1017[[#This Row],[Fecha Fin- Producción]],"yyyy-mm"))</f>
        <v>No definido</v>
      </c>
      <c r="BA235" s="44" t="str">
        <f>IF(Cartera1017[[#This Row],[Fecha Fin-Planificada]]="","No definido",TEXT(Cartera1017[[#This Row],[Fecha Fin-Planificada]],"yyyy-mm"))</f>
        <v>2026-04</v>
      </c>
      <c r="BB235" s="33"/>
      <c r="BC235" s="108"/>
      <c r="BD235" s="108"/>
      <c r="BE235" s="108"/>
      <c r="BF235" s="127"/>
      <c r="BG235" s="28"/>
      <c r="BH23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5" s="90" t="str">
        <f>IF(ISNUMBER(Cartera1017[[#This Row],[Duracion en Dias]]),Cartera1017[[#This Row],[Duracion en Dias]]/30, "No Aplica")</f>
        <v>No Aplica</v>
      </c>
      <c r="BJ235" s="109"/>
      <c r="BK235" s="28" t="s">
        <v>506</v>
      </c>
      <c r="BL235" s="110" t="s">
        <v>2026</v>
      </c>
      <c r="BM235" s="342">
        <v>46161.386296296296</v>
      </c>
      <c r="BN235" s="227"/>
      <c r="BO235" s="401"/>
      <c r="BP235" s="401"/>
      <c r="BQ23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35" s="14" t="str">
        <f>IFERROR(VLOOKUP(Cartera1017[[#This Row],[Aplicativo]],Tabla76[],2,FALSE),"Sin Aplicativo")</f>
        <v>ATM-Agentes-VISA</v>
      </c>
      <c r="BS235" s="14" t="str">
        <f>IFERROR(VLOOKUP(Cartera1017[[#This Row],[Aplicativo]],Tabla76[],3,FALSE),"Sin Aplicativo")</f>
        <v>Canales Presenciales</v>
      </c>
      <c r="BT235" s="400"/>
      <c r="BU235" s="33"/>
      <c r="BV235" s="28"/>
      <c r="BW23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5" s="149" t="str">
        <f ca="1">IF(Cartera1017[[#This Row],[Fecha Fin2]]="","No definido",CONCATENATE(TEXT(Cartera1017[[#This Row],[Fecha Fin2]],"mmm")," ",YEAR(Cartera1017[[#This Row],[Fecha Fin2]])))</f>
        <v>No definido</v>
      </c>
      <c r="BZ235" s="28"/>
      <c r="CA235" s="48" t="str">
        <f>IF(Cartera1017[[#This Row],[Estado TI]] = "08. Producción Finalizada","Culminado",IF(Cartera1017[[#This Row],[Estado TI]]= "09. Descartado","Descartado","Activos"))</f>
        <v>Activos</v>
      </c>
      <c r="CB235" s="28"/>
      <c r="CC23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0.75</v>
      </c>
      <c r="CD235" s="54" t="str">
        <f>IF(
AND(
Cartera1017[[#This Row],[DEVOLVER 27]]="NO",
NOT(ISBLANK(Cartera1017[[#This Row],[ESTADO NO DEVUELTOS 27]]))
),
"PRE",
"POST"
)</f>
        <v>POST</v>
      </c>
      <c r="CE235" s="54"/>
      <c r="CF235" s="28"/>
      <c r="CG23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3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35"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35" s="406">
        <f>Cartera1017[[#This Row],[Porcentaje de Avance]]</f>
        <v>0.75</v>
      </c>
      <c r="CK235" s="388" t="str">
        <f>IF(
   OR(
     Cartera1017[[#This Row],[Estado TI]]="09. Descartado",
     Cartera1017[[#This Row],[Comienzo Desarrollo]]="",
     Cartera1017[[#This Row],[Fin Producción]]=""
   ),
   "",
   Cartera1017[[#This Row],[% PLANIFICADO]]-Cartera1017[[#This Row],[% COMPLETADO]]
)</f>
        <v/>
      </c>
      <c r="CL235" s="388" t="str">
        <f ca="1">IF(
   OR(
     Cartera1017[[#This Row],[Estado TI]]="09. Descartado",
     Cartera1017[[#This Row],[Comienzo Desarrollo]]="",
     Cartera1017[[#This Row],[Fin Producción]]="",
     Cartera1017[[#This Row],[% PLANIFICADO]]=0
   ),
   "",
   MIN(Cartera1017[[#This Row],[% COMPLETADO]]/Cartera1017[[#This Row],[% PLANIFICADO]],1.2)
)</f>
        <v/>
      </c>
      <c r="CM235" s="229"/>
      <c r="CN235" s="229"/>
      <c r="CO235" s="229"/>
      <c r="CP235" s="229"/>
      <c r="CQ235" s="229"/>
      <c r="CR235" s="229"/>
      <c r="CS235" s="229"/>
      <c r="CT235" s="44">
        <f>IF(Cartera1017[[#This Row],[Fin Desarrollo]]="",25,IFERROR(NETWORKDAYS(Cartera1017[[#This Row],[Comienzo Desarrollo]],Cartera1017[[#This Row],[Fin Desarrollo]],FERIADOS[Fecha]),""))</f>
        <v>25</v>
      </c>
      <c r="CU23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35" s="44">
        <f>IF(OR(Cartera1017[[#This Row],[Comienzo Desarrollo]]="",Cartera1017[[#This Row],[Fin Desarrollo]]=""),200,IFERROR(Cartera1017[[#This Row],[DURACIÓN DESARROLLO DIAS]]*VLOOKUP(Cartera1017[[#This Row],[ID Mantenimiento]],MANT_HORAS[],2,FALSE),200))</f>
        <v>200</v>
      </c>
      <c r="CW235" s="110"/>
      <c r="CX235" s="110" t="str">
        <f>VLOOKUP(Cartera1017[[#This Row],[Estado TI]],Definiciones!$A$549:$B$559,2,FALSE)</f>
        <v>2. CALIDAD</v>
      </c>
      <c r="CY235" s="28">
        <f ca="1">1-Cartera1017[[#This Row],[Porcentaje avanzado desarrollo]]</f>
        <v>0.9</v>
      </c>
      <c r="CZ23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5" s="28">
        <f ca="1">MAX(0,Cartera1017[[#This Row],[DURACIÓN DESARROLLO DIAS]]-Cartera1017[[#This Row],[Dias avanzados]])</f>
        <v>24</v>
      </c>
      <c r="DB235" s="28">
        <f ca="1">Cartera1017[[#This Row],[Dias avanzados]]*IFERROR(VLOOKUP(Cartera1017[[#This Row],[ID Mantenimiento]],MANT_HORAS[],2,FALSE),8)</f>
        <v>8</v>
      </c>
      <c r="DC235" s="28">
        <f ca="1">Cartera1017[[#This Row],[Dias faltantes]]*IFERROR(VLOOKUP(Cartera1017[[#This Row],[ID Mantenimiento]],MANT_HORAS[],2,FALSE),8)</f>
        <v>192</v>
      </c>
      <c r="DD235" s="28" t="str">
        <f>IF(Cartera1017[[#This Row],[Fin Producción]]=0,"Por definir",CONCATENATE(YEAR(Cartera1017[[#This Row],[Fin Producción]]),"-",ROUNDUP(MONTH(Cartera1017[[#This Row],[Fin Producción]]),0)))</f>
        <v>Por definir</v>
      </c>
      <c r="DE235" s="18" t="s">
        <v>1719</v>
      </c>
      <c r="DF235" s="28"/>
      <c r="DG235" s="28" t="s">
        <v>622</v>
      </c>
      <c r="DH235" s="565"/>
    </row>
    <row r="236" spans="1:112" ht="44.25" hidden="1" customHeight="1">
      <c r="A236" s="229" t="s">
        <v>2027</v>
      </c>
      <c r="B236" s="18">
        <v>3188</v>
      </c>
      <c r="C236" s="18" t="s">
        <v>485</v>
      </c>
      <c r="D236" s="18" t="s">
        <v>2028</v>
      </c>
      <c r="E236" s="18" t="s">
        <v>2029</v>
      </c>
      <c r="F236" s="33" t="s">
        <v>2030</v>
      </c>
      <c r="G236" s="19"/>
      <c r="H236" s="18" t="s">
        <v>26</v>
      </c>
      <c r="I236" s="18" t="s">
        <v>539</v>
      </c>
      <c r="J236" s="18" t="s">
        <v>540</v>
      </c>
      <c r="K236" s="20">
        <v>46062</v>
      </c>
      <c r="L236" s="50" t="s">
        <v>2031</v>
      </c>
      <c r="M236" s="50" t="s">
        <v>556</v>
      </c>
      <c r="N236" s="50"/>
      <c r="O236" s="18" t="s">
        <v>712</v>
      </c>
      <c r="P236" s="18" t="s">
        <v>495</v>
      </c>
      <c r="Q236" s="18"/>
      <c r="R236" s="18" t="s">
        <v>599</v>
      </c>
      <c r="S236" s="18"/>
      <c r="T236" s="18" t="s">
        <v>652</v>
      </c>
      <c r="U236" s="18" t="s">
        <v>1542</v>
      </c>
      <c r="V236" s="18"/>
      <c r="W236" s="18"/>
      <c r="X236" s="18"/>
      <c r="Y236" s="80">
        <v>41730</v>
      </c>
      <c r="Z236" s="18" t="s">
        <v>499</v>
      </c>
      <c r="AA236" s="20">
        <v>46119</v>
      </c>
      <c r="AB236" s="18" t="s">
        <v>500</v>
      </c>
      <c r="AC236" s="18"/>
      <c r="AD236" s="18" t="s">
        <v>30</v>
      </c>
      <c r="AE236" s="18" t="s">
        <v>27</v>
      </c>
      <c r="AF236" s="18" t="s">
        <v>48</v>
      </c>
      <c r="AG236" s="14" t="str">
        <f>VLOOKUP(AF236,Tabla3[[Estado Requerimiento]:[Macro estado]],2,FALSE)</f>
        <v>02. En Proceso</v>
      </c>
      <c r="AH236" s="18"/>
      <c r="AI236" s="80"/>
      <c r="AJ236" s="80"/>
      <c r="AK236" s="80">
        <v>46087</v>
      </c>
      <c r="AL236" s="80"/>
      <c r="AM236" s="80"/>
      <c r="AN236" s="80"/>
      <c r="AO236" s="80"/>
      <c r="AP236" s="81" t="str">
        <f t="shared" si="6"/>
        <v/>
      </c>
      <c r="AQ236" s="80"/>
      <c r="AR236" s="80"/>
      <c r="AS236" s="81" t="str">
        <f t="shared" si="7"/>
        <v/>
      </c>
      <c r="AT236" s="198" t="s">
        <v>2032</v>
      </c>
      <c r="AU236" s="44" t="str">
        <f>VLOOKUP(Cartera1017[[#This Row],[Gerencia]],tbGerencia[#All],3,FALSE)</f>
        <v>B.Digital</v>
      </c>
      <c r="AV236" s="44" t="str">
        <f>IFERROR(VLOOKUP(Cartera1017[[#This Row],[Subgerencia]],Definiciones!$A$90:$B$144,2,FALSE),"")</f>
        <v>CanalesAlternos</v>
      </c>
      <c r="AW236" s="44" t="str">
        <f>IF(OR(LEN(Cartera1017[[#This Row],[Fecha de Solicitud]])=0,(Cartera1017[[#This Row],[Fecha de Solicitud]])="No definido"),"No definido",IF(YEAR(Cartera1017[[#This Row],[Fecha de Solicitud]])&lt;2023," &lt;  2023",TEXT(Cartera1017[[#This Row],[Fecha de Solicitud]],"yyyy-mm")))</f>
        <v>2026-02</v>
      </c>
      <c r="AX236" s="44" t="str">
        <f>IF(Cartera1017[[#This Row],[Fecha de Priorización Comité]]="","No definido",TEXT(Cartera1017[[#This Row],[Fecha de Priorización Comité]],"yyyy-mm"))</f>
        <v>2026-04</v>
      </c>
      <c r="AY236" s="44" t="str">
        <f>IF(Cartera1017[[#This Row],[Fecha Fin- Desarrollo]]="","No definido",TEXT(Cartera1017[[#This Row],[Fecha Fin- Desarrollo]],"yyyy-mm"))</f>
        <v>No definido</v>
      </c>
      <c r="AZ236" s="44" t="str">
        <f>IF(Cartera1017[[#This Row],[Fecha Fin- Producción]]="","No definido",TEXT(Cartera1017[[#This Row],[Fecha Fin- Producción]],"yyyy-mm"))</f>
        <v>No definido</v>
      </c>
      <c r="BA236" s="44" t="str">
        <f>IF(Cartera1017[[#This Row],[Fecha Fin-Planificada]]="","No definido",TEXT(Cartera1017[[#This Row],[Fecha Fin-Planificada]],"yyyy-mm"))</f>
        <v>No definido</v>
      </c>
      <c r="BB236" s="33"/>
      <c r="BC236" s="108"/>
      <c r="BD236" s="108"/>
      <c r="BE236" s="108"/>
      <c r="BF236" s="127"/>
      <c r="BG236" s="28"/>
      <c r="BH23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6" s="90" t="str">
        <f>IF(ISNUMBER(Cartera1017[[#This Row],[Duracion en Dias]]),Cartera1017[[#This Row],[Duracion en Dias]]/30, "No Aplica")</f>
        <v>No Aplica</v>
      </c>
      <c r="BJ236" s="109"/>
      <c r="BK236" s="28" t="s">
        <v>1115</v>
      </c>
      <c r="BL236" s="110" t="s">
        <v>592</v>
      </c>
      <c r="BM236" s="342">
        <v>46087.496828703705</v>
      </c>
      <c r="BN236" s="227"/>
      <c r="BO236" s="401"/>
      <c r="BP236" s="401"/>
      <c r="BQ23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36" s="14" t="str">
        <f>IFERROR(VLOOKUP(Cartera1017[[#This Row],[Aplicativo]],Tabla76[],2,FALSE),"Sin Aplicativo")</f>
        <v>ATM-Agentes-VISA</v>
      </c>
      <c r="BS236" s="14" t="str">
        <f>IFERROR(VLOOKUP(Cartera1017[[#This Row],[Aplicativo]],Tabla76[],3,FALSE),"Sin Aplicativo")</f>
        <v>Canales Presenciales</v>
      </c>
      <c r="BT236" s="400"/>
      <c r="BU236" s="33"/>
      <c r="BV236" s="28"/>
      <c r="BW23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6" s="149" t="str">
        <f ca="1">IF(Cartera1017[[#This Row],[Fecha Fin2]]="","No definido",CONCATENATE(TEXT(Cartera1017[[#This Row],[Fecha Fin2]],"mmm")," ",YEAR(Cartera1017[[#This Row],[Fecha Fin2]])))</f>
        <v>No definido</v>
      </c>
      <c r="BZ236" s="28"/>
      <c r="CA236" s="48" t="str">
        <f>IF(Cartera1017[[#This Row],[Estado TI]] = "08. Producción Finalizada","Culminado",IF(Cartera1017[[#This Row],[Estado TI]]= "09. Descartado","Descartado","Activos"))</f>
        <v>Activos</v>
      </c>
      <c r="CB236" s="28"/>
      <c r="CC23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36" s="54" t="str">
        <f>IF(
AND(
Cartera1017[[#This Row],[DEVOLVER 27]]="NO",
NOT(ISBLANK(Cartera1017[[#This Row],[ESTADO NO DEVUELTOS 27]]))
),
"PRE",
"POST"
)</f>
        <v>POST</v>
      </c>
      <c r="CE236" s="54"/>
      <c r="CF236" s="28"/>
      <c r="CG23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3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36"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36" s="406">
        <f>Cartera1017[[#This Row],[Porcentaje de Avance]]</f>
        <v>0.15</v>
      </c>
      <c r="CK236" s="388" t="str">
        <f>IF(
   OR(
     Cartera1017[[#This Row],[Estado TI]]="09. Descartado",
     Cartera1017[[#This Row],[Comienzo Desarrollo]]="",
     Cartera1017[[#This Row],[Fin Producción]]=""
   ),
   "",
   Cartera1017[[#This Row],[% PLANIFICADO]]-Cartera1017[[#This Row],[% COMPLETADO]]
)</f>
        <v/>
      </c>
      <c r="CL236" s="388" t="str">
        <f ca="1">IF(
   OR(
     Cartera1017[[#This Row],[Estado TI]]="09. Descartado",
     Cartera1017[[#This Row],[Comienzo Desarrollo]]="",
     Cartera1017[[#This Row],[Fin Producción]]="",
     Cartera1017[[#This Row],[% PLANIFICADO]]=0
   ),
   "",
   MIN(Cartera1017[[#This Row],[% COMPLETADO]]/Cartera1017[[#This Row],[% PLANIFICADO]],1.2)
)</f>
        <v/>
      </c>
      <c r="CM236" s="229"/>
      <c r="CN236" s="229"/>
      <c r="CO236" s="229"/>
      <c r="CP236" s="229"/>
      <c r="CQ236" s="229"/>
      <c r="CR236" s="229"/>
      <c r="CS236" s="229"/>
      <c r="CT236" s="44">
        <f>IF(Cartera1017[[#This Row],[Fin Desarrollo]]="",25,IFERROR(NETWORKDAYS(Cartera1017[[#This Row],[Comienzo Desarrollo]],Cartera1017[[#This Row],[Fin Desarrollo]],FERIADOS[Fecha]),""))</f>
        <v>25</v>
      </c>
      <c r="CU23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36" s="44">
        <f>IF(OR(Cartera1017[[#This Row],[Comienzo Desarrollo]]="",Cartera1017[[#This Row],[Fin Desarrollo]]=""),200,IFERROR(Cartera1017[[#This Row],[DURACIÓN DESARROLLO DIAS]]*VLOOKUP(Cartera1017[[#This Row],[ID Mantenimiento]],MANT_HORAS[],2,FALSE),200))</f>
        <v>200</v>
      </c>
      <c r="CW236" s="110"/>
      <c r="CX236" s="110" t="str">
        <f>VLOOKUP(Cartera1017[[#This Row],[Estado TI]],Definiciones!$A$549:$B$559,2,FALSE)</f>
        <v>1. DESARROLLO</v>
      </c>
      <c r="CY236" s="28">
        <f ca="1">1-Cartera1017[[#This Row],[Porcentaje avanzado desarrollo]]</f>
        <v>0.9</v>
      </c>
      <c r="CZ23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6" s="28">
        <f ca="1">MAX(0,Cartera1017[[#This Row],[DURACIÓN DESARROLLO DIAS]]-Cartera1017[[#This Row],[Dias avanzados]])</f>
        <v>24</v>
      </c>
      <c r="DB236" s="28">
        <f ca="1">Cartera1017[[#This Row],[Dias avanzados]]*IFERROR(VLOOKUP(Cartera1017[[#This Row],[ID Mantenimiento]],MANT_HORAS[],2,FALSE),8)</f>
        <v>0.72727272727272729</v>
      </c>
      <c r="DC236" s="28">
        <f ca="1">Cartera1017[[#This Row],[Dias faltantes]]*IFERROR(VLOOKUP(Cartera1017[[#This Row],[ID Mantenimiento]],MANT_HORAS[],2,FALSE),8)</f>
        <v>17.454545454545453</v>
      </c>
      <c r="DD236" s="28" t="str">
        <f>IF(Cartera1017[[#This Row],[Fin Producción]]=0,"Por definir",CONCATENATE(YEAR(Cartera1017[[#This Row],[Fin Producción]]),"-",ROUNDUP(MONTH(Cartera1017[[#This Row],[Fin Producción]]),0)))</f>
        <v>Por definir</v>
      </c>
      <c r="DE236" s="18" t="s">
        <v>1719</v>
      </c>
      <c r="DF236" s="28"/>
      <c r="DG236" s="28"/>
      <c r="DH236" s="565"/>
    </row>
    <row r="237" spans="1:112" ht="44.25" hidden="1" customHeight="1">
      <c r="A237" s="229" t="s">
        <v>2033</v>
      </c>
      <c r="B237" s="18">
        <v>3192</v>
      </c>
      <c r="C237" s="18" t="s">
        <v>485</v>
      </c>
      <c r="D237" s="18" t="s">
        <v>2034</v>
      </c>
      <c r="E237" s="18" t="s">
        <v>2035</v>
      </c>
      <c r="F237" s="33" t="s">
        <v>2036</v>
      </c>
      <c r="G237" s="19"/>
      <c r="H237" s="18" t="s">
        <v>62</v>
      </c>
      <c r="I237" s="18" t="s">
        <v>628</v>
      </c>
      <c r="J237" s="18" t="s">
        <v>1689</v>
      </c>
      <c r="K237" s="20">
        <v>46092</v>
      </c>
      <c r="L237" s="50" t="s">
        <v>2037</v>
      </c>
      <c r="M237" s="50" t="s">
        <v>1691</v>
      </c>
      <c r="N237" s="50"/>
      <c r="O237" s="18" t="s">
        <v>548</v>
      </c>
      <c r="P237" s="18" t="s">
        <v>495</v>
      </c>
      <c r="Q237" s="18" t="s">
        <v>496</v>
      </c>
      <c r="R237" s="18" t="s">
        <v>497</v>
      </c>
      <c r="S237" s="18"/>
      <c r="T237" s="18"/>
      <c r="U237" s="18"/>
      <c r="V237" s="18"/>
      <c r="W237" s="18"/>
      <c r="X237" s="18"/>
      <c r="Y237" s="80"/>
      <c r="Z237" s="18" t="s">
        <v>499</v>
      </c>
      <c r="AA237" s="20">
        <v>46119</v>
      </c>
      <c r="AB237" s="18" t="s">
        <v>533</v>
      </c>
      <c r="AC237" s="18"/>
      <c r="AD237" s="18" t="s">
        <v>37</v>
      </c>
      <c r="AE237" s="18" t="s">
        <v>63</v>
      </c>
      <c r="AF237" s="18" t="s">
        <v>53</v>
      </c>
      <c r="AG237" s="14" t="str">
        <f>VLOOKUP(AF237,Tabla3[[Estado Requerimiento]:[Macro estado]],2,FALSE)</f>
        <v>03. Culminado</v>
      </c>
      <c r="AH237" s="18"/>
      <c r="AI237" s="80"/>
      <c r="AJ237" s="80"/>
      <c r="AK237" s="80">
        <v>46094</v>
      </c>
      <c r="AL237" s="80">
        <v>46094</v>
      </c>
      <c r="AM237" s="80"/>
      <c r="AN237" s="80">
        <v>46094</v>
      </c>
      <c r="AO237" s="80">
        <v>46094</v>
      </c>
      <c r="AP237" s="81">
        <f t="shared" si="6"/>
        <v>46094</v>
      </c>
      <c r="AQ237" s="80">
        <v>46106</v>
      </c>
      <c r="AR237" s="80">
        <v>46106</v>
      </c>
      <c r="AS237" s="81">
        <f t="shared" si="7"/>
        <v>46101</v>
      </c>
      <c r="AT237" s="198" t="s">
        <v>2038</v>
      </c>
      <c r="AU237" s="44" t="str">
        <f>VLOOKUP(Cartera1017[[#This Row],[Gerencia]],tbGerencia[#All],3,FALSE)</f>
        <v>Logística</v>
      </c>
      <c r="AV237" s="44" t="str">
        <f>IFERROR(VLOOKUP(Cartera1017[[#This Row],[Subgerencia]],Definiciones!$A$90:$B$144,2,FALSE),"")</f>
        <v>Servicios</v>
      </c>
      <c r="AW237" s="44" t="str">
        <f>IF(OR(LEN(Cartera1017[[#This Row],[Fecha de Solicitud]])=0,(Cartera1017[[#This Row],[Fecha de Solicitud]])="No definido"),"No definido",IF(YEAR(Cartera1017[[#This Row],[Fecha de Solicitud]])&lt;2023," &lt;  2023",TEXT(Cartera1017[[#This Row],[Fecha de Solicitud]],"yyyy-mm")))</f>
        <v>2026-03</v>
      </c>
      <c r="AX237" s="44" t="str">
        <f>IF(Cartera1017[[#This Row],[Fecha de Priorización Comité]]="","No definido",TEXT(Cartera1017[[#This Row],[Fecha de Priorización Comité]],"yyyy-mm"))</f>
        <v>2026-04</v>
      </c>
      <c r="AY237" s="44" t="str">
        <f>IF(Cartera1017[[#This Row],[Fecha Fin- Desarrollo]]="","No definido",TEXT(Cartera1017[[#This Row],[Fecha Fin- Desarrollo]],"yyyy-mm"))</f>
        <v>2026-03</v>
      </c>
      <c r="AZ237" s="44" t="str">
        <f>IF(Cartera1017[[#This Row],[Fecha Fin- Producción]]="","No definido",TEXT(Cartera1017[[#This Row],[Fecha Fin- Producción]],"yyyy-mm"))</f>
        <v>2026-03</v>
      </c>
      <c r="BA237" s="44" t="str">
        <f>IF(Cartera1017[[#This Row],[Fecha Fin-Planificada]]="","No definido",TEXT(Cartera1017[[#This Row],[Fecha Fin-Planificada]],"yyyy-mm"))</f>
        <v>2026-03</v>
      </c>
      <c r="BB237" s="33"/>
      <c r="BC237" s="108"/>
      <c r="BD237" s="108"/>
      <c r="BE237" s="108"/>
      <c r="BF237" s="127"/>
      <c r="BG237" s="28"/>
      <c r="BH23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12</v>
      </c>
      <c r="BI237" s="90">
        <f>IF(ISNUMBER(Cartera1017[[#This Row],[Duracion en Dias]]),Cartera1017[[#This Row],[Duracion en Dias]]/30, "No Aplica")</f>
        <v>0.4</v>
      </c>
      <c r="BJ237" s="109"/>
      <c r="BK237" s="28" t="s">
        <v>506</v>
      </c>
      <c r="BL237" s="110" t="s">
        <v>536</v>
      </c>
      <c r="BM237" s="342">
        <v>46106.384398148148</v>
      </c>
      <c r="BN237" s="227"/>
      <c r="BO237" s="401"/>
      <c r="BP237" s="401"/>
      <c r="BQ23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7" s="14" t="str">
        <f>IFERROR(VLOOKUP(Cartera1017[[#This Row],[Aplicativo]],Tabla76[],2,FALSE),"Sin Aplicativo")</f>
        <v>BackOffice</v>
      </c>
      <c r="BS237" s="14" t="str">
        <f>IFERROR(VLOOKUP(Cartera1017[[#This Row],[Aplicativo]],Tabla76[],3,FALSE),"Sin Aplicativo")</f>
        <v>Otros Requerimientos</v>
      </c>
      <c r="BT237" s="400"/>
      <c r="BU237" s="33"/>
      <c r="BV237" s="28"/>
      <c r="BW23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46106</v>
      </c>
      <c r="BX23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7" s="149" t="str">
        <f ca="1">IF(Cartera1017[[#This Row],[Fecha Fin2]]="","No definido",CONCATENATE(TEXT(Cartera1017[[#This Row],[Fecha Fin2]],"mmm")," ",YEAR(Cartera1017[[#This Row],[Fecha Fin2]])))</f>
        <v>Mar 2026</v>
      </c>
      <c r="BZ237" s="28"/>
      <c r="CA237" s="48" t="str">
        <f>IF(Cartera1017[[#This Row],[Estado TI]] = "08. Producción Finalizada","Culminado",IF(Cartera1017[[#This Row],[Estado TI]]= "09. Descartado","Descartado","Activos"))</f>
        <v>Culminado</v>
      </c>
      <c r="CB237" s="28"/>
      <c r="CC23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37" s="54" t="str">
        <f>IF(
AND(
Cartera1017[[#This Row],[DEVOLVER 27]]="NO",
NOT(ISBLANK(Cartera1017[[#This Row],[ESTADO NO DEVUELTOS 27]]))
),
"PRE",
"POST"
)</f>
        <v>POST</v>
      </c>
      <c r="CE237" s="54"/>
      <c r="CF237" s="28"/>
      <c r="CG23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3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37"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7" s="406">
        <f>Cartera1017[[#This Row],[Porcentaje de Avance]]</f>
        <v>1</v>
      </c>
      <c r="CK237" s="388" t="str">
        <f>IF(
   OR(
     Cartera1017[[#This Row],[Estado TI]]="09. Descartado",
     Cartera1017[[#This Row],[Comienzo Desarrollo]]="",
     Cartera1017[[#This Row],[Fin Producción]]=""
   ),
   "",
   Cartera1017[[#This Row],[% PLANIFICADO]]-Cartera1017[[#This Row],[% COMPLETADO]]
)</f>
        <v/>
      </c>
      <c r="CL237" s="388" t="str">
        <f ca="1">IF(
   OR(
     Cartera1017[[#This Row],[Estado TI]]="09. Descartado",
     Cartera1017[[#This Row],[Comienzo Desarrollo]]="",
     Cartera1017[[#This Row],[Fin Producción]]="",
     Cartera1017[[#This Row],[% PLANIFICADO]]=0
   ),
   "",
   MIN(Cartera1017[[#This Row],[% COMPLETADO]]/Cartera1017[[#This Row],[% PLANIFICADO]],1.2)
)</f>
        <v/>
      </c>
      <c r="CM237" s="229"/>
      <c r="CN237" s="229"/>
      <c r="CO237" s="229"/>
      <c r="CP237" s="229"/>
      <c r="CQ237" s="229"/>
      <c r="CR237" s="229"/>
      <c r="CS237" s="229"/>
      <c r="CT237" s="44">
        <f>IF(Cartera1017[[#This Row],[Fin Desarrollo]]="",25,IFERROR(NETWORKDAYS(Cartera1017[[#This Row],[Comienzo Desarrollo]],Cartera1017[[#This Row],[Fin Desarrollo]],FERIADOS[Fecha]),""))</f>
        <v>25</v>
      </c>
      <c r="CU23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37" s="44">
        <f>IF(OR(Cartera1017[[#This Row],[Comienzo Desarrollo]]="",Cartera1017[[#This Row],[Fin Desarrollo]]=""),200,IFERROR(Cartera1017[[#This Row],[DURACIÓN DESARROLLO DIAS]]*VLOOKUP(Cartera1017[[#This Row],[ID Mantenimiento]],MANT_HORAS[],2,FALSE),200))</f>
        <v>200</v>
      </c>
      <c r="CW237" s="110"/>
      <c r="CX237" s="110" t="str">
        <f>VLOOKUP(Cartera1017[[#This Row],[Estado TI]],Definiciones!$A$549:$B$559,2,FALSE)</f>
        <v>4. PRODUCCIÓN</v>
      </c>
      <c r="CY237" s="28">
        <f ca="1">1-Cartera1017[[#This Row],[Porcentaje avanzado desarrollo]]</f>
        <v>0.9</v>
      </c>
      <c r="CZ23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7" s="28">
        <f ca="1">MAX(0,Cartera1017[[#This Row],[DURACIÓN DESARROLLO DIAS]]-Cartera1017[[#This Row],[Dias avanzados]])</f>
        <v>24</v>
      </c>
      <c r="DB237" s="28">
        <f ca="1">Cartera1017[[#This Row],[Dias avanzados]]*IFERROR(VLOOKUP(Cartera1017[[#This Row],[ID Mantenimiento]],MANT_HORAS[],2,FALSE),8)</f>
        <v>8</v>
      </c>
      <c r="DC237" s="28">
        <f ca="1">Cartera1017[[#This Row],[Dias faltantes]]*IFERROR(VLOOKUP(Cartera1017[[#This Row],[ID Mantenimiento]],MANT_HORAS[],2,FALSE),8)</f>
        <v>192</v>
      </c>
      <c r="DD237" s="28" t="str">
        <f>IF(Cartera1017[[#This Row],[Fin Producción]]=0,"Por definir",CONCATENATE(YEAR(Cartera1017[[#This Row],[Fin Producción]]),"-",ROUNDUP(MONTH(Cartera1017[[#This Row],[Fin Producción]]),0)))</f>
        <v>Por definir</v>
      </c>
      <c r="DE237" s="18" t="s">
        <v>1719</v>
      </c>
      <c r="DF237" s="28"/>
      <c r="DG237" s="28"/>
      <c r="DH237" s="565"/>
    </row>
    <row r="238" spans="1:112" ht="44.25" hidden="1" customHeight="1">
      <c r="A238" s="229" t="s">
        <v>2039</v>
      </c>
      <c r="B238" s="18">
        <v>3202</v>
      </c>
      <c r="C238" s="18" t="s">
        <v>485</v>
      </c>
      <c r="D238" s="18" t="s">
        <v>2040</v>
      </c>
      <c r="E238" s="18" t="s">
        <v>2041</v>
      </c>
      <c r="F238" s="33" t="s">
        <v>2042</v>
      </c>
      <c r="G238" s="19"/>
      <c r="H238" s="18" t="s">
        <v>46</v>
      </c>
      <c r="I238" s="18"/>
      <c r="J238" s="18"/>
      <c r="K238" s="20">
        <v>46071</v>
      </c>
      <c r="L238" s="50" t="s">
        <v>2043</v>
      </c>
      <c r="M238" s="50" t="s">
        <v>590</v>
      </c>
      <c r="N238" s="50"/>
      <c r="O238" s="18" t="s">
        <v>530</v>
      </c>
      <c r="P238" s="18" t="s">
        <v>495</v>
      </c>
      <c r="Q238" s="18" t="s">
        <v>496</v>
      </c>
      <c r="R238" s="18" t="s">
        <v>531</v>
      </c>
      <c r="S238" s="18"/>
      <c r="T238" s="18"/>
      <c r="U238" s="18"/>
      <c r="V238" s="18"/>
      <c r="W238" s="18"/>
      <c r="X238" s="18"/>
      <c r="Y238" s="80"/>
      <c r="Z238" s="18" t="s">
        <v>499</v>
      </c>
      <c r="AA238" s="20">
        <v>46119</v>
      </c>
      <c r="AB238" s="18" t="s">
        <v>500</v>
      </c>
      <c r="AC238" s="18"/>
      <c r="AD238" s="18" t="s">
        <v>2044</v>
      </c>
      <c r="AE238" s="18" t="s">
        <v>47</v>
      </c>
      <c r="AF238" s="18" t="s">
        <v>53</v>
      </c>
      <c r="AG238" s="14" t="str">
        <f>VLOOKUP(AF238,Tabla3[[Estado Requerimiento]:[Macro estado]],2,FALSE)</f>
        <v>03. Culminado</v>
      </c>
      <c r="AH238" s="18"/>
      <c r="AI238" s="80"/>
      <c r="AJ238" s="80"/>
      <c r="AK238" s="80">
        <v>46105</v>
      </c>
      <c r="AL238" s="80">
        <v>46105</v>
      </c>
      <c r="AM238" s="80"/>
      <c r="AN238" s="80">
        <v>46108</v>
      </c>
      <c r="AO238" s="80">
        <v>46112</v>
      </c>
      <c r="AP238" s="81">
        <f t="shared" si="6"/>
        <v>46105</v>
      </c>
      <c r="AQ238" s="80">
        <v>46113</v>
      </c>
      <c r="AR238" s="80">
        <v>46114</v>
      </c>
      <c r="AS238" s="81">
        <f t="shared" si="7"/>
        <v>46112</v>
      </c>
      <c r="AT238" s="198" t="s">
        <v>2045</v>
      </c>
      <c r="AU238" s="44" t="str">
        <f>VLOOKUP(Cartera1017[[#This Row],[Gerencia]],tbGerencia[#All],3,FALSE)</f>
        <v>PLAFT</v>
      </c>
      <c r="AV238" s="44" t="str">
        <f>IFERROR(VLOOKUP(Cartera1017[[#This Row],[Subgerencia]],Definiciones!$A$90:$B$144,2,FALSE),"")</f>
        <v/>
      </c>
      <c r="AW238" s="44" t="str">
        <f>IF(OR(LEN(Cartera1017[[#This Row],[Fecha de Solicitud]])=0,(Cartera1017[[#This Row],[Fecha de Solicitud]])="No definido"),"No definido",IF(YEAR(Cartera1017[[#This Row],[Fecha de Solicitud]])&lt;2023," &lt;  2023",TEXT(Cartera1017[[#This Row],[Fecha de Solicitud]],"yyyy-mm")))</f>
        <v>2026-02</v>
      </c>
      <c r="AX238" s="44" t="str">
        <f>IF(Cartera1017[[#This Row],[Fecha de Priorización Comité]]="","No definido",TEXT(Cartera1017[[#This Row],[Fecha de Priorización Comité]],"yyyy-mm"))</f>
        <v>2026-04</v>
      </c>
      <c r="AY238" s="44" t="str">
        <f>IF(Cartera1017[[#This Row],[Fecha Fin- Desarrollo]]="","No definido",TEXT(Cartera1017[[#This Row],[Fecha Fin- Desarrollo]],"yyyy-mm"))</f>
        <v>2026-03</v>
      </c>
      <c r="AZ238" s="44" t="str">
        <f>IF(Cartera1017[[#This Row],[Fecha Fin- Producción]]="","No definido",TEXT(Cartera1017[[#This Row],[Fecha Fin- Producción]],"yyyy-mm"))</f>
        <v>2026-04</v>
      </c>
      <c r="BA238" s="44" t="str">
        <f>IF(Cartera1017[[#This Row],[Fecha Fin-Planificada]]="","No definido",TEXT(Cartera1017[[#This Row],[Fecha Fin-Planificada]],"yyyy-mm"))</f>
        <v>2026-03</v>
      </c>
      <c r="BB238" s="33"/>
      <c r="BC238" s="108"/>
      <c r="BD238" s="108"/>
      <c r="BE238" s="108"/>
      <c r="BF238" s="127"/>
      <c r="BG238" s="28"/>
      <c r="BH23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9</v>
      </c>
      <c r="BI238" s="90">
        <f>IF(ISNUMBER(Cartera1017[[#This Row],[Duracion en Dias]]),Cartera1017[[#This Row],[Duracion en Dias]]/30, "No Aplica")</f>
        <v>0.3</v>
      </c>
      <c r="BJ238" s="109"/>
      <c r="BK238" s="28" t="s">
        <v>506</v>
      </c>
      <c r="BL238" s="110" t="s">
        <v>536</v>
      </c>
      <c r="BM238" s="342">
        <v>46114.040937500002</v>
      </c>
      <c r="BN238" s="227"/>
      <c r="BO238" s="401"/>
      <c r="BP238" s="401"/>
      <c r="BQ23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8" s="14" t="str">
        <f>IFERROR(VLOOKUP(Cartera1017[[#This Row],[Aplicativo]],Tabla76[],2,FALSE),"Sin Aplicativo")</f>
        <v>BackOffice</v>
      </c>
      <c r="BS238" s="14" t="str">
        <f>IFERROR(VLOOKUP(Cartera1017[[#This Row],[Aplicativo]],Tabla76[],3,FALSE),"Sin Aplicativo")</f>
        <v>Otros Requerimientos</v>
      </c>
      <c r="BT238" s="400"/>
      <c r="BU238" s="33"/>
      <c r="BV238" s="28"/>
      <c r="BW23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46114</v>
      </c>
      <c r="BX23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8" s="149" t="str">
        <f ca="1">IF(Cartera1017[[#This Row],[Fecha Fin2]]="","No definido",CONCATENATE(TEXT(Cartera1017[[#This Row],[Fecha Fin2]],"mmm")," ",YEAR(Cartera1017[[#This Row],[Fecha Fin2]])))</f>
        <v>Abr 2026</v>
      </c>
      <c r="BZ238" s="28"/>
      <c r="CA238" s="48" t="str">
        <f>IF(Cartera1017[[#This Row],[Estado TI]] = "08. Producción Finalizada","Culminado",IF(Cartera1017[[#This Row],[Estado TI]]= "09. Descartado","Descartado","Activos"))</f>
        <v>Culminado</v>
      </c>
      <c r="CB238" s="28"/>
      <c r="CC23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38" s="54" t="str">
        <f>IF(
AND(
Cartera1017[[#This Row],[DEVOLVER 27]]="NO",
NOT(ISBLANK(Cartera1017[[#This Row],[ESTADO NO DEVUELTOS 27]]))
),
"PRE",
"POST"
)</f>
        <v>POST</v>
      </c>
      <c r="CE238" s="54"/>
      <c r="CF238" s="28"/>
      <c r="CG23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3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38"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8" s="406">
        <f>Cartera1017[[#This Row],[Porcentaje de Avance]]</f>
        <v>1</v>
      </c>
      <c r="CK238" s="388" t="str">
        <f>IF(
   OR(
     Cartera1017[[#This Row],[Estado TI]]="09. Descartado",
     Cartera1017[[#This Row],[Comienzo Desarrollo]]="",
     Cartera1017[[#This Row],[Fin Producción]]=""
   ),
   "",
   Cartera1017[[#This Row],[% PLANIFICADO]]-Cartera1017[[#This Row],[% COMPLETADO]]
)</f>
        <v/>
      </c>
      <c r="CL238" s="388" t="str">
        <f ca="1">IF(
   OR(
     Cartera1017[[#This Row],[Estado TI]]="09. Descartado",
     Cartera1017[[#This Row],[Comienzo Desarrollo]]="",
     Cartera1017[[#This Row],[Fin Producción]]="",
     Cartera1017[[#This Row],[% PLANIFICADO]]=0
   ),
   "",
   MIN(Cartera1017[[#This Row],[% COMPLETADO]]/Cartera1017[[#This Row],[% PLANIFICADO]],1.2)
)</f>
        <v/>
      </c>
      <c r="CM238" s="229"/>
      <c r="CN238" s="229"/>
      <c r="CO238" s="229"/>
      <c r="CP238" s="229"/>
      <c r="CQ238" s="229"/>
      <c r="CR238" s="229"/>
      <c r="CS238" s="229"/>
      <c r="CT238" s="44">
        <f>IF(Cartera1017[[#This Row],[Fin Desarrollo]]="",25,IFERROR(NETWORKDAYS(Cartera1017[[#This Row],[Comienzo Desarrollo]],Cartera1017[[#This Row],[Fin Desarrollo]],FERIADOS[Fecha]),""))</f>
        <v>25</v>
      </c>
      <c r="CU23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38" s="44">
        <f>IF(OR(Cartera1017[[#This Row],[Comienzo Desarrollo]]="",Cartera1017[[#This Row],[Fin Desarrollo]]=""),200,IFERROR(Cartera1017[[#This Row],[DURACIÓN DESARROLLO DIAS]]*VLOOKUP(Cartera1017[[#This Row],[ID Mantenimiento]],MANT_HORAS[],2,FALSE),200))</f>
        <v>200</v>
      </c>
      <c r="CW238" s="110"/>
      <c r="CX238" s="110" t="str">
        <f>VLOOKUP(Cartera1017[[#This Row],[Estado TI]],Definiciones!$A$549:$B$559,2,FALSE)</f>
        <v>4. PRODUCCIÓN</v>
      </c>
      <c r="CY238" s="28">
        <f ca="1">1-Cartera1017[[#This Row],[Porcentaje avanzado desarrollo]]</f>
        <v>0.9</v>
      </c>
      <c r="CZ23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8" s="28">
        <f ca="1">MAX(0,Cartera1017[[#This Row],[DURACIÓN DESARROLLO DIAS]]-Cartera1017[[#This Row],[Dias avanzados]])</f>
        <v>24</v>
      </c>
      <c r="DB238" s="28">
        <f ca="1">Cartera1017[[#This Row],[Dias avanzados]]*IFERROR(VLOOKUP(Cartera1017[[#This Row],[ID Mantenimiento]],MANT_HORAS[],2,FALSE),8)</f>
        <v>8</v>
      </c>
      <c r="DC238" s="28">
        <f ca="1">Cartera1017[[#This Row],[Dias faltantes]]*IFERROR(VLOOKUP(Cartera1017[[#This Row],[ID Mantenimiento]],MANT_HORAS[],2,FALSE),8)</f>
        <v>192</v>
      </c>
      <c r="DD238" s="28" t="str">
        <f>IF(Cartera1017[[#This Row],[Fin Producción]]=0,"Por definir",CONCATENATE(YEAR(Cartera1017[[#This Row],[Fin Producción]]),"-",ROUNDUP(MONTH(Cartera1017[[#This Row],[Fin Producción]]),0)))</f>
        <v>Por definir</v>
      </c>
      <c r="DE238" s="18" t="s">
        <v>1719</v>
      </c>
      <c r="DF238" s="28"/>
      <c r="DG238" s="28"/>
      <c r="DH238" s="565"/>
    </row>
    <row r="239" spans="1:112" ht="44.25" hidden="1" customHeight="1">
      <c r="A239" s="229" t="s">
        <v>2046</v>
      </c>
      <c r="B239" s="18">
        <v>3203</v>
      </c>
      <c r="C239" s="18" t="s">
        <v>485</v>
      </c>
      <c r="D239" s="18" t="s">
        <v>2047</v>
      </c>
      <c r="E239" s="18" t="s">
        <v>2048</v>
      </c>
      <c r="F239" s="33" t="s">
        <v>2049</v>
      </c>
      <c r="G239" s="19"/>
      <c r="H239" s="18" t="s">
        <v>26</v>
      </c>
      <c r="I239" s="18" t="s">
        <v>539</v>
      </c>
      <c r="J239" s="18" t="s">
        <v>540</v>
      </c>
      <c r="K239" s="20">
        <v>46099</v>
      </c>
      <c r="L239" s="50" t="s">
        <v>2050</v>
      </c>
      <c r="M239" s="50" t="s">
        <v>742</v>
      </c>
      <c r="N239" s="50"/>
      <c r="O239" s="18" t="s">
        <v>530</v>
      </c>
      <c r="P239" s="18" t="s">
        <v>495</v>
      </c>
      <c r="Q239" s="18" t="s">
        <v>496</v>
      </c>
      <c r="R239" s="18" t="s">
        <v>497</v>
      </c>
      <c r="S239" s="18"/>
      <c r="T239" s="18"/>
      <c r="U239" s="18"/>
      <c r="V239" s="18"/>
      <c r="W239" s="18"/>
      <c r="X239" s="18"/>
      <c r="Y239" s="80"/>
      <c r="Z239" s="18" t="s">
        <v>499</v>
      </c>
      <c r="AA239" s="20">
        <v>46119</v>
      </c>
      <c r="AB239" s="18" t="s">
        <v>2051</v>
      </c>
      <c r="AC239" s="18"/>
      <c r="AD239" s="18" t="s">
        <v>153</v>
      </c>
      <c r="AE239" s="18" t="s">
        <v>27</v>
      </c>
      <c r="AF239" s="18" t="s">
        <v>53</v>
      </c>
      <c r="AG239" s="14" t="str">
        <f>VLOOKUP(AF239,Tabla3[[Estado Requerimiento]:[Macro estado]],2,FALSE)</f>
        <v>03. Culminado</v>
      </c>
      <c r="AH239" s="18"/>
      <c r="AI239" s="80"/>
      <c r="AJ239" s="80"/>
      <c r="AK239" s="80">
        <v>46104</v>
      </c>
      <c r="AL239" s="80"/>
      <c r="AM239" s="80"/>
      <c r="AN239" s="80"/>
      <c r="AO239" s="80"/>
      <c r="AP239" s="81" t="str">
        <f t="shared" si="6"/>
        <v/>
      </c>
      <c r="AQ239" s="80">
        <v>46104</v>
      </c>
      <c r="AR239" s="80">
        <v>46149</v>
      </c>
      <c r="AS239" s="81" t="str">
        <f t="shared" si="7"/>
        <v/>
      </c>
      <c r="AT239" s="198" t="s">
        <v>2052</v>
      </c>
      <c r="AU239" s="44" t="str">
        <f>VLOOKUP(Cartera1017[[#This Row],[Gerencia]],tbGerencia[#All],3,FALSE)</f>
        <v>B.Digital</v>
      </c>
      <c r="AV239" s="44" t="str">
        <f>IFERROR(VLOOKUP(Cartera1017[[#This Row],[Subgerencia]],Definiciones!$A$90:$B$144,2,FALSE),"")</f>
        <v>CanalesAlternos</v>
      </c>
      <c r="AW239" s="44" t="str">
        <f>IF(OR(LEN(Cartera1017[[#This Row],[Fecha de Solicitud]])=0,(Cartera1017[[#This Row],[Fecha de Solicitud]])="No definido"),"No definido",IF(YEAR(Cartera1017[[#This Row],[Fecha de Solicitud]])&lt;2023," &lt;  2023",TEXT(Cartera1017[[#This Row],[Fecha de Solicitud]],"yyyy-mm")))</f>
        <v>2026-03</v>
      </c>
      <c r="AX239" s="44" t="str">
        <f>IF(Cartera1017[[#This Row],[Fecha de Priorización Comité]]="","No definido",TEXT(Cartera1017[[#This Row],[Fecha de Priorización Comité]],"yyyy-mm"))</f>
        <v>2026-04</v>
      </c>
      <c r="AY239" s="44" t="str">
        <f>IF(Cartera1017[[#This Row],[Fecha Fin- Desarrollo]]="","No definido",TEXT(Cartera1017[[#This Row],[Fecha Fin- Desarrollo]],"yyyy-mm"))</f>
        <v>No definido</v>
      </c>
      <c r="AZ239" s="44" t="str">
        <f>IF(Cartera1017[[#This Row],[Fecha Fin- Producción]]="","No definido",TEXT(Cartera1017[[#This Row],[Fecha Fin- Producción]],"yyyy-mm"))</f>
        <v>2026-05</v>
      </c>
      <c r="BA239" s="44" t="str">
        <f>IF(Cartera1017[[#This Row],[Fecha Fin-Planificada]]="","No definido",TEXT(Cartera1017[[#This Row],[Fecha Fin-Planificada]],"yyyy-mm"))</f>
        <v>No definido</v>
      </c>
      <c r="BB239" s="33"/>
      <c r="BC239" s="108"/>
      <c r="BD239" s="108"/>
      <c r="BE239" s="108"/>
      <c r="BF239" s="127"/>
      <c r="BG239" s="28"/>
      <c r="BH23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45</v>
      </c>
      <c r="BI239" s="90">
        <f>IF(ISNUMBER(Cartera1017[[#This Row],[Duracion en Dias]]),Cartera1017[[#This Row],[Duracion en Dias]]/30, "No Aplica")</f>
        <v>1.5</v>
      </c>
      <c r="BJ239" s="109"/>
      <c r="BK239" s="28" t="s">
        <v>506</v>
      </c>
      <c r="BL239" s="110" t="s">
        <v>636</v>
      </c>
      <c r="BM239" s="342">
        <v>46149.392893518518</v>
      </c>
      <c r="BN239" s="227"/>
      <c r="BO239" s="401"/>
      <c r="BP239" s="401"/>
      <c r="BQ23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9" s="14" t="str">
        <f>IFERROR(VLOOKUP(Cartera1017[[#This Row],[Aplicativo]],Tabla76[],2,FALSE),"Sin Aplicativo")</f>
        <v>Pagalo.pe</v>
      </c>
      <c r="BS239" s="14" t="str">
        <f>IFERROR(VLOOKUP(Cartera1017[[#This Row],[Aplicativo]],Tabla76[],3,FALSE),"Sin Aplicativo")</f>
        <v>Canales Virtuales</v>
      </c>
      <c r="BT239" s="400"/>
      <c r="BU239" s="33"/>
      <c r="BV239" s="28"/>
      <c r="BW23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46149</v>
      </c>
      <c r="BX23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9" s="149" t="str">
        <f ca="1">IF(Cartera1017[[#This Row],[Fecha Fin2]]="","No definido",CONCATENATE(TEXT(Cartera1017[[#This Row],[Fecha Fin2]],"mmm")," ",YEAR(Cartera1017[[#This Row],[Fecha Fin2]])))</f>
        <v>May 2026</v>
      </c>
      <c r="BZ239" s="28"/>
      <c r="CA239" s="48" t="str">
        <f>IF(Cartera1017[[#This Row],[Estado TI]] = "08. Producción Finalizada","Culminado",IF(Cartera1017[[#This Row],[Estado TI]]= "09. Descartado","Descartado","Activos"))</f>
        <v>Culminado</v>
      </c>
      <c r="CB239" s="28"/>
      <c r="CC23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39" s="54" t="str">
        <f>IF(
AND(
Cartera1017[[#This Row],[DEVOLVER 27]]="NO",
NOT(ISBLANK(Cartera1017[[#This Row],[ESTADO NO DEVUELTOS 27]]))
),
"PRE",
"POST"
)</f>
        <v>POST</v>
      </c>
      <c r="CE239" s="54"/>
      <c r="CF239" s="28"/>
      <c r="CG23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3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39"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9" s="406">
        <f>Cartera1017[[#This Row],[Porcentaje de Avance]]</f>
        <v>1</v>
      </c>
      <c r="CK239" s="388" t="str">
        <f>IF(
   OR(
     Cartera1017[[#This Row],[Estado TI]]="09. Descartado",
     Cartera1017[[#This Row],[Comienzo Desarrollo]]="",
     Cartera1017[[#This Row],[Fin Producción]]=""
   ),
   "",
   Cartera1017[[#This Row],[% PLANIFICADO]]-Cartera1017[[#This Row],[% COMPLETADO]]
)</f>
        <v/>
      </c>
      <c r="CL239" s="388" t="str">
        <f ca="1">IF(
   OR(
     Cartera1017[[#This Row],[Estado TI]]="09. Descartado",
     Cartera1017[[#This Row],[Comienzo Desarrollo]]="",
     Cartera1017[[#This Row],[Fin Producción]]="",
     Cartera1017[[#This Row],[% PLANIFICADO]]=0
   ),
   "",
   MIN(Cartera1017[[#This Row],[% COMPLETADO]]/Cartera1017[[#This Row],[% PLANIFICADO]],1.2)
)</f>
        <v/>
      </c>
      <c r="CM239" s="229"/>
      <c r="CN239" s="229"/>
      <c r="CO239" s="229"/>
      <c r="CP239" s="229"/>
      <c r="CQ239" s="229"/>
      <c r="CR239" s="229"/>
      <c r="CS239" s="229"/>
      <c r="CT239" s="44">
        <f>IF(Cartera1017[[#This Row],[Fin Desarrollo]]="",25,IFERROR(NETWORKDAYS(Cartera1017[[#This Row],[Comienzo Desarrollo]],Cartera1017[[#This Row],[Fin Desarrollo]],FERIADOS[Fecha]),""))</f>
        <v>25</v>
      </c>
      <c r="CU23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39" s="44">
        <f>IF(OR(Cartera1017[[#This Row],[Comienzo Desarrollo]]="",Cartera1017[[#This Row],[Fin Desarrollo]]=""),200,IFERROR(Cartera1017[[#This Row],[DURACIÓN DESARROLLO DIAS]]*VLOOKUP(Cartera1017[[#This Row],[ID Mantenimiento]],MANT_HORAS[],2,FALSE),200))</f>
        <v>200</v>
      </c>
      <c r="CW239" s="110"/>
      <c r="CX239" s="110" t="str">
        <f>VLOOKUP(Cartera1017[[#This Row],[Estado TI]],Definiciones!$A$549:$B$559,2,FALSE)</f>
        <v>4. PRODUCCIÓN</v>
      </c>
      <c r="CY239" s="28">
        <f ca="1">1-Cartera1017[[#This Row],[Porcentaje avanzado desarrollo]]</f>
        <v>0.9</v>
      </c>
      <c r="CZ23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9" s="28">
        <f ca="1">MAX(0,Cartera1017[[#This Row],[DURACIÓN DESARROLLO DIAS]]-Cartera1017[[#This Row],[Dias avanzados]])</f>
        <v>24</v>
      </c>
      <c r="DB239" s="28">
        <f ca="1">Cartera1017[[#This Row],[Dias avanzados]]*IFERROR(VLOOKUP(Cartera1017[[#This Row],[ID Mantenimiento]],MANT_HORAS[],2,FALSE),8)</f>
        <v>8</v>
      </c>
      <c r="DC239" s="28">
        <f ca="1">Cartera1017[[#This Row],[Dias faltantes]]*IFERROR(VLOOKUP(Cartera1017[[#This Row],[ID Mantenimiento]],MANT_HORAS[],2,FALSE),8)</f>
        <v>192</v>
      </c>
      <c r="DD239" s="28" t="str">
        <f>IF(Cartera1017[[#This Row],[Fin Producción]]=0,"Por definir",CONCATENATE(YEAR(Cartera1017[[#This Row],[Fin Producción]]),"-",ROUNDUP(MONTH(Cartera1017[[#This Row],[Fin Producción]]),0)))</f>
        <v>Por definir</v>
      </c>
      <c r="DE239" s="18" t="s">
        <v>1719</v>
      </c>
      <c r="DF239" s="28"/>
      <c r="DG239" s="28" t="s">
        <v>659</v>
      </c>
      <c r="DH239" s="565"/>
    </row>
    <row r="240" spans="1:112" ht="44.25" hidden="1" customHeight="1">
      <c r="A240" s="229" t="s">
        <v>2053</v>
      </c>
      <c r="B240" s="18">
        <v>3204</v>
      </c>
      <c r="C240" s="18" t="s">
        <v>485</v>
      </c>
      <c r="D240" s="560" t="s">
        <v>2054</v>
      </c>
      <c r="E240" s="560"/>
      <c r="F240" s="124" t="s">
        <v>2055</v>
      </c>
      <c r="G240" s="19"/>
      <c r="H240" s="18" t="s">
        <v>40</v>
      </c>
      <c r="I240" s="18" t="s">
        <v>577</v>
      </c>
      <c r="J240" s="18" t="s">
        <v>578</v>
      </c>
      <c r="K240" s="20">
        <v>46057</v>
      </c>
      <c r="L240" s="50" t="s">
        <v>2056</v>
      </c>
      <c r="M240" s="50"/>
      <c r="N240" s="50"/>
      <c r="O240" s="18"/>
      <c r="P240" s="18"/>
      <c r="Q240" s="18"/>
      <c r="R240" s="18" t="s">
        <v>497</v>
      </c>
      <c r="S240" s="18"/>
      <c r="T240" s="18"/>
      <c r="U240" s="18"/>
      <c r="V240" s="18"/>
      <c r="W240" s="18"/>
      <c r="X240" s="18"/>
      <c r="Y240" s="80"/>
      <c r="Z240" s="18" t="s">
        <v>499</v>
      </c>
      <c r="AA240" s="20">
        <v>46119</v>
      </c>
      <c r="AB240" s="18" t="s">
        <v>2051</v>
      </c>
      <c r="AC240" s="18"/>
      <c r="AD240" s="18"/>
      <c r="AE240" s="18" t="s">
        <v>34</v>
      </c>
      <c r="AF240" s="18" t="s">
        <v>340</v>
      </c>
      <c r="AG240" s="14" t="str">
        <f>VLOOKUP(AF240,Tabla3[[Estado Requerimiento]:[Macro estado]],2,FALSE)</f>
        <v>01. No iniciado</v>
      </c>
      <c r="AH240" s="18"/>
      <c r="AI240" s="80"/>
      <c r="AJ240" s="80"/>
      <c r="AK240" s="80"/>
      <c r="AL240" s="80"/>
      <c r="AM240" s="80"/>
      <c r="AN240" s="80"/>
      <c r="AO240" s="80"/>
      <c r="AP240" s="81" t="str">
        <f t="shared" si="6"/>
        <v/>
      </c>
      <c r="AQ240" s="80"/>
      <c r="AR240" s="80"/>
      <c r="AS240" s="81" t="str">
        <f t="shared" si="7"/>
        <v/>
      </c>
      <c r="AT240" s="198" t="s">
        <v>2057</v>
      </c>
      <c r="AU240" s="44" t="str">
        <f>VLOOKUP(Cartera1017[[#This Row],[Gerencia]],tbGerencia[#All],3,FALSE)</f>
        <v>Operac.</v>
      </c>
      <c r="AV240" s="44" t="str">
        <f>IFERROR(VLOOKUP(Cartera1017[[#This Row],[Subgerencia]],Definiciones!$A$90:$B$144,2,FALSE),"")</f>
        <v>CaptacionesPagaduría</v>
      </c>
      <c r="AW240" s="44" t="str">
        <f>IF(OR(LEN(Cartera1017[[#This Row],[Fecha de Solicitud]])=0,(Cartera1017[[#This Row],[Fecha de Solicitud]])="No definido"),"No definido",IF(YEAR(Cartera1017[[#This Row],[Fecha de Solicitud]])&lt;2023," &lt;  2023",TEXT(Cartera1017[[#This Row],[Fecha de Solicitud]],"yyyy-mm")))</f>
        <v>2026-02</v>
      </c>
      <c r="AX240" s="44" t="str">
        <f>IF(Cartera1017[[#This Row],[Fecha de Priorización Comité]]="","No definido",TEXT(Cartera1017[[#This Row],[Fecha de Priorización Comité]],"yyyy-mm"))</f>
        <v>2026-04</v>
      </c>
      <c r="AY240" s="44" t="str">
        <f>IF(Cartera1017[[#This Row],[Fecha Fin- Desarrollo]]="","No definido",TEXT(Cartera1017[[#This Row],[Fecha Fin- Desarrollo]],"yyyy-mm"))</f>
        <v>No definido</v>
      </c>
      <c r="AZ240" s="44" t="str">
        <f>IF(Cartera1017[[#This Row],[Fecha Fin- Producción]]="","No definido",TEXT(Cartera1017[[#This Row],[Fecha Fin- Producción]],"yyyy-mm"))</f>
        <v>No definido</v>
      </c>
      <c r="BA240" s="44" t="str">
        <f>IF(Cartera1017[[#This Row],[Fecha Fin-Planificada]]="","No definido",TEXT(Cartera1017[[#This Row],[Fecha Fin-Planificada]],"yyyy-mm"))</f>
        <v>No definido</v>
      </c>
      <c r="BB240" s="33"/>
      <c r="BC240" s="108"/>
      <c r="BD240" s="108"/>
      <c r="BE240" s="108"/>
      <c r="BF240" s="127"/>
      <c r="BG240" s="28"/>
      <c r="BH24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40" s="90" t="str">
        <f>IF(ISNUMBER(Cartera1017[[#This Row],[Duracion en Dias]]),Cartera1017[[#This Row],[Duracion en Dias]]/30, "No Aplica")</f>
        <v>No Aplica</v>
      </c>
      <c r="BJ240" s="109"/>
      <c r="BK240" s="28"/>
      <c r="BL240" s="110"/>
      <c r="BM240" s="342"/>
      <c r="BN240" s="227"/>
      <c r="BO240" s="401"/>
      <c r="BP240" s="401"/>
      <c r="BQ24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40" s="14" t="str">
        <f>IFERROR(VLOOKUP(Cartera1017[[#This Row],[Aplicativo]],Tabla76[],2,FALSE),"Sin Aplicativo")</f>
        <v>Sin Aplicativo</v>
      </c>
      <c r="BS240" s="14" t="str">
        <f>IFERROR(VLOOKUP(Cartera1017[[#This Row],[Aplicativo]],Tabla76[],3,FALSE),"Sin Aplicativo")</f>
        <v>Sin Aplicativo</v>
      </c>
      <c r="BT240" s="400"/>
      <c r="BU240" s="33"/>
      <c r="BV240" s="28"/>
      <c r="BW24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40" s="149" t="str">
        <f ca="1">IF(Cartera1017[[#This Row],[Fecha Fin2]]="","No definido",CONCATENATE(TEXT(Cartera1017[[#This Row],[Fecha Fin2]],"mmm")," ",YEAR(Cartera1017[[#This Row],[Fecha Fin2]])))</f>
        <v>No definido</v>
      </c>
      <c r="BZ240" s="28"/>
      <c r="CA240" s="48" t="str">
        <f>IF(Cartera1017[[#This Row],[Estado TI]] = "08. Producción Finalizada","Culminado",IF(Cartera1017[[#This Row],[Estado TI]]= "09. Descartado","Descartado","Activos"))</f>
        <v>Activos</v>
      </c>
      <c r="CB240" s="28"/>
      <c r="CC24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40" s="54" t="str">
        <f>IF(
AND(
Cartera1017[[#This Row],[DEVOLVER 27]]="NO",
NOT(ISBLANK(Cartera1017[[#This Row],[ESTADO NO DEVUELTOS 27]]))
),
"PRE",
"POST"
)</f>
        <v>POST</v>
      </c>
      <c r="CE240" s="54"/>
      <c r="CF240" s="28"/>
      <c r="CG24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40"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40"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40" s="406">
        <f>Cartera1017[[#This Row],[Porcentaje de Avance]]</f>
        <v>0.1</v>
      </c>
      <c r="CK240" s="388" t="str">
        <f>IF(
   OR(
     Cartera1017[[#This Row],[Estado TI]]="09. Descartado",
     Cartera1017[[#This Row],[Comienzo Desarrollo]]="",
     Cartera1017[[#This Row],[Fin Producción]]=""
   ),
   "",
   Cartera1017[[#This Row],[% PLANIFICADO]]-Cartera1017[[#This Row],[% COMPLETADO]]
)</f>
        <v/>
      </c>
      <c r="CL240" s="388" t="str">
        <f ca="1">IF(
   OR(
     Cartera1017[[#This Row],[Estado TI]]="09. Descartado",
     Cartera1017[[#This Row],[Comienzo Desarrollo]]="",
     Cartera1017[[#This Row],[Fin Producción]]="",
     Cartera1017[[#This Row],[% PLANIFICADO]]=0
   ),
   "",
   MIN(Cartera1017[[#This Row],[% COMPLETADO]]/Cartera1017[[#This Row],[% PLANIFICADO]],1.2)
)</f>
        <v/>
      </c>
      <c r="CM240" s="229"/>
      <c r="CN240" s="229"/>
      <c r="CO240" s="229"/>
      <c r="CP240" s="229"/>
      <c r="CQ240" s="229"/>
      <c r="CR240" s="229"/>
      <c r="CS240" s="229"/>
      <c r="CT240" s="44">
        <f>IF(Cartera1017[[#This Row],[Fin Desarrollo]]="",25,IFERROR(NETWORKDAYS(Cartera1017[[#This Row],[Comienzo Desarrollo]],Cartera1017[[#This Row],[Fin Desarrollo]],FERIADOS[Fecha]),""))</f>
        <v>25</v>
      </c>
      <c r="CU24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40" s="44">
        <f>IF(OR(Cartera1017[[#This Row],[Comienzo Desarrollo]]="",Cartera1017[[#This Row],[Fin Desarrollo]]=""),200,IFERROR(Cartera1017[[#This Row],[DURACIÓN DESARROLLO DIAS]]*VLOOKUP(Cartera1017[[#This Row],[ID Mantenimiento]],MANT_HORAS[],2,FALSE),200))</f>
        <v>200</v>
      </c>
      <c r="CW240" s="110"/>
      <c r="CX240" s="110" t="str">
        <f>VLOOKUP(Cartera1017[[#This Row],[Estado TI]],Definiciones!$A$549:$B$559,2,FALSE)</f>
        <v>1. DESARROLLO</v>
      </c>
      <c r="CY240" s="28">
        <f ca="1">1-Cartera1017[[#This Row],[Porcentaje avanzado desarrollo]]</f>
        <v>0.9</v>
      </c>
      <c r="CZ24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40" s="28">
        <f ca="1">MAX(0,Cartera1017[[#This Row],[DURACIÓN DESARROLLO DIAS]]-Cartera1017[[#This Row],[Dias avanzados]])</f>
        <v>24</v>
      </c>
      <c r="DB240" s="28">
        <f ca="1">Cartera1017[[#This Row],[Dias avanzados]]*IFERROR(VLOOKUP(Cartera1017[[#This Row],[ID Mantenimiento]],MANT_HORAS[],2,FALSE),8)</f>
        <v>8</v>
      </c>
      <c r="DC240" s="28">
        <f ca="1">Cartera1017[[#This Row],[Dias faltantes]]*IFERROR(VLOOKUP(Cartera1017[[#This Row],[ID Mantenimiento]],MANT_HORAS[],2,FALSE),8)</f>
        <v>192</v>
      </c>
      <c r="DD240" s="28" t="str">
        <f>IF(Cartera1017[[#This Row],[Fin Producción]]=0,"Por definir",CONCATENATE(YEAR(Cartera1017[[#This Row],[Fin Producción]]),"-",ROUNDUP(MONTH(Cartera1017[[#This Row],[Fin Producción]]),0)))</f>
        <v>Por definir</v>
      </c>
      <c r="DE240" s="18" t="s">
        <v>1719</v>
      </c>
      <c r="DF240" s="28"/>
      <c r="DG240" s="28"/>
      <c r="DH240" s="565"/>
    </row>
    <row r="241" spans="1:112" ht="44.25" hidden="1" customHeight="1">
      <c r="A241" s="229" t="s">
        <v>2058</v>
      </c>
      <c r="B241" s="18">
        <v>3215</v>
      </c>
      <c r="C241" s="18" t="s">
        <v>485</v>
      </c>
      <c r="D241" s="18" t="s">
        <v>2059</v>
      </c>
      <c r="E241" s="18" t="s">
        <v>2060</v>
      </c>
      <c r="F241" s="33" t="s">
        <v>2061</v>
      </c>
      <c r="G241" s="19"/>
      <c r="H241" s="18" t="s">
        <v>59</v>
      </c>
      <c r="I241" s="18" t="s">
        <v>759</v>
      </c>
      <c r="J241" s="18" t="s">
        <v>1350</v>
      </c>
      <c r="K241" s="20">
        <v>46092</v>
      </c>
      <c r="L241" s="50" t="s">
        <v>2062</v>
      </c>
      <c r="M241" s="50" t="s">
        <v>1352</v>
      </c>
      <c r="N241" s="50"/>
      <c r="O241" s="18" t="s">
        <v>494</v>
      </c>
      <c r="P241" s="18" t="s">
        <v>495</v>
      </c>
      <c r="Q241" s="18"/>
      <c r="R241" s="18" t="s">
        <v>599</v>
      </c>
      <c r="S241" s="18"/>
      <c r="T241" s="18" t="s">
        <v>632</v>
      </c>
      <c r="U241" s="18" t="s">
        <v>2063</v>
      </c>
      <c r="V241" s="18"/>
      <c r="W241" s="18"/>
      <c r="X241" s="18"/>
      <c r="Y241" s="80"/>
      <c r="Z241" s="18" t="s">
        <v>499</v>
      </c>
      <c r="AA241" s="20">
        <v>46119</v>
      </c>
      <c r="AB241" s="18" t="s">
        <v>533</v>
      </c>
      <c r="AC241" s="18"/>
      <c r="AD241" s="18" t="s">
        <v>49</v>
      </c>
      <c r="AE241" s="18" t="s">
        <v>47</v>
      </c>
      <c r="AF241" s="18" t="s">
        <v>35</v>
      </c>
      <c r="AG241" s="14" t="str">
        <f>VLOOKUP(AF241,Tabla3[[Estado Requerimiento]:[Macro estado]],2,FALSE)</f>
        <v>02. En Proceso</v>
      </c>
      <c r="AH241" s="18"/>
      <c r="AI241" s="80"/>
      <c r="AJ241" s="80"/>
      <c r="AK241" s="80">
        <v>46112</v>
      </c>
      <c r="AL241" s="80"/>
      <c r="AM241" s="80"/>
      <c r="AN241" s="80"/>
      <c r="AO241" s="80"/>
      <c r="AP241" s="81" t="str">
        <f t="shared" si="6"/>
        <v/>
      </c>
      <c r="AQ241" s="80">
        <v>46132</v>
      </c>
      <c r="AR241" s="80"/>
      <c r="AS241" s="81" t="str">
        <f t="shared" si="7"/>
        <v/>
      </c>
      <c r="AT241" s="198" t="s">
        <v>2064</v>
      </c>
      <c r="AU241" s="44" t="str">
        <f>VLOOKUP(Cartera1017[[#This Row],[Gerencia]],tbGerencia[#All],3,FALSE)</f>
        <v>RRHH</v>
      </c>
      <c r="AV241" s="44" t="str">
        <f>IFERROR(VLOOKUP(Cartera1017[[#This Row],[Subgerencia]],Definiciones!$A$90:$B$144,2,FALSE),"")</f>
        <v>DesarrolloTalento</v>
      </c>
      <c r="AW241" s="44" t="str">
        <f>IF(OR(LEN(Cartera1017[[#This Row],[Fecha de Solicitud]])=0,(Cartera1017[[#This Row],[Fecha de Solicitud]])="No definido"),"No definido",IF(YEAR(Cartera1017[[#This Row],[Fecha de Solicitud]])&lt;2023," &lt;  2023",TEXT(Cartera1017[[#This Row],[Fecha de Solicitud]],"yyyy-mm")))</f>
        <v>2026-03</v>
      </c>
      <c r="AX241" s="44" t="str">
        <f>IF(Cartera1017[[#This Row],[Fecha de Priorización Comité]]="","No definido",TEXT(Cartera1017[[#This Row],[Fecha de Priorización Comité]],"yyyy-mm"))</f>
        <v>2026-04</v>
      </c>
      <c r="AY241" s="44" t="str">
        <f>IF(Cartera1017[[#This Row],[Fecha Fin- Desarrollo]]="","No definido",TEXT(Cartera1017[[#This Row],[Fecha Fin- Desarrollo]],"yyyy-mm"))</f>
        <v>No definido</v>
      </c>
      <c r="AZ241" s="44" t="str">
        <f>IF(Cartera1017[[#This Row],[Fecha Fin- Producción]]="","No definido",TEXT(Cartera1017[[#This Row],[Fecha Fin- Producción]],"yyyy-mm"))</f>
        <v>No definido</v>
      </c>
      <c r="BA241" s="44" t="str">
        <f>IF(Cartera1017[[#This Row],[Fecha Fin-Planificada]]="","No definido",TEXT(Cartera1017[[#This Row],[Fecha Fin-Planificada]],"yyyy-mm"))</f>
        <v>No definido</v>
      </c>
      <c r="BB241" s="33"/>
      <c r="BC241" s="108"/>
      <c r="BD241" s="108"/>
      <c r="BE241" s="108"/>
      <c r="BF241" s="127"/>
      <c r="BG241" s="28"/>
      <c r="BH24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1" s="90" t="str">
        <f>IF(ISNUMBER(Cartera1017[[#This Row],[Duracion en Dias]]),Cartera1017[[#This Row],[Duracion en Dias]]/30, "No Aplica")</f>
        <v>No Aplica</v>
      </c>
      <c r="BJ241" s="109"/>
      <c r="BK241" s="28" t="s">
        <v>506</v>
      </c>
      <c r="BL241" s="110" t="s">
        <v>734</v>
      </c>
      <c r="BM241" s="342">
        <v>46132.68712962963</v>
      </c>
      <c r="BN241" s="227"/>
      <c r="BO241" s="401"/>
      <c r="BP241" s="401"/>
      <c r="BQ24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1" s="14" t="str">
        <f>IFERROR(VLOOKUP(Cartera1017[[#This Row],[Aplicativo]],Tabla76[],2,FALSE),"Sin Aplicativo")</f>
        <v>BackOffice</v>
      </c>
      <c r="BS241" s="14" t="str">
        <f>IFERROR(VLOOKUP(Cartera1017[[#This Row],[Aplicativo]],Tabla76[],3,FALSE),"Sin Aplicativo")</f>
        <v>Otros Requerimientos</v>
      </c>
      <c r="BT241" s="400"/>
      <c r="BU241" s="33"/>
      <c r="BV241" s="28"/>
      <c r="BW24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1" s="149" t="str">
        <f ca="1">IF(Cartera1017[[#This Row],[Fecha Fin2]]="","No definido",CONCATENATE(TEXT(Cartera1017[[#This Row],[Fecha Fin2]],"mmm")," ",YEAR(Cartera1017[[#This Row],[Fecha Fin2]])))</f>
        <v>No definido</v>
      </c>
      <c r="BZ241" s="28"/>
      <c r="CA241" s="48" t="str">
        <f>IF(Cartera1017[[#This Row],[Estado TI]] = "08. Producción Finalizada","Culminado",IF(Cartera1017[[#This Row],[Estado TI]]= "09. Descartado","Descartado","Activos"))</f>
        <v>Activos</v>
      </c>
      <c r="CB241" s="28"/>
      <c r="CC241"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241" s="54" t="str">
        <f>IF(
AND(
Cartera1017[[#This Row],[DEVOLVER 27]]="NO",
NOT(ISBLANK(Cartera1017[[#This Row],[ESTADO NO DEVUELTOS 27]]))
),
"PRE",
"POST"
)</f>
        <v>POST</v>
      </c>
      <c r="CE241" s="54"/>
      <c r="CF241" s="28"/>
      <c r="CG24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41"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41"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41" s="406">
        <f>Cartera1017[[#This Row],[Porcentaje de Avance]]</f>
        <v>0.9</v>
      </c>
      <c r="CK241" s="388">
        <f ca="1">IF(
   OR(
     Cartera1017[[#This Row],[Estado TI]]="09. Descartado",
     Cartera1017[[#This Row],[Comienzo Desarrollo]]="",
     Cartera1017[[#This Row],[Fin Producción]]=""
   ),
   "",
   Cartera1017[[#This Row],[% PLANIFICADO]]-Cartera1017[[#This Row],[% COMPLETADO]]
)</f>
        <v>9.9999999999999978E-2</v>
      </c>
      <c r="CL241" s="388">
        <f ca="1">IF(
   OR(
     Cartera1017[[#This Row],[Estado TI]]="09. Descartado",
     Cartera1017[[#This Row],[Comienzo Desarrollo]]="",
     Cartera1017[[#This Row],[Fin Producción]]="",
     Cartera1017[[#This Row],[% PLANIFICADO]]=0
   ),
   "",
   MIN(Cartera1017[[#This Row],[% COMPLETADO]]/Cartera1017[[#This Row],[% PLANIFICADO]],1.2)
)</f>
        <v>0.9</v>
      </c>
      <c r="CM241" s="229"/>
      <c r="CN241" s="377">
        <v>46096</v>
      </c>
      <c r="CO241" s="377">
        <v>46134</v>
      </c>
      <c r="CP241" s="377">
        <v>46135</v>
      </c>
      <c r="CQ241" s="377">
        <v>46150</v>
      </c>
      <c r="CR241" s="377">
        <v>46153</v>
      </c>
      <c r="CS241" s="377">
        <v>46157</v>
      </c>
      <c r="CT241" s="44">
        <f>IF(Cartera1017[[#This Row],[Fin Desarrollo]]="",25,IFERROR(NETWORKDAYS(Cartera1017[[#This Row],[Comienzo Desarrollo]],Cartera1017[[#This Row],[Fin Desarrollo]],FERIADOS[Fecha]),""))</f>
        <v>28</v>
      </c>
      <c r="CU24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241" s="44">
        <f>IF(OR(Cartera1017[[#This Row],[Comienzo Desarrollo]]="",Cartera1017[[#This Row],[Fin Desarrollo]]=""),200,IFERROR(Cartera1017[[#This Row],[DURACIÓN DESARROLLO DIAS]]*VLOOKUP(Cartera1017[[#This Row],[ID Mantenimiento]],MANT_HORAS[],2,FALSE),200))</f>
        <v>200</v>
      </c>
      <c r="CW241" s="110"/>
      <c r="CX241" s="110" t="str">
        <f>VLOOKUP(Cartera1017[[#This Row],[Estado TI]],Definiciones!$A$549:$B$559,2,FALSE)</f>
        <v>3. DESPLIEGUE</v>
      </c>
      <c r="CY241" s="28">
        <f ca="1">1-Cartera1017[[#This Row],[Porcentaje avanzado desarrollo]]</f>
        <v>0</v>
      </c>
      <c r="CZ24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28</v>
      </c>
      <c r="DA241" s="28">
        <f ca="1">MAX(0,Cartera1017[[#This Row],[DURACIÓN DESARROLLO DIAS]]-Cartera1017[[#This Row],[Dias avanzados]])</f>
        <v>0</v>
      </c>
      <c r="DB241" s="28">
        <f ca="1">Cartera1017[[#This Row],[Dias avanzados]]*IFERROR(VLOOKUP(Cartera1017[[#This Row],[ID Mantenimiento]],MANT_HORAS[],2,FALSE),8)</f>
        <v>224</v>
      </c>
      <c r="DC241" s="28">
        <f ca="1">Cartera1017[[#This Row],[Dias faltantes]]*IFERROR(VLOOKUP(Cartera1017[[#This Row],[ID Mantenimiento]],MANT_HORAS[],2,FALSE),8)</f>
        <v>0</v>
      </c>
      <c r="DD241" s="28" t="str">
        <f>IF(Cartera1017[[#This Row],[Fin Producción]]=0,"Por definir",CONCATENATE(YEAR(Cartera1017[[#This Row],[Fin Producción]]),"-",ROUNDUP(MONTH(Cartera1017[[#This Row],[Fin Producción]]),0)))</f>
        <v>2026-5</v>
      </c>
      <c r="DE241" s="18" t="s">
        <v>1719</v>
      </c>
      <c r="DF241" s="28"/>
      <c r="DG241" s="28" t="s">
        <v>659</v>
      </c>
      <c r="DH241" s="565"/>
    </row>
    <row r="242" spans="1:112" ht="44.25" hidden="1" customHeight="1">
      <c r="A242" s="229" t="s">
        <v>2065</v>
      </c>
      <c r="B242" s="18">
        <v>3216</v>
      </c>
      <c r="C242" s="18" t="s">
        <v>485</v>
      </c>
      <c r="D242" s="18" t="s">
        <v>2066</v>
      </c>
      <c r="E242" s="18" t="s">
        <v>2067</v>
      </c>
      <c r="F242" s="33" t="s">
        <v>2068</v>
      </c>
      <c r="G242" s="19"/>
      <c r="H242" s="18" t="s">
        <v>40</v>
      </c>
      <c r="I242" s="18" t="s">
        <v>577</v>
      </c>
      <c r="J242" s="18" t="s">
        <v>922</v>
      </c>
      <c r="K242" s="20">
        <v>46094</v>
      </c>
      <c r="L242" s="50" t="s">
        <v>2069</v>
      </c>
      <c r="M242" s="50" t="s">
        <v>804</v>
      </c>
      <c r="N242" s="50"/>
      <c r="O242" s="18" t="s">
        <v>494</v>
      </c>
      <c r="P242" s="18" t="s">
        <v>797</v>
      </c>
      <c r="Q242" s="18"/>
      <c r="R242" s="18" t="s">
        <v>531</v>
      </c>
      <c r="S242" s="18"/>
      <c r="T242" s="18"/>
      <c r="U242" s="18"/>
      <c r="V242" s="18"/>
      <c r="W242" s="18"/>
      <c r="X242" s="18"/>
      <c r="Y242" s="80"/>
      <c r="Z242" s="18" t="s">
        <v>499</v>
      </c>
      <c r="AA242" s="20">
        <v>46119</v>
      </c>
      <c r="AB242" s="18" t="s">
        <v>500</v>
      </c>
      <c r="AC242" s="18"/>
      <c r="AD242" s="18" t="s">
        <v>88</v>
      </c>
      <c r="AE242" s="18" t="s">
        <v>41</v>
      </c>
      <c r="AF242" s="18" t="s">
        <v>87</v>
      </c>
      <c r="AG242" s="14" t="str">
        <f>VLOOKUP(AF242,Tabla3[[Estado Requerimiento]:[Macro estado]],2,FALSE)</f>
        <v>02. En Proceso</v>
      </c>
      <c r="AH242" s="18"/>
      <c r="AI242" s="80"/>
      <c r="AJ242" s="80"/>
      <c r="AK242" s="80">
        <v>46112</v>
      </c>
      <c r="AL242" s="80">
        <v>46149</v>
      </c>
      <c r="AM242" s="80"/>
      <c r="AN242" s="80">
        <v>46155</v>
      </c>
      <c r="AO242" s="80"/>
      <c r="AP242" s="81">
        <f t="shared" si="6"/>
        <v>46163.8</v>
      </c>
      <c r="AQ242" s="80"/>
      <c r="AR242" s="80"/>
      <c r="AS242" s="81">
        <f t="shared" si="7"/>
        <v>46170.8</v>
      </c>
      <c r="AT242" s="198" t="s">
        <v>2070</v>
      </c>
      <c r="AU242" s="44" t="str">
        <f>VLOOKUP(Cartera1017[[#This Row],[Gerencia]],tbGerencia[#All],3,FALSE)</f>
        <v>Operac.</v>
      </c>
      <c r="AV242" s="44" t="str">
        <f>IFERROR(VLOOKUP(Cartera1017[[#This Row],[Subgerencia]],Definiciones!$A$90:$B$144,2,FALSE),"")</f>
        <v>CaptacionesPagaduría</v>
      </c>
      <c r="AW242" s="44" t="str">
        <f>IF(OR(LEN(Cartera1017[[#This Row],[Fecha de Solicitud]])=0,(Cartera1017[[#This Row],[Fecha de Solicitud]])="No definido"),"No definido",IF(YEAR(Cartera1017[[#This Row],[Fecha de Solicitud]])&lt;2023," &lt;  2023",TEXT(Cartera1017[[#This Row],[Fecha de Solicitud]],"yyyy-mm")))</f>
        <v>2026-03</v>
      </c>
      <c r="AX242" s="44" t="str">
        <f>IF(Cartera1017[[#This Row],[Fecha de Priorización Comité]]="","No definido",TEXT(Cartera1017[[#This Row],[Fecha de Priorización Comité]],"yyyy-mm"))</f>
        <v>2026-04</v>
      </c>
      <c r="AY242" s="44" t="str">
        <f>IF(Cartera1017[[#This Row],[Fecha Fin- Desarrollo]]="","No definido",TEXT(Cartera1017[[#This Row],[Fecha Fin- Desarrollo]],"yyyy-mm"))</f>
        <v>2026-05</v>
      </c>
      <c r="AZ242" s="44" t="str">
        <f>IF(Cartera1017[[#This Row],[Fecha Fin- Producción]]="","No definido",TEXT(Cartera1017[[#This Row],[Fecha Fin- Producción]],"yyyy-mm"))</f>
        <v>No definido</v>
      </c>
      <c r="BA242" s="44" t="str">
        <f>IF(Cartera1017[[#This Row],[Fecha Fin-Planificada]]="","No definido",TEXT(Cartera1017[[#This Row],[Fecha Fin-Planificada]],"yyyy-mm"))</f>
        <v>2026-05</v>
      </c>
      <c r="BB242" s="33"/>
      <c r="BC242" s="108"/>
      <c r="BD242" s="108"/>
      <c r="BE242" s="108"/>
      <c r="BF242" s="127"/>
      <c r="BG242" s="28"/>
      <c r="BH24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2" s="90" t="str">
        <f>IF(ISNUMBER(Cartera1017[[#This Row],[Duracion en Dias]]),Cartera1017[[#This Row],[Duracion en Dias]]/30, "No Aplica")</f>
        <v>No Aplica</v>
      </c>
      <c r="BJ242" s="109"/>
      <c r="BK242" s="28" t="s">
        <v>506</v>
      </c>
      <c r="BL242" s="110" t="s">
        <v>1260</v>
      </c>
      <c r="BM242" s="342">
        <v>46155.802060185182</v>
      </c>
      <c r="BN242" s="227"/>
      <c r="BO242" s="401"/>
      <c r="BP242" s="401"/>
      <c r="BQ24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2026-Q2</v>
      </c>
      <c r="BR242" s="14" t="str">
        <f>IFERROR(VLOOKUP(Cartera1017[[#This Row],[Aplicativo]],Tabla76[],2,FALSE),"Sin Aplicativo")</f>
        <v>Multired Virtual</v>
      </c>
      <c r="BS242" s="14" t="str">
        <f>IFERROR(VLOOKUP(Cartera1017[[#This Row],[Aplicativo]],Tabla76[],3,FALSE),"Sin Aplicativo")</f>
        <v>Canales Virtuales</v>
      </c>
      <c r="BT242" s="400"/>
      <c r="BU242" s="33"/>
      <c r="BV242" s="28"/>
      <c r="BW24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46170.8</v>
      </c>
      <c r="BX24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2026-2</v>
      </c>
      <c r="BY242" s="149" t="str">
        <f ca="1">IF(Cartera1017[[#This Row],[Fecha Fin2]]="","No definido",CONCATENATE(TEXT(Cartera1017[[#This Row],[Fecha Fin2]],"mmm")," ",YEAR(Cartera1017[[#This Row],[Fecha Fin2]])))</f>
        <v>May 2026</v>
      </c>
      <c r="BZ242" s="28"/>
      <c r="CA242" s="48" t="str">
        <f>IF(Cartera1017[[#This Row],[Estado TI]] = "08. Producción Finalizada","Culminado",IF(Cartera1017[[#This Row],[Estado TI]]= "09. Descartado","Descartado","Activos"))</f>
        <v>Activos</v>
      </c>
      <c r="CB242" s="28"/>
      <c r="CC242"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242" s="54" t="str">
        <f>IF(
AND(
Cartera1017[[#This Row],[DEVOLVER 27]]="NO",
NOT(ISBLANK(Cartera1017[[#This Row],[ESTADO NO DEVUELTOS 27]]))
),
"PRE",
"POST"
)</f>
        <v>POST</v>
      </c>
      <c r="CE242" s="54"/>
      <c r="CF242" s="28"/>
      <c r="CG24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42"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42"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42" s="406">
        <f>Cartera1017[[#This Row],[Porcentaje de Avance]]</f>
        <v>0.7</v>
      </c>
      <c r="CK242" s="388" t="str">
        <f>IF(
   OR(
     Cartera1017[[#This Row],[Estado TI]]="09. Descartado",
     Cartera1017[[#This Row],[Comienzo Desarrollo]]="",
     Cartera1017[[#This Row],[Fin Producción]]=""
   ),
   "",
   Cartera1017[[#This Row],[% PLANIFICADO]]-Cartera1017[[#This Row],[% COMPLETADO]]
)</f>
        <v/>
      </c>
      <c r="CL242" s="388" t="str">
        <f ca="1">IF(
   OR(
     Cartera1017[[#This Row],[Estado TI]]="09. Descartado",
     Cartera1017[[#This Row],[Comienzo Desarrollo]]="",
     Cartera1017[[#This Row],[Fin Producción]]="",
     Cartera1017[[#This Row],[% PLANIFICADO]]=0
   ),
   "",
   MIN(Cartera1017[[#This Row],[% COMPLETADO]]/Cartera1017[[#This Row],[% PLANIFICADO]],1.2)
)</f>
        <v/>
      </c>
      <c r="CM242" s="229"/>
      <c r="CN242" s="229"/>
      <c r="CO242" s="229"/>
      <c r="CP242" s="229"/>
      <c r="CQ242" s="229"/>
      <c r="CR242" s="229"/>
      <c r="CS242" s="229"/>
      <c r="CT242" s="44">
        <f>IF(Cartera1017[[#This Row],[Fin Desarrollo]]="",25,IFERROR(NETWORKDAYS(Cartera1017[[#This Row],[Comienzo Desarrollo]],Cartera1017[[#This Row],[Fin Desarrollo]],FERIADOS[Fecha]),""))</f>
        <v>25</v>
      </c>
      <c r="CU24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42" s="44">
        <f>IF(OR(Cartera1017[[#This Row],[Comienzo Desarrollo]]="",Cartera1017[[#This Row],[Fin Desarrollo]]=""),200,IFERROR(Cartera1017[[#This Row],[DURACIÓN DESARROLLO DIAS]]*VLOOKUP(Cartera1017[[#This Row],[ID Mantenimiento]],MANT_HORAS[],2,FALSE),200))</f>
        <v>200</v>
      </c>
      <c r="CW242" s="110"/>
      <c r="CX242" s="110" t="str">
        <f>VLOOKUP(Cartera1017[[#This Row],[Estado TI]],Definiciones!$A$549:$B$559,2,FALSE)</f>
        <v>2. CALIDAD</v>
      </c>
      <c r="CY242" s="28">
        <f ca="1">1-Cartera1017[[#This Row],[Porcentaje avanzado desarrollo]]</f>
        <v>0.9</v>
      </c>
      <c r="CZ24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42" s="28">
        <f ca="1">MAX(0,Cartera1017[[#This Row],[DURACIÓN DESARROLLO DIAS]]-Cartera1017[[#This Row],[Dias avanzados]])</f>
        <v>24</v>
      </c>
      <c r="DB242" s="28">
        <f ca="1">Cartera1017[[#This Row],[Dias avanzados]]*IFERROR(VLOOKUP(Cartera1017[[#This Row],[ID Mantenimiento]],MANT_HORAS[],2,FALSE),8)</f>
        <v>8</v>
      </c>
      <c r="DC242" s="28">
        <f ca="1">Cartera1017[[#This Row],[Dias faltantes]]*IFERROR(VLOOKUP(Cartera1017[[#This Row],[ID Mantenimiento]],MANT_HORAS[],2,FALSE),8)</f>
        <v>192</v>
      </c>
      <c r="DD242" s="28" t="str">
        <f>IF(Cartera1017[[#This Row],[Fin Producción]]=0,"Por definir",CONCATENATE(YEAR(Cartera1017[[#This Row],[Fin Producción]]),"-",ROUNDUP(MONTH(Cartera1017[[#This Row],[Fin Producción]]),0)))</f>
        <v>Por definir</v>
      </c>
      <c r="DE242" s="18" t="s">
        <v>1719</v>
      </c>
      <c r="DF242" s="28"/>
      <c r="DG242" s="28"/>
      <c r="DH242" s="565"/>
    </row>
    <row r="243" spans="1:112" ht="44.25" hidden="1" customHeight="1">
      <c r="A243" s="229" t="s">
        <v>2071</v>
      </c>
      <c r="B243" s="18">
        <v>3217</v>
      </c>
      <c r="C243" s="18" t="s">
        <v>485</v>
      </c>
      <c r="D243" s="18" t="s">
        <v>2072</v>
      </c>
      <c r="E243" s="18"/>
      <c r="F243" s="33" t="s">
        <v>2073</v>
      </c>
      <c r="G243" s="19"/>
      <c r="H243" s="18" t="s">
        <v>40</v>
      </c>
      <c r="I243" s="18" t="s">
        <v>577</v>
      </c>
      <c r="J243" s="18" t="s">
        <v>578</v>
      </c>
      <c r="K243" s="20">
        <v>46108</v>
      </c>
      <c r="L243" s="50" t="s">
        <v>2074</v>
      </c>
      <c r="M243" s="50"/>
      <c r="N243" s="50"/>
      <c r="O243" s="18" t="s">
        <v>494</v>
      </c>
      <c r="P243" s="18" t="s">
        <v>495</v>
      </c>
      <c r="Q243" s="18"/>
      <c r="R243" s="18" t="s">
        <v>497</v>
      </c>
      <c r="S243" s="18"/>
      <c r="T243" s="18"/>
      <c r="U243" s="18"/>
      <c r="V243" s="18"/>
      <c r="W243" s="18"/>
      <c r="X243" s="18"/>
      <c r="Y243" s="80"/>
      <c r="Z243" s="18" t="s">
        <v>499</v>
      </c>
      <c r="AA243" s="20">
        <v>46119</v>
      </c>
      <c r="AB243" s="18" t="s">
        <v>500</v>
      </c>
      <c r="AC243" s="18"/>
      <c r="AD243" s="18"/>
      <c r="AE243" s="18" t="s">
        <v>41</v>
      </c>
      <c r="AF243" s="18" t="s">
        <v>340</v>
      </c>
      <c r="AG243" s="14" t="str">
        <f>VLOOKUP(AF243,Tabla3[[Estado Requerimiento]:[Macro estado]],2,FALSE)</f>
        <v>01. No iniciado</v>
      </c>
      <c r="AH243" s="18"/>
      <c r="AI243" s="80"/>
      <c r="AJ243" s="80"/>
      <c r="AK243" s="80"/>
      <c r="AL243" s="80"/>
      <c r="AM243" s="80"/>
      <c r="AN243" s="80"/>
      <c r="AO243" s="80"/>
      <c r="AP243" s="81" t="str">
        <f t="shared" si="6"/>
        <v/>
      </c>
      <c r="AQ243" s="80"/>
      <c r="AR243" s="80"/>
      <c r="AS243" s="81" t="str">
        <f t="shared" si="7"/>
        <v/>
      </c>
      <c r="AT243" s="198" t="s">
        <v>2075</v>
      </c>
      <c r="AU243" s="44" t="str">
        <f>VLOOKUP(Cartera1017[[#This Row],[Gerencia]],tbGerencia[#All],3,FALSE)</f>
        <v>Operac.</v>
      </c>
      <c r="AV243" s="44" t="str">
        <f>IFERROR(VLOOKUP(Cartera1017[[#This Row],[Subgerencia]],Definiciones!$A$90:$B$144,2,FALSE),"")</f>
        <v>CaptacionesPagaduría</v>
      </c>
      <c r="AW243" s="44" t="str">
        <f>IF(OR(LEN(Cartera1017[[#This Row],[Fecha de Solicitud]])=0,(Cartera1017[[#This Row],[Fecha de Solicitud]])="No definido"),"No definido",IF(YEAR(Cartera1017[[#This Row],[Fecha de Solicitud]])&lt;2023," &lt;  2023",TEXT(Cartera1017[[#This Row],[Fecha de Solicitud]],"yyyy-mm")))</f>
        <v>2026-03</v>
      </c>
      <c r="AX243" s="44" t="str">
        <f>IF(Cartera1017[[#This Row],[Fecha de Priorización Comité]]="","No definido",TEXT(Cartera1017[[#This Row],[Fecha de Priorización Comité]],"yyyy-mm"))</f>
        <v>2026-04</v>
      </c>
      <c r="AY243" s="44" t="str">
        <f>IF(Cartera1017[[#This Row],[Fecha Fin- Desarrollo]]="","No definido",TEXT(Cartera1017[[#This Row],[Fecha Fin- Desarrollo]],"yyyy-mm"))</f>
        <v>No definido</v>
      </c>
      <c r="AZ243" s="44" t="str">
        <f>IF(Cartera1017[[#This Row],[Fecha Fin- Producción]]="","No definido",TEXT(Cartera1017[[#This Row],[Fecha Fin- Producción]],"yyyy-mm"))</f>
        <v>No definido</v>
      </c>
      <c r="BA243" s="44" t="str">
        <f>IF(Cartera1017[[#This Row],[Fecha Fin-Planificada]]="","No definido",TEXT(Cartera1017[[#This Row],[Fecha Fin-Planificada]],"yyyy-mm"))</f>
        <v>No definido</v>
      </c>
      <c r="BB243" s="33"/>
      <c r="BC243" s="108"/>
      <c r="BD243" s="108"/>
      <c r="BE243" s="108"/>
      <c r="BF243" s="127"/>
      <c r="BG243" s="28"/>
      <c r="BH24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43" s="90" t="str">
        <f>IF(ISNUMBER(Cartera1017[[#This Row],[Duracion en Dias]]),Cartera1017[[#This Row],[Duracion en Dias]]/30, "No Aplica")</f>
        <v>No Aplica</v>
      </c>
      <c r="BJ243" s="109"/>
      <c r="BK243" s="28"/>
      <c r="BL243" s="110"/>
      <c r="BM243" s="342"/>
      <c r="BN243" s="227"/>
      <c r="BO243" s="401"/>
      <c r="BP243" s="401"/>
      <c r="BQ24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43" s="14" t="str">
        <f>IFERROR(VLOOKUP(Cartera1017[[#This Row],[Aplicativo]],Tabla76[],2,FALSE),"Sin Aplicativo")</f>
        <v>Sin Aplicativo</v>
      </c>
      <c r="BS243" s="14" t="str">
        <f>IFERROR(VLOOKUP(Cartera1017[[#This Row],[Aplicativo]],Tabla76[],3,FALSE),"Sin Aplicativo")</f>
        <v>Sin Aplicativo</v>
      </c>
      <c r="BT243" s="400"/>
      <c r="BU243" s="33"/>
      <c r="BV243" s="28"/>
      <c r="BW24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43" s="149" t="str">
        <f ca="1">IF(Cartera1017[[#This Row],[Fecha Fin2]]="","No definido",CONCATENATE(TEXT(Cartera1017[[#This Row],[Fecha Fin2]],"mmm")," ",YEAR(Cartera1017[[#This Row],[Fecha Fin2]])))</f>
        <v>No definido</v>
      </c>
      <c r="BZ243" s="28"/>
      <c r="CA243" s="48" t="str">
        <f>IF(Cartera1017[[#This Row],[Estado TI]] = "08. Producción Finalizada","Culminado",IF(Cartera1017[[#This Row],[Estado TI]]= "09. Descartado","Descartado","Activos"))</f>
        <v>Activos</v>
      </c>
      <c r="CB243" s="28"/>
      <c r="CC243"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43" s="54" t="str">
        <f>IF(
AND(
Cartera1017[[#This Row],[DEVOLVER 27]]="NO",
NOT(ISBLANK(Cartera1017[[#This Row],[ESTADO NO DEVUELTOS 27]]))
),
"PRE",
"POST"
)</f>
        <v>POST</v>
      </c>
      <c r="CE243" s="54"/>
      <c r="CF243" s="28"/>
      <c r="CG24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43"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43"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43" s="406">
        <f>Cartera1017[[#This Row],[Porcentaje de Avance]]</f>
        <v>0.1</v>
      </c>
      <c r="CK243" s="388" t="str">
        <f>IF(
   OR(
     Cartera1017[[#This Row],[Estado TI]]="09. Descartado",
     Cartera1017[[#This Row],[Comienzo Desarrollo]]="",
     Cartera1017[[#This Row],[Fin Producción]]=""
   ),
   "",
   Cartera1017[[#This Row],[% PLANIFICADO]]-Cartera1017[[#This Row],[% COMPLETADO]]
)</f>
        <v/>
      </c>
      <c r="CL243" s="388" t="str">
        <f ca="1">IF(
   OR(
     Cartera1017[[#This Row],[Estado TI]]="09. Descartado",
     Cartera1017[[#This Row],[Comienzo Desarrollo]]="",
     Cartera1017[[#This Row],[Fin Producción]]="",
     Cartera1017[[#This Row],[% PLANIFICADO]]=0
   ),
   "",
   MIN(Cartera1017[[#This Row],[% COMPLETADO]]/Cartera1017[[#This Row],[% PLANIFICADO]],1.2)
)</f>
        <v/>
      </c>
      <c r="CM243" s="229"/>
      <c r="CN243" s="229"/>
      <c r="CO243" s="229"/>
      <c r="CP243" s="229"/>
      <c r="CQ243" s="229"/>
      <c r="CR243" s="229"/>
      <c r="CS243" s="229"/>
      <c r="CT243" s="44">
        <f>IF(Cartera1017[[#This Row],[Fin Desarrollo]]="",25,IFERROR(NETWORKDAYS(Cartera1017[[#This Row],[Comienzo Desarrollo]],Cartera1017[[#This Row],[Fin Desarrollo]],FERIADOS[Fecha]),""))</f>
        <v>25</v>
      </c>
      <c r="CU24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43" s="44">
        <f>IF(OR(Cartera1017[[#This Row],[Comienzo Desarrollo]]="",Cartera1017[[#This Row],[Fin Desarrollo]]=""),200,IFERROR(Cartera1017[[#This Row],[DURACIÓN DESARROLLO DIAS]]*VLOOKUP(Cartera1017[[#This Row],[ID Mantenimiento]],MANT_HORAS[],2,FALSE),200))</f>
        <v>200</v>
      </c>
      <c r="CW243" s="110"/>
      <c r="CX243" s="110" t="str">
        <f>VLOOKUP(Cartera1017[[#This Row],[Estado TI]],Definiciones!$A$549:$B$559,2,FALSE)</f>
        <v>1. DESARROLLO</v>
      </c>
      <c r="CY243" s="28">
        <f ca="1">1-Cartera1017[[#This Row],[Porcentaje avanzado desarrollo]]</f>
        <v>0.9</v>
      </c>
      <c r="CZ24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43" s="28">
        <f ca="1">MAX(0,Cartera1017[[#This Row],[DURACIÓN DESARROLLO DIAS]]-Cartera1017[[#This Row],[Dias avanzados]])</f>
        <v>24</v>
      </c>
      <c r="DB243" s="28">
        <f ca="1">Cartera1017[[#This Row],[Dias avanzados]]*IFERROR(VLOOKUP(Cartera1017[[#This Row],[ID Mantenimiento]],MANT_HORAS[],2,FALSE),8)</f>
        <v>8</v>
      </c>
      <c r="DC243" s="28">
        <f ca="1">Cartera1017[[#This Row],[Dias faltantes]]*IFERROR(VLOOKUP(Cartera1017[[#This Row],[ID Mantenimiento]],MANT_HORAS[],2,FALSE),8)</f>
        <v>192</v>
      </c>
      <c r="DD243" s="28" t="str">
        <f>IF(Cartera1017[[#This Row],[Fin Producción]]=0,"Por definir",CONCATENATE(YEAR(Cartera1017[[#This Row],[Fin Producción]]),"-",ROUNDUP(MONTH(Cartera1017[[#This Row],[Fin Producción]]),0)))</f>
        <v>Por definir</v>
      </c>
      <c r="DE243" s="18" t="s">
        <v>1719</v>
      </c>
      <c r="DF243" s="28"/>
      <c r="DG243" s="28"/>
      <c r="DH243" s="565"/>
    </row>
    <row r="244" spans="1:112" ht="44.25" hidden="1" customHeight="1">
      <c r="A244" s="229" t="s">
        <v>2076</v>
      </c>
      <c r="B244" s="18">
        <v>3218</v>
      </c>
      <c r="C244" s="18" t="s">
        <v>485</v>
      </c>
      <c r="D244" s="18" t="s">
        <v>2077</v>
      </c>
      <c r="E244" s="18"/>
      <c r="F244" s="33" t="s">
        <v>2078</v>
      </c>
      <c r="G244" s="19"/>
      <c r="H244" s="18" t="s">
        <v>33</v>
      </c>
      <c r="I244" s="18"/>
      <c r="J244" s="18"/>
      <c r="K244" s="20">
        <v>46107</v>
      </c>
      <c r="L244" s="50" t="s">
        <v>2079</v>
      </c>
      <c r="M244" s="50"/>
      <c r="N244" s="50"/>
      <c r="O244" s="18" t="s">
        <v>548</v>
      </c>
      <c r="P244" s="18" t="s">
        <v>495</v>
      </c>
      <c r="Q244" s="18" t="s">
        <v>495</v>
      </c>
      <c r="R244" s="18" t="s">
        <v>497</v>
      </c>
      <c r="S244" s="18"/>
      <c r="T244" s="18"/>
      <c r="U244" s="18"/>
      <c r="V244" s="18"/>
      <c r="W244" s="18"/>
      <c r="X244" s="18"/>
      <c r="Y244" s="80"/>
      <c r="Z244" s="18" t="s">
        <v>499</v>
      </c>
      <c r="AA244" s="20">
        <v>46119</v>
      </c>
      <c r="AB244" s="18" t="s">
        <v>500</v>
      </c>
      <c r="AC244" s="18"/>
      <c r="AD244" s="18"/>
      <c r="AE244" s="18" t="s">
        <v>34</v>
      </c>
      <c r="AF244" s="18" t="s">
        <v>340</v>
      </c>
      <c r="AG244" s="14" t="str">
        <f>VLOOKUP(AF244,Tabla3[[Estado Requerimiento]:[Macro estado]],2,FALSE)</f>
        <v>01. No iniciado</v>
      </c>
      <c r="AH244" s="18"/>
      <c r="AI244" s="80"/>
      <c r="AJ244" s="80"/>
      <c r="AK244" s="80"/>
      <c r="AL244" s="80"/>
      <c r="AM244" s="80"/>
      <c r="AN244" s="80"/>
      <c r="AO244" s="80"/>
      <c r="AP244" s="81" t="str">
        <f t="shared" si="6"/>
        <v/>
      </c>
      <c r="AQ244" s="80"/>
      <c r="AR244" s="80"/>
      <c r="AS244" s="81" t="str">
        <f t="shared" si="7"/>
        <v/>
      </c>
      <c r="AT244" s="198" t="s">
        <v>2080</v>
      </c>
      <c r="AU244" s="44" t="str">
        <f>VLOOKUP(Cartera1017[[#This Row],[Gerencia]],tbGerencia[#All],3,FALSE)</f>
        <v>Productos</v>
      </c>
      <c r="AV244" s="44" t="str">
        <f>IFERROR(VLOOKUP(Cartera1017[[#This Row],[Subgerencia]],Definiciones!$A$90:$B$144,2,FALSE),"")</f>
        <v/>
      </c>
      <c r="AW244" s="44" t="str">
        <f>IF(OR(LEN(Cartera1017[[#This Row],[Fecha de Solicitud]])=0,(Cartera1017[[#This Row],[Fecha de Solicitud]])="No definido"),"No definido",IF(YEAR(Cartera1017[[#This Row],[Fecha de Solicitud]])&lt;2023," &lt;  2023",TEXT(Cartera1017[[#This Row],[Fecha de Solicitud]],"yyyy-mm")))</f>
        <v>2026-03</v>
      </c>
      <c r="AX244" s="44" t="str">
        <f>IF(Cartera1017[[#This Row],[Fecha de Priorización Comité]]="","No definido",TEXT(Cartera1017[[#This Row],[Fecha de Priorización Comité]],"yyyy-mm"))</f>
        <v>2026-04</v>
      </c>
      <c r="AY244" s="44" t="str">
        <f>IF(Cartera1017[[#This Row],[Fecha Fin- Desarrollo]]="","No definido",TEXT(Cartera1017[[#This Row],[Fecha Fin- Desarrollo]],"yyyy-mm"))</f>
        <v>No definido</v>
      </c>
      <c r="AZ244" s="44" t="str">
        <f>IF(Cartera1017[[#This Row],[Fecha Fin- Producción]]="","No definido",TEXT(Cartera1017[[#This Row],[Fecha Fin- Producción]],"yyyy-mm"))</f>
        <v>No definido</v>
      </c>
      <c r="BA244" s="44" t="str">
        <f>IF(Cartera1017[[#This Row],[Fecha Fin-Planificada]]="","No definido",TEXT(Cartera1017[[#This Row],[Fecha Fin-Planificada]],"yyyy-mm"))</f>
        <v>No definido</v>
      </c>
      <c r="BB244" s="33"/>
      <c r="BC244" s="108"/>
      <c r="BD244" s="108"/>
      <c r="BE244" s="108"/>
      <c r="BF244" s="127"/>
      <c r="BG244" s="28"/>
      <c r="BH24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44" s="90" t="str">
        <f>IF(ISNUMBER(Cartera1017[[#This Row],[Duracion en Dias]]),Cartera1017[[#This Row],[Duracion en Dias]]/30, "No Aplica")</f>
        <v>No Aplica</v>
      </c>
      <c r="BJ244" s="109"/>
      <c r="BK244" s="28"/>
      <c r="BL244" s="110"/>
      <c r="BM244" s="342"/>
      <c r="BN244" s="227"/>
      <c r="BO244" s="401"/>
      <c r="BP244" s="401"/>
      <c r="BQ24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44" s="14" t="str">
        <f>IFERROR(VLOOKUP(Cartera1017[[#This Row],[Aplicativo]],Tabla76[],2,FALSE),"Sin Aplicativo")</f>
        <v>Sin Aplicativo</v>
      </c>
      <c r="BS244" s="14" t="str">
        <f>IFERROR(VLOOKUP(Cartera1017[[#This Row],[Aplicativo]],Tabla76[],3,FALSE),"Sin Aplicativo")</f>
        <v>Sin Aplicativo</v>
      </c>
      <c r="BT244" s="400"/>
      <c r="BU244" s="33"/>
      <c r="BV244" s="28"/>
      <c r="BW24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44" s="149" t="str">
        <f ca="1">IF(Cartera1017[[#This Row],[Fecha Fin2]]="","No definido",CONCATENATE(TEXT(Cartera1017[[#This Row],[Fecha Fin2]],"mmm")," ",YEAR(Cartera1017[[#This Row],[Fecha Fin2]])))</f>
        <v>No definido</v>
      </c>
      <c r="BZ244" s="28"/>
      <c r="CA244" s="48" t="str">
        <f>IF(Cartera1017[[#This Row],[Estado TI]] = "08. Producción Finalizada","Culminado",IF(Cartera1017[[#This Row],[Estado TI]]= "09. Descartado","Descartado","Activos"))</f>
        <v>Activos</v>
      </c>
      <c r="CB244" s="28"/>
      <c r="CC244"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44" s="54" t="str">
        <f>IF(
AND(
Cartera1017[[#This Row],[DEVOLVER 27]]="NO",
NOT(ISBLANK(Cartera1017[[#This Row],[ESTADO NO DEVUELTOS 27]]))
),
"PRE",
"POST"
)</f>
        <v>POST</v>
      </c>
      <c r="CE244" s="54"/>
      <c r="CF244" s="28"/>
      <c r="CG24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44"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44"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44" s="406">
        <f>Cartera1017[[#This Row],[Porcentaje de Avance]]</f>
        <v>0.1</v>
      </c>
      <c r="CK244" s="388" t="str">
        <f>IF(
   OR(
     Cartera1017[[#This Row],[Estado TI]]="09. Descartado",
     Cartera1017[[#This Row],[Comienzo Desarrollo]]="",
     Cartera1017[[#This Row],[Fin Producción]]=""
   ),
   "",
   Cartera1017[[#This Row],[% PLANIFICADO]]-Cartera1017[[#This Row],[% COMPLETADO]]
)</f>
        <v/>
      </c>
      <c r="CL244" s="388" t="str">
        <f ca="1">IF(
   OR(
     Cartera1017[[#This Row],[Estado TI]]="09. Descartado",
     Cartera1017[[#This Row],[Comienzo Desarrollo]]="",
     Cartera1017[[#This Row],[Fin Producción]]="",
     Cartera1017[[#This Row],[% PLANIFICADO]]=0
   ),
   "",
   MIN(Cartera1017[[#This Row],[% COMPLETADO]]/Cartera1017[[#This Row],[% PLANIFICADO]],1.2)
)</f>
        <v/>
      </c>
      <c r="CM244" s="229"/>
      <c r="CN244" s="229"/>
      <c r="CO244" s="229"/>
      <c r="CP244" s="229"/>
      <c r="CQ244" s="229"/>
      <c r="CR244" s="229"/>
      <c r="CS244" s="229"/>
      <c r="CT244" s="44">
        <f>IF(Cartera1017[[#This Row],[Fin Desarrollo]]="",25,IFERROR(NETWORKDAYS(Cartera1017[[#This Row],[Comienzo Desarrollo]],Cartera1017[[#This Row],[Fin Desarrollo]],FERIADOS[Fecha]),""))</f>
        <v>25</v>
      </c>
      <c r="CU24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44" s="44">
        <f>IF(OR(Cartera1017[[#This Row],[Comienzo Desarrollo]]="",Cartera1017[[#This Row],[Fin Desarrollo]]=""),200,IFERROR(Cartera1017[[#This Row],[DURACIÓN DESARROLLO DIAS]]*VLOOKUP(Cartera1017[[#This Row],[ID Mantenimiento]],MANT_HORAS[],2,FALSE),200))</f>
        <v>200</v>
      </c>
      <c r="CW244" s="110"/>
      <c r="CX244" s="110" t="str">
        <f>VLOOKUP(Cartera1017[[#This Row],[Estado TI]],Definiciones!$A$549:$B$559,2,FALSE)</f>
        <v>1. DESARROLLO</v>
      </c>
      <c r="CY244" s="28">
        <f ca="1">1-Cartera1017[[#This Row],[Porcentaje avanzado desarrollo]]</f>
        <v>0.9</v>
      </c>
      <c r="CZ24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44" s="28">
        <f ca="1">MAX(0,Cartera1017[[#This Row],[DURACIÓN DESARROLLO DIAS]]-Cartera1017[[#This Row],[Dias avanzados]])</f>
        <v>24</v>
      </c>
      <c r="DB244" s="28">
        <f ca="1">Cartera1017[[#This Row],[Dias avanzados]]*IFERROR(VLOOKUP(Cartera1017[[#This Row],[ID Mantenimiento]],MANT_HORAS[],2,FALSE),8)</f>
        <v>8</v>
      </c>
      <c r="DC244" s="28">
        <f ca="1">Cartera1017[[#This Row],[Dias faltantes]]*IFERROR(VLOOKUP(Cartera1017[[#This Row],[ID Mantenimiento]],MANT_HORAS[],2,FALSE),8)</f>
        <v>192</v>
      </c>
      <c r="DD244" s="28" t="str">
        <f>IF(Cartera1017[[#This Row],[Fin Producción]]=0,"Por definir",CONCATENATE(YEAR(Cartera1017[[#This Row],[Fin Producción]]),"-",ROUNDUP(MONTH(Cartera1017[[#This Row],[Fin Producción]]),0)))</f>
        <v>Por definir</v>
      </c>
      <c r="DE244" s="18" t="s">
        <v>1719</v>
      </c>
      <c r="DF244" s="28"/>
      <c r="DG244" s="28"/>
      <c r="DH244" s="565"/>
    </row>
    <row r="245" spans="1:112" ht="44.25" hidden="1" customHeight="1">
      <c r="A245" s="229" t="s">
        <v>2081</v>
      </c>
      <c r="B245" s="18">
        <v>3219</v>
      </c>
      <c r="C245" s="18" t="s">
        <v>485</v>
      </c>
      <c r="D245" s="18" t="s">
        <v>2082</v>
      </c>
      <c r="E245" s="18" t="s">
        <v>2083</v>
      </c>
      <c r="F245" s="33" t="s">
        <v>2084</v>
      </c>
      <c r="G245" s="19"/>
      <c r="H245" s="18" t="s">
        <v>40</v>
      </c>
      <c r="I245" s="18" t="s">
        <v>577</v>
      </c>
      <c r="J245" s="18" t="s">
        <v>922</v>
      </c>
      <c r="K245" s="20">
        <v>46094</v>
      </c>
      <c r="L245" s="50" t="s">
        <v>2069</v>
      </c>
      <c r="M245" s="50" t="s">
        <v>804</v>
      </c>
      <c r="N245" s="50"/>
      <c r="O245" s="18" t="s">
        <v>494</v>
      </c>
      <c r="P245" s="18" t="s">
        <v>797</v>
      </c>
      <c r="Q245" s="18"/>
      <c r="R245" s="18" t="s">
        <v>531</v>
      </c>
      <c r="S245" s="18"/>
      <c r="T245" s="18"/>
      <c r="U245" s="18"/>
      <c r="V245" s="18"/>
      <c r="W245" s="18"/>
      <c r="X245" s="18"/>
      <c r="Y245" s="80"/>
      <c r="Z245" s="18" t="s">
        <v>499</v>
      </c>
      <c r="AA245" s="20">
        <v>46119</v>
      </c>
      <c r="AB245" s="18" t="s">
        <v>500</v>
      </c>
      <c r="AC245" s="18"/>
      <c r="AD245" s="18"/>
      <c r="AE245" s="18" t="s">
        <v>47</v>
      </c>
      <c r="AF245" s="18" t="s">
        <v>340</v>
      </c>
      <c r="AG245" s="14" t="str">
        <f>VLOOKUP(AF245,Tabla3[[Estado Requerimiento]:[Macro estado]],2,FALSE)</f>
        <v>01. No iniciado</v>
      </c>
      <c r="AH245" s="18"/>
      <c r="AI245" s="80"/>
      <c r="AJ245" s="80"/>
      <c r="AK245" s="80"/>
      <c r="AL245" s="80"/>
      <c r="AM245" s="80"/>
      <c r="AN245" s="80"/>
      <c r="AO245" s="80"/>
      <c r="AP245" s="81" t="str">
        <f t="shared" si="6"/>
        <v/>
      </c>
      <c r="AQ245" s="80"/>
      <c r="AR245" s="80"/>
      <c r="AS245" s="81" t="str">
        <f t="shared" si="7"/>
        <v/>
      </c>
      <c r="AT245" s="198" t="s">
        <v>2085</v>
      </c>
      <c r="AU245" s="44" t="str">
        <f>VLOOKUP(Cartera1017[[#This Row],[Gerencia]],tbGerencia[#All],3,FALSE)</f>
        <v>Operac.</v>
      </c>
      <c r="AV245" s="44" t="str">
        <f>IFERROR(VLOOKUP(Cartera1017[[#This Row],[Subgerencia]],Definiciones!$A$90:$B$144,2,FALSE),"")</f>
        <v>CaptacionesPagaduría</v>
      </c>
      <c r="AW245" s="44" t="str">
        <f>IF(OR(LEN(Cartera1017[[#This Row],[Fecha de Solicitud]])=0,(Cartera1017[[#This Row],[Fecha de Solicitud]])="No definido"),"No definido",IF(YEAR(Cartera1017[[#This Row],[Fecha de Solicitud]])&lt;2023," &lt;  2023",TEXT(Cartera1017[[#This Row],[Fecha de Solicitud]],"yyyy-mm")))</f>
        <v>2026-03</v>
      </c>
      <c r="AX245" s="44" t="str">
        <f>IF(Cartera1017[[#This Row],[Fecha de Priorización Comité]]="","No definido",TEXT(Cartera1017[[#This Row],[Fecha de Priorización Comité]],"yyyy-mm"))</f>
        <v>2026-04</v>
      </c>
      <c r="AY245" s="44" t="str">
        <f>IF(Cartera1017[[#This Row],[Fecha Fin- Desarrollo]]="","No definido",TEXT(Cartera1017[[#This Row],[Fecha Fin- Desarrollo]],"yyyy-mm"))</f>
        <v>No definido</v>
      </c>
      <c r="AZ245" s="44" t="str">
        <f>IF(Cartera1017[[#This Row],[Fecha Fin- Producción]]="","No definido",TEXT(Cartera1017[[#This Row],[Fecha Fin- Producción]],"yyyy-mm"))</f>
        <v>No definido</v>
      </c>
      <c r="BA245" s="44" t="str">
        <f>IF(Cartera1017[[#This Row],[Fecha Fin-Planificada]]="","No definido",TEXT(Cartera1017[[#This Row],[Fecha Fin-Planificada]],"yyyy-mm"))</f>
        <v>No definido</v>
      </c>
      <c r="BB245" s="33"/>
      <c r="BC245" s="108"/>
      <c r="BD245" s="108"/>
      <c r="BE245" s="108"/>
      <c r="BF245" s="127"/>
      <c r="BG245" s="28"/>
      <c r="BH24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45" s="90" t="str">
        <f>IF(ISNUMBER(Cartera1017[[#This Row],[Duracion en Dias]]),Cartera1017[[#This Row],[Duracion en Dias]]/30, "No Aplica")</f>
        <v>No Aplica</v>
      </c>
      <c r="BJ245" s="109"/>
      <c r="BK245" s="28"/>
      <c r="BL245" s="110" t="s">
        <v>2000</v>
      </c>
      <c r="BM245" s="342">
        <v>46141.469386574077</v>
      </c>
      <c r="BN245" s="227"/>
      <c r="BO245" s="401"/>
      <c r="BP245" s="401"/>
      <c r="BQ24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5" s="14" t="str">
        <f>IFERROR(VLOOKUP(Cartera1017[[#This Row],[Aplicativo]],Tabla76[],2,FALSE),"Sin Aplicativo")</f>
        <v>Multired Virtual</v>
      </c>
      <c r="BS245" s="14" t="str">
        <f>IFERROR(VLOOKUP(Cartera1017[[#This Row],[Aplicativo]],Tabla76[],3,FALSE),"Sin Aplicativo")</f>
        <v>Canales Virtuales</v>
      </c>
      <c r="BT245" s="400"/>
      <c r="BU245" s="33"/>
      <c r="BV245" s="28"/>
      <c r="BW24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5" s="149" t="str">
        <f ca="1">IF(Cartera1017[[#This Row],[Fecha Fin2]]="","No definido",CONCATENATE(TEXT(Cartera1017[[#This Row],[Fecha Fin2]],"mmm")," ",YEAR(Cartera1017[[#This Row],[Fecha Fin2]])))</f>
        <v>No definido</v>
      </c>
      <c r="BZ245" s="28"/>
      <c r="CA245" s="48" t="str">
        <f>IF(Cartera1017[[#This Row],[Estado TI]] = "08. Producción Finalizada","Culminado",IF(Cartera1017[[#This Row],[Estado TI]]= "09. Descartado","Descartado","Activos"))</f>
        <v>Activos</v>
      </c>
      <c r="CB245" s="28"/>
      <c r="CC245"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45" s="54" t="str">
        <f>IF(
AND(
Cartera1017[[#This Row],[DEVOLVER 27]]="NO",
NOT(ISBLANK(Cartera1017[[#This Row],[ESTADO NO DEVUELTOS 27]]))
),
"PRE",
"POST"
)</f>
        <v>POST</v>
      </c>
      <c r="CE245" s="54"/>
      <c r="CF245" s="28"/>
      <c r="CG24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45"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RIESGO 🟡</v>
      </c>
      <c r="CI245"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0.11607142857142858</v>
      </c>
      <c r="CJ245" s="406">
        <f>Cartera1017[[#This Row],[Porcentaje de Avance]]</f>
        <v>0.1</v>
      </c>
      <c r="CK245" s="388">
        <f ca="1">IF(
   OR(
     Cartera1017[[#This Row],[Estado TI]]="09. Descartado",
     Cartera1017[[#This Row],[Comienzo Desarrollo]]="",
     Cartera1017[[#This Row],[Fin Producción]]=""
   ),
   "",
   Cartera1017[[#This Row],[% PLANIFICADO]]-Cartera1017[[#This Row],[% COMPLETADO]]
)</f>
        <v>1.607142857142857E-2</v>
      </c>
      <c r="CL245" s="388">
        <f ca="1">IF(
   OR(
     Cartera1017[[#This Row],[Estado TI]]="09. Descartado",
     Cartera1017[[#This Row],[Comienzo Desarrollo]]="",
     Cartera1017[[#This Row],[Fin Producción]]="",
     Cartera1017[[#This Row],[% PLANIFICADO]]=0
   ),
   "",
   MIN(Cartera1017[[#This Row],[% COMPLETADO]]/Cartera1017[[#This Row],[% PLANIFICADO]],1.2)
)</f>
        <v>0.86153846153846159</v>
      </c>
      <c r="CM245" s="229"/>
      <c r="CN245" s="377">
        <v>46146</v>
      </c>
      <c r="CO245" s="377">
        <v>46251</v>
      </c>
      <c r="CP245" s="377">
        <v>46252</v>
      </c>
      <c r="CQ245" s="377">
        <v>46300</v>
      </c>
      <c r="CR245" s="377">
        <v>46301</v>
      </c>
      <c r="CS245" s="377">
        <v>46307</v>
      </c>
      <c r="CT245" s="44">
        <f>IF(Cartera1017[[#This Row],[Fin Desarrollo]]="",25,IFERROR(NETWORKDAYS(Cartera1017[[#This Row],[Comienzo Desarrollo]],Cartera1017[[#This Row],[Fin Desarrollo]],FERIADOS[Fecha]),""))</f>
        <v>73</v>
      </c>
      <c r="CU24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0.15789473684210525</v>
      </c>
      <c r="CV245" s="44">
        <f>IF(OR(Cartera1017[[#This Row],[Comienzo Desarrollo]]="",Cartera1017[[#This Row],[Fin Desarrollo]]=""),200,IFERROR(Cartera1017[[#This Row],[DURACIÓN DESARROLLO DIAS]]*VLOOKUP(Cartera1017[[#This Row],[ID Mantenimiento]],MANT_HORAS[],2,FALSE),200))</f>
        <v>584</v>
      </c>
      <c r="CW245" s="110"/>
      <c r="CX245" s="110" t="str">
        <f>VLOOKUP(Cartera1017[[#This Row],[Estado TI]],Definiciones!$A$549:$B$559,2,FALSE)</f>
        <v>1. DESARROLLO</v>
      </c>
      <c r="CY245" s="28">
        <f ca="1">1-Cartera1017[[#This Row],[Porcentaje avanzado desarrollo]]</f>
        <v>0.84210526315789469</v>
      </c>
      <c r="CZ24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v>
      </c>
      <c r="DA245" s="28">
        <f ca="1">MAX(0,Cartera1017[[#This Row],[DURACIÓN DESARROLLO DIAS]]-Cartera1017[[#This Row],[Dias avanzados]])</f>
        <v>61</v>
      </c>
      <c r="DB245" s="28">
        <f ca="1">Cartera1017[[#This Row],[Dias avanzados]]*IFERROR(VLOOKUP(Cartera1017[[#This Row],[ID Mantenimiento]],MANT_HORAS[],2,FALSE),8)</f>
        <v>96</v>
      </c>
      <c r="DC245" s="28">
        <f ca="1">Cartera1017[[#This Row],[Dias faltantes]]*IFERROR(VLOOKUP(Cartera1017[[#This Row],[ID Mantenimiento]],MANT_HORAS[],2,FALSE),8)</f>
        <v>488</v>
      </c>
      <c r="DD245" s="28" t="str">
        <f>IF(Cartera1017[[#This Row],[Fin Producción]]=0,"Por definir",CONCATENATE(YEAR(Cartera1017[[#This Row],[Fin Producción]]),"-",ROUNDUP(MONTH(Cartera1017[[#This Row],[Fin Producción]]),0)))</f>
        <v>2026-10</v>
      </c>
      <c r="DE245" s="18" t="s">
        <v>1719</v>
      </c>
      <c r="DF245" s="28"/>
      <c r="DG245" s="28"/>
      <c r="DH245" s="565"/>
    </row>
    <row r="246" spans="1:112" ht="44.25" hidden="1" customHeight="1">
      <c r="A246" s="229" t="s">
        <v>2086</v>
      </c>
      <c r="B246" s="18">
        <v>3255</v>
      </c>
      <c r="C246" s="18" t="s">
        <v>485</v>
      </c>
      <c r="D246" s="18" t="s">
        <v>2087</v>
      </c>
      <c r="E246" s="18" t="s">
        <v>2088</v>
      </c>
      <c r="F246" s="33" t="s">
        <v>2089</v>
      </c>
      <c r="G246" s="19"/>
      <c r="H246" s="18" t="s">
        <v>59</v>
      </c>
      <c r="I246" s="18" t="s">
        <v>618</v>
      </c>
      <c r="J246" s="18" t="s">
        <v>1797</v>
      </c>
      <c r="K246" s="20">
        <v>46113</v>
      </c>
      <c r="L246" s="50" t="s">
        <v>2090</v>
      </c>
      <c r="M246" s="50" t="s">
        <v>870</v>
      </c>
      <c r="N246" s="50"/>
      <c r="O246" s="18" t="s">
        <v>548</v>
      </c>
      <c r="P246" s="18" t="s">
        <v>495</v>
      </c>
      <c r="Q246" s="18"/>
      <c r="R246" s="18" t="s">
        <v>531</v>
      </c>
      <c r="S246" s="18"/>
      <c r="T246" s="18"/>
      <c r="U246" s="18"/>
      <c r="V246" s="18"/>
      <c r="W246" s="18"/>
      <c r="X246" s="18"/>
      <c r="Y246" s="80"/>
      <c r="Z246" s="18" t="s">
        <v>499</v>
      </c>
      <c r="AA246" s="20">
        <v>46119</v>
      </c>
      <c r="AB246" s="18" t="s">
        <v>533</v>
      </c>
      <c r="AC246" s="18"/>
      <c r="AD246" s="18" t="s">
        <v>76</v>
      </c>
      <c r="AE246" s="18" t="s">
        <v>47</v>
      </c>
      <c r="AF246" s="18" t="s">
        <v>48</v>
      </c>
      <c r="AG246" s="14" t="str">
        <f>VLOOKUP(AF246,Tabla3[[Estado Requerimiento]:[Macro estado]],2,FALSE)</f>
        <v>02. En Proceso</v>
      </c>
      <c r="AH246" s="18"/>
      <c r="AI246" s="80"/>
      <c r="AJ246" s="80"/>
      <c r="AK246" s="80">
        <v>46129</v>
      </c>
      <c r="AL246" s="80"/>
      <c r="AM246" s="80"/>
      <c r="AN246" s="80"/>
      <c r="AO246" s="80"/>
      <c r="AP246" s="81" t="str">
        <f t="shared" si="6"/>
        <v/>
      </c>
      <c r="AQ246" s="80"/>
      <c r="AR246" s="80"/>
      <c r="AS246" s="81" t="str">
        <f t="shared" si="7"/>
        <v/>
      </c>
      <c r="AT246" s="198" t="s">
        <v>2091</v>
      </c>
      <c r="AU246" s="44" t="str">
        <f>VLOOKUP(Cartera1017[[#This Row],[Gerencia]],tbGerencia[#All],3,FALSE)</f>
        <v>RRHH</v>
      </c>
      <c r="AV246" s="44" t="str">
        <f>IFERROR(VLOOKUP(Cartera1017[[#This Row],[Subgerencia]],Definiciones!$A$90:$B$144,2,FALSE),"")</f>
        <v>AdministraciónPersonal</v>
      </c>
      <c r="AW246" s="44" t="str">
        <f>IF(OR(LEN(Cartera1017[[#This Row],[Fecha de Solicitud]])=0,(Cartera1017[[#This Row],[Fecha de Solicitud]])="No definido"),"No definido",IF(YEAR(Cartera1017[[#This Row],[Fecha de Solicitud]])&lt;2023," &lt;  2023",TEXT(Cartera1017[[#This Row],[Fecha de Solicitud]],"yyyy-mm")))</f>
        <v>2026-04</v>
      </c>
      <c r="AX246" s="44" t="str">
        <f>IF(Cartera1017[[#This Row],[Fecha de Priorización Comité]]="","No definido",TEXT(Cartera1017[[#This Row],[Fecha de Priorización Comité]],"yyyy-mm"))</f>
        <v>2026-04</v>
      </c>
      <c r="AY246" s="44" t="str">
        <f>IF(Cartera1017[[#This Row],[Fecha Fin- Desarrollo]]="","No definido",TEXT(Cartera1017[[#This Row],[Fecha Fin- Desarrollo]],"yyyy-mm"))</f>
        <v>No definido</v>
      </c>
      <c r="AZ246" s="44" t="str">
        <f>IF(Cartera1017[[#This Row],[Fecha Fin- Producción]]="","No definido",TEXT(Cartera1017[[#This Row],[Fecha Fin- Producción]],"yyyy-mm"))</f>
        <v>No definido</v>
      </c>
      <c r="BA246" s="44" t="str">
        <f>IF(Cartera1017[[#This Row],[Fecha Fin-Planificada]]="","No definido",TEXT(Cartera1017[[#This Row],[Fecha Fin-Planificada]],"yyyy-mm"))</f>
        <v>No definido</v>
      </c>
      <c r="BB246" s="33"/>
      <c r="BC246" s="108"/>
      <c r="BD246" s="108"/>
      <c r="BE246" s="108"/>
      <c r="BF246" s="127"/>
      <c r="BG246" s="28"/>
      <c r="BH24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6" s="90" t="str">
        <f>IF(ISNUMBER(Cartera1017[[#This Row],[Duracion en Dias]]),Cartera1017[[#This Row],[Duracion en Dias]]/30, "No Aplica")</f>
        <v>No Aplica</v>
      </c>
      <c r="BJ246" s="109"/>
      <c r="BK246" s="28" t="s">
        <v>1115</v>
      </c>
      <c r="BL246" s="110" t="s">
        <v>592</v>
      </c>
      <c r="BM246" s="342">
        <v>46129.670995370368</v>
      </c>
      <c r="BN246" s="227"/>
      <c r="BO246" s="401"/>
      <c r="BP246" s="401"/>
      <c r="BQ24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6" s="14" t="str">
        <f>IFERROR(VLOOKUP(Cartera1017[[#This Row],[Aplicativo]],Tabla76[],2,FALSE),"Sin Aplicativo")</f>
        <v>Oracle</v>
      </c>
      <c r="BS246" s="14" t="str">
        <f>IFERROR(VLOOKUP(Cartera1017[[#This Row],[Aplicativo]],Tabla76[],3,FALSE),"Sin Aplicativo")</f>
        <v>Otros Requerimientos</v>
      </c>
      <c r="BT246" s="400"/>
      <c r="BU246" s="33"/>
      <c r="BV246" s="28"/>
      <c r="BW24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6" s="149" t="str">
        <f ca="1">IF(Cartera1017[[#This Row],[Fecha Fin2]]="","No definido",CONCATENATE(TEXT(Cartera1017[[#This Row],[Fecha Fin2]],"mmm")," ",YEAR(Cartera1017[[#This Row],[Fecha Fin2]])))</f>
        <v>No definido</v>
      </c>
      <c r="BZ246" s="28"/>
      <c r="CA246" s="48" t="str">
        <f>IF(Cartera1017[[#This Row],[Estado TI]] = "08. Producción Finalizada","Culminado",IF(Cartera1017[[#This Row],[Estado TI]]= "09. Descartado","Descartado","Activos"))</f>
        <v>Activos</v>
      </c>
      <c r="CB246" s="28"/>
      <c r="CC246"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46" s="54" t="str">
        <f>IF(
AND(
Cartera1017[[#This Row],[DEVOLVER 27]]="NO",
NOT(ISBLANK(Cartera1017[[#This Row],[ESTADO NO DEVUELTOS 27]]))
),
"PRE",
"POST"
)</f>
        <v>POST</v>
      </c>
      <c r="CE246" s="54"/>
      <c r="CF246" s="28"/>
      <c r="CG24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46"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46"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0.14583333333333334</v>
      </c>
      <c r="CJ246" s="406">
        <f>Cartera1017[[#This Row],[Porcentaje de Avance]]</f>
        <v>0.15</v>
      </c>
      <c r="CK246" s="388">
        <f ca="1">IF(
   OR(
     Cartera1017[[#This Row],[Estado TI]]="09. Descartado",
     Cartera1017[[#This Row],[Comienzo Desarrollo]]="",
     Cartera1017[[#This Row],[Fin Producción]]=""
   ),
   "",
   Cartera1017[[#This Row],[% PLANIFICADO]]-Cartera1017[[#This Row],[% COMPLETADO]]
)</f>
        <v>-4.1666666666666519E-3</v>
      </c>
      <c r="CL246" s="388">
        <f ca="1">IF(
   OR(
     Cartera1017[[#This Row],[Estado TI]]="09. Descartado",
     Cartera1017[[#This Row],[Comienzo Desarrollo]]="",
     Cartera1017[[#This Row],[Fin Producción]]="",
     Cartera1017[[#This Row],[% PLANIFICADO]]=0
   ),
   "",
   MIN(Cartera1017[[#This Row],[% COMPLETADO]]/Cartera1017[[#This Row],[% PLANIFICADO]],1.2)
)</f>
        <v>1.0285714285714285</v>
      </c>
      <c r="CM246" s="229"/>
      <c r="CN246" s="229">
        <v>46154</v>
      </c>
      <c r="CO246" s="229">
        <v>46168</v>
      </c>
      <c r="CP246" s="229">
        <v>46169</v>
      </c>
      <c r="CQ246" s="229">
        <v>46213</v>
      </c>
      <c r="CR246" s="229">
        <v>46214</v>
      </c>
      <c r="CS246" s="229">
        <v>46221</v>
      </c>
      <c r="CT246" s="44">
        <f>IF(Cartera1017[[#This Row],[Fin Desarrollo]]="",25,IFERROR(NETWORKDAYS(Cartera1017[[#This Row],[Comienzo Desarrollo]],Cartera1017[[#This Row],[Fin Desarrollo]],FERIADOS[Fecha]),""))</f>
        <v>11</v>
      </c>
      <c r="CU24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0.54545454545454541</v>
      </c>
      <c r="CV246" s="44">
        <f>IF(OR(Cartera1017[[#This Row],[Comienzo Desarrollo]]="",Cartera1017[[#This Row],[Fin Desarrollo]]=""),200,IFERROR(Cartera1017[[#This Row],[DURACIÓN DESARROLLO DIAS]]*VLOOKUP(Cartera1017[[#This Row],[ID Mantenimiento]],MANT_HORAS[],2,FALSE),200))</f>
        <v>44</v>
      </c>
      <c r="CW246" s="110"/>
      <c r="CX246" s="110" t="str">
        <f>VLOOKUP(Cartera1017[[#This Row],[Estado TI]],Definiciones!$A$549:$B$559,2,FALSE)</f>
        <v>1. DESARROLLO</v>
      </c>
      <c r="CY246" s="28">
        <f ca="1">1-Cartera1017[[#This Row],[Porcentaje avanzado desarrollo]]</f>
        <v>0.45454545454545459</v>
      </c>
      <c r="CZ24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v>
      </c>
      <c r="DA246" s="28">
        <f ca="1">MAX(0,Cartera1017[[#This Row],[DURACIÓN DESARROLLO DIAS]]-Cartera1017[[#This Row],[Dias avanzados]])</f>
        <v>5</v>
      </c>
      <c r="DB246" s="28">
        <f ca="1">Cartera1017[[#This Row],[Dias avanzados]]*IFERROR(VLOOKUP(Cartera1017[[#This Row],[ID Mantenimiento]],MANT_HORAS[],2,FALSE),8)</f>
        <v>24</v>
      </c>
      <c r="DC246" s="28">
        <f ca="1">Cartera1017[[#This Row],[Dias faltantes]]*IFERROR(VLOOKUP(Cartera1017[[#This Row],[ID Mantenimiento]],MANT_HORAS[],2,FALSE),8)</f>
        <v>20</v>
      </c>
      <c r="DD246" s="28" t="str">
        <f>IF(Cartera1017[[#This Row],[Fin Producción]]=0,"Por definir",CONCATENATE(YEAR(Cartera1017[[#This Row],[Fin Producción]]),"-",ROUNDUP(MONTH(Cartera1017[[#This Row],[Fin Producción]]),0)))</f>
        <v>2026-7</v>
      </c>
      <c r="DE246" s="18" t="s">
        <v>1719</v>
      </c>
      <c r="DF246" s="28"/>
      <c r="DG246" s="28"/>
      <c r="DH246" s="565"/>
    </row>
    <row r="247" spans="1:112" ht="44.25" hidden="1" customHeight="1">
      <c r="A247" s="229" t="s">
        <v>2092</v>
      </c>
      <c r="B247" s="18">
        <v>3256</v>
      </c>
      <c r="C247" s="18" t="s">
        <v>485</v>
      </c>
      <c r="D247" s="18" t="s">
        <v>2093</v>
      </c>
      <c r="E247" s="18" t="s">
        <v>2094</v>
      </c>
      <c r="F247" s="33" t="s">
        <v>2095</v>
      </c>
      <c r="G247" s="19"/>
      <c r="H247" s="18" t="s">
        <v>59</v>
      </c>
      <c r="I247" s="18" t="s">
        <v>618</v>
      </c>
      <c r="J247" s="18" t="s">
        <v>1797</v>
      </c>
      <c r="K247" s="20">
        <v>46113</v>
      </c>
      <c r="L247" s="50" t="s">
        <v>2090</v>
      </c>
      <c r="M247" s="50" t="s">
        <v>870</v>
      </c>
      <c r="N247" s="50"/>
      <c r="O247" s="18" t="s">
        <v>548</v>
      </c>
      <c r="P247" s="18" t="s">
        <v>495</v>
      </c>
      <c r="Q247" s="18"/>
      <c r="R247" s="18" t="s">
        <v>531</v>
      </c>
      <c r="S247" s="18"/>
      <c r="T247" s="18"/>
      <c r="U247" s="18"/>
      <c r="V247" s="18"/>
      <c r="W247" s="18"/>
      <c r="X247" s="18"/>
      <c r="Y247" s="80"/>
      <c r="Z247" s="18" t="s">
        <v>499</v>
      </c>
      <c r="AA247" s="20">
        <v>46119</v>
      </c>
      <c r="AB247" s="18" t="s">
        <v>533</v>
      </c>
      <c r="AC247" s="18"/>
      <c r="AD247" s="18" t="s">
        <v>76</v>
      </c>
      <c r="AE247" s="18" t="s">
        <v>47</v>
      </c>
      <c r="AF247" s="18" t="s">
        <v>48</v>
      </c>
      <c r="AG247" s="14" t="str">
        <f>VLOOKUP(AF247,Tabla3[[Estado Requerimiento]:[Macro estado]],2,FALSE)</f>
        <v>02. En Proceso</v>
      </c>
      <c r="AH247" s="18"/>
      <c r="AI247" s="80"/>
      <c r="AJ247" s="80"/>
      <c r="AK247" s="80">
        <v>46129</v>
      </c>
      <c r="AL247" s="80"/>
      <c r="AM247" s="80"/>
      <c r="AN247" s="80"/>
      <c r="AO247" s="80"/>
      <c r="AP247" s="81" t="str">
        <f t="shared" si="6"/>
        <v/>
      </c>
      <c r="AQ247" s="80"/>
      <c r="AR247" s="80"/>
      <c r="AS247" s="81" t="str">
        <f t="shared" si="7"/>
        <v/>
      </c>
      <c r="AT247" s="198" t="s">
        <v>2096</v>
      </c>
      <c r="AU247" s="44" t="str">
        <f>VLOOKUP(Cartera1017[[#This Row],[Gerencia]],tbGerencia[#All],3,FALSE)</f>
        <v>RRHH</v>
      </c>
      <c r="AV247" s="44" t="str">
        <f>IFERROR(VLOOKUP(Cartera1017[[#This Row],[Subgerencia]],Definiciones!$A$90:$B$144,2,FALSE),"")</f>
        <v>AdministraciónPersonal</v>
      </c>
      <c r="AW247" s="44" t="str">
        <f>IF(OR(LEN(Cartera1017[[#This Row],[Fecha de Solicitud]])=0,(Cartera1017[[#This Row],[Fecha de Solicitud]])="No definido"),"No definido",IF(YEAR(Cartera1017[[#This Row],[Fecha de Solicitud]])&lt;2023," &lt;  2023",TEXT(Cartera1017[[#This Row],[Fecha de Solicitud]],"yyyy-mm")))</f>
        <v>2026-04</v>
      </c>
      <c r="AX247" s="44" t="str">
        <f>IF(Cartera1017[[#This Row],[Fecha de Priorización Comité]]="","No definido",TEXT(Cartera1017[[#This Row],[Fecha de Priorización Comité]],"yyyy-mm"))</f>
        <v>2026-04</v>
      </c>
      <c r="AY247" s="44" t="str">
        <f>IF(Cartera1017[[#This Row],[Fecha Fin- Desarrollo]]="","No definido",TEXT(Cartera1017[[#This Row],[Fecha Fin- Desarrollo]],"yyyy-mm"))</f>
        <v>No definido</v>
      </c>
      <c r="AZ247" s="44" t="str">
        <f>IF(Cartera1017[[#This Row],[Fecha Fin- Producción]]="","No definido",TEXT(Cartera1017[[#This Row],[Fecha Fin- Producción]],"yyyy-mm"))</f>
        <v>No definido</v>
      </c>
      <c r="BA247" s="44" t="str">
        <f>IF(Cartera1017[[#This Row],[Fecha Fin-Planificada]]="","No definido",TEXT(Cartera1017[[#This Row],[Fecha Fin-Planificada]],"yyyy-mm"))</f>
        <v>No definido</v>
      </c>
      <c r="BB247" s="33"/>
      <c r="BC247" s="108"/>
      <c r="BD247" s="108"/>
      <c r="BE247" s="108"/>
      <c r="BF247" s="127"/>
      <c r="BG247" s="28"/>
      <c r="BH24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7" s="90" t="str">
        <f>IF(ISNUMBER(Cartera1017[[#This Row],[Duracion en Dias]]),Cartera1017[[#This Row],[Duracion en Dias]]/30, "No Aplica")</f>
        <v>No Aplica</v>
      </c>
      <c r="BJ247" s="109"/>
      <c r="BK247" s="28" t="s">
        <v>1115</v>
      </c>
      <c r="BL247" s="110" t="s">
        <v>592</v>
      </c>
      <c r="BM247" s="342">
        <v>46129.67800925926</v>
      </c>
      <c r="BN247" s="227"/>
      <c r="BO247" s="401"/>
      <c r="BP247" s="401"/>
      <c r="BQ24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7" s="14" t="str">
        <f>IFERROR(VLOOKUP(Cartera1017[[#This Row],[Aplicativo]],Tabla76[],2,FALSE),"Sin Aplicativo")</f>
        <v>Oracle</v>
      </c>
      <c r="BS247" s="14" t="str">
        <f>IFERROR(VLOOKUP(Cartera1017[[#This Row],[Aplicativo]],Tabla76[],3,FALSE),"Sin Aplicativo")</f>
        <v>Otros Requerimientos</v>
      </c>
      <c r="BT247" s="400"/>
      <c r="BU247" s="33"/>
      <c r="BV247" s="28"/>
      <c r="BW24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7" s="149" t="str">
        <f ca="1">IF(Cartera1017[[#This Row],[Fecha Fin2]]="","No definido",CONCATENATE(TEXT(Cartera1017[[#This Row],[Fecha Fin2]],"mmm")," ",YEAR(Cartera1017[[#This Row],[Fecha Fin2]])))</f>
        <v>No definido</v>
      </c>
      <c r="BZ247" s="28"/>
      <c r="CA247" s="48" t="str">
        <f>IF(Cartera1017[[#This Row],[Estado TI]] = "08. Producción Finalizada","Culminado",IF(Cartera1017[[#This Row],[Estado TI]]= "09. Descartado","Descartado","Activos"))</f>
        <v>Activos</v>
      </c>
      <c r="CB247" s="28"/>
      <c r="CC247"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47" s="54" t="str">
        <f>IF(
AND(
Cartera1017[[#This Row],[DEVOLVER 27]]="NO",
NOT(ISBLANK(Cartera1017[[#This Row],[ESTADO NO DEVUELTOS 27]]))
),
"PRE",
"POST"
)</f>
        <v>POST</v>
      </c>
      <c r="CE247" s="54"/>
      <c r="CF247" s="28"/>
      <c r="CG24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47"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47"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247" s="406">
        <f>Cartera1017[[#This Row],[Porcentaje de Avance]]</f>
        <v>0.15</v>
      </c>
      <c r="CK247" s="388">
        <f ca="1">IF(
   OR(
     Cartera1017[[#This Row],[Estado TI]]="09. Descartado",
     Cartera1017[[#This Row],[Comienzo Desarrollo]]="",
     Cartera1017[[#This Row],[Fin Producción]]=""
   ),
   "",
   Cartera1017[[#This Row],[% PLANIFICADO]]-Cartera1017[[#This Row],[% COMPLETADO]]
)</f>
        <v>-0.15</v>
      </c>
      <c r="CL247" s="388" t="str">
        <f ca="1">IF(
   OR(
     Cartera1017[[#This Row],[Estado TI]]="09. Descartado",
     Cartera1017[[#This Row],[Comienzo Desarrollo]]="",
     Cartera1017[[#This Row],[Fin Producción]]="",
     Cartera1017[[#This Row],[% PLANIFICADO]]=0
   ),
   "",
   MIN(Cartera1017[[#This Row],[% COMPLETADO]]/Cartera1017[[#This Row],[% PLANIFICADO]],1.2)
)</f>
        <v/>
      </c>
      <c r="CM247" s="229"/>
      <c r="CN247" s="229">
        <v>46169</v>
      </c>
      <c r="CO247" s="229">
        <v>46183</v>
      </c>
      <c r="CP247" s="229">
        <v>46184</v>
      </c>
      <c r="CQ247" s="229">
        <v>46226</v>
      </c>
      <c r="CR247" s="229">
        <v>46227</v>
      </c>
      <c r="CS247" s="229">
        <v>46237</v>
      </c>
      <c r="CT247" s="44">
        <f>IF(Cartera1017[[#This Row],[Fin Desarrollo]]="",25,IFERROR(NETWORKDAYS(Cartera1017[[#This Row],[Comienzo Desarrollo]],Cartera1017[[#This Row],[Fin Desarrollo]],FERIADOS[Fecha]),""))</f>
        <v>11</v>
      </c>
      <c r="CU24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V247" s="44">
        <f>IF(OR(Cartera1017[[#This Row],[Comienzo Desarrollo]]="",Cartera1017[[#This Row],[Fin Desarrollo]]=""),200,IFERROR(Cartera1017[[#This Row],[DURACIÓN DESARROLLO DIAS]]*VLOOKUP(Cartera1017[[#This Row],[ID Mantenimiento]],MANT_HORAS[],2,FALSE),200))</f>
        <v>44</v>
      </c>
      <c r="CW247" s="110"/>
      <c r="CX247" s="110" t="str">
        <f>VLOOKUP(Cartera1017[[#This Row],[Estado TI]],Definiciones!$A$549:$B$559,2,FALSE)</f>
        <v>1. DESARROLLO</v>
      </c>
      <c r="CY247" s="28">
        <f ca="1">1-Cartera1017[[#This Row],[Porcentaje avanzado desarrollo]]</f>
        <v>1</v>
      </c>
      <c r="CZ24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247" s="28">
        <f ca="1">MAX(0,Cartera1017[[#This Row],[DURACIÓN DESARROLLO DIAS]]-Cartera1017[[#This Row],[Dias avanzados]])</f>
        <v>11</v>
      </c>
      <c r="DB247" s="28">
        <f ca="1">Cartera1017[[#This Row],[Dias avanzados]]*IFERROR(VLOOKUP(Cartera1017[[#This Row],[ID Mantenimiento]],MANT_HORAS[],2,FALSE),8)</f>
        <v>0</v>
      </c>
      <c r="DC247" s="28">
        <f ca="1">Cartera1017[[#This Row],[Dias faltantes]]*IFERROR(VLOOKUP(Cartera1017[[#This Row],[ID Mantenimiento]],MANT_HORAS[],2,FALSE),8)</f>
        <v>44</v>
      </c>
      <c r="DD247" s="28" t="str">
        <f>IF(Cartera1017[[#This Row],[Fin Producción]]=0,"Por definir",CONCATENATE(YEAR(Cartera1017[[#This Row],[Fin Producción]]),"-",ROUNDUP(MONTH(Cartera1017[[#This Row],[Fin Producción]]),0)))</f>
        <v>2026-8</v>
      </c>
      <c r="DE247" s="18" t="s">
        <v>1719</v>
      </c>
      <c r="DF247" s="28"/>
      <c r="DG247" s="28"/>
      <c r="DH247" s="565"/>
    </row>
    <row r="248" spans="1:112" ht="44.25" hidden="1" customHeight="1">
      <c r="A248" s="229" t="s">
        <v>2097</v>
      </c>
      <c r="B248" s="18">
        <v>3257</v>
      </c>
      <c r="C248" s="18" t="s">
        <v>485</v>
      </c>
      <c r="D248" s="18" t="s">
        <v>2098</v>
      </c>
      <c r="E248" s="18" t="s">
        <v>2099</v>
      </c>
      <c r="F248" s="33" t="s">
        <v>2100</v>
      </c>
      <c r="G248" s="19"/>
      <c r="H248" s="18" t="s">
        <v>59</v>
      </c>
      <c r="I248" s="18" t="s">
        <v>618</v>
      </c>
      <c r="J248" s="18" t="s">
        <v>1797</v>
      </c>
      <c r="K248" s="20">
        <v>46113</v>
      </c>
      <c r="L248" s="50" t="s">
        <v>2090</v>
      </c>
      <c r="M248" s="50" t="s">
        <v>870</v>
      </c>
      <c r="N248" s="50"/>
      <c r="O248" s="18" t="s">
        <v>548</v>
      </c>
      <c r="P248" s="18" t="s">
        <v>495</v>
      </c>
      <c r="Q248" s="18"/>
      <c r="R248" s="18" t="s">
        <v>531</v>
      </c>
      <c r="S248" s="18"/>
      <c r="T248" s="18"/>
      <c r="U248" s="18"/>
      <c r="V248" s="18"/>
      <c r="W248" s="18"/>
      <c r="X248" s="18"/>
      <c r="Y248" s="80"/>
      <c r="Z248" s="18" t="s">
        <v>499</v>
      </c>
      <c r="AA248" s="20">
        <v>46119</v>
      </c>
      <c r="AB248" s="18" t="s">
        <v>533</v>
      </c>
      <c r="AC248" s="18"/>
      <c r="AD248" s="18" t="s">
        <v>76</v>
      </c>
      <c r="AE248" s="18" t="s">
        <v>47</v>
      </c>
      <c r="AF248" s="18" t="s">
        <v>87</v>
      </c>
      <c r="AG248" s="14" t="str">
        <f>VLOOKUP(AF248,Tabla3[[Estado Requerimiento]:[Macro estado]],2,FALSE)</f>
        <v>02. En Proceso</v>
      </c>
      <c r="AH248" s="18"/>
      <c r="AI248" s="80"/>
      <c r="AJ248" s="80"/>
      <c r="AK248" s="80">
        <v>46129</v>
      </c>
      <c r="AL248" s="80">
        <v>46149</v>
      </c>
      <c r="AM248" s="80"/>
      <c r="AN248" s="80">
        <v>46156</v>
      </c>
      <c r="AO248" s="80"/>
      <c r="AP248" s="81">
        <f t="shared" si="6"/>
        <v>46157</v>
      </c>
      <c r="AQ248" s="80"/>
      <c r="AR248" s="80"/>
      <c r="AS248" s="81">
        <f t="shared" si="7"/>
        <v>46164</v>
      </c>
      <c r="AT248" s="198" t="s">
        <v>2101</v>
      </c>
      <c r="AU248" s="44" t="str">
        <f>VLOOKUP(Cartera1017[[#This Row],[Gerencia]],tbGerencia[#All],3,FALSE)</f>
        <v>RRHH</v>
      </c>
      <c r="AV248" s="44" t="str">
        <f>IFERROR(VLOOKUP(Cartera1017[[#This Row],[Subgerencia]],Definiciones!$A$90:$B$144,2,FALSE),"")</f>
        <v>AdministraciónPersonal</v>
      </c>
      <c r="AW248" s="44" t="str">
        <f>IF(OR(LEN(Cartera1017[[#This Row],[Fecha de Solicitud]])=0,(Cartera1017[[#This Row],[Fecha de Solicitud]])="No definido"),"No definido",IF(YEAR(Cartera1017[[#This Row],[Fecha de Solicitud]])&lt;2023," &lt;  2023",TEXT(Cartera1017[[#This Row],[Fecha de Solicitud]],"yyyy-mm")))</f>
        <v>2026-04</v>
      </c>
      <c r="AX248" s="44" t="str">
        <f>IF(Cartera1017[[#This Row],[Fecha de Priorización Comité]]="","No definido",TEXT(Cartera1017[[#This Row],[Fecha de Priorización Comité]],"yyyy-mm"))</f>
        <v>2026-04</v>
      </c>
      <c r="AY248" s="44" t="str">
        <f>IF(Cartera1017[[#This Row],[Fecha Fin- Desarrollo]]="","No definido",TEXT(Cartera1017[[#This Row],[Fecha Fin- Desarrollo]],"yyyy-mm"))</f>
        <v>2026-05</v>
      </c>
      <c r="AZ248" s="44" t="str">
        <f>IF(Cartera1017[[#This Row],[Fecha Fin- Producción]]="","No definido",TEXT(Cartera1017[[#This Row],[Fecha Fin- Producción]],"yyyy-mm"))</f>
        <v>No definido</v>
      </c>
      <c r="BA248" s="44" t="str">
        <f>IF(Cartera1017[[#This Row],[Fecha Fin-Planificada]]="","No definido",TEXT(Cartera1017[[#This Row],[Fecha Fin-Planificada]],"yyyy-mm"))</f>
        <v>2026-05</v>
      </c>
      <c r="BB248" s="33"/>
      <c r="BC248" s="108"/>
      <c r="BD248" s="108"/>
      <c r="BE248" s="108"/>
      <c r="BF248" s="127"/>
      <c r="BG248" s="28"/>
      <c r="BH24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8" s="90" t="str">
        <f>IF(ISNUMBER(Cartera1017[[#This Row],[Duracion en Dias]]),Cartera1017[[#This Row],[Duracion en Dias]]/30, "No Aplica")</f>
        <v>No Aplica</v>
      </c>
      <c r="BJ248" s="109"/>
      <c r="BK248" s="28" t="s">
        <v>506</v>
      </c>
      <c r="BL248" s="110" t="s">
        <v>1260</v>
      </c>
      <c r="BM248" s="342">
        <v>46156.623391203706</v>
      </c>
      <c r="BN248" s="227"/>
      <c r="BO248" s="401"/>
      <c r="BP248" s="401"/>
      <c r="BQ24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2026-Q2</v>
      </c>
      <c r="BR248" s="14" t="str">
        <f>IFERROR(VLOOKUP(Cartera1017[[#This Row],[Aplicativo]],Tabla76[],2,FALSE),"Sin Aplicativo")</f>
        <v>Oracle</v>
      </c>
      <c r="BS248" s="14" t="str">
        <f>IFERROR(VLOOKUP(Cartera1017[[#This Row],[Aplicativo]],Tabla76[],3,FALSE),"Sin Aplicativo")</f>
        <v>Otros Requerimientos</v>
      </c>
      <c r="BT248" s="400"/>
      <c r="BU248" s="33"/>
      <c r="BV248" s="28"/>
      <c r="BW24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46164</v>
      </c>
      <c r="BX24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2026-2</v>
      </c>
      <c r="BY248" s="149" t="str">
        <f ca="1">IF(Cartera1017[[#This Row],[Fecha Fin2]]="","No definido",CONCATENATE(TEXT(Cartera1017[[#This Row],[Fecha Fin2]],"mmm")," ",YEAR(Cartera1017[[#This Row],[Fecha Fin2]])))</f>
        <v>May 2026</v>
      </c>
      <c r="BZ248" s="28"/>
      <c r="CA248" s="48" t="str">
        <f>IF(Cartera1017[[#This Row],[Estado TI]] = "08. Producción Finalizada","Culminado",IF(Cartera1017[[#This Row],[Estado TI]]= "09. Descartado","Descartado","Activos"))</f>
        <v>Activos</v>
      </c>
      <c r="CB248" s="28"/>
      <c r="CC248"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248" s="54" t="str">
        <f>IF(
AND(
Cartera1017[[#This Row],[DEVOLVER 27]]="NO",
NOT(ISBLANK(Cartera1017[[#This Row],[ESTADO NO DEVUELTOS 27]]))
),
"PRE",
"POST"
)</f>
        <v>POST</v>
      </c>
      <c r="CE248" s="54"/>
      <c r="CF248" s="28"/>
      <c r="CG24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48"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48"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0.33333333333333331</v>
      </c>
      <c r="CJ248" s="406">
        <f>Cartera1017[[#This Row],[Porcentaje de Avance]]</f>
        <v>0.7</v>
      </c>
      <c r="CK248" s="388">
        <f ca="1">IF(
   OR(
     Cartera1017[[#This Row],[Estado TI]]="09. Descartado",
     Cartera1017[[#This Row],[Comienzo Desarrollo]]="",
     Cartera1017[[#This Row],[Fin Producción]]=""
   ),
   "",
   Cartera1017[[#This Row],[% PLANIFICADO]]-Cartera1017[[#This Row],[% COMPLETADO]]
)</f>
        <v>-0.36666666666666664</v>
      </c>
      <c r="CL248" s="388">
        <f ca="1">IF(
   OR(
     Cartera1017[[#This Row],[Estado TI]]="09. Descartado",
     Cartera1017[[#This Row],[Comienzo Desarrollo]]="",
     Cartera1017[[#This Row],[Fin Producción]]="",
     Cartera1017[[#This Row],[% PLANIFICADO]]=0
   ),
   "",
   MIN(Cartera1017[[#This Row],[% COMPLETADO]]/Cartera1017[[#This Row],[% PLANIFICADO]],1.2)
)</f>
        <v>1.2</v>
      </c>
      <c r="CM248" s="229"/>
      <c r="CN248" s="229">
        <v>46139</v>
      </c>
      <c r="CO248" s="229">
        <v>46153</v>
      </c>
      <c r="CP248" s="229">
        <v>46154</v>
      </c>
      <c r="CQ248" s="229">
        <v>46199</v>
      </c>
      <c r="CR248" s="229">
        <v>46200</v>
      </c>
      <c r="CS248" s="229">
        <v>46211</v>
      </c>
      <c r="CT248" s="44">
        <f>IF(Cartera1017[[#This Row],[Fin Desarrollo]]="",25,IFERROR(NETWORKDAYS(Cartera1017[[#This Row],[Comienzo Desarrollo]],Cartera1017[[#This Row],[Fin Desarrollo]],FERIADOS[Fecha]),""))</f>
        <v>10</v>
      </c>
      <c r="CU24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248" s="44">
        <f>IF(OR(Cartera1017[[#This Row],[Comienzo Desarrollo]]="",Cartera1017[[#This Row],[Fin Desarrollo]]=""),200,IFERROR(Cartera1017[[#This Row],[DURACIÓN DESARROLLO DIAS]]*VLOOKUP(Cartera1017[[#This Row],[ID Mantenimiento]],MANT_HORAS[],2,FALSE),200))</f>
        <v>200</v>
      </c>
      <c r="CW248" s="110"/>
      <c r="CX248" s="110" t="str">
        <f>VLOOKUP(Cartera1017[[#This Row],[Estado TI]],Definiciones!$A$549:$B$559,2,FALSE)</f>
        <v>2. CALIDAD</v>
      </c>
      <c r="CY248" s="28">
        <f ca="1">1-Cartera1017[[#This Row],[Porcentaje avanzado desarrollo]]</f>
        <v>0</v>
      </c>
      <c r="CZ24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DA248" s="28">
        <f ca="1">MAX(0,Cartera1017[[#This Row],[DURACIÓN DESARROLLO DIAS]]-Cartera1017[[#This Row],[Dias avanzados]])</f>
        <v>0</v>
      </c>
      <c r="DB248" s="28">
        <f ca="1">Cartera1017[[#This Row],[Dias avanzados]]*IFERROR(VLOOKUP(Cartera1017[[#This Row],[ID Mantenimiento]],MANT_HORAS[],2,FALSE),8)</f>
        <v>80</v>
      </c>
      <c r="DC248" s="28">
        <f ca="1">Cartera1017[[#This Row],[Dias faltantes]]*IFERROR(VLOOKUP(Cartera1017[[#This Row],[ID Mantenimiento]],MANT_HORAS[],2,FALSE),8)</f>
        <v>0</v>
      </c>
      <c r="DD248" s="28" t="str">
        <f>IF(Cartera1017[[#This Row],[Fin Producción]]=0,"Por definir",CONCATENATE(YEAR(Cartera1017[[#This Row],[Fin Producción]]),"-",ROUNDUP(MONTH(Cartera1017[[#This Row],[Fin Producción]]),0)))</f>
        <v>2026-7</v>
      </c>
      <c r="DE248" s="18" t="s">
        <v>1719</v>
      </c>
      <c r="DF248" s="28"/>
      <c r="DG248" s="28"/>
      <c r="DH248" s="565"/>
    </row>
    <row r="249" spans="1:112" ht="44.25" hidden="1" customHeight="1">
      <c r="A249" s="229" t="s">
        <v>2102</v>
      </c>
      <c r="B249" s="18">
        <v>3260</v>
      </c>
      <c r="C249" s="18" t="s">
        <v>485</v>
      </c>
      <c r="D249" s="18" t="s">
        <v>2103</v>
      </c>
      <c r="E249" s="18" t="s">
        <v>2104</v>
      </c>
      <c r="F249" s="33" t="s">
        <v>2105</v>
      </c>
      <c r="G249" s="19"/>
      <c r="H249" s="18" t="s">
        <v>2106</v>
      </c>
      <c r="I249" s="18" t="s">
        <v>2107</v>
      </c>
      <c r="J249" s="18"/>
      <c r="K249" s="20">
        <v>46111</v>
      </c>
      <c r="L249" s="50" t="s">
        <v>2108</v>
      </c>
      <c r="M249" s="50" t="s">
        <v>684</v>
      </c>
      <c r="N249" s="50"/>
      <c r="O249" s="18" t="s">
        <v>530</v>
      </c>
      <c r="P249" s="18" t="s">
        <v>797</v>
      </c>
      <c r="Q249" s="18" t="s">
        <v>549</v>
      </c>
      <c r="R249" s="18" t="s">
        <v>497</v>
      </c>
      <c r="S249" s="18"/>
      <c r="T249" s="18"/>
      <c r="U249" s="18"/>
      <c r="V249" s="18"/>
      <c r="W249" s="18"/>
      <c r="X249" s="18"/>
      <c r="Y249" s="80"/>
      <c r="Z249" s="18" t="s">
        <v>499</v>
      </c>
      <c r="AA249" s="20">
        <v>46119</v>
      </c>
      <c r="AB249" s="18" t="s">
        <v>533</v>
      </c>
      <c r="AC249" s="18"/>
      <c r="AD249" s="18" t="s">
        <v>190</v>
      </c>
      <c r="AE249" s="18" t="s">
        <v>63</v>
      </c>
      <c r="AF249" s="18" t="s">
        <v>87</v>
      </c>
      <c r="AG249" s="14" t="str">
        <f>VLOOKUP(AF249,Tabla3[[Estado Requerimiento]:[Macro estado]],2,FALSE)</f>
        <v>02. En Proceso</v>
      </c>
      <c r="AH249" s="18"/>
      <c r="AI249" s="80"/>
      <c r="AJ249" s="80"/>
      <c r="AK249" s="80">
        <v>46119</v>
      </c>
      <c r="AL249" s="80">
        <v>46136</v>
      </c>
      <c r="AM249" s="80"/>
      <c r="AN249" s="80">
        <v>46150</v>
      </c>
      <c r="AO249" s="80"/>
      <c r="AP249" s="81">
        <f t="shared" si="6"/>
        <v>46142.8</v>
      </c>
      <c r="AQ249" s="80"/>
      <c r="AR249" s="80"/>
      <c r="AS249" s="81">
        <f t="shared" si="7"/>
        <v>46149.8</v>
      </c>
      <c r="AT249" s="198" t="s">
        <v>2109</v>
      </c>
      <c r="AU249" s="44" t="str">
        <f>VLOOKUP(Cartera1017[[#This Row],[Gerencia]],tbGerencia[#All],3,FALSE)</f>
        <v>Innovación</v>
      </c>
      <c r="AV249" s="44" t="str">
        <f>IFERROR(VLOOKUP(Cartera1017[[#This Row],[Subgerencia]],Definiciones!$A$90:$B$144,2,FALSE),"")</f>
        <v/>
      </c>
      <c r="AW249" s="44" t="str">
        <f>IF(OR(LEN(Cartera1017[[#This Row],[Fecha de Solicitud]])=0,(Cartera1017[[#This Row],[Fecha de Solicitud]])="No definido"),"No definido",IF(YEAR(Cartera1017[[#This Row],[Fecha de Solicitud]])&lt;2023," &lt;  2023",TEXT(Cartera1017[[#This Row],[Fecha de Solicitud]],"yyyy-mm")))</f>
        <v>2026-03</v>
      </c>
      <c r="AX249" s="44" t="str">
        <f>IF(Cartera1017[[#This Row],[Fecha de Priorización Comité]]="","No definido",TEXT(Cartera1017[[#This Row],[Fecha de Priorización Comité]],"yyyy-mm"))</f>
        <v>2026-04</v>
      </c>
      <c r="AY249" s="44" t="str">
        <f>IF(Cartera1017[[#This Row],[Fecha Fin- Desarrollo]]="","No definido",TEXT(Cartera1017[[#This Row],[Fecha Fin- Desarrollo]],"yyyy-mm"))</f>
        <v>2026-04</v>
      </c>
      <c r="AZ249" s="44" t="str">
        <f>IF(Cartera1017[[#This Row],[Fecha Fin- Producción]]="","No definido",TEXT(Cartera1017[[#This Row],[Fecha Fin- Producción]],"yyyy-mm"))</f>
        <v>No definido</v>
      </c>
      <c r="BA249" s="44" t="str">
        <f>IF(Cartera1017[[#This Row],[Fecha Fin-Planificada]]="","No definido",TEXT(Cartera1017[[#This Row],[Fecha Fin-Planificada]],"yyyy-mm"))</f>
        <v>2026-05</v>
      </c>
      <c r="BB249" s="33"/>
      <c r="BC249" s="108"/>
      <c r="BD249" s="108"/>
      <c r="BE249" s="108"/>
      <c r="BF249" s="127"/>
      <c r="BG249" s="28"/>
      <c r="BH24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9" s="90" t="str">
        <f>IF(ISNUMBER(Cartera1017[[#This Row],[Duracion en Dias]]),Cartera1017[[#This Row],[Duracion en Dias]]/30, "No Aplica")</f>
        <v>No Aplica</v>
      </c>
      <c r="BJ249" s="109"/>
      <c r="BK249" s="28" t="s">
        <v>506</v>
      </c>
      <c r="BL249" s="110" t="s">
        <v>2110</v>
      </c>
      <c r="BM249" s="342">
        <v>46153.711238425924</v>
      </c>
      <c r="BN249" s="227"/>
      <c r="BO249" s="401"/>
      <c r="BP249" s="401"/>
      <c r="BQ24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49" s="14" t="str">
        <f>IFERROR(VLOOKUP(Cartera1017[[#This Row],[Aplicativo]],Tabla76[],2,FALSE),"Sin Aplicativo")</f>
        <v>BackOffice</v>
      </c>
      <c r="BS249" s="14" t="str">
        <f>IFERROR(VLOOKUP(Cartera1017[[#This Row],[Aplicativo]],Tabla76[],3,FALSE),"Sin Aplicativo")</f>
        <v>Otros Requerimientos</v>
      </c>
      <c r="BT249" s="400"/>
      <c r="BU249" s="33"/>
      <c r="BV249" s="28"/>
      <c r="BW24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9" s="149" t="str">
        <f ca="1">IF(Cartera1017[[#This Row],[Fecha Fin2]]="","No definido",CONCATENATE(TEXT(Cartera1017[[#This Row],[Fecha Fin2]],"mmm")," ",YEAR(Cartera1017[[#This Row],[Fecha Fin2]])))</f>
        <v>No definido</v>
      </c>
      <c r="BZ249" s="28"/>
      <c r="CA249" s="48" t="str">
        <f>IF(Cartera1017[[#This Row],[Estado TI]] = "08. Producción Finalizada","Culminado",IF(Cartera1017[[#This Row],[Estado TI]]= "09. Descartado","Descartado","Activos"))</f>
        <v>Activos</v>
      </c>
      <c r="CB249" s="28"/>
      <c r="CC249"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249" s="54" t="str">
        <f>IF(
AND(
Cartera1017[[#This Row],[DEVOLVER 27]]="NO",
NOT(ISBLANK(Cartera1017[[#This Row],[ESTADO NO DEVUELTOS 27]]))
),
"PRE",
"POST"
)</f>
        <v>POST</v>
      </c>
      <c r="CE249" s="54"/>
      <c r="CF249" s="28"/>
      <c r="CG24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49" s="18"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49" s="426">
        <v>0.95</v>
      </c>
      <c r="CJ249" s="406">
        <v>0.9</v>
      </c>
      <c r="CK249" s="406" t="s">
        <v>2111</v>
      </c>
      <c r="CL249" s="388">
        <f>IF(
   OR(
     Cartera1017[[#This Row],[Estado TI]]="09. Descartado",
     Cartera1017[[#This Row],[Comienzo Desarrollo]]="",
     Cartera1017[[#This Row],[Fin Producción]]="",
     Cartera1017[[#This Row],[% PLANIFICADO]]=0
   ),
   "",
   MIN(Cartera1017[[#This Row],[% COMPLETADO]]/Cartera1017[[#This Row],[% PLANIFICADO]],1.2)
)</f>
        <v>0.94736842105263164</v>
      </c>
      <c r="CM249" s="229"/>
      <c r="CN249" s="377">
        <v>46083</v>
      </c>
      <c r="CO249" s="377">
        <v>46142</v>
      </c>
      <c r="CP249" s="377">
        <v>46146</v>
      </c>
      <c r="CQ249" s="377">
        <v>46150</v>
      </c>
      <c r="CR249" s="377">
        <v>46153</v>
      </c>
      <c r="CS249" s="377">
        <v>46157</v>
      </c>
      <c r="CT249" s="44">
        <f>IF(Cartera1017[[#This Row],[Fin Desarrollo]]="",25,IFERROR(NETWORKDAYS(Cartera1017[[#This Row],[Comienzo Desarrollo]],Cartera1017[[#This Row],[Fin Desarrollo]],FERIADOS[Fecha]),""))</f>
        <v>44</v>
      </c>
      <c r="CU24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249" s="44">
        <f>IF(OR(Cartera1017[[#This Row],[Comienzo Desarrollo]]="",Cartera1017[[#This Row],[Fin Desarrollo]]=""),200,IFERROR(Cartera1017[[#This Row],[DURACIÓN DESARROLLO DIAS]]*VLOOKUP(Cartera1017[[#This Row],[ID Mantenimiento]],MANT_HORAS[],2,FALSE),200))</f>
        <v>200</v>
      </c>
      <c r="CW249" s="110"/>
      <c r="CX249" s="110" t="str">
        <f>VLOOKUP(Cartera1017[[#This Row],[Estado TI]],Definiciones!$A$549:$B$559,2,FALSE)</f>
        <v>2. CALIDAD</v>
      </c>
      <c r="CY249" s="28">
        <f ca="1">1-Cartera1017[[#This Row],[Porcentaje avanzado desarrollo]]</f>
        <v>0</v>
      </c>
      <c r="CZ24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44</v>
      </c>
      <c r="DA249" s="28">
        <f ca="1">MAX(0,Cartera1017[[#This Row],[DURACIÓN DESARROLLO DIAS]]-Cartera1017[[#This Row],[Dias avanzados]])</f>
        <v>0</v>
      </c>
      <c r="DB249" s="28">
        <f ca="1">Cartera1017[[#This Row],[Dias avanzados]]*IFERROR(VLOOKUP(Cartera1017[[#This Row],[ID Mantenimiento]],MANT_HORAS[],2,FALSE),8)</f>
        <v>352</v>
      </c>
      <c r="DC249" s="28">
        <f ca="1">Cartera1017[[#This Row],[Dias faltantes]]*IFERROR(VLOOKUP(Cartera1017[[#This Row],[ID Mantenimiento]],MANT_HORAS[],2,FALSE),8)</f>
        <v>0</v>
      </c>
      <c r="DD249" s="28" t="str">
        <f>IF(Cartera1017[[#This Row],[Fin Producción]]=0,"Por definir",CONCATENATE(YEAR(Cartera1017[[#This Row],[Fin Producción]]),"-",ROUNDUP(MONTH(Cartera1017[[#This Row],[Fin Producción]]),0)))</f>
        <v>2026-5</v>
      </c>
      <c r="DE249" s="18" t="s">
        <v>1719</v>
      </c>
      <c r="DF249" s="28"/>
      <c r="DG249" s="28"/>
      <c r="DH249" s="565"/>
    </row>
    <row r="250" spans="1:112" ht="44.25" hidden="1" customHeight="1">
      <c r="A250" s="524" t="s">
        <v>2112</v>
      </c>
      <c r="B250" s="263">
        <v>2361</v>
      </c>
      <c r="C250" s="263" t="s">
        <v>485</v>
      </c>
      <c r="D250" s="523" t="s">
        <v>2113</v>
      </c>
      <c r="E250" s="523" t="s">
        <v>131</v>
      </c>
      <c r="F250" s="264" t="s">
        <v>132</v>
      </c>
      <c r="G250" s="19"/>
      <c r="H250" s="18" t="s">
        <v>108</v>
      </c>
      <c r="I250" s="18" t="s">
        <v>811</v>
      </c>
      <c r="J250" s="18" t="s">
        <v>500</v>
      </c>
      <c r="K250" s="20">
        <v>45518</v>
      </c>
      <c r="L250" s="50" t="s">
        <v>528</v>
      </c>
      <c r="M250" s="50" t="s">
        <v>703</v>
      </c>
      <c r="N250" s="50"/>
      <c r="O250" s="18" t="s">
        <v>1389</v>
      </c>
      <c r="P250" s="18" t="s">
        <v>495</v>
      </c>
      <c r="Q250" s="18" t="s">
        <v>822</v>
      </c>
      <c r="R250" s="18" t="s">
        <v>599</v>
      </c>
      <c r="S250" s="18" t="s">
        <v>599</v>
      </c>
      <c r="T250" s="18" t="s">
        <v>652</v>
      </c>
      <c r="U250" s="18"/>
      <c r="V250" s="18"/>
      <c r="W250" s="18"/>
      <c r="X250" s="18"/>
      <c r="Y250" s="80"/>
      <c r="Z250" s="18" t="s">
        <v>532</v>
      </c>
      <c r="AA250" s="20">
        <v>45533</v>
      </c>
      <c r="AB250" s="18" t="s">
        <v>500</v>
      </c>
      <c r="AC250" s="18" t="s">
        <v>570</v>
      </c>
      <c r="AD250" s="18" t="s">
        <v>133</v>
      </c>
      <c r="AE250" s="18" t="s">
        <v>109</v>
      </c>
      <c r="AF250" s="18" t="s">
        <v>502</v>
      </c>
      <c r="AG250" s="14" t="str">
        <f>VLOOKUP(AF250,Tabla3[[Estado Requerimiento]:[Macro estado]],2,FALSE)</f>
        <v>05. Descartado</v>
      </c>
      <c r="AH250" s="18"/>
      <c r="AI250" s="80"/>
      <c r="AJ250" s="80"/>
      <c r="AK250" s="80">
        <v>46013</v>
      </c>
      <c r="AL250" s="80"/>
      <c r="AM250" s="80"/>
      <c r="AN250" s="80"/>
      <c r="AO250" s="80"/>
      <c r="AP250" s="81" t="str">
        <f t="shared" si="6"/>
        <v/>
      </c>
      <c r="AQ250" s="80"/>
      <c r="AR250" s="80"/>
      <c r="AS250" s="81" t="str">
        <f t="shared" si="7"/>
        <v/>
      </c>
      <c r="AT250" s="19" t="s">
        <v>2114</v>
      </c>
      <c r="AU250" s="44" t="str">
        <f>VLOOKUP(Cartera1017[[#This Row],[Gerencia]],tbGerencia[#All],3,FALSE)</f>
        <v>TI</v>
      </c>
      <c r="AV250" s="44" t="str">
        <f>IFERROR(VLOOKUP(Cartera1017[[#This Row],[Subgerencia]],Definiciones!$A$90:$B$144,2,FALSE),"")</f>
        <v>ConstrucciónAplicaciones</v>
      </c>
      <c r="AW250" s="44" t="str">
        <f>IF(OR(LEN(Cartera1017[[#This Row],[Fecha de Solicitud]])=0,(Cartera1017[[#This Row],[Fecha de Solicitud]])="No definido"),"No definido",IF(YEAR(Cartera1017[[#This Row],[Fecha de Solicitud]])&lt;2023," &lt;  2023",TEXT(Cartera1017[[#This Row],[Fecha de Solicitud]],"yyyy-mm")))</f>
        <v>2024-08</v>
      </c>
      <c r="AX250" s="44" t="str">
        <f>IF(Cartera1017[[#This Row],[Fecha de Priorización Comité]]="","No definido",TEXT(Cartera1017[[#This Row],[Fecha de Priorización Comité]],"yyyy-mm"))</f>
        <v>2024-08</v>
      </c>
      <c r="AY250" s="44" t="str">
        <f>IF(Cartera1017[[#This Row],[Fecha Fin- Desarrollo]]="","No definido",TEXT(Cartera1017[[#This Row],[Fecha Fin- Desarrollo]],"yyyy-mm"))</f>
        <v>No definido</v>
      </c>
      <c r="AZ250" s="44" t="str">
        <f>IF(Cartera1017[[#This Row],[Fecha Fin- Producción]]="","No definido",TEXT(Cartera1017[[#This Row],[Fecha Fin- Producción]],"yyyy-mm"))</f>
        <v>No definido</v>
      </c>
      <c r="BA250" s="44" t="str">
        <f>IF(Cartera1017[[#This Row],[Fecha Fin-Planificada]]="","No definido",TEXT(Cartera1017[[#This Row],[Fecha Fin-Planificada]],"yyyy-mm"))</f>
        <v>No definido</v>
      </c>
      <c r="BB250" s="33"/>
      <c r="BC250" s="108"/>
      <c r="BD250" s="108"/>
      <c r="BE250" s="108"/>
      <c r="BF250" s="127"/>
      <c r="BG250" s="28"/>
      <c r="BH25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0" s="90" t="str">
        <f>IF(ISNUMBER(Cartera1017[[#This Row],[Duracion en Dias]]),Cartera1017[[#This Row],[Duracion en Dias]]/30, "No Aplica")</f>
        <v>No Aplica</v>
      </c>
      <c r="BJ250" s="109"/>
      <c r="BK250" s="28" t="s">
        <v>506</v>
      </c>
      <c r="BL250" s="110" t="s">
        <v>572</v>
      </c>
      <c r="BM250" s="342">
        <v>46080.34584490741</v>
      </c>
      <c r="BN250" s="227"/>
      <c r="BO250" s="401"/>
      <c r="BP250" s="401"/>
      <c r="BQ25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50" s="14" t="str">
        <f>IFERROR(VLOOKUP(Cartera1017[[#This Row],[Aplicativo]],Tabla76[],2,FALSE),"Sin Aplicativo")</f>
        <v>BackOffice</v>
      </c>
      <c r="BS250" s="14" t="str">
        <f>IFERROR(VLOOKUP(Cartera1017[[#This Row],[Aplicativo]],Tabla76[],3,FALSE),"Sin Aplicativo")</f>
        <v>Otros Requerimientos</v>
      </c>
      <c r="BT250" s="400"/>
      <c r="BU250" s="33"/>
      <c r="BV250" s="28"/>
      <c r="BW25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50" s="149" t="str">
        <f ca="1">IF(Cartera1017[[#This Row],[Fecha Fin2]]="","No definido",CONCATENATE(TEXT(Cartera1017[[#This Row],[Fecha Fin2]],"mmm")," ",YEAR(Cartera1017[[#This Row],[Fecha Fin2]])))</f>
        <v>No definido</v>
      </c>
      <c r="BZ250" s="28"/>
      <c r="CA250" s="48" t="str">
        <f>IF(Cartera1017[[#This Row],[Estado TI]] = "08. Producción Finalizada","Culminado",IF(Cartera1017[[#This Row],[Estado TI]]= "09. Descartado","Descartado","Activos"))</f>
        <v>Descartado</v>
      </c>
      <c r="CB250" s="28"/>
      <c r="CC250" s="406">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250" s="54" t="str">
        <f>IF(
AND(
Cartera1017[[#This Row],[DEVOLVER 27]]="NO",
NOT(ISBLANK(Cartera1017[[#This Row],[ESTADO NO DEVUELTOS 27]]))
),
"PRE",
"POST"
)</f>
        <v>POST</v>
      </c>
      <c r="CE250" s="54"/>
      <c r="CF250" s="28"/>
      <c r="CG25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50"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50"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0.96250000000000002</v>
      </c>
      <c r="CJ250" s="406">
        <f>Cartera1017[[#This Row],[Porcentaje de Avance]]</f>
        <v>-0.01</v>
      </c>
      <c r="CK250" s="388" t="str">
        <f>IF(
   OR(
     Cartera1017[[#This Row],[Estado TI]]="09. Descartado",
     Cartera1017[[#This Row],[Comienzo Desarrollo]]="",
     Cartera1017[[#This Row],[Fin Producción]]=""
   ),
   "",
   Cartera1017[[#This Row],[% PLANIFICADO]]-Cartera1017[[#This Row],[% COMPLETADO]]
)</f>
        <v/>
      </c>
      <c r="CL250" s="388" t="str">
        <f ca="1">IF(
   OR(
     Cartera1017[[#This Row],[Estado TI]]="09. Descartado",
     Cartera1017[[#This Row],[Comienzo Desarrollo]]="",
     Cartera1017[[#This Row],[Fin Producción]]="",
     Cartera1017[[#This Row],[% PLANIFICADO]]=0
   ),
   "",
   MIN(Cartera1017[[#This Row],[% COMPLETADO]]/Cartera1017[[#This Row],[% PLANIFICADO]],1.2)
)</f>
        <v/>
      </c>
      <c r="CM250" s="229"/>
      <c r="CN250" s="229">
        <v>46055</v>
      </c>
      <c r="CO250" s="229">
        <v>46059</v>
      </c>
      <c r="CP250" s="229">
        <v>46063</v>
      </c>
      <c r="CQ250" s="229">
        <v>46073</v>
      </c>
      <c r="CR250" s="229">
        <v>46075</v>
      </c>
      <c r="CS250" s="229">
        <v>46167</v>
      </c>
      <c r="CT250" s="44">
        <f>IF(Cartera1017[[#This Row],[Fin Desarrollo]]="",25,IFERROR(NETWORKDAYS(Cartera1017[[#This Row],[Comienzo Desarrollo]],Cartera1017[[#This Row],[Fin Desarrollo]],FERIADOS[Fecha]),""))</f>
        <v>5</v>
      </c>
      <c r="CU25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V250" s="44">
        <f>IF(OR(Cartera1017[[#This Row],[Comienzo Desarrollo]]="",Cartera1017[[#This Row],[Fin Desarrollo]]=""),200,IFERROR(Cartera1017[[#This Row],[DURACIÓN DESARROLLO DIAS]]*VLOOKUP(Cartera1017[[#This Row],[ID Mantenimiento]],MANT_HORAS[],2,FALSE),200))</f>
        <v>40</v>
      </c>
      <c r="CW250" s="110"/>
      <c r="CX250" s="110" t="str">
        <f>VLOOKUP(Cartera1017[[#This Row],[Estado TI]],Definiciones!$A$549:$B$559,2,FALSE)</f>
        <v>5. DESCARTADO</v>
      </c>
      <c r="CY250" s="28">
        <f ca="1">1-Cartera1017[[#This Row],[Porcentaje avanzado desarrollo]]</f>
        <v>0</v>
      </c>
      <c r="CZ25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DA250" s="28">
        <f ca="1">MAX(0,Cartera1017[[#This Row],[DURACIÓN DESARROLLO DIAS]]-Cartera1017[[#This Row],[Dias avanzados]])</f>
        <v>0</v>
      </c>
      <c r="DB250" s="28">
        <f ca="1">Cartera1017[[#This Row],[Dias avanzados]]*IFERROR(VLOOKUP(Cartera1017[[#This Row],[ID Mantenimiento]],MANT_HORAS[],2,FALSE),8)</f>
        <v>40</v>
      </c>
      <c r="DC250" s="28">
        <f ca="1">Cartera1017[[#This Row],[Dias faltantes]]*IFERROR(VLOOKUP(Cartera1017[[#This Row],[ID Mantenimiento]],MANT_HORAS[],2,FALSE),8)</f>
        <v>0</v>
      </c>
      <c r="DD250" s="28" t="str">
        <f>IF(Cartera1017[[#This Row],[Fin Producción]]=0,"Por definir",CONCATENATE(YEAR(Cartera1017[[#This Row],[Fin Producción]]),"-",ROUNDUP(MONTH(Cartera1017[[#This Row],[Fin Producción]]),0)))</f>
        <v>2026-5</v>
      </c>
      <c r="DE250" s="18" t="s">
        <v>510</v>
      </c>
      <c r="DF250" s="28"/>
      <c r="DG250" s="28"/>
      <c r="DH250" s="565"/>
    </row>
    <row r="251" spans="1:112" ht="44.25" hidden="1" customHeight="1">
      <c r="A251" s="229" t="s">
        <v>2115</v>
      </c>
      <c r="B251" s="18">
        <v>3266</v>
      </c>
      <c r="C251" s="263" t="s">
        <v>485</v>
      </c>
      <c r="D251" s="18" t="s">
        <v>2116</v>
      </c>
      <c r="E251" s="522" t="s">
        <v>2117</v>
      </c>
      <c r="F251" s="33" t="s">
        <v>2118</v>
      </c>
      <c r="G251" s="19"/>
      <c r="H251" s="18" t="s">
        <v>2106</v>
      </c>
      <c r="I251" s="18"/>
      <c r="J251" s="18"/>
      <c r="K251" s="20">
        <v>46129</v>
      </c>
      <c r="L251" s="18" t="s">
        <v>2119</v>
      </c>
      <c r="M251" s="50" t="s">
        <v>941</v>
      </c>
      <c r="N251" s="50"/>
      <c r="O251" s="18" t="s">
        <v>530</v>
      </c>
      <c r="P251" s="18" t="s">
        <v>495</v>
      </c>
      <c r="Q251" s="18"/>
      <c r="R251" s="18" t="s">
        <v>599</v>
      </c>
      <c r="S251" s="18"/>
      <c r="T251" s="18"/>
      <c r="U251" s="18"/>
      <c r="V251" s="18"/>
      <c r="W251" s="18"/>
      <c r="X251" s="18"/>
      <c r="Y251" s="80"/>
      <c r="Z251" s="18" t="s">
        <v>499</v>
      </c>
      <c r="AA251" s="20">
        <v>46147</v>
      </c>
      <c r="AB251" s="18" t="s">
        <v>533</v>
      </c>
      <c r="AC251" s="18"/>
      <c r="AD251" s="18" t="s">
        <v>1506</v>
      </c>
      <c r="AE251" s="18" t="s">
        <v>63</v>
      </c>
      <c r="AF251" s="517" t="s">
        <v>48</v>
      </c>
      <c r="AG251" s="14" t="str">
        <f>VLOOKUP(AF251,Tabla3[[Estado Requerimiento]:[Macro estado]],2,FALSE)</f>
        <v>02. En Proceso</v>
      </c>
      <c r="AH251" s="18"/>
      <c r="AI251" s="80"/>
      <c r="AJ251" s="80"/>
      <c r="AK251" s="80">
        <v>46136</v>
      </c>
      <c r="AL251" s="80"/>
      <c r="AM251" s="80"/>
      <c r="AN251" s="80"/>
      <c r="AO251" s="80"/>
      <c r="AP251" s="81" t="str">
        <f t="shared" si="6"/>
        <v/>
      </c>
      <c r="AQ251" s="80"/>
      <c r="AR251" s="80"/>
      <c r="AS251" s="81" t="str">
        <f t="shared" si="7"/>
        <v/>
      </c>
      <c r="AT251" s="19" t="s">
        <v>2120</v>
      </c>
      <c r="AU251" s="44" t="str">
        <f>VLOOKUP(Cartera1017[[#This Row],[Gerencia]],tbGerencia[#All],3,FALSE)</f>
        <v>Innovación</v>
      </c>
      <c r="AV251" s="44" t="str">
        <f>IFERROR(VLOOKUP(Cartera1017[[#This Row],[Subgerencia]],Definiciones!$A$90:$B$144,2,FALSE),"")</f>
        <v/>
      </c>
      <c r="AW251" s="44" t="str">
        <f>IF(OR(LEN(Cartera1017[[#This Row],[Fecha de Solicitud]])=0,(Cartera1017[[#This Row],[Fecha de Solicitud]])="No definido"),"No definido",IF(YEAR(Cartera1017[[#This Row],[Fecha de Solicitud]])&lt;2023," &lt;  2023",TEXT(Cartera1017[[#This Row],[Fecha de Solicitud]],"yyyy-mm")))</f>
        <v>2026-04</v>
      </c>
      <c r="AX251" s="44" t="str">
        <f>IF(Cartera1017[[#This Row],[Fecha de Priorización Comité]]="","No definido",TEXT(Cartera1017[[#This Row],[Fecha de Priorización Comité]],"yyyy-mm"))</f>
        <v>2026-05</v>
      </c>
      <c r="AY251" s="44" t="str">
        <f>IF(Cartera1017[[#This Row],[Fecha Fin- Desarrollo]]="","No definido",TEXT(Cartera1017[[#This Row],[Fecha Fin- Desarrollo]],"yyyy-mm"))</f>
        <v>No definido</v>
      </c>
      <c r="AZ251" s="44" t="str">
        <f>IF(Cartera1017[[#This Row],[Fecha Fin- Producción]]="","No definido",TEXT(Cartera1017[[#This Row],[Fecha Fin- Producción]],"yyyy-mm"))</f>
        <v>No definido</v>
      </c>
      <c r="BA251" s="44" t="str">
        <f>IF(Cartera1017[[#This Row],[Fecha Fin-Planificada]]="","No definido",TEXT(Cartera1017[[#This Row],[Fecha Fin-Planificada]],"yyyy-mm"))</f>
        <v>No definido</v>
      </c>
      <c r="BB251" s="33"/>
      <c r="BC251" s="108"/>
      <c r="BD251" s="108"/>
      <c r="BE251" s="108"/>
      <c r="BF251" s="127"/>
      <c r="BG251" s="28"/>
      <c r="BH25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1" s="90" t="str">
        <f>IF(ISNUMBER(Cartera1017[[#This Row],[Duracion en Dias]]),Cartera1017[[#This Row],[Duracion en Dias]]/30, "No Aplica")</f>
        <v>No Aplica</v>
      </c>
      <c r="BJ251" s="109"/>
      <c r="BK251" s="28" t="s">
        <v>613</v>
      </c>
      <c r="BL251" s="110" t="s">
        <v>592</v>
      </c>
      <c r="BM251" s="342">
        <v>46136.721099537041</v>
      </c>
      <c r="BN251" s="227"/>
      <c r="BO251" s="401"/>
      <c r="BP251" s="401"/>
      <c r="BQ25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51" s="14" t="str">
        <f>IFERROR(VLOOKUP(Cartera1017[[#This Row],[Aplicativo]],Tabla76[],2,FALSE),"Sin Aplicativo")</f>
        <v>BackOffice</v>
      </c>
      <c r="BS251" s="14" t="str">
        <f>IFERROR(VLOOKUP(Cartera1017[[#This Row],[Aplicativo]],Tabla76[],3,FALSE),"Sin Aplicativo")</f>
        <v>Otros Requerimientos</v>
      </c>
      <c r="BT251" s="400"/>
      <c r="BU251" s="33"/>
      <c r="BV251" s="28"/>
      <c r="BW25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51" s="149" t="str">
        <f ca="1">IF(Cartera1017[[#This Row],[Fecha Fin2]]="","No definido",CONCATENATE(TEXT(Cartera1017[[#This Row],[Fecha Fin2]],"mmm")," ",YEAR(Cartera1017[[#This Row],[Fecha Fin2]])))</f>
        <v>No definido</v>
      </c>
      <c r="BZ251" s="28"/>
      <c r="CA251" s="48" t="str">
        <f>IF(Cartera1017[[#This Row],[Estado TI]] = "08. Producción Finalizada","Culminado",IF(Cartera1017[[#This Row],[Estado TI]]= "09. Descartado","Descartado","Activos"))</f>
        <v>Activos</v>
      </c>
      <c r="CB251" s="28"/>
      <c r="CC251"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51" s="54" t="str">
        <f>IF(
AND(
Cartera1017[[#This Row],[DEVOLVER 27]]="NO",
NOT(ISBLANK(Cartera1017[[#This Row],[ESTADO NO DEVUELTOS 27]]))
),
"PRE",
"POST"
)</f>
        <v>POST</v>
      </c>
      <c r="CE251" s="54"/>
      <c r="CF251" s="28"/>
      <c r="CG25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51"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51"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51" s="388">
        <f>Cartera1017[[#This Row],[Porcentaje de Avance]]</f>
        <v>0.25</v>
      </c>
      <c r="CK251" s="388" t="str">
        <f>IF(
   OR(
     Cartera1017[[#This Row],[Estado TI]]="09. Descartado",
     Cartera1017[[#This Row],[Comienzo Desarrollo]]="",
     Cartera1017[[#This Row],[Fin Producción]]=""
   ),
   "",
   Cartera1017[[#This Row],[% PLANIFICADO]]-Cartera1017[[#This Row],[% COMPLETADO]]
)</f>
        <v/>
      </c>
      <c r="CL251" s="388" t="str">
        <f ca="1">IF(
   OR(
     Cartera1017[[#This Row],[Estado TI]]="09. Descartado",
     Cartera1017[[#This Row],[Comienzo Desarrollo]]="",
     Cartera1017[[#This Row],[Fin Producción]]="",
     Cartera1017[[#This Row],[% PLANIFICADO]]=0
   ),
   "",
   MIN(Cartera1017[[#This Row],[% COMPLETADO]]/Cartera1017[[#This Row],[% PLANIFICADO]],1.2)
)</f>
        <v/>
      </c>
      <c r="CM251" s="229"/>
      <c r="CN251" s="229"/>
      <c r="CO251" s="229"/>
      <c r="CP251" s="229"/>
      <c r="CQ251" s="229"/>
      <c r="CR251" s="229"/>
      <c r="CS251" s="229"/>
      <c r="CT251" s="44">
        <f>IF(Cartera1017[[#This Row],[Fin Desarrollo]]="",25,IFERROR(NETWORKDAYS(Cartera1017[[#This Row],[Comienzo Desarrollo]],Cartera1017[[#This Row],[Fin Desarrollo]],FERIADOS[Fecha]),""))</f>
        <v>25</v>
      </c>
      <c r="CU25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51" s="44">
        <f>IF(OR(Cartera1017[[#This Row],[Comienzo Desarrollo]]="",Cartera1017[[#This Row],[Fin Desarrollo]]=""),200,IFERROR(Cartera1017[[#This Row],[DURACIÓN DESARROLLO DIAS]]*VLOOKUP(Cartera1017[[#This Row],[ID Mantenimiento]],MANT_HORAS[],2,FALSE),200))</f>
        <v>200</v>
      </c>
      <c r="CW251" s="110"/>
      <c r="CX251" s="110" t="str">
        <f>VLOOKUP(Cartera1017[[#This Row],[Estado TI]],Definiciones!$A$549:$B$559,2,FALSE)</f>
        <v>1. DESARROLLO</v>
      </c>
      <c r="CY251" s="28">
        <f ca="1">1-Cartera1017[[#This Row],[Porcentaje avanzado desarrollo]]</f>
        <v>0.9</v>
      </c>
      <c r="CZ25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51" s="28">
        <f ca="1">MAX(0,Cartera1017[[#This Row],[DURACIÓN DESARROLLO DIAS]]-Cartera1017[[#This Row],[Dias avanzados]])</f>
        <v>24</v>
      </c>
      <c r="DB251" s="28">
        <f ca="1">Cartera1017[[#This Row],[Dias avanzados]]*IFERROR(VLOOKUP(Cartera1017[[#This Row],[ID Mantenimiento]],MANT_HORAS[],2,FALSE),8)</f>
        <v>8</v>
      </c>
      <c r="DC251" s="28">
        <f ca="1">Cartera1017[[#This Row],[Dias faltantes]]*IFERROR(VLOOKUP(Cartera1017[[#This Row],[ID Mantenimiento]],MANT_HORAS[],2,FALSE),8)</f>
        <v>192</v>
      </c>
      <c r="DD251" s="28" t="str">
        <f>IF(Cartera1017[[#This Row],[Fin Producción]]=0,"Por definir",CONCATENATE(YEAR(Cartera1017[[#This Row],[Fin Producción]]),"-",ROUNDUP(MONTH(Cartera1017[[#This Row],[Fin Producción]]),0)))</f>
        <v>Por definir</v>
      </c>
      <c r="DE251" s="28"/>
      <c r="DF251" s="28"/>
      <c r="DG251" s="28"/>
      <c r="DH251" s="565"/>
    </row>
    <row r="252" spans="1:112" ht="44.25" hidden="1" customHeight="1">
      <c r="A252" s="229" t="s">
        <v>2121</v>
      </c>
      <c r="B252" s="18">
        <v>3267</v>
      </c>
      <c r="C252" s="263" t="s">
        <v>485</v>
      </c>
      <c r="D252" s="18" t="s">
        <v>2122</v>
      </c>
      <c r="E252" s="522" t="s">
        <v>2123</v>
      </c>
      <c r="F252" s="33" t="s">
        <v>2124</v>
      </c>
      <c r="G252" s="19"/>
      <c r="H252" s="18" t="s">
        <v>2106</v>
      </c>
      <c r="I252" s="18"/>
      <c r="J252" s="18"/>
      <c r="K252" s="20">
        <v>46129</v>
      </c>
      <c r="L252" s="18" t="s">
        <v>2125</v>
      </c>
      <c r="M252" s="50" t="s">
        <v>941</v>
      </c>
      <c r="N252" s="50"/>
      <c r="O252" s="18" t="s">
        <v>530</v>
      </c>
      <c r="P252" s="18" t="s">
        <v>495</v>
      </c>
      <c r="Q252" s="18"/>
      <c r="R252" s="18" t="s">
        <v>599</v>
      </c>
      <c r="S252" s="18"/>
      <c r="T252" s="18"/>
      <c r="U252" s="18"/>
      <c r="V252" s="18"/>
      <c r="W252" s="18"/>
      <c r="X252" s="18"/>
      <c r="Y252" s="80"/>
      <c r="Z252" s="18" t="s">
        <v>499</v>
      </c>
      <c r="AA252" s="20">
        <v>46147</v>
      </c>
      <c r="AB252" s="18" t="s">
        <v>533</v>
      </c>
      <c r="AC252" s="18"/>
      <c r="AD252" s="18" t="s">
        <v>1506</v>
      </c>
      <c r="AE252" s="18" t="s">
        <v>63</v>
      </c>
      <c r="AF252" s="517" t="s">
        <v>48</v>
      </c>
      <c r="AG252" s="14" t="str">
        <f>VLOOKUP(AF252,Tabla3[[Estado Requerimiento]:[Macro estado]],2,FALSE)</f>
        <v>02. En Proceso</v>
      </c>
      <c r="AH252" s="18"/>
      <c r="AI252" s="80"/>
      <c r="AJ252" s="80"/>
      <c r="AK252" s="80">
        <v>46136</v>
      </c>
      <c r="AL252" s="80"/>
      <c r="AM252" s="80"/>
      <c r="AN252" s="80"/>
      <c r="AO252" s="80"/>
      <c r="AP252" s="81" t="str">
        <f t="shared" si="6"/>
        <v/>
      </c>
      <c r="AQ252" s="80"/>
      <c r="AR252" s="80"/>
      <c r="AS252" s="81" t="str">
        <f t="shared" si="7"/>
        <v/>
      </c>
      <c r="AT252" s="19" t="s">
        <v>2120</v>
      </c>
      <c r="AU252" s="44" t="str">
        <f>VLOOKUP(Cartera1017[[#This Row],[Gerencia]],tbGerencia[#All],3,FALSE)</f>
        <v>Innovación</v>
      </c>
      <c r="AV252" s="44" t="str">
        <f>IFERROR(VLOOKUP(Cartera1017[[#This Row],[Subgerencia]],Definiciones!$A$90:$B$144,2,FALSE),"")</f>
        <v/>
      </c>
      <c r="AW252" s="44" t="str">
        <f>IF(OR(LEN(Cartera1017[[#This Row],[Fecha de Solicitud]])=0,(Cartera1017[[#This Row],[Fecha de Solicitud]])="No definido"),"No definido",IF(YEAR(Cartera1017[[#This Row],[Fecha de Solicitud]])&lt;2023," &lt;  2023",TEXT(Cartera1017[[#This Row],[Fecha de Solicitud]],"yyyy-mm")))</f>
        <v>2026-04</v>
      </c>
      <c r="AX252" s="44" t="str">
        <f>IF(Cartera1017[[#This Row],[Fecha de Priorización Comité]]="","No definido",TEXT(Cartera1017[[#This Row],[Fecha de Priorización Comité]],"yyyy-mm"))</f>
        <v>2026-05</v>
      </c>
      <c r="AY252" s="44" t="str">
        <f>IF(Cartera1017[[#This Row],[Fecha Fin- Desarrollo]]="","No definido",TEXT(Cartera1017[[#This Row],[Fecha Fin- Desarrollo]],"yyyy-mm"))</f>
        <v>No definido</v>
      </c>
      <c r="AZ252" s="44" t="str">
        <f>IF(Cartera1017[[#This Row],[Fecha Fin- Producción]]="","No definido",TEXT(Cartera1017[[#This Row],[Fecha Fin- Producción]],"yyyy-mm"))</f>
        <v>No definido</v>
      </c>
      <c r="BA252" s="44" t="str">
        <f>IF(Cartera1017[[#This Row],[Fecha Fin-Planificada]]="","No definido",TEXT(Cartera1017[[#This Row],[Fecha Fin-Planificada]],"yyyy-mm"))</f>
        <v>No definido</v>
      </c>
      <c r="BB252" s="33"/>
      <c r="BC252" s="108"/>
      <c r="BD252" s="108"/>
      <c r="BE252" s="108"/>
      <c r="BF252" s="127"/>
      <c r="BG252" s="28"/>
      <c r="BH25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2" s="90" t="str">
        <f>IF(ISNUMBER(Cartera1017[[#This Row],[Duracion en Dias]]),Cartera1017[[#This Row],[Duracion en Dias]]/30, "No Aplica")</f>
        <v>No Aplica</v>
      </c>
      <c r="BJ252" s="109"/>
      <c r="BK252" s="28" t="s">
        <v>613</v>
      </c>
      <c r="BL252" s="110" t="s">
        <v>592</v>
      </c>
      <c r="BM252" s="342">
        <v>46136.723321759258</v>
      </c>
      <c r="BN252" s="227"/>
      <c r="BO252" s="401"/>
      <c r="BP252" s="401"/>
      <c r="BQ25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52" s="14" t="str">
        <f>IFERROR(VLOOKUP(Cartera1017[[#This Row],[Aplicativo]],Tabla76[],2,FALSE),"Sin Aplicativo")</f>
        <v>BackOffice</v>
      </c>
      <c r="BS252" s="14" t="str">
        <f>IFERROR(VLOOKUP(Cartera1017[[#This Row],[Aplicativo]],Tabla76[],3,FALSE),"Sin Aplicativo")</f>
        <v>Otros Requerimientos</v>
      </c>
      <c r="BT252" s="400"/>
      <c r="BU252" s="33"/>
      <c r="BV252" s="28"/>
      <c r="BW25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52" s="149" t="str">
        <f ca="1">IF(Cartera1017[[#This Row],[Fecha Fin2]]="","No definido",CONCATENATE(TEXT(Cartera1017[[#This Row],[Fecha Fin2]],"mmm")," ",YEAR(Cartera1017[[#This Row],[Fecha Fin2]])))</f>
        <v>No definido</v>
      </c>
      <c r="BZ252" s="28"/>
      <c r="CA252" s="48" t="str">
        <f>IF(Cartera1017[[#This Row],[Estado TI]] = "08. Producción Finalizada","Culminado",IF(Cartera1017[[#This Row],[Estado TI]]= "09. Descartado","Descartado","Activos"))</f>
        <v>Activos</v>
      </c>
      <c r="CB252" s="28"/>
      <c r="CC252"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52" s="54" t="str">
        <f>IF(
AND(
Cartera1017[[#This Row],[DEVOLVER 27]]="NO",
NOT(ISBLANK(Cartera1017[[#This Row],[ESTADO NO DEVUELTOS 27]]))
),
"PRE",
"POST"
)</f>
        <v>POST</v>
      </c>
      <c r="CE252" s="54"/>
      <c r="CF252" s="28"/>
      <c r="CG25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52"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52"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52" s="388">
        <f>Cartera1017[[#This Row],[Porcentaje de Avance]]</f>
        <v>0.25</v>
      </c>
      <c r="CK252" s="388" t="str">
        <f>IF(
   OR(
     Cartera1017[[#This Row],[Estado TI]]="09. Descartado",
     Cartera1017[[#This Row],[Comienzo Desarrollo]]="",
     Cartera1017[[#This Row],[Fin Producción]]=""
   ),
   "",
   Cartera1017[[#This Row],[% PLANIFICADO]]-Cartera1017[[#This Row],[% COMPLETADO]]
)</f>
        <v/>
      </c>
      <c r="CL252" s="388" t="str">
        <f ca="1">IF(
   OR(
     Cartera1017[[#This Row],[Estado TI]]="09. Descartado",
     Cartera1017[[#This Row],[Comienzo Desarrollo]]="",
     Cartera1017[[#This Row],[Fin Producción]]="",
     Cartera1017[[#This Row],[% PLANIFICADO]]=0
   ),
   "",
   MIN(Cartera1017[[#This Row],[% COMPLETADO]]/Cartera1017[[#This Row],[% PLANIFICADO]],1.2)
)</f>
        <v/>
      </c>
      <c r="CM252" s="229"/>
      <c r="CN252" s="229"/>
      <c r="CO252" s="229"/>
      <c r="CP252" s="229"/>
      <c r="CQ252" s="229"/>
      <c r="CR252" s="229"/>
      <c r="CS252" s="229"/>
      <c r="CT252" s="44">
        <f>IF(Cartera1017[[#This Row],[Fin Desarrollo]]="",25,IFERROR(NETWORKDAYS(Cartera1017[[#This Row],[Comienzo Desarrollo]],Cartera1017[[#This Row],[Fin Desarrollo]],FERIADOS[Fecha]),""))</f>
        <v>25</v>
      </c>
      <c r="CU25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52" s="44">
        <f>IF(OR(Cartera1017[[#This Row],[Comienzo Desarrollo]]="",Cartera1017[[#This Row],[Fin Desarrollo]]=""),200,IFERROR(Cartera1017[[#This Row],[DURACIÓN DESARROLLO DIAS]]*VLOOKUP(Cartera1017[[#This Row],[ID Mantenimiento]],MANT_HORAS[],2,FALSE),200))</f>
        <v>200</v>
      </c>
      <c r="CW252" s="110"/>
      <c r="CX252" s="110" t="str">
        <f>VLOOKUP(Cartera1017[[#This Row],[Estado TI]],Definiciones!$A$549:$B$559,2,FALSE)</f>
        <v>1. DESARROLLO</v>
      </c>
      <c r="CY252" s="28">
        <f ca="1">1-Cartera1017[[#This Row],[Porcentaje avanzado desarrollo]]</f>
        <v>0.9</v>
      </c>
      <c r="CZ25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52" s="28">
        <f ca="1">MAX(0,Cartera1017[[#This Row],[DURACIÓN DESARROLLO DIAS]]-Cartera1017[[#This Row],[Dias avanzados]])</f>
        <v>24</v>
      </c>
      <c r="DB252" s="28">
        <f ca="1">Cartera1017[[#This Row],[Dias avanzados]]*IFERROR(VLOOKUP(Cartera1017[[#This Row],[ID Mantenimiento]],MANT_HORAS[],2,FALSE),8)</f>
        <v>8</v>
      </c>
      <c r="DC252" s="28">
        <f ca="1">Cartera1017[[#This Row],[Dias faltantes]]*IFERROR(VLOOKUP(Cartera1017[[#This Row],[ID Mantenimiento]],MANT_HORAS[],2,FALSE),8)</f>
        <v>192</v>
      </c>
      <c r="DD252" s="28" t="str">
        <f>IF(Cartera1017[[#This Row],[Fin Producción]]=0,"Por definir",CONCATENATE(YEAR(Cartera1017[[#This Row],[Fin Producción]]),"-",ROUNDUP(MONTH(Cartera1017[[#This Row],[Fin Producción]]),0)))</f>
        <v>Por definir</v>
      </c>
      <c r="DE252" s="28"/>
      <c r="DF252" s="28"/>
      <c r="DG252" s="28"/>
      <c r="DH252" s="565"/>
    </row>
    <row r="253" spans="1:112" ht="44.25" hidden="1" customHeight="1">
      <c r="A253" s="229" t="s">
        <v>2126</v>
      </c>
      <c r="B253" s="18">
        <v>3268</v>
      </c>
      <c r="C253" s="263" t="s">
        <v>485</v>
      </c>
      <c r="D253" s="18" t="s">
        <v>2127</v>
      </c>
      <c r="E253" s="522" t="s">
        <v>2128</v>
      </c>
      <c r="F253" s="33" t="s">
        <v>2129</v>
      </c>
      <c r="G253" s="19"/>
      <c r="H253" s="18" t="s">
        <v>40</v>
      </c>
      <c r="I253" s="18" t="s">
        <v>842</v>
      </c>
      <c r="J253" s="18" t="s">
        <v>843</v>
      </c>
      <c r="K253" s="20">
        <v>46133</v>
      </c>
      <c r="L253" s="18" t="s">
        <v>2130</v>
      </c>
      <c r="M253" s="50" t="s">
        <v>1683</v>
      </c>
      <c r="N253" s="50"/>
      <c r="O253" s="18" t="s">
        <v>494</v>
      </c>
      <c r="P253" s="18"/>
      <c r="Q253" s="18"/>
      <c r="R253" s="18" t="s">
        <v>497</v>
      </c>
      <c r="S253" s="18"/>
      <c r="T253" s="18"/>
      <c r="U253" s="18"/>
      <c r="V253" s="18"/>
      <c r="W253" s="18"/>
      <c r="X253" s="18"/>
      <c r="Y253" s="80"/>
      <c r="Z253" s="18" t="s">
        <v>499</v>
      </c>
      <c r="AA253" s="20">
        <v>46147</v>
      </c>
      <c r="AB253" s="18" t="s">
        <v>533</v>
      </c>
      <c r="AC253" s="18"/>
      <c r="AD253" s="18" t="s">
        <v>37</v>
      </c>
      <c r="AE253" s="18" t="s">
        <v>41</v>
      </c>
      <c r="AF253" s="517" t="s">
        <v>87</v>
      </c>
      <c r="AG253" s="14" t="str">
        <f>VLOOKUP(AF253,Tabla3[[Estado Requerimiento]:[Macro estado]],2,FALSE)</f>
        <v>02. En Proceso</v>
      </c>
      <c r="AH253" s="18"/>
      <c r="AI253" s="80"/>
      <c r="AJ253" s="80"/>
      <c r="AK253" s="80">
        <v>46135</v>
      </c>
      <c r="AL253" s="80">
        <v>46142</v>
      </c>
      <c r="AM253" s="80"/>
      <c r="AN253" s="80">
        <v>46150</v>
      </c>
      <c r="AO253" s="80"/>
      <c r="AP253" s="81">
        <f t="shared" si="6"/>
        <v>46144.800000000003</v>
      </c>
      <c r="AQ253" s="80"/>
      <c r="AR253" s="80"/>
      <c r="AS253" s="81">
        <f t="shared" si="7"/>
        <v>46151.8</v>
      </c>
      <c r="AT253" s="19" t="s">
        <v>2131</v>
      </c>
      <c r="AU253" s="44" t="str">
        <f>VLOOKUP(Cartera1017[[#This Row],[Gerencia]],tbGerencia[#All],3,FALSE)</f>
        <v>Operac.</v>
      </c>
      <c r="AV253" s="44" t="str">
        <f>IFERROR(VLOOKUP(Cartera1017[[#This Row],[Subgerencia]],Definiciones!$A$90:$B$144,2,FALSE),"")</f>
        <v>CajaValores</v>
      </c>
      <c r="AW253" s="44" t="str">
        <f>IF(OR(LEN(Cartera1017[[#This Row],[Fecha de Solicitud]])=0,(Cartera1017[[#This Row],[Fecha de Solicitud]])="No definido"),"No definido",IF(YEAR(Cartera1017[[#This Row],[Fecha de Solicitud]])&lt;2023," &lt;  2023",TEXT(Cartera1017[[#This Row],[Fecha de Solicitud]],"yyyy-mm")))</f>
        <v>2026-04</v>
      </c>
      <c r="AX253" s="44" t="str">
        <f>IF(Cartera1017[[#This Row],[Fecha de Priorización Comité]]="","No definido",TEXT(Cartera1017[[#This Row],[Fecha de Priorización Comité]],"yyyy-mm"))</f>
        <v>2026-05</v>
      </c>
      <c r="AY253" s="44" t="str">
        <f>IF(Cartera1017[[#This Row],[Fecha Fin- Desarrollo]]="","No definido",TEXT(Cartera1017[[#This Row],[Fecha Fin- Desarrollo]],"yyyy-mm"))</f>
        <v>2026-04</v>
      </c>
      <c r="AZ253" s="44" t="str">
        <f>IF(Cartera1017[[#This Row],[Fecha Fin- Producción]]="","No definido",TEXT(Cartera1017[[#This Row],[Fecha Fin- Producción]],"yyyy-mm"))</f>
        <v>No definido</v>
      </c>
      <c r="BA253" s="44" t="str">
        <f>IF(Cartera1017[[#This Row],[Fecha Fin-Planificada]]="","No definido",TEXT(Cartera1017[[#This Row],[Fecha Fin-Planificada]],"yyyy-mm"))</f>
        <v>2026-05</v>
      </c>
      <c r="BB253" s="33"/>
      <c r="BC253" s="108"/>
      <c r="BD253" s="108"/>
      <c r="BE253" s="108"/>
      <c r="BF253" s="127"/>
      <c r="BG253" s="28"/>
      <c r="BH25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3" s="90" t="str">
        <f>IF(ISNUMBER(Cartera1017[[#This Row],[Duracion en Dias]]),Cartera1017[[#This Row],[Duracion en Dias]]/30, "No Aplica")</f>
        <v>No Aplica</v>
      </c>
      <c r="BJ253" s="109"/>
      <c r="BK253" s="28" t="s">
        <v>506</v>
      </c>
      <c r="BL253" s="110" t="s">
        <v>1260</v>
      </c>
      <c r="BM253" s="342">
        <v>46156.724849537037</v>
      </c>
      <c r="BN253" s="227"/>
      <c r="BO253" s="401"/>
      <c r="BP253" s="401"/>
      <c r="BQ25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53" s="14" t="str">
        <f>IFERROR(VLOOKUP(Cartera1017[[#This Row],[Aplicativo]],Tabla76[],2,FALSE),"Sin Aplicativo")</f>
        <v>Sin Aplicativo</v>
      </c>
      <c r="BS253" s="14" t="str">
        <f>IFERROR(VLOOKUP(Cartera1017[[#This Row],[Aplicativo]],Tabla76[],3,FALSE),"Sin Aplicativo")</f>
        <v>Sin Aplicativo</v>
      </c>
      <c r="BT253" s="400"/>
      <c r="BU253" s="33"/>
      <c r="BV253" s="28"/>
      <c r="BW25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53" s="149" t="str">
        <f ca="1">IF(Cartera1017[[#This Row],[Fecha Fin2]]="","No definido",CONCATENATE(TEXT(Cartera1017[[#This Row],[Fecha Fin2]],"mmm")," ",YEAR(Cartera1017[[#This Row],[Fecha Fin2]])))</f>
        <v>No definido</v>
      </c>
      <c r="BZ253" s="28"/>
      <c r="CA253" s="48" t="str">
        <f>IF(Cartera1017[[#This Row],[Estado TI]] = "08. Producción Finalizada","Culminado",IF(Cartera1017[[#This Row],[Estado TI]]= "09. Descartado","Descartado","Activos"))</f>
        <v>Activos</v>
      </c>
      <c r="CB253" s="28"/>
      <c r="CC253"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253" s="54" t="str">
        <f>IF(
AND(
Cartera1017[[#This Row],[DEVOLVER 27]]="NO",
NOT(ISBLANK(Cartera1017[[#This Row],[ESTADO NO DEVUELTOS 27]]))
),
"PRE",
"POST"
)</f>
        <v>POST</v>
      </c>
      <c r="CE253" s="54"/>
      <c r="CF253" s="28"/>
      <c r="CG25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53"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53"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53" s="388">
        <f>Cartera1017[[#This Row],[Porcentaje de Avance]]</f>
        <v>0.7</v>
      </c>
      <c r="CK253" s="388" t="str">
        <f>IF(
   OR(
     Cartera1017[[#This Row],[Estado TI]]="09. Descartado",
     Cartera1017[[#This Row],[Comienzo Desarrollo]]="",
     Cartera1017[[#This Row],[Fin Producción]]=""
   ),
   "",
   Cartera1017[[#This Row],[% PLANIFICADO]]-Cartera1017[[#This Row],[% COMPLETADO]]
)</f>
        <v/>
      </c>
      <c r="CL253" s="388" t="str">
        <f ca="1">IF(
   OR(
     Cartera1017[[#This Row],[Estado TI]]="09. Descartado",
     Cartera1017[[#This Row],[Comienzo Desarrollo]]="",
     Cartera1017[[#This Row],[Fin Producción]]="",
     Cartera1017[[#This Row],[% PLANIFICADO]]=0
   ),
   "",
   MIN(Cartera1017[[#This Row],[% COMPLETADO]]/Cartera1017[[#This Row],[% PLANIFICADO]],1.2)
)</f>
        <v/>
      </c>
      <c r="CM253" s="229"/>
      <c r="CN253" s="229"/>
      <c r="CO253" s="229"/>
      <c r="CP253" s="229"/>
      <c r="CQ253" s="229"/>
      <c r="CR253" s="229"/>
      <c r="CS253" s="229"/>
      <c r="CT253" s="44">
        <f>IF(Cartera1017[[#This Row],[Fin Desarrollo]]="",25,IFERROR(NETWORKDAYS(Cartera1017[[#This Row],[Comienzo Desarrollo]],Cartera1017[[#This Row],[Fin Desarrollo]],FERIADOS[Fecha]),""))</f>
        <v>25</v>
      </c>
      <c r="CU25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53" s="44">
        <f>IF(OR(Cartera1017[[#This Row],[Comienzo Desarrollo]]="",Cartera1017[[#This Row],[Fin Desarrollo]]=""),200,IFERROR(Cartera1017[[#This Row],[DURACIÓN DESARROLLO DIAS]]*VLOOKUP(Cartera1017[[#This Row],[ID Mantenimiento]],MANT_HORAS[],2,FALSE),200))</f>
        <v>200</v>
      </c>
      <c r="CW253" s="110"/>
      <c r="CX253" s="110" t="str">
        <f>VLOOKUP(Cartera1017[[#This Row],[Estado TI]],Definiciones!$A$549:$B$559,2,FALSE)</f>
        <v>2. CALIDAD</v>
      </c>
      <c r="CY253" s="28">
        <f ca="1">1-Cartera1017[[#This Row],[Porcentaje avanzado desarrollo]]</f>
        <v>0.9</v>
      </c>
      <c r="CZ25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53" s="28">
        <f ca="1">MAX(0,Cartera1017[[#This Row],[DURACIÓN DESARROLLO DIAS]]-Cartera1017[[#This Row],[Dias avanzados]])</f>
        <v>24</v>
      </c>
      <c r="DB253" s="28">
        <f ca="1">Cartera1017[[#This Row],[Dias avanzados]]*IFERROR(VLOOKUP(Cartera1017[[#This Row],[ID Mantenimiento]],MANT_HORAS[],2,FALSE),8)</f>
        <v>8</v>
      </c>
      <c r="DC253" s="28">
        <f ca="1">Cartera1017[[#This Row],[Dias faltantes]]*IFERROR(VLOOKUP(Cartera1017[[#This Row],[ID Mantenimiento]],MANT_HORAS[],2,FALSE),8)</f>
        <v>192</v>
      </c>
      <c r="DD253" s="28" t="str">
        <f>IF(Cartera1017[[#This Row],[Fin Producción]]=0,"Por definir",CONCATENATE(YEAR(Cartera1017[[#This Row],[Fin Producción]]),"-",ROUNDUP(MONTH(Cartera1017[[#This Row],[Fin Producción]]),0)))</f>
        <v>Por definir</v>
      </c>
      <c r="DE253" s="28"/>
      <c r="DF253" s="28"/>
      <c r="DG253" s="28"/>
      <c r="DH253" s="565"/>
    </row>
    <row r="254" spans="1:112" ht="44.25" hidden="1" customHeight="1">
      <c r="A254" s="229" t="s">
        <v>2132</v>
      </c>
      <c r="B254" s="18">
        <v>3308</v>
      </c>
      <c r="C254" s="263" t="s">
        <v>485</v>
      </c>
      <c r="D254" s="18" t="s">
        <v>2133</v>
      </c>
      <c r="E254" s="18"/>
      <c r="F254" s="33" t="s">
        <v>2134</v>
      </c>
      <c r="G254" s="19"/>
      <c r="H254" s="18" t="s">
        <v>33</v>
      </c>
      <c r="I254" s="18" t="s">
        <v>527</v>
      </c>
      <c r="J254" s="18"/>
      <c r="K254" s="20">
        <v>46090</v>
      </c>
      <c r="L254" s="18" t="s">
        <v>2135</v>
      </c>
      <c r="M254" s="50"/>
      <c r="N254" s="50"/>
      <c r="O254" s="18" t="s">
        <v>530</v>
      </c>
      <c r="P254" s="18"/>
      <c r="Q254" s="18"/>
      <c r="R254" s="18" t="s">
        <v>531</v>
      </c>
      <c r="S254" s="18"/>
      <c r="T254" s="18"/>
      <c r="U254" s="18"/>
      <c r="V254" s="18"/>
      <c r="W254" s="18"/>
      <c r="X254" s="18"/>
      <c r="Y254" s="80"/>
      <c r="Z254" s="18" t="s">
        <v>499</v>
      </c>
      <c r="AA254" s="20">
        <v>46147</v>
      </c>
      <c r="AB254" s="18" t="s">
        <v>533</v>
      </c>
      <c r="AC254" s="18"/>
      <c r="AD254" s="18"/>
      <c r="AE254" s="18" t="s">
        <v>34</v>
      </c>
      <c r="AF254" s="18" t="s">
        <v>340</v>
      </c>
      <c r="AG254" s="14" t="str">
        <f>VLOOKUP(AF254,Tabla3[[Estado Requerimiento]:[Macro estado]],2,FALSE)</f>
        <v>01. No iniciado</v>
      </c>
      <c r="AH254" s="18"/>
      <c r="AI254" s="80"/>
      <c r="AJ254" s="80"/>
      <c r="AK254" s="80"/>
      <c r="AL254" s="80"/>
      <c r="AM254" s="80"/>
      <c r="AN254" s="80"/>
      <c r="AO254" s="80"/>
      <c r="AP254" s="81" t="str">
        <f t="shared" si="6"/>
        <v/>
      </c>
      <c r="AQ254" s="80"/>
      <c r="AR254" s="80"/>
      <c r="AS254" s="81" t="str">
        <f t="shared" si="7"/>
        <v/>
      </c>
      <c r="AT254" s="19" t="s">
        <v>2136</v>
      </c>
      <c r="AU254" s="44" t="str">
        <f>VLOOKUP(Cartera1017[[#This Row],[Gerencia]],tbGerencia[#All],3,FALSE)</f>
        <v>Productos</v>
      </c>
      <c r="AV254" s="44" t="str">
        <f>IFERROR(VLOOKUP(Cartera1017[[#This Row],[Subgerencia]],Definiciones!$A$90:$B$144,2,FALSE),"")</f>
        <v>ComercialProyectos</v>
      </c>
      <c r="AW254" s="44" t="str">
        <f>IF(OR(LEN(Cartera1017[[#This Row],[Fecha de Solicitud]])=0,(Cartera1017[[#This Row],[Fecha de Solicitud]])="No definido"),"No definido",IF(YEAR(Cartera1017[[#This Row],[Fecha de Solicitud]])&lt;2023," &lt;  2023",TEXT(Cartera1017[[#This Row],[Fecha de Solicitud]],"yyyy-mm")))</f>
        <v>2026-03</v>
      </c>
      <c r="AX254" s="44" t="str">
        <f>IF(Cartera1017[[#This Row],[Fecha de Priorización Comité]]="","No definido",TEXT(Cartera1017[[#This Row],[Fecha de Priorización Comité]],"yyyy-mm"))</f>
        <v>2026-05</v>
      </c>
      <c r="AY254" s="44" t="str">
        <f>IF(Cartera1017[[#This Row],[Fecha Fin- Desarrollo]]="","No definido",TEXT(Cartera1017[[#This Row],[Fecha Fin- Desarrollo]],"yyyy-mm"))</f>
        <v>No definido</v>
      </c>
      <c r="AZ254" s="44" t="str">
        <f>IF(Cartera1017[[#This Row],[Fecha Fin- Producción]]="","No definido",TEXT(Cartera1017[[#This Row],[Fecha Fin- Producción]],"yyyy-mm"))</f>
        <v>No definido</v>
      </c>
      <c r="BA254" s="44" t="str">
        <f>IF(Cartera1017[[#This Row],[Fecha Fin-Planificada]]="","No definido",TEXT(Cartera1017[[#This Row],[Fecha Fin-Planificada]],"yyyy-mm"))</f>
        <v>No definido</v>
      </c>
      <c r="BB254" s="33"/>
      <c r="BC254" s="108"/>
      <c r="BD254" s="108"/>
      <c r="BE254" s="108"/>
      <c r="BF254" s="127"/>
      <c r="BG254" s="28"/>
      <c r="BH25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54" s="90" t="str">
        <f>IF(ISNUMBER(Cartera1017[[#This Row],[Duracion en Dias]]),Cartera1017[[#This Row],[Duracion en Dias]]/30, "No Aplica")</f>
        <v>No Aplica</v>
      </c>
      <c r="BJ254" s="109"/>
      <c r="BK254" s="28"/>
      <c r="BL254" s="110"/>
      <c r="BM254" s="342"/>
      <c r="BN254" s="227"/>
      <c r="BO254" s="401"/>
      <c r="BP254" s="401"/>
      <c r="BQ25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54" s="14" t="str">
        <f>IFERROR(VLOOKUP(Cartera1017[[#This Row],[Aplicativo]],Tabla76[],2,FALSE),"Sin Aplicativo")</f>
        <v>Sin Aplicativo</v>
      </c>
      <c r="BS254" s="14" t="str">
        <f>IFERROR(VLOOKUP(Cartera1017[[#This Row],[Aplicativo]],Tabla76[],3,FALSE),"Sin Aplicativo")</f>
        <v>Sin Aplicativo</v>
      </c>
      <c r="BT254" s="400"/>
      <c r="BU254" s="33"/>
      <c r="BV254" s="28"/>
      <c r="BW25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54" s="149" t="str">
        <f ca="1">IF(Cartera1017[[#This Row],[Fecha Fin2]]="","No definido",CONCATENATE(TEXT(Cartera1017[[#This Row],[Fecha Fin2]],"mmm")," ",YEAR(Cartera1017[[#This Row],[Fecha Fin2]])))</f>
        <v>No definido</v>
      </c>
      <c r="BZ254" s="28"/>
      <c r="CA254" s="48" t="str">
        <f>IF(Cartera1017[[#This Row],[Estado TI]] = "08. Producción Finalizada","Culminado",IF(Cartera1017[[#This Row],[Estado TI]]= "09. Descartado","Descartado","Activos"))</f>
        <v>Activos</v>
      </c>
      <c r="CB254" s="28"/>
      <c r="CC254"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54" s="54" t="str">
        <f>IF(
AND(
Cartera1017[[#This Row],[DEVOLVER 27]]="NO",
NOT(ISBLANK(Cartera1017[[#This Row],[ESTADO NO DEVUELTOS 27]]))
),
"PRE",
"POST"
)</f>
        <v>POST</v>
      </c>
      <c r="CE254" s="54"/>
      <c r="CF254" s="28"/>
      <c r="CG25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54"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54"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54" s="388">
        <f>Cartera1017[[#This Row],[Porcentaje de Avance]]</f>
        <v>0.1</v>
      </c>
      <c r="CK254" s="388" t="str">
        <f>IF(
   OR(
     Cartera1017[[#This Row],[Estado TI]]="09. Descartado",
     Cartera1017[[#This Row],[Comienzo Desarrollo]]="",
     Cartera1017[[#This Row],[Fin Producción]]=""
   ),
   "",
   Cartera1017[[#This Row],[% PLANIFICADO]]-Cartera1017[[#This Row],[% COMPLETADO]]
)</f>
        <v/>
      </c>
      <c r="CL254" s="388" t="str">
        <f ca="1">IF(
   OR(
     Cartera1017[[#This Row],[Estado TI]]="09. Descartado",
     Cartera1017[[#This Row],[Comienzo Desarrollo]]="",
     Cartera1017[[#This Row],[Fin Producción]]="",
     Cartera1017[[#This Row],[% PLANIFICADO]]=0
   ),
   "",
   MIN(Cartera1017[[#This Row],[% COMPLETADO]]/Cartera1017[[#This Row],[% PLANIFICADO]],1.2)
)</f>
        <v/>
      </c>
      <c r="CM254" s="229"/>
      <c r="CN254" s="229"/>
      <c r="CO254" s="229"/>
      <c r="CP254" s="229"/>
      <c r="CQ254" s="229"/>
      <c r="CR254" s="229"/>
      <c r="CS254" s="229"/>
      <c r="CT254" s="44">
        <f>IF(Cartera1017[[#This Row],[Fin Desarrollo]]="",25,IFERROR(NETWORKDAYS(Cartera1017[[#This Row],[Comienzo Desarrollo]],Cartera1017[[#This Row],[Fin Desarrollo]],FERIADOS[Fecha]),""))</f>
        <v>25</v>
      </c>
      <c r="CU25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54" s="44">
        <f>IF(OR(Cartera1017[[#This Row],[Comienzo Desarrollo]]="",Cartera1017[[#This Row],[Fin Desarrollo]]=""),200,IFERROR(Cartera1017[[#This Row],[DURACIÓN DESARROLLO DIAS]]*VLOOKUP(Cartera1017[[#This Row],[ID Mantenimiento]],MANT_HORAS[],2,FALSE),200))</f>
        <v>200</v>
      </c>
      <c r="CW254" s="110"/>
      <c r="CX254" s="110" t="str">
        <f>VLOOKUP(Cartera1017[[#This Row],[Estado TI]],Definiciones!$A$549:$B$559,2,FALSE)</f>
        <v>1. DESARROLLO</v>
      </c>
      <c r="CY254" s="28">
        <f ca="1">1-Cartera1017[[#This Row],[Porcentaje avanzado desarrollo]]</f>
        <v>0.9</v>
      </c>
      <c r="CZ25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54" s="28">
        <f ca="1">MAX(0,Cartera1017[[#This Row],[DURACIÓN DESARROLLO DIAS]]-Cartera1017[[#This Row],[Dias avanzados]])</f>
        <v>24</v>
      </c>
      <c r="DB254" s="28">
        <f ca="1">Cartera1017[[#This Row],[Dias avanzados]]*IFERROR(VLOOKUP(Cartera1017[[#This Row],[ID Mantenimiento]],MANT_HORAS[],2,FALSE),8)</f>
        <v>8</v>
      </c>
      <c r="DC254" s="28">
        <f ca="1">Cartera1017[[#This Row],[Dias faltantes]]*IFERROR(VLOOKUP(Cartera1017[[#This Row],[ID Mantenimiento]],MANT_HORAS[],2,FALSE),8)</f>
        <v>192</v>
      </c>
      <c r="DD254" s="28" t="str">
        <f>IF(Cartera1017[[#This Row],[Fin Producción]]=0,"Por definir",CONCATENATE(YEAR(Cartera1017[[#This Row],[Fin Producción]]),"-",ROUNDUP(MONTH(Cartera1017[[#This Row],[Fin Producción]]),0)))</f>
        <v>Por definir</v>
      </c>
      <c r="DE254" s="28"/>
      <c r="DF254" s="28"/>
      <c r="DG254" s="28"/>
      <c r="DH254" s="565"/>
    </row>
    <row r="255" spans="1:112" ht="44.25" hidden="1" customHeight="1">
      <c r="A255" s="229" t="s">
        <v>2137</v>
      </c>
      <c r="B255" s="18">
        <v>3309</v>
      </c>
      <c r="C255" s="263" t="s">
        <v>485</v>
      </c>
      <c r="D255" s="18" t="s">
        <v>2138</v>
      </c>
      <c r="E255" s="522" t="s">
        <v>2139</v>
      </c>
      <c r="F255" s="33" t="s">
        <v>2140</v>
      </c>
      <c r="G255" s="19"/>
      <c r="H255" s="18" t="s">
        <v>108</v>
      </c>
      <c r="I255" s="18" t="s">
        <v>811</v>
      </c>
      <c r="J255" s="18" t="s">
        <v>713</v>
      </c>
      <c r="K255" s="20"/>
      <c r="L255" s="18"/>
      <c r="M255" s="50" t="s">
        <v>710</v>
      </c>
      <c r="N255" s="50"/>
      <c r="O255" s="18" t="s">
        <v>712</v>
      </c>
      <c r="P255" s="18" t="s">
        <v>495</v>
      </c>
      <c r="Q255" s="18" t="s">
        <v>496</v>
      </c>
      <c r="R255" s="18" t="s">
        <v>497</v>
      </c>
      <c r="S255" s="18"/>
      <c r="T255" s="18"/>
      <c r="U255" s="18"/>
      <c r="V255" s="18"/>
      <c r="W255" s="18"/>
      <c r="X255" s="18"/>
      <c r="Y255" s="80"/>
      <c r="Z255" s="18" t="s">
        <v>532</v>
      </c>
      <c r="AA255" s="20">
        <v>46147</v>
      </c>
      <c r="AB255" s="18" t="s">
        <v>713</v>
      </c>
      <c r="AC255" s="18"/>
      <c r="AD255" s="18" t="s">
        <v>324</v>
      </c>
      <c r="AE255" s="18" t="s">
        <v>109</v>
      </c>
      <c r="AF255" s="517" t="s">
        <v>87</v>
      </c>
      <c r="AG255" s="14" t="str">
        <f>VLOOKUP(AF255,Tabla3[[Estado Requerimiento]:[Macro estado]],2,FALSE)</f>
        <v>02. En Proceso</v>
      </c>
      <c r="AH255" s="18"/>
      <c r="AI255" s="80"/>
      <c r="AJ255" s="80"/>
      <c r="AK255" s="80">
        <v>46027</v>
      </c>
      <c r="AL255" s="80">
        <v>46134</v>
      </c>
      <c r="AM255" s="80"/>
      <c r="AN255" s="80">
        <v>46148</v>
      </c>
      <c r="AO255" s="80"/>
      <c r="AP255" s="81">
        <f t="shared" si="6"/>
        <v>46176.800000000003</v>
      </c>
      <c r="AQ255" s="80"/>
      <c r="AR255" s="80"/>
      <c r="AS255" s="81">
        <f t="shared" si="7"/>
        <v>46183.8</v>
      </c>
      <c r="AT255" s="19" t="s">
        <v>2141</v>
      </c>
      <c r="AU255" s="44" t="str">
        <f>VLOOKUP(Cartera1017[[#This Row],[Gerencia]],tbGerencia[#All],3,FALSE)</f>
        <v>TI</v>
      </c>
      <c r="AV255" s="44" t="str">
        <f>IFERROR(VLOOKUP(Cartera1017[[#This Row],[Subgerencia]],Definiciones!$A$90:$B$144,2,FALSE),"")</f>
        <v>ConstrucciónAplicaciones</v>
      </c>
      <c r="AW255" s="44" t="str">
        <f>IF(OR(LEN(Cartera1017[[#This Row],[Fecha de Solicitud]])=0,(Cartera1017[[#This Row],[Fecha de Solicitud]])="No definido"),"No definido",IF(YEAR(Cartera1017[[#This Row],[Fecha de Solicitud]])&lt;2023," &lt;  2023",TEXT(Cartera1017[[#This Row],[Fecha de Solicitud]],"yyyy-mm")))</f>
        <v>No definido</v>
      </c>
      <c r="AX255" s="44" t="str">
        <f>IF(Cartera1017[[#This Row],[Fecha de Priorización Comité]]="","No definido",TEXT(Cartera1017[[#This Row],[Fecha de Priorización Comité]],"yyyy-mm"))</f>
        <v>2026-05</v>
      </c>
      <c r="AY255" s="44" t="str">
        <f>IF(Cartera1017[[#This Row],[Fecha Fin- Desarrollo]]="","No definido",TEXT(Cartera1017[[#This Row],[Fecha Fin- Desarrollo]],"yyyy-mm"))</f>
        <v>2026-04</v>
      </c>
      <c r="AZ255" s="44" t="str">
        <f>IF(Cartera1017[[#This Row],[Fecha Fin- Producción]]="","No definido",TEXT(Cartera1017[[#This Row],[Fecha Fin- Producción]],"yyyy-mm"))</f>
        <v>No definido</v>
      </c>
      <c r="BA255" s="44" t="str">
        <f>IF(Cartera1017[[#This Row],[Fecha Fin-Planificada]]="","No definido",TEXT(Cartera1017[[#This Row],[Fecha Fin-Planificada]],"yyyy-mm"))</f>
        <v>2026-06</v>
      </c>
      <c r="BB255" s="33"/>
      <c r="BC255" s="108"/>
      <c r="BD255" s="108"/>
      <c r="BE255" s="108"/>
      <c r="BF255" s="127"/>
      <c r="BG255" s="28"/>
      <c r="BH25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5" s="90" t="str">
        <f>IF(ISNUMBER(Cartera1017[[#This Row],[Duracion en Dias]]),Cartera1017[[#This Row],[Duracion en Dias]]/30, "No Aplica")</f>
        <v>No Aplica</v>
      </c>
      <c r="BJ255" s="109"/>
      <c r="BK255" s="28" t="s">
        <v>506</v>
      </c>
      <c r="BL255" s="110" t="s">
        <v>1260</v>
      </c>
      <c r="BM255" s="342">
        <v>46148.62096064815</v>
      </c>
      <c r="BN255" s="227"/>
      <c r="BO255" s="401"/>
      <c r="BP255" s="401"/>
      <c r="BQ25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2026-Q2</v>
      </c>
      <c r="BR255" s="14" t="str">
        <f>IFERROR(VLOOKUP(Cartera1017[[#This Row],[Aplicativo]],Tabla76[],2,FALSE),"Sin Aplicativo")</f>
        <v>Banca Movil</v>
      </c>
      <c r="BS255" s="14" t="str">
        <f>IFERROR(VLOOKUP(Cartera1017[[#This Row],[Aplicativo]],Tabla76[],3,FALSE),"Sin Aplicativo")</f>
        <v>Canales Virtuales</v>
      </c>
      <c r="BT255" s="400"/>
      <c r="BU255" s="33"/>
      <c r="BV255" s="28"/>
      <c r="BW25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46183.8</v>
      </c>
      <c r="BX25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2026-2</v>
      </c>
      <c r="BY255" s="149" t="str">
        <f ca="1">IF(Cartera1017[[#This Row],[Fecha Fin2]]="","No definido",CONCATENATE(TEXT(Cartera1017[[#This Row],[Fecha Fin2]],"mmm")," ",YEAR(Cartera1017[[#This Row],[Fecha Fin2]])))</f>
        <v>Jun 2026</v>
      </c>
      <c r="BZ255" s="28"/>
      <c r="CA255" s="48" t="str">
        <f>IF(Cartera1017[[#This Row],[Estado TI]] = "08. Producción Finalizada","Culminado",IF(Cartera1017[[#This Row],[Estado TI]]= "09. Descartado","Descartado","Activos"))</f>
        <v>Activos</v>
      </c>
      <c r="CB255" s="28"/>
      <c r="CC255"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255" s="54" t="str">
        <f>IF(
AND(
Cartera1017[[#This Row],[DEVOLVER 27]]="NO",
NOT(ISBLANK(Cartera1017[[#This Row],[ESTADO NO DEVUELTOS 27]]))
),
"PRE",
"POST"
)</f>
        <v>POST</v>
      </c>
      <c r="CE255" s="54"/>
      <c r="CF255" s="28"/>
      <c r="CG25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55"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55"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55" s="388">
        <f>Cartera1017[[#This Row],[Porcentaje de Avance]]</f>
        <v>0.7</v>
      </c>
      <c r="CK255" s="388" t="str">
        <f>IF(
   OR(
     Cartera1017[[#This Row],[Estado TI]]="09. Descartado",
     Cartera1017[[#This Row],[Comienzo Desarrollo]]="",
     Cartera1017[[#This Row],[Fin Producción]]=""
   ),
   "",
   Cartera1017[[#This Row],[% PLANIFICADO]]-Cartera1017[[#This Row],[% COMPLETADO]]
)</f>
        <v/>
      </c>
      <c r="CL255" s="388" t="str">
        <f ca="1">IF(
   OR(
     Cartera1017[[#This Row],[Estado TI]]="09. Descartado",
     Cartera1017[[#This Row],[Comienzo Desarrollo]]="",
     Cartera1017[[#This Row],[Fin Producción]]="",
     Cartera1017[[#This Row],[% PLANIFICADO]]=0
   ),
   "",
   MIN(Cartera1017[[#This Row],[% COMPLETADO]]/Cartera1017[[#This Row],[% PLANIFICADO]],1.2)
)</f>
        <v/>
      </c>
      <c r="CM255" s="229"/>
      <c r="CN255" s="229"/>
      <c r="CO255" s="229"/>
      <c r="CP255" s="229"/>
      <c r="CQ255" s="229"/>
      <c r="CR255" s="229"/>
      <c r="CS255" s="229"/>
      <c r="CT255" s="44">
        <f>IF(Cartera1017[[#This Row],[Fin Desarrollo]]="",25,IFERROR(NETWORKDAYS(Cartera1017[[#This Row],[Comienzo Desarrollo]],Cartera1017[[#This Row],[Fin Desarrollo]],FERIADOS[Fecha]),""))</f>
        <v>25</v>
      </c>
      <c r="CU25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55" s="44">
        <f>IF(OR(Cartera1017[[#This Row],[Comienzo Desarrollo]]="",Cartera1017[[#This Row],[Fin Desarrollo]]=""),200,IFERROR(Cartera1017[[#This Row],[DURACIÓN DESARROLLO DIAS]]*VLOOKUP(Cartera1017[[#This Row],[ID Mantenimiento]],MANT_HORAS[],2,FALSE),200))</f>
        <v>200</v>
      </c>
      <c r="CW255" s="110"/>
      <c r="CX255" s="110" t="str">
        <f>VLOOKUP(Cartera1017[[#This Row],[Estado TI]],Definiciones!$A$549:$B$559,2,FALSE)</f>
        <v>2. CALIDAD</v>
      </c>
      <c r="CY255" s="28">
        <f ca="1">1-Cartera1017[[#This Row],[Porcentaje avanzado desarrollo]]</f>
        <v>0.9</v>
      </c>
      <c r="CZ25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55" s="28">
        <f ca="1">MAX(0,Cartera1017[[#This Row],[DURACIÓN DESARROLLO DIAS]]-Cartera1017[[#This Row],[Dias avanzados]])</f>
        <v>24</v>
      </c>
      <c r="DB255" s="28">
        <f ca="1">Cartera1017[[#This Row],[Dias avanzados]]*IFERROR(VLOOKUP(Cartera1017[[#This Row],[ID Mantenimiento]],MANT_HORAS[],2,FALSE),8)</f>
        <v>8</v>
      </c>
      <c r="DC255" s="28">
        <f ca="1">Cartera1017[[#This Row],[Dias faltantes]]*IFERROR(VLOOKUP(Cartera1017[[#This Row],[ID Mantenimiento]],MANT_HORAS[],2,FALSE),8)</f>
        <v>192</v>
      </c>
      <c r="DD255" s="28" t="str">
        <f>IF(Cartera1017[[#This Row],[Fin Producción]]=0,"Por definir",CONCATENATE(YEAR(Cartera1017[[#This Row],[Fin Producción]]),"-",ROUNDUP(MONTH(Cartera1017[[#This Row],[Fin Producción]]),0)))</f>
        <v>Por definir</v>
      </c>
      <c r="DE255" s="28"/>
      <c r="DF255" s="28"/>
      <c r="DG255" s="28"/>
      <c r="DH255" s="565"/>
    </row>
    <row r="256" spans="1:112" ht="44.25" hidden="1" customHeight="1">
      <c r="A256" s="229" t="s">
        <v>2142</v>
      </c>
      <c r="B256" s="18">
        <v>3310</v>
      </c>
      <c r="C256" s="263" t="s">
        <v>485</v>
      </c>
      <c r="D256" s="18" t="s">
        <v>2143</v>
      </c>
      <c r="E256" s="522" t="s">
        <v>2144</v>
      </c>
      <c r="F256" s="33" t="s">
        <v>2145</v>
      </c>
      <c r="G256" s="19"/>
      <c r="H256" s="18" t="s">
        <v>59</v>
      </c>
      <c r="I256" s="18" t="s">
        <v>618</v>
      </c>
      <c r="J256" s="18" t="s">
        <v>619</v>
      </c>
      <c r="K256" s="20"/>
      <c r="L256" s="18"/>
      <c r="M256" s="50" t="s">
        <v>1805</v>
      </c>
      <c r="N256" s="50"/>
      <c r="O256" s="18" t="s">
        <v>530</v>
      </c>
      <c r="P256" s="18" t="s">
        <v>495</v>
      </c>
      <c r="Q256" s="18" t="s">
        <v>496</v>
      </c>
      <c r="R256" s="18" t="s">
        <v>497</v>
      </c>
      <c r="S256" s="18"/>
      <c r="T256" s="18"/>
      <c r="U256" s="18"/>
      <c r="V256" s="18"/>
      <c r="W256" s="18"/>
      <c r="X256" s="18"/>
      <c r="Y256" s="80"/>
      <c r="Z256" s="18" t="s">
        <v>532</v>
      </c>
      <c r="AA256" s="20">
        <v>46147</v>
      </c>
      <c r="AB256" s="18" t="s">
        <v>533</v>
      </c>
      <c r="AC256" s="18"/>
      <c r="AD256" s="18" t="s">
        <v>858</v>
      </c>
      <c r="AE256" s="18" t="s">
        <v>47</v>
      </c>
      <c r="AF256" s="517" t="s">
        <v>53</v>
      </c>
      <c r="AG256" s="14" t="str">
        <f>VLOOKUP(AF256,Tabla3[[Estado Requerimiento]:[Macro estado]],2,FALSE)</f>
        <v>03. Culminado</v>
      </c>
      <c r="AH256" s="18"/>
      <c r="AI256" s="80"/>
      <c r="AJ256" s="80"/>
      <c r="AK256" s="80">
        <v>46052</v>
      </c>
      <c r="AL256" s="80">
        <v>46058</v>
      </c>
      <c r="AM256" s="80"/>
      <c r="AN256" s="80">
        <v>46063</v>
      </c>
      <c r="AO256" s="80">
        <v>46063</v>
      </c>
      <c r="AP256" s="81">
        <f t="shared" si="6"/>
        <v>46060.4</v>
      </c>
      <c r="AQ256" s="80">
        <v>46070</v>
      </c>
      <c r="AR256" s="80">
        <v>46070</v>
      </c>
      <c r="AS256" s="81">
        <f t="shared" si="7"/>
        <v>46067.4</v>
      </c>
      <c r="AT256" s="19" t="s">
        <v>2146</v>
      </c>
      <c r="AU256" s="44" t="str">
        <f>VLOOKUP(Cartera1017[[#This Row],[Gerencia]],tbGerencia[#All],3,FALSE)</f>
        <v>RRHH</v>
      </c>
      <c r="AV256" s="44" t="str">
        <f>IFERROR(VLOOKUP(Cartera1017[[#This Row],[Subgerencia]],Definiciones!$A$90:$B$144,2,FALSE),"")</f>
        <v>AdministraciónPersonal</v>
      </c>
      <c r="AW256" s="44" t="str">
        <f>IF(OR(LEN(Cartera1017[[#This Row],[Fecha de Solicitud]])=0,(Cartera1017[[#This Row],[Fecha de Solicitud]])="No definido"),"No definido",IF(YEAR(Cartera1017[[#This Row],[Fecha de Solicitud]])&lt;2023," &lt;  2023",TEXT(Cartera1017[[#This Row],[Fecha de Solicitud]],"yyyy-mm")))</f>
        <v>No definido</v>
      </c>
      <c r="AX256" s="44" t="str">
        <f>IF(Cartera1017[[#This Row],[Fecha de Priorización Comité]]="","No definido",TEXT(Cartera1017[[#This Row],[Fecha de Priorización Comité]],"yyyy-mm"))</f>
        <v>2026-05</v>
      </c>
      <c r="AY256" s="44" t="str">
        <f>IF(Cartera1017[[#This Row],[Fecha Fin- Desarrollo]]="","No definido",TEXT(Cartera1017[[#This Row],[Fecha Fin- Desarrollo]],"yyyy-mm"))</f>
        <v>2026-02</v>
      </c>
      <c r="AZ256" s="44" t="str">
        <f>IF(Cartera1017[[#This Row],[Fecha Fin- Producción]]="","No definido",TEXT(Cartera1017[[#This Row],[Fecha Fin- Producción]],"yyyy-mm"))</f>
        <v>2026-02</v>
      </c>
      <c r="BA256" s="44" t="str">
        <f>IF(Cartera1017[[#This Row],[Fecha Fin-Planificada]]="","No definido",TEXT(Cartera1017[[#This Row],[Fecha Fin-Planificada]],"yyyy-mm"))</f>
        <v>2026-02</v>
      </c>
      <c r="BB256" s="33"/>
      <c r="BC256" s="108"/>
      <c r="BD256" s="108"/>
      <c r="BE256" s="108"/>
      <c r="BF256" s="127"/>
      <c r="BG256" s="28"/>
      <c r="BH25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18</v>
      </c>
      <c r="BI256" s="90">
        <f>IF(ISNUMBER(Cartera1017[[#This Row],[Duracion en Dias]]),Cartera1017[[#This Row],[Duracion en Dias]]/30, "No Aplica")</f>
        <v>0.6</v>
      </c>
      <c r="BJ256" s="109"/>
      <c r="BK256" s="28" t="s">
        <v>506</v>
      </c>
      <c r="BL256" s="110" t="s">
        <v>536</v>
      </c>
      <c r="BM256" s="342">
        <v>46070.676215277781</v>
      </c>
      <c r="BN256" s="227"/>
      <c r="BO256" s="401"/>
      <c r="BP256" s="401"/>
      <c r="BQ25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56" s="14" t="str">
        <f>IFERROR(VLOOKUP(Cartera1017[[#This Row],[Aplicativo]],Tabla76[],2,FALSE),"Sin Aplicativo")</f>
        <v>BackOffice</v>
      </c>
      <c r="BS256" s="14" t="str">
        <f>IFERROR(VLOOKUP(Cartera1017[[#This Row],[Aplicativo]],Tabla76[],3,FALSE),"Sin Aplicativo")</f>
        <v>Otros Requerimientos</v>
      </c>
      <c r="BT256" s="400"/>
      <c r="BU256" s="33"/>
      <c r="BV256" s="28"/>
      <c r="BW25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46070</v>
      </c>
      <c r="BX25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56" s="149" t="str">
        <f ca="1">IF(Cartera1017[[#This Row],[Fecha Fin2]]="","No definido",CONCATENATE(TEXT(Cartera1017[[#This Row],[Fecha Fin2]],"mmm")," ",YEAR(Cartera1017[[#This Row],[Fecha Fin2]])))</f>
        <v>Feb 2026</v>
      </c>
      <c r="BZ256" s="28"/>
      <c r="CA256" s="48" t="str">
        <f>IF(Cartera1017[[#This Row],[Estado TI]] = "08. Producción Finalizada","Culminado",IF(Cartera1017[[#This Row],[Estado TI]]= "09. Descartado","Descartado","Activos"))</f>
        <v>Culminado</v>
      </c>
      <c r="CB256" s="28"/>
      <c r="CC256"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56" s="54" t="str">
        <f>IF(
AND(
Cartera1017[[#This Row],[DEVOLVER 27]]="NO",
NOT(ISBLANK(Cartera1017[[#This Row],[ESTADO NO DEVUELTOS 27]]))
),
"PRE",
"POST"
)</f>
        <v>POST</v>
      </c>
      <c r="CE256" s="54"/>
      <c r="CF256" s="28"/>
      <c r="CG25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56"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56"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56" s="388">
        <f>Cartera1017[[#This Row],[Porcentaje de Avance]]</f>
        <v>1</v>
      </c>
      <c r="CK256" s="388" t="str">
        <f>IF(
   OR(
     Cartera1017[[#This Row],[Estado TI]]="09. Descartado",
     Cartera1017[[#This Row],[Comienzo Desarrollo]]="",
     Cartera1017[[#This Row],[Fin Producción]]=""
   ),
   "",
   Cartera1017[[#This Row],[% PLANIFICADO]]-Cartera1017[[#This Row],[% COMPLETADO]]
)</f>
        <v/>
      </c>
      <c r="CL256" s="388" t="str">
        <f ca="1">IF(
   OR(
     Cartera1017[[#This Row],[Estado TI]]="09. Descartado",
     Cartera1017[[#This Row],[Comienzo Desarrollo]]="",
     Cartera1017[[#This Row],[Fin Producción]]="",
     Cartera1017[[#This Row],[% PLANIFICADO]]=0
   ),
   "",
   MIN(Cartera1017[[#This Row],[% COMPLETADO]]/Cartera1017[[#This Row],[% PLANIFICADO]],1.2)
)</f>
        <v/>
      </c>
      <c r="CM256" s="229"/>
      <c r="CN256" s="229"/>
      <c r="CO256" s="229"/>
      <c r="CP256" s="229"/>
      <c r="CQ256" s="229"/>
      <c r="CR256" s="229"/>
      <c r="CS256" s="229"/>
      <c r="CT256" s="44">
        <f>IF(Cartera1017[[#This Row],[Fin Desarrollo]]="",25,IFERROR(NETWORKDAYS(Cartera1017[[#This Row],[Comienzo Desarrollo]],Cartera1017[[#This Row],[Fin Desarrollo]],FERIADOS[Fecha]),""))</f>
        <v>25</v>
      </c>
      <c r="CU25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56" s="44">
        <f>IF(OR(Cartera1017[[#This Row],[Comienzo Desarrollo]]="",Cartera1017[[#This Row],[Fin Desarrollo]]=""),200,IFERROR(Cartera1017[[#This Row],[DURACIÓN DESARROLLO DIAS]]*VLOOKUP(Cartera1017[[#This Row],[ID Mantenimiento]],MANT_HORAS[],2,FALSE),200))</f>
        <v>200</v>
      </c>
      <c r="CW256" s="110"/>
      <c r="CX256" s="110" t="str">
        <f>VLOOKUP(Cartera1017[[#This Row],[Estado TI]],Definiciones!$A$549:$B$559,2,FALSE)</f>
        <v>4. PRODUCCIÓN</v>
      </c>
      <c r="CY256" s="28">
        <f ca="1">1-Cartera1017[[#This Row],[Porcentaje avanzado desarrollo]]</f>
        <v>0.9</v>
      </c>
      <c r="CZ25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56" s="28">
        <f ca="1">MAX(0,Cartera1017[[#This Row],[DURACIÓN DESARROLLO DIAS]]-Cartera1017[[#This Row],[Dias avanzados]])</f>
        <v>24</v>
      </c>
      <c r="DB256" s="28">
        <f ca="1">Cartera1017[[#This Row],[Dias avanzados]]*IFERROR(VLOOKUP(Cartera1017[[#This Row],[ID Mantenimiento]],MANT_HORAS[],2,FALSE),8)</f>
        <v>8</v>
      </c>
      <c r="DC256" s="28">
        <f ca="1">Cartera1017[[#This Row],[Dias faltantes]]*IFERROR(VLOOKUP(Cartera1017[[#This Row],[ID Mantenimiento]],MANT_HORAS[],2,FALSE),8)</f>
        <v>192</v>
      </c>
      <c r="DD256" s="28" t="str">
        <f>IF(Cartera1017[[#This Row],[Fin Producción]]=0,"Por definir",CONCATENATE(YEAR(Cartera1017[[#This Row],[Fin Producción]]),"-",ROUNDUP(MONTH(Cartera1017[[#This Row],[Fin Producción]]),0)))</f>
        <v>Por definir</v>
      </c>
      <c r="DE256" s="28"/>
      <c r="DF256" s="28"/>
      <c r="DG256" s="28"/>
      <c r="DH256" s="565"/>
    </row>
    <row r="257" spans="1:112" ht="44.25" hidden="1" customHeight="1">
      <c r="A257" s="229" t="s">
        <v>2147</v>
      </c>
      <c r="B257" s="18">
        <v>3311</v>
      </c>
      <c r="C257" s="263" t="s">
        <v>485</v>
      </c>
      <c r="D257" s="18" t="s">
        <v>2148</v>
      </c>
      <c r="E257" s="522" t="s">
        <v>2149</v>
      </c>
      <c r="F257" s="33" t="s">
        <v>2150</v>
      </c>
      <c r="G257" s="19"/>
      <c r="H257" s="18" t="s">
        <v>33</v>
      </c>
      <c r="I257" s="18" t="s">
        <v>727</v>
      </c>
      <c r="J257" s="18" t="s">
        <v>1148</v>
      </c>
      <c r="K257" s="20"/>
      <c r="L257" s="18" t="s">
        <v>1487</v>
      </c>
      <c r="M257" s="50" t="s">
        <v>890</v>
      </c>
      <c r="N257" s="50"/>
      <c r="O257" s="18" t="s">
        <v>530</v>
      </c>
      <c r="P257" s="18" t="s">
        <v>1077</v>
      </c>
      <c r="Q257" s="18" t="s">
        <v>496</v>
      </c>
      <c r="R257" s="18" t="s">
        <v>497</v>
      </c>
      <c r="S257" s="18"/>
      <c r="T257" s="18"/>
      <c r="U257" s="18"/>
      <c r="V257" s="18"/>
      <c r="W257" s="18"/>
      <c r="X257" s="18"/>
      <c r="Y257" s="80"/>
      <c r="Z257" s="18" t="s">
        <v>532</v>
      </c>
      <c r="AA257" s="20">
        <v>46147</v>
      </c>
      <c r="AB257" s="18" t="s">
        <v>500</v>
      </c>
      <c r="AC257" s="18"/>
      <c r="AD257" s="18" t="s">
        <v>123</v>
      </c>
      <c r="AE257" s="18" t="s">
        <v>34</v>
      </c>
      <c r="AF257" s="517" t="s">
        <v>48</v>
      </c>
      <c r="AG257" s="14" t="str">
        <f>VLOOKUP(AF257,Tabla3[[Estado Requerimiento]:[Macro estado]],2,FALSE)</f>
        <v>02. En Proceso</v>
      </c>
      <c r="AH257" s="18"/>
      <c r="AI257" s="80"/>
      <c r="AJ257" s="80"/>
      <c r="AK257" s="80">
        <v>46063</v>
      </c>
      <c r="AL257" s="80"/>
      <c r="AM257" s="80"/>
      <c r="AN257" s="80"/>
      <c r="AO257" s="80"/>
      <c r="AP257" s="81" t="str">
        <f t="shared" si="6"/>
        <v/>
      </c>
      <c r="AQ257" s="80"/>
      <c r="AR257" s="80"/>
      <c r="AS257" s="81" t="str">
        <f t="shared" si="7"/>
        <v/>
      </c>
      <c r="AT257" s="19" t="s">
        <v>2151</v>
      </c>
      <c r="AU257" s="44" t="str">
        <f>VLOOKUP(Cartera1017[[#This Row],[Gerencia]],tbGerencia[#All],3,FALSE)</f>
        <v>Productos</v>
      </c>
      <c r="AV257" s="44" t="str">
        <f>IFERROR(VLOOKUP(Cartera1017[[#This Row],[Subgerencia]],Definiciones!$A$90:$B$144,2,FALSE),"")</f>
        <v>BancaPersonal</v>
      </c>
      <c r="AW257" s="44" t="str">
        <f>IF(OR(LEN(Cartera1017[[#This Row],[Fecha de Solicitud]])=0,(Cartera1017[[#This Row],[Fecha de Solicitud]])="No definido"),"No definido",IF(YEAR(Cartera1017[[#This Row],[Fecha de Solicitud]])&lt;2023," &lt;  2023",TEXT(Cartera1017[[#This Row],[Fecha de Solicitud]],"yyyy-mm")))</f>
        <v>No definido</v>
      </c>
      <c r="AX257" s="44" t="str">
        <f>IF(Cartera1017[[#This Row],[Fecha de Priorización Comité]]="","No definido",TEXT(Cartera1017[[#This Row],[Fecha de Priorización Comité]],"yyyy-mm"))</f>
        <v>2026-05</v>
      </c>
      <c r="AY257" s="44" t="str">
        <f>IF(Cartera1017[[#This Row],[Fecha Fin- Desarrollo]]="","No definido",TEXT(Cartera1017[[#This Row],[Fecha Fin- Desarrollo]],"yyyy-mm"))</f>
        <v>No definido</v>
      </c>
      <c r="AZ257" s="44" t="str">
        <f>IF(Cartera1017[[#This Row],[Fecha Fin- Producción]]="","No definido",TEXT(Cartera1017[[#This Row],[Fecha Fin- Producción]],"yyyy-mm"))</f>
        <v>No definido</v>
      </c>
      <c r="BA257" s="44" t="str">
        <f>IF(Cartera1017[[#This Row],[Fecha Fin-Planificada]]="","No definido",TEXT(Cartera1017[[#This Row],[Fecha Fin-Planificada]],"yyyy-mm"))</f>
        <v>No definido</v>
      </c>
      <c r="BB257" s="33"/>
      <c r="BC257" s="108"/>
      <c r="BD257" s="108"/>
      <c r="BE257" s="108"/>
      <c r="BF257" s="127"/>
      <c r="BG257" s="28"/>
      <c r="BH25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7" s="90" t="str">
        <f>IF(ISNUMBER(Cartera1017[[#This Row],[Duracion en Dias]]),Cartera1017[[#This Row],[Duracion en Dias]]/30, "No Aplica")</f>
        <v>No Aplica</v>
      </c>
      <c r="BJ257" s="109"/>
      <c r="BK257" s="28" t="s">
        <v>1115</v>
      </c>
      <c r="BL257" s="110" t="s">
        <v>592</v>
      </c>
      <c r="BM257" s="342">
        <v>46063.615486111114</v>
      </c>
      <c r="BN257" s="227"/>
      <c r="BO257" s="401"/>
      <c r="BP257" s="401"/>
      <c r="BQ25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57" s="14" t="str">
        <f>IFERROR(VLOOKUP(Cartera1017[[#This Row],[Aplicativo]],Tabla76[],2,FALSE),"Sin Aplicativo")</f>
        <v>BackOffice</v>
      </c>
      <c r="BS257" s="14" t="str">
        <f>IFERROR(VLOOKUP(Cartera1017[[#This Row],[Aplicativo]],Tabla76[],3,FALSE),"Sin Aplicativo")</f>
        <v>Otros Requerimientos</v>
      </c>
      <c r="BT257" s="400"/>
      <c r="BU257" s="33"/>
      <c r="BV257" s="28"/>
      <c r="BW25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57" s="149" t="str">
        <f ca="1">IF(Cartera1017[[#This Row],[Fecha Fin2]]="","No definido",CONCATENATE(TEXT(Cartera1017[[#This Row],[Fecha Fin2]],"mmm")," ",YEAR(Cartera1017[[#This Row],[Fecha Fin2]])))</f>
        <v>No definido</v>
      </c>
      <c r="BZ257" s="28"/>
      <c r="CA257" s="48" t="str">
        <f>IF(Cartera1017[[#This Row],[Estado TI]] = "08. Producción Finalizada","Culminado",IF(Cartera1017[[#This Row],[Estado TI]]= "09. Descartado","Descartado","Activos"))</f>
        <v>Activos</v>
      </c>
      <c r="CB257" s="28"/>
      <c r="CC257"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57" s="54" t="str">
        <f>IF(
AND(
Cartera1017[[#This Row],[DEVOLVER 27]]="NO",
NOT(ISBLANK(Cartera1017[[#This Row],[ESTADO NO DEVUELTOS 27]]))
),
"PRE",
"POST"
)</f>
        <v>POST</v>
      </c>
      <c r="CE257" s="54"/>
      <c r="CF257" s="28"/>
      <c r="CG25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57"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57"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57" s="388">
        <f>Cartera1017[[#This Row],[Porcentaje de Avance]]</f>
        <v>0.15</v>
      </c>
      <c r="CK257" s="388" t="str">
        <f>IF(
   OR(
     Cartera1017[[#This Row],[Estado TI]]="09. Descartado",
     Cartera1017[[#This Row],[Comienzo Desarrollo]]="",
     Cartera1017[[#This Row],[Fin Producción]]=""
   ),
   "",
   Cartera1017[[#This Row],[% PLANIFICADO]]-Cartera1017[[#This Row],[% COMPLETADO]]
)</f>
        <v/>
      </c>
      <c r="CL257" s="388" t="str">
        <f ca="1">IF(
   OR(
     Cartera1017[[#This Row],[Estado TI]]="09. Descartado",
     Cartera1017[[#This Row],[Comienzo Desarrollo]]="",
     Cartera1017[[#This Row],[Fin Producción]]="",
     Cartera1017[[#This Row],[% PLANIFICADO]]=0
   ),
   "",
   MIN(Cartera1017[[#This Row],[% COMPLETADO]]/Cartera1017[[#This Row],[% PLANIFICADO]],1.2)
)</f>
        <v/>
      </c>
      <c r="CM257" s="229"/>
      <c r="CN257" s="229"/>
      <c r="CO257" s="229"/>
      <c r="CP257" s="229"/>
      <c r="CQ257" s="229"/>
      <c r="CR257" s="229"/>
      <c r="CS257" s="229"/>
      <c r="CT257" s="44">
        <f>IF(Cartera1017[[#This Row],[Fin Desarrollo]]="",25,IFERROR(NETWORKDAYS(Cartera1017[[#This Row],[Comienzo Desarrollo]],Cartera1017[[#This Row],[Fin Desarrollo]],FERIADOS[Fecha]),""))</f>
        <v>25</v>
      </c>
      <c r="CU25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57" s="44">
        <f>IF(OR(Cartera1017[[#This Row],[Comienzo Desarrollo]]="",Cartera1017[[#This Row],[Fin Desarrollo]]=""),200,IFERROR(Cartera1017[[#This Row],[DURACIÓN DESARROLLO DIAS]]*VLOOKUP(Cartera1017[[#This Row],[ID Mantenimiento]],MANT_HORAS[],2,FALSE),200))</f>
        <v>200</v>
      </c>
      <c r="CW257" s="110"/>
      <c r="CX257" s="110" t="str">
        <f>VLOOKUP(Cartera1017[[#This Row],[Estado TI]],Definiciones!$A$549:$B$559,2,FALSE)</f>
        <v>1. DESARROLLO</v>
      </c>
      <c r="CY257" s="28">
        <f ca="1">1-Cartera1017[[#This Row],[Porcentaje avanzado desarrollo]]</f>
        <v>0.9</v>
      </c>
      <c r="CZ25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57" s="28">
        <f ca="1">MAX(0,Cartera1017[[#This Row],[DURACIÓN DESARROLLO DIAS]]-Cartera1017[[#This Row],[Dias avanzados]])</f>
        <v>24</v>
      </c>
      <c r="DB257" s="28">
        <f ca="1">Cartera1017[[#This Row],[Dias avanzados]]*IFERROR(VLOOKUP(Cartera1017[[#This Row],[ID Mantenimiento]],MANT_HORAS[],2,FALSE),8)</f>
        <v>8</v>
      </c>
      <c r="DC257" s="28">
        <f ca="1">Cartera1017[[#This Row],[Dias faltantes]]*IFERROR(VLOOKUP(Cartera1017[[#This Row],[ID Mantenimiento]],MANT_HORAS[],2,FALSE),8)</f>
        <v>192</v>
      </c>
      <c r="DD257" s="28" t="str">
        <f>IF(Cartera1017[[#This Row],[Fin Producción]]=0,"Por definir",CONCATENATE(YEAR(Cartera1017[[#This Row],[Fin Producción]]),"-",ROUNDUP(MONTH(Cartera1017[[#This Row],[Fin Producción]]),0)))</f>
        <v>Por definir</v>
      </c>
      <c r="DE257" s="28"/>
      <c r="DF257" s="28"/>
      <c r="DG257" s="28"/>
      <c r="DH257" s="565"/>
    </row>
    <row r="258" spans="1:112" ht="44.25" hidden="1" customHeight="1">
      <c r="A258" s="229" t="s">
        <v>2152</v>
      </c>
      <c r="B258" s="18">
        <v>3312</v>
      </c>
      <c r="C258" s="263" t="s">
        <v>485</v>
      </c>
      <c r="D258" s="18" t="s">
        <v>2153</v>
      </c>
      <c r="E258" s="522" t="s">
        <v>2154</v>
      </c>
      <c r="F258" s="33" t="s">
        <v>2155</v>
      </c>
      <c r="G258" s="19"/>
      <c r="H258" s="18" t="s">
        <v>108</v>
      </c>
      <c r="I258" s="18" t="s">
        <v>811</v>
      </c>
      <c r="J258" s="18" t="s">
        <v>500</v>
      </c>
      <c r="K258" s="20"/>
      <c r="L258" s="18"/>
      <c r="M258" s="50" t="s">
        <v>812</v>
      </c>
      <c r="N258" s="50"/>
      <c r="O258" s="18" t="s">
        <v>642</v>
      </c>
      <c r="P258" s="18" t="s">
        <v>495</v>
      </c>
      <c r="Q258" s="18" t="s">
        <v>496</v>
      </c>
      <c r="R258" s="18" t="s">
        <v>497</v>
      </c>
      <c r="S258" s="18"/>
      <c r="T258" s="18"/>
      <c r="U258" s="18"/>
      <c r="V258" s="18"/>
      <c r="W258" s="18"/>
      <c r="X258" s="18"/>
      <c r="Y258" s="80"/>
      <c r="Z258" s="18" t="s">
        <v>532</v>
      </c>
      <c r="AA258" s="20">
        <v>46147</v>
      </c>
      <c r="AB258" s="18" t="s">
        <v>500</v>
      </c>
      <c r="AC258" s="18"/>
      <c r="AD258" s="18" t="s">
        <v>30</v>
      </c>
      <c r="AE258" s="18" t="s">
        <v>109</v>
      </c>
      <c r="AF258" s="517" t="s">
        <v>48</v>
      </c>
      <c r="AG258" s="14" t="str">
        <f>VLOOKUP(AF258,Tabla3[[Estado Requerimiento]:[Macro estado]],2,FALSE)</f>
        <v>02. En Proceso</v>
      </c>
      <c r="AH258" s="18"/>
      <c r="AI258" s="80"/>
      <c r="AJ258" s="80"/>
      <c r="AK258" s="80">
        <v>45992</v>
      </c>
      <c r="AL258" s="80"/>
      <c r="AM258" s="80"/>
      <c r="AN258" s="80"/>
      <c r="AO258" s="80"/>
      <c r="AP258" s="81" t="str">
        <f t="shared" si="6"/>
        <v/>
      </c>
      <c r="AQ258" s="80"/>
      <c r="AR258" s="80"/>
      <c r="AS258" s="81" t="str">
        <f t="shared" si="7"/>
        <v/>
      </c>
      <c r="AT258" s="19" t="s">
        <v>2151</v>
      </c>
      <c r="AU258" s="44" t="str">
        <f>VLOOKUP(Cartera1017[[#This Row],[Gerencia]],tbGerencia[#All],3,FALSE)</f>
        <v>TI</v>
      </c>
      <c r="AV258" s="44" t="str">
        <f>IFERROR(VLOOKUP(Cartera1017[[#This Row],[Subgerencia]],Definiciones!$A$90:$B$144,2,FALSE),"")</f>
        <v>ConstrucciónAplicaciones</v>
      </c>
      <c r="AW258" s="44" t="str">
        <f>IF(OR(LEN(Cartera1017[[#This Row],[Fecha de Solicitud]])=0,(Cartera1017[[#This Row],[Fecha de Solicitud]])="No definido"),"No definido",IF(YEAR(Cartera1017[[#This Row],[Fecha de Solicitud]])&lt;2023," &lt;  2023",TEXT(Cartera1017[[#This Row],[Fecha de Solicitud]],"yyyy-mm")))</f>
        <v>No definido</v>
      </c>
      <c r="AX258" s="44" t="str">
        <f>IF(Cartera1017[[#This Row],[Fecha de Priorización Comité]]="","No definido",TEXT(Cartera1017[[#This Row],[Fecha de Priorización Comité]],"yyyy-mm"))</f>
        <v>2026-05</v>
      </c>
      <c r="AY258" s="44" t="str">
        <f>IF(Cartera1017[[#This Row],[Fecha Fin- Desarrollo]]="","No definido",TEXT(Cartera1017[[#This Row],[Fecha Fin- Desarrollo]],"yyyy-mm"))</f>
        <v>No definido</v>
      </c>
      <c r="AZ258" s="44" t="str">
        <f>IF(Cartera1017[[#This Row],[Fecha Fin- Producción]]="","No definido",TEXT(Cartera1017[[#This Row],[Fecha Fin- Producción]],"yyyy-mm"))</f>
        <v>No definido</v>
      </c>
      <c r="BA258" s="44" t="str">
        <f>IF(Cartera1017[[#This Row],[Fecha Fin-Planificada]]="","No definido",TEXT(Cartera1017[[#This Row],[Fecha Fin-Planificada]],"yyyy-mm"))</f>
        <v>No definido</v>
      </c>
      <c r="BB258" s="33"/>
      <c r="BC258" s="108"/>
      <c r="BD258" s="108"/>
      <c r="BE258" s="108"/>
      <c r="BF258" s="127"/>
      <c r="BG258" s="28"/>
      <c r="BH25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8" s="90" t="str">
        <f>IF(ISNUMBER(Cartera1017[[#This Row],[Duracion en Dias]]),Cartera1017[[#This Row],[Duracion en Dias]]/30, "No Aplica")</f>
        <v>No Aplica</v>
      </c>
      <c r="BJ258" s="109"/>
      <c r="BK258" s="28" t="s">
        <v>613</v>
      </c>
      <c r="BL258" s="110" t="s">
        <v>592</v>
      </c>
      <c r="BM258" s="342">
        <v>46057.471851851849</v>
      </c>
      <c r="BN258" s="227"/>
      <c r="BO258" s="401"/>
      <c r="BP258" s="401"/>
      <c r="BQ25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58" s="14" t="str">
        <f>IFERROR(VLOOKUP(Cartera1017[[#This Row],[Aplicativo]],Tabla76[],2,FALSE),"Sin Aplicativo")</f>
        <v>ATM-Agentes-VISA</v>
      </c>
      <c r="BS258" s="14" t="str">
        <f>IFERROR(VLOOKUP(Cartera1017[[#This Row],[Aplicativo]],Tabla76[],3,FALSE),"Sin Aplicativo")</f>
        <v>Canales Presenciales</v>
      </c>
      <c r="BT258" s="400"/>
      <c r="BU258" s="33"/>
      <c r="BV258" s="28"/>
      <c r="BW25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58" s="149" t="str">
        <f ca="1">IF(Cartera1017[[#This Row],[Fecha Fin2]]="","No definido",CONCATENATE(TEXT(Cartera1017[[#This Row],[Fecha Fin2]],"mmm")," ",YEAR(Cartera1017[[#This Row],[Fecha Fin2]])))</f>
        <v>No definido</v>
      </c>
      <c r="BZ258" s="28"/>
      <c r="CA258" s="48" t="str">
        <f>IF(Cartera1017[[#This Row],[Estado TI]] = "08. Producción Finalizada","Culminado",IF(Cartera1017[[#This Row],[Estado TI]]= "09. Descartado","Descartado","Activos"))</f>
        <v>Activos</v>
      </c>
      <c r="CB258" s="28"/>
      <c r="CC258"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58" s="54" t="str">
        <f>IF(
AND(
Cartera1017[[#This Row],[DEVOLVER 27]]="NO",
NOT(ISBLANK(Cartera1017[[#This Row],[ESTADO NO DEVUELTOS 27]]))
),
"PRE",
"POST"
)</f>
        <v>POST</v>
      </c>
      <c r="CE258" s="54"/>
      <c r="CF258" s="28"/>
      <c r="CG25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58"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58"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58" s="388">
        <f>Cartera1017[[#This Row],[Porcentaje de Avance]]</f>
        <v>0.25</v>
      </c>
      <c r="CK258" s="388" t="str">
        <f>IF(
   OR(
     Cartera1017[[#This Row],[Estado TI]]="09. Descartado",
     Cartera1017[[#This Row],[Comienzo Desarrollo]]="",
     Cartera1017[[#This Row],[Fin Producción]]=""
   ),
   "",
   Cartera1017[[#This Row],[% PLANIFICADO]]-Cartera1017[[#This Row],[% COMPLETADO]]
)</f>
        <v/>
      </c>
      <c r="CL258" s="388" t="str">
        <f ca="1">IF(
   OR(
     Cartera1017[[#This Row],[Estado TI]]="09. Descartado",
     Cartera1017[[#This Row],[Comienzo Desarrollo]]="",
     Cartera1017[[#This Row],[Fin Producción]]="",
     Cartera1017[[#This Row],[% PLANIFICADO]]=0
   ),
   "",
   MIN(Cartera1017[[#This Row],[% COMPLETADO]]/Cartera1017[[#This Row],[% PLANIFICADO]],1.2)
)</f>
        <v/>
      </c>
      <c r="CM258" s="229"/>
      <c r="CN258" s="229"/>
      <c r="CO258" s="229"/>
      <c r="CP258" s="229"/>
      <c r="CQ258" s="229"/>
      <c r="CR258" s="229"/>
      <c r="CS258" s="229"/>
      <c r="CT258" s="44">
        <f>IF(Cartera1017[[#This Row],[Fin Desarrollo]]="",25,IFERROR(NETWORKDAYS(Cartera1017[[#This Row],[Comienzo Desarrollo]],Cartera1017[[#This Row],[Fin Desarrollo]],FERIADOS[Fecha]),""))</f>
        <v>25</v>
      </c>
      <c r="CU25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58" s="44">
        <f>IF(OR(Cartera1017[[#This Row],[Comienzo Desarrollo]]="",Cartera1017[[#This Row],[Fin Desarrollo]]=""),200,IFERROR(Cartera1017[[#This Row],[DURACIÓN DESARROLLO DIAS]]*VLOOKUP(Cartera1017[[#This Row],[ID Mantenimiento]],MANT_HORAS[],2,FALSE),200))</f>
        <v>200</v>
      </c>
      <c r="CW258" s="110"/>
      <c r="CX258" s="110" t="str">
        <f>VLOOKUP(Cartera1017[[#This Row],[Estado TI]],Definiciones!$A$549:$B$559,2,FALSE)</f>
        <v>1. DESARROLLO</v>
      </c>
      <c r="CY258" s="28">
        <f ca="1">1-Cartera1017[[#This Row],[Porcentaje avanzado desarrollo]]</f>
        <v>0.9</v>
      </c>
      <c r="CZ25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58" s="28">
        <f ca="1">MAX(0,Cartera1017[[#This Row],[DURACIÓN DESARROLLO DIAS]]-Cartera1017[[#This Row],[Dias avanzados]])</f>
        <v>24</v>
      </c>
      <c r="DB258" s="28">
        <f ca="1">Cartera1017[[#This Row],[Dias avanzados]]*IFERROR(VLOOKUP(Cartera1017[[#This Row],[ID Mantenimiento]],MANT_HORAS[],2,FALSE),8)</f>
        <v>8</v>
      </c>
      <c r="DC258" s="28">
        <f ca="1">Cartera1017[[#This Row],[Dias faltantes]]*IFERROR(VLOOKUP(Cartera1017[[#This Row],[ID Mantenimiento]],MANT_HORAS[],2,FALSE),8)</f>
        <v>192</v>
      </c>
      <c r="DD258" s="28" t="str">
        <f>IF(Cartera1017[[#This Row],[Fin Producción]]=0,"Por definir",CONCATENATE(YEAR(Cartera1017[[#This Row],[Fin Producción]]),"-",ROUNDUP(MONTH(Cartera1017[[#This Row],[Fin Producción]]),0)))</f>
        <v>Por definir</v>
      </c>
      <c r="DE258" s="28"/>
      <c r="DF258" s="28"/>
      <c r="DG258" s="28"/>
      <c r="DH258" s="565"/>
    </row>
    <row r="259" spans="1:112" ht="44.25" hidden="1" customHeight="1">
      <c r="A259" s="229" t="s">
        <v>2156</v>
      </c>
      <c r="B259" s="18">
        <v>3313</v>
      </c>
      <c r="C259" s="263" t="s">
        <v>485</v>
      </c>
      <c r="D259" s="18" t="s">
        <v>2157</v>
      </c>
      <c r="E259" s="522" t="s">
        <v>2158</v>
      </c>
      <c r="F259" s="33" t="s">
        <v>2159</v>
      </c>
      <c r="G259" s="19"/>
      <c r="H259" s="18" t="s">
        <v>59</v>
      </c>
      <c r="I259" s="18" t="s">
        <v>618</v>
      </c>
      <c r="J259" s="18"/>
      <c r="K259" s="20"/>
      <c r="L259" s="18"/>
      <c r="M259" s="50" t="s">
        <v>870</v>
      </c>
      <c r="N259" s="50"/>
      <c r="O259" s="18" t="s">
        <v>530</v>
      </c>
      <c r="P259" s="18" t="s">
        <v>495</v>
      </c>
      <c r="Q259" s="18" t="s">
        <v>496</v>
      </c>
      <c r="R259" s="18" t="s">
        <v>497</v>
      </c>
      <c r="S259" s="18"/>
      <c r="T259" s="18"/>
      <c r="U259" s="18"/>
      <c r="V259" s="18"/>
      <c r="W259" s="18"/>
      <c r="X259" s="18"/>
      <c r="Y259" s="80"/>
      <c r="Z259" s="18" t="s">
        <v>532</v>
      </c>
      <c r="AA259" s="20">
        <v>46147</v>
      </c>
      <c r="AB259" s="18" t="s">
        <v>533</v>
      </c>
      <c r="AC259" s="18"/>
      <c r="AD259" s="18" t="s">
        <v>76</v>
      </c>
      <c r="AE259" s="18" t="s">
        <v>47</v>
      </c>
      <c r="AF259" s="517" t="s">
        <v>53</v>
      </c>
      <c r="AG259" s="14" t="str">
        <f>VLOOKUP(AF259,Tabla3[[Estado Requerimiento]:[Macro estado]],2,FALSE)</f>
        <v>03. Culminado</v>
      </c>
      <c r="AH259" s="18"/>
      <c r="AI259" s="80"/>
      <c r="AJ259" s="80"/>
      <c r="AK259" s="80">
        <v>46053</v>
      </c>
      <c r="AL259" s="80">
        <v>46053</v>
      </c>
      <c r="AM259" s="80"/>
      <c r="AN259" s="80">
        <v>46055</v>
      </c>
      <c r="AO259" s="80">
        <v>46056</v>
      </c>
      <c r="AP259" s="81">
        <f t="shared" si="6"/>
        <v>46053</v>
      </c>
      <c r="AQ259" s="80">
        <v>46058</v>
      </c>
      <c r="AR259" s="80">
        <v>46058</v>
      </c>
      <c r="AS259" s="81">
        <f t="shared" si="7"/>
        <v>46060</v>
      </c>
      <c r="AT259" s="19" t="s">
        <v>2146</v>
      </c>
      <c r="AU259" s="44" t="str">
        <f>VLOOKUP(Cartera1017[[#This Row],[Gerencia]],tbGerencia[#All],3,FALSE)</f>
        <v>RRHH</v>
      </c>
      <c r="AV259" s="44" t="str">
        <f>IFERROR(VLOOKUP(Cartera1017[[#This Row],[Subgerencia]],Definiciones!$A$90:$B$144,2,FALSE),"")</f>
        <v>AdministraciónPersonal</v>
      </c>
      <c r="AW259" s="44" t="str">
        <f>IF(OR(LEN(Cartera1017[[#This Row],[Fecha de Solicitud]])=0,(Cartera1017[[#This Row],[Fecha de Solicitud]])="No definido"),"No definido",IF(YEAR(Cartera1017[[#This Row],[Fecha de Solicitud]])&lt;2023," &lt;  2023",TEXT(Cartera1017[[#This Row],[Fecha de Solicitud]],"yyyy-mm")))</f>
        <v>No definido</v>
      </c>
      <c r="AX259" s="44" t="str">
        <f>IF(Cartera1017[[#This Row],[Fecha de Priorización Comité]]="","No definido",TEXT(Cartera1017[[#This Row],[Fecha de Priorización Comité]],"yyyy-mm"))</f>
        <v>2026-05</v>
      </c>
      <c r="AY259" s="44" t="str">
        <f>IF(Cartera1017[[#This Row],[Fecha Fin- Desarrollo]]="","No definido",TEXT(Cartera1017[[#This Row],[Fecha Fin- Desarrollo]],"yyyy-mm"))</f>
        <v>2026-01</v>
      </c>
      <c r="AZ259" s="44" t="str">
        <f>IF(Cartera1017[[#This Row],[Fecha Fin- Producción]]="","No definido",TEXT(Cartera1017[[#This Row],[Fecha Fin- Producción]],"yyyy-mm"))</f>
        <v>2026-02</v>
      </c>
      <c r="BA259" s="44" t="str">
        <f>IF(Cartera1017[[#This Row],[Fecha Fin-Planificada]]="","No definido",TEXT(Cartera1017[[#This Row],[Fecha Fin-Planificada]],"yyyy-mm"))</f>
        <v>2026-02</v>
      </c>
      <c r="BB259" s="33"/>
      <c r="BC259" s="108"/>
      <c r="BD259" s="108"/>
      <c r="BE259" s="108"/>
      <c r="BF259" s="127"/>
      <c r="BG259" s="28"/>
      <c r="BH25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v>
      </c>
      <c r="BI259" s="90">
        <f>IF(ISNUMBER(Cartera1017[[#This Row],[Duracion en Dias]]),Cartera1017[[#This Row],[Duracion en Dias]]/30, "No Aplica")</f>
        <v>0.16666666666666666</v>
      </c>
      <c r="BJ259" s="109"/>
      <c r="BK259" s="28" t="s">
        <v>506</v>
      </c>
      <c r="BL259" s="110" t="s">
        <v>536</v>
      </c>
      <c r="BM259" s="342">
        <v>46058.551979166667</v>
      </c>
      <c r="BN259" s="227"/>
      <c r="BO259" s="401"/>
      <c r="BP259" s="401"/>
      <c r="BQ25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59" s="14" t="str">
        <f>IFERROR(VLOOKUP(Cartera1017[[#This Row],[Aplicativo]],Tabla76[],2,FALSE),"Sin Aplicativo")</f>
        <v>Oracle</v>
      </c>
      <c r="BS259" s="14" t="str">
        <f>IFERROR(VLOOKUP(Cartera1017[[#This Row],[Aplicativo]],Tabla76[],3,FALSE),"Sin Aplicativo")</f>
        <v>Otros Requerimientos</v>
      </c>
      <c r="BT259" s="400"/>
      <c r="BU259" s="33"/>
      <c r="BV259" s="28"/>
      <c r="BW25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46058</v>
      </c>
      <c r="BX25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59" s="149" t="str">
        <f ca="1">IF(Cartera1017[[#This Row],[Fecha Fin2]]="","No definido",CONCATENATE(TEXT(Cartera1017[[#This Row],[Fecha Fin2]],"mmm")," ",YEAR(Cartera1017[[#This Row],[Fecha Fin2]])))</f>
        <v>Feb 2026</v>
      </c>
      <c r="BZ259" s="28"/>
      <c r="CA259" s="48" t="str">
        <f>IF(Cartera1017[[#This Row],[Estado TI]] = "08. Producción Finalizada","Culminado",IF(Cartera1017[[#This Row],[Estado TI]]= "09. Descartado","Descartado","Activos"))</f>
        <v>Culminado</v>
      </c>
      <c r="CB259" s="28"/>
      <c r="CC259"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59" s="54" t="str">
        <f>IF(
AND(
Cartera1017[[#This Row],[DEVOLVER 27]]="NO",
NOT(ISBLANK(Cartera1017[[#This Row],[ESTADO NO DEVUELTOS 27]]))
),
"PRE",
"POST"
)</f>
        <v>POST</v>
      </c>
      <c r="CE259" s="54"/>
      <c r="CF259" s="28"/>
      <c r="CG25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59"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59"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59" s="388">
        <f>Cartera1017[[#This Row],[Porcentaje de Avance]]</f>
        <v>1</v>
      </c>
      <c r="CK259" s="388" t="str">
        <f>IF(
   OR(
     Cartera1017[[#This Row],[Estado TI]]="09. Descartado",
     Cartera1017[[#This Row],[Comienzo Desarrollo]]="",
     Cartera1017[[#This Row],[Fin Producción]]=""
   ),
   "",
   Cartera1017[[#This Row],[% PLANIFICADO]]-Cartera1017[[#This Row],[% COMPLETADO]]
)</f>
        <v/>
      </c>
      <c r="CL259" s="388" t="str">
        <f ca="1">IF(
   OR(
     Cartera1017[[#This Row],[Estado TI]]="09. Descartado",
     Cartera1017[[#This Row],[Comienzo Desarrollo]]="",
     Cartera1017[[#This Row],[Fin Producción]]="",
     Cartera1017[[#This Row],[% PLANIFICADO]]=0
   ),
   "",
   MIN(Cartera1017[[#This Row],[% COMPLETADO]]/Cartera1017[[#This Row],[% PLANIFICADO]],1.2)
)</f>
        <v/>
      </c>
      <c r="CM259" s="229"/>
      <c r="CN259" s="229"/>
      <c r="CO259" s="229"/>
      <c r="CP259" s="229"/>
      <c r="CQ259" s="229"/>
      <c r="CR259" s="229"/>
      <c r="CS259" s="229"/>
      <c r="CT259" s="44">
        <f>IF(Cartera1017[[#This Row],[Fin Desarrollo]]="",25,IFERROR(NETWORKDAYS(Cartera1017[[#This Row],[Comienzo Desarrollo]],Cartera1017[[#This Row],[Fin Desarrollo]],FERIADOS[Fecha]),""))</f>
        <v>25</v>
      </c>
      <c r="CU25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59" s="44">
        <f>IF(OR(Cartera1017[[#This Row],[Comienzo Desarrollo]]="",Cartera1017[[#This Row],[Fin Desarrollo]]=""),200,IFERROR(Cartera1017[[#This Row],[DURACIÓN DESARROLLO DIAS]]*VLOOKUP(Cartera1017[[#This Row],[ID Mantenimiento]],MANT_HORAS[],2,FALSE),200))</f>
        <v>200</v>
      </c>
      <c r="CW259" s="110"/>
      <c r="CX259" s="110" t="str">
        <f>VLOOKUP(Cartera1017[[#This Row],[Estado TI]],Definiciones!$A$549:$B$559,2,FALSE)</f>
        <v>4. PRODUCCIÓN</v>
      </c>
      <c r="CY259" s="28">
        <f ca="1">1-Cartera1017[[#This Row],[Porcentaje avanzado desarrollo]]</f>
        <v>0.9</v>
      </c>
      <c r="CZ25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59" s="28">
        <f ca="1">MAX(0,Cartera1017[[#This Row],[DURACIÓN DESARROLLO DIAS]]-Cartera1017[[#This Row],[Dias avanzados]])</f>
        <v>24</v>
      </c>
      <c r="DB259" s="28">
        <f ca="1">Cartera1017[[#This Row],[Dias avanzados]]*IFERROR(VLOOKUP(Cartera1017[[#This Row],[ID Mantenimiento]],MANT_HORAS[],2,FALSE),8)</f>
        <v>8</v>
      </c>
      <c r="DC259" s="28">
        <f ca="1">Cartera1017[[#This Row],[Dias faltantes]]*IFERROR(VLOOKUP(Cartera1017[[#This Row],[ID Mantenimiento]],MANT_HORAS[],2,FALSE),8)</f>
        <v>192</v>
      </c>
      <c r="DD259" s="28" t="str">
        <f>IF(Cartera1017[[#This Row],[Fin Producción]]=0,"Por definir",CONCATENATE(YEAR(Cartera1017[[#This Row],[Fin Producción]]),"-",ROUNDUP(MONTH(Cartera1017[[#This Row],[Fin Producción]]),0)))</f>
        <v>Por definir</v>
      </c>
      <c r="DE259" s="28"/>
      <c r="DF259" s="28"/>
      <c r="DG259" s="28"/>
      <c r="DH259" s="565"/>
    </row>
    <row r="260" spans="1:112" ht="44.25" hidden="1" customHeight="1">
      <c r="A260" s="229" t="s">
        <v>2160</v>
      </c>
      <c r="B260" s="18">
        <v>3314</v>
      </c>
      <c r="C260" s="263" t="s">
        <v>485</v>
      </c>
      <c r="D260" s="18" t="s">
        <v>2161</v>
      </c>
      <c r="E260" s="522" t="s">
        <v>2162</v>
      </c>
      <c r="F260" s="33" t="s">
        <v>2163</v>
      </c>
      <c r="G260" s="19"/>
      <c r="H260" s="18" t="s">
        <v>108</v>
      </c>
      <c r="I260" s="18" t="s">
        <v>811</v>
      </c>
      <c r="J260" s="18" t="s">
        <v>500</v>
      </c>
      <c r="K260" s="20"/>
      <c r="L260" s="18"/>
      <c r="M260" s="50" t="s">
        <v>2164</v>
      </c>
      <c r="N260" s="50"/>
      <c r="O260" s="18" t="s">
        <v>530</v>
      </c>
      <c r="P260" s="18" t="s">
        <v>797</v>
      </c>
      <c r="Q260" s="18" t="s">
        <v>496</v>
      </c>
      <c r="R260" s="18" t="s">
        <v>599</v>
      </c>
      <c r="S260" s="18"/>
      <c r="T260" s="18"/>
      <c r="U260" s="18"/>
      <c r="V260" s="18"/>
      <c r="W260" s="18"/>
      <c r="X260" s="18"/>
      <c r="Y260" s="80"/>
      <c r="Z260" s="18" t="s">
        <v>532</v>
      </c>
      <c r="AA260" s="20">
        <v>46147</v>
      </c>
      <c r="AB260" s="18" t="s">
        <v>500</v>
      </c>
      <c r="AC260" s="18"/>
      <c r="AD260" s="18" t="s">
        <v>43</v>
      </c>
      <c r="AE260" s="18" t="s">
        <v>109</v>
      </c>
      <c r="AF260" s="517" t="s">
        <v>48</v>
      </c>
      <c r="AG260" s="14" t="str">
        <f>VLOOKUP(AF260,Tabla3[[Estado Requerimiento]:[Macro estado]],2,FALSE)</f>
        <v>02. En Proceso</v>
      </c>
      <c r="AH260" s="18"/>
      <c r="AI260" s="80"/>
      <c r="AJ260" s="80"/>
      <c r="AK260" s="80">
        <v>45993</v>
      </c>
      <c r="AL260" s="80"/>
      <c r="AM260" s="80"/>
      <c r="AN260" s="80"/>
      <c r="AO260" s="80"/>
      <c r="AP260" s="81" t="str">
        <f t="shared" si="6"/>
        <v/>
      </c>
      <c r="AQ260" s="80"/>
      <c r="AR260" s="80"/>
      <c r="AS260" s="81" t="str">
        <f t="shared" si="7"/>
        <v/>
      </c>
      <c r="AT260" s="19" t="s">
        <v>2151</v>
      </c>
      <c r="AU260" s="44" t="str">
        <f>VLOOKUP(Cartera1017[[#This Row],[Gerencia]],tbGerencia[#All],3,FALSE)</f>
        <v>TI</v>
      </c>
      <c r="AV260" s="44" t="str">
        <f>IFERROR(VLOOKUP(Cartera1017[[#This Row],[Subgerencia]],Definiciones!$A$90:$B$144,2,FALSE),"")</f>
        <v>ConstrucciónAplicaciones</v>
      </c>
      <c r="AW260" s="44" t="str">
        <f>IF(OR(LEN(Cartera1017[[#This Row],[Fecha de Solicitud]])=0,(Cartera1017[[#This Row],[Fecha de Solicitud]])="No definido"),"No definido",IF(YEAR(Cartera1017[[#This Row],[Fecha de Solicitud]])&lt;2023," &lt;  2023",TEXT(Cartera1017[[#This Row],[Fecha de Solicitud]],"yyyy-mm")))</f>
        <v>No definido</v>
      </c>
      <c r="AX260" s="44" t="str">
        <f>IF(Cartera1017[[#This Row],[Fecha de Priorización Comité]]="","No definido",TEXT(Cartera1017[[#This Row],[Fecha de Priorización Comité]],"yyyy-mm"))</f>
        <v>2026-05</v>
      </c>
      <c r="AY260" s="44" t="str">
        <f>IF(Cartera1017[[#This Row],[Fecha Fin- Desarrollo]]="","No definido",TEXT(Cartera1017[[#This Row],[Fecha Fin- Desarrollo]],"yyyy-mm"))</f>
        <v>No definido</v>
      </c>
      <c r="AZ260" s="44" t="str">
        <f>IF(Cartera1017[[#This Row],[Fecha Fin- Producción]]="","No definido",TEXT(Cartera1017[[#This Row],[Fecha Fin- Producción]],"yyyy-mm"))</f>
        <v>No definido</v>
      </c>
      <c r="BA260" s="44" t="str">
        <f>IF(Cartera1017[[#This Row],[Fecha Fin-Planificada]]="","No definido",TEXT(Cartera1017[[#This Row],[Fecha Fin-Planificada]],"yyyy-mm"))</f>
        <v>No definido</v>
      </c>
      <c r="BB260" s="33"/>
      <c r="BC260" s="108"/>
      <c r="BD260" s="108"/>
      <c r="BE260" s="108"/>
      <c r="BF260" s="127"/>
      <c r="BG260" s="28"/>
      <c r="BH26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60" s="90" t="str">
        <f>IF(ISNUMBER(Cartera1017[[#This Row],[Duracion en Dias]]),Cartera1017[[#This Row],[Duracion en Dias]]/30, "No Aplica")</f>
        <v>No Aplica</v>
      </c>
      <c r="BJ260" s="109"/>
      <c r="BK260" s="28" t="s">
        <v>1115</v>
      </c>
      <c r="BL260" s="110" t="s">
        <v>592</v>
      </c>
      <c r="BM260" s="342">
        <v>45993.401631944442</v>
      </c>
      <c r="BN260" s="227"/>
      <c r="BO260" s="401"/>
      <c r="BP260" s="401"/>
      <c r="BQ26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60" s="14" t="str">
        <f>IFERROR(VLOOKUP(Cartera1017[[#This Row],[Aplicativo]],Tabla76[],2,FALSE),"Sin Aplicativo")</f>
        <v>BackOffice</v>
      </c>
      <c r="BS260" s="14" t="str">
        <f>IFERROR(VLOOKUP(Cartera1017[[#This Row],[Aplicativo]],Tabla76[],3,FALSE),"Sin Aplicativo")</f>
        <v>Otros Requerimientos</v>
      </c>
      <c r="BT260" s="400"/>
      <c r="BU260" s="33"/>
      <c r="BV260" s="28"/>
      <c r="BW26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6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60" s="149" t="str">
        <f ca="1">IF(Cartera1017[[#This Row],[Fecha Fin2]]="","No definido",CONCATENATE(TEXT(Cartera1017[[#This Row],[Fecha Fin2]],"mmm")," ",YEAR(Cartera1017[[#This Row],[Fecha Fin2]])))</f>
        <v>No definido</v>
      </c>
      <c r="BZ260" s="28"/>
      <c r="CA260" s="48" t="str">
        <f>IF(Cartera1017[[#This Row],[Estado TI]] = "08. Producción Finalizada","Culminado",IF(Cartera1017[[#This Row],[Estado TI]]= "09. Descartado","Descartado","Activos"))</f>
        <v>Activos</v>
      </c>
      <c r="CB260" s="28"/>
      <c r="CC260"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60" s="54" t="str">
        <f>IF(
AND(
Cartera1017[[#This Row],[DEVOLVER 27]]="NO",
NOT(ISBLANK(Cartera1017[[#This Row],[ESTADO NO DEVUELTOS 27]]))
),
"PRE",
"POST"
)</f>
        <v>POST</v>
      </c>
      <c r="CE260" s="54"/>
      <c r="CF260" s="28"/>
      <c r="CG26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60"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60"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60" s="388">
        <f>Cartera1017[[#This Row],[Porcentaje de Avance]]</f>
        <v>0.15</v>
      </c>
      <c r="CK260" s="388" t="str">
        <f>IF(
   OR(
     Cartera1017[[#This Row],[Estado TI]]="09. Descartado",
     Cartera1017[[#This Row],[Comienzo Desarrollo]]="",
     Cartera1017[[#This Row],[Fin Producción]]=""
   ),
   "",
   Cartera1017[[#This Row],[% PLANIFICADO]]-Cartera1017[[#This Row],[% COMPLETADO]]
)</f>
        <v/>
      </c>
      <c r="CL260" s="388" t="str">
        <f ca="1">IF(
   OR(
     Cartera1017[[#This Row],[Estado TI]]="09. Descartado",
     Cartera1017[[#This Row],[Comienzo Desarrollo]]="",
     Cartera1017[[#This Row],[Fin Producción]]="",
     Cartera1017[[#This Row],[% PLANIFICADO]]=0
   ),
   "",
   MIN(Cartera1017[[#This Row],[% COMPLETADO]]/Cartera1017[[#This Row],[% PLANIFICADO]],1.2)
)</f>
        <v/>
      </c>
      <c r="CM260" s="229"/>
      <c r="CN260" s="229"/>
      <c r="CO260" s="229"/>
      <c r="CP260" s="229"/>
      <c r="CQ260" s="229"/>
      <c r="CR260" s="229"/>
      <c r="CS260" s="229"/>
      <c r="CT260" s="44">
        <f>IF(Cartera1017[[#This Row],[Fin Desarrollo]]="",25,IFERROR(NETWORKDAYS(Cartera1017[[#This Row],[Comienzo Desarrollo]],Cartera1017[[#This Row],[Fin Desarrollo]],FERIADOS[Fecha]),""))</f>
        <v>25</v>
      </c>
      <c r="CU26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60" s="44">
        <f>IF(OR(Cartera1017[[#This Row],[Comienzo Desarrollo]]="",Cartera1017[[#This Row],[Fin Desarrollo]]=""),200,IFERROR(Cartera1017[[#This Row],[DURACIÓN DESARROLLO DIAS]]*VLOOKUP(Cartera1017[[#This Row],[ID Mantenimiento]],MANT_HORAS[],2,FALSE),200))</f>
        <v>200</v>
      </c>
      <c r="CW260" s="110"/>
      <c r="CX260" s="110" t="str">
        <f>VLOOKUP(Cartera1017[[#This Row],[Estado TI]],Definiciones!$A$549:$B$559,2,FALSE)</f>
        <v>1. DESARROLLO</v>
      </c>
      <c r="CY260" s="28">
        <f ca="1">1-Cartera1017[[#This Row],[Porcentaje avanzado desarrollo]]</f>
        <v>0.9</v>
      </c>
      <c r="CZ26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60" s="28">
        <f ca="1">MAX(0,Cartera1017[[#This Row],[DURACIÓN DESARROLLO DIAS]]-Cartera1017[[#This Row],[Dias avanzados]])</f>
        <v>24</v>
      </c>
      <c r="DB260" s="28">
        <f ca="1">Cartera1017[[#This Row],[Dias avanzados]]*IFERROR(VLOOKUP(Cartera1017[[#This Row],[ID Mantenimiento]],MANT_HORAS[],2,FALSE),8)</f>
        <v>8</v>
      </c>
      <c r="DC260" s="28">
        <f ca="1">Cartera1017[[#This Row],[Dias faltantes]]*IFERROR(VLOOKUP(Cartera1017[[#This Row],[ID Mantenimiento]],MANT_HORAS[],2,FALSE),8)</f>
        <v>192</v>
      </c>
      <c r="DD260" s="28" t="str">
        <f>IF(Cartera1017[[#This Row],[Fin Producción]]=0,"Por definir",CONCATENATE(YEAR(Cartera1017[[#This Row],[Fin Producción]]),"-",ROUNDUP(MONTH(Cartera1017[[#This Row],[Fin Producción]]),0)))</f>
        <v>Por definir</v>
      </c>
      <c r="DE260" s="28"/>
      <c r="DF260" s="28"/>
      <c r="DG260" s="28"/>
      <c r="DH260" s="565"/>
    </row>
    <row r="261" spans="1:112" ht="44.25" hidden="1" customHeight="1">
      <c r="A261" s="229" t="s">
        <v>2165</v>
      </c>
      <c r="B261" s="18">
        <v>3315</v>
      </c>
      <c r="C261" s="263" t="s">
        <v>485</v>
      </c>
      <c r="D261" s="18" t="s">
        <v>2166</v>
      </c>
      <c r="E261" s="522" t="s">
        <v>2167</v>
      </c>
      <c r="F261" s="33" t="s">
        <v>2168</v>
      </c>
      <c r="G261" s="19"/>
      <c r="H261" s="18" t="s">
        <v>108</v>
      </c>
      <c r="I261" s="18" t="s">
        <v>811</v>
      </c>
      <c r="J261" s="18" t="s">
        <v>533</v>
      </c>
      <c r="K261" s="20"/>
      <c r="L261" s="18"/>
      <c r="M261" s="50" t="s">
        <v>762</v>
      </c>
      <c r="N261" s="50"/>
      <c r="O261" s="18" t="s">
        <v>530</v>
      </c>
      <c r="P261" s="18" t="s">
        <v>495</v>
      </c>
      <c r="Q261" s="18" t="s">
        <v>496</v>
      </c>
      <c r="R261" s="18" t="s">
        <v>497</v>
      </c>
      <c r="S261" s="18"/>
      <c r="T261" s="18"/>
      <c r="U261" s="18"/>
      <c r="V261" s="18"/>
      <c r="W261" s="18"/>
      <c r="X261" s="18"/>
      <c r="Y261" s="80"/>
      <c r="Z261" s="18" t="s">
        <v>532</v>
      </c>
      <c r="AA261" s="20">
        <v>46147</v>
      </c>
      <c r="AB261" s="18" t="s">
        <v>533</v>
      </c>
      <c r="AC261" s="18"/>
      <c r="AD261" s="18"/>
      <c r="AE261" s="18" t="s">
        <v>109</v>
      </c>
      <c r="AF261" s="18" t="s">
        <v>340</v>
      </c>
      <c r="AG261" s="14" t="str">
        <f>VLOOKUP(AF261,Tabla3[[Estado Requerimiento]:[Macro estado]],2,FALSE)</f>
        <v>01. No iniciado</v>
      </c>
      <c r="AH261" s="18"/>
      <c r="AI261" s="80"/>
      <c r="AJ261" s="80"/>
      <c r="AK261" s="80"/>
      <c r="AL261" s="80"/>
      <c r="AM261" s="80"/>
      <c r="AN261" s="80"/>
      <c r="AO261" s="80"/>
      <c r="AP261" s="81" t="str">
        <f t="shared" si="6"/>
        <v/>
      </c>
      <c r="AQ261" s="80"/>
      <c r="AR261" s="80"/>
      <c r="AS261" s="81" t="str">
        <f t="shared" si="7"/>
        <v/>
      </c>
      <c r="AT261" s="19" t="s">
        <v>2169</v>
      </c>
      <c r="AU261" s="44" t="str">
        <f>VLOOKUP(Cartera1017[[#This Row],[Gerencia]],tbGerencia[#All],3,FALSE)</f>
        <v>TI</v>
      </c>
      <c r="AV261" s="44" t="str">
        <f>IFERROR(VLOOKUP(Cartera1017[[#This Row],[Subgerencia]],Definiciones!$A$90:$B$144,2,FALSE),"")</f>
        <v>ConstrucciónAplicaciones</v>
      </c>
      <c r="AW261" s="44" t="str">
        <f>IF(OR(LEN(Cartera1017[[#This Row],[Fecha de Solicitud]])=0,(Cartera1017[[#This Row],[Fecha de Solicitud]])="No definido"),"No definido",IF(YEAR(Cartera1017[[#This Row],[Fecha de Solicitud]])&lt;2023," &lt;  2023",TEXT(Cartera1017[[#This Row],[Fecha de Solicitud]],"yyyy-mm")))</f>
        <v>No definido</v>
      </c>
      <c r="AX261" s="44" t="str">
        <f>IF(Cartera1017[[#This Row],[Fecha de Priorización Comité]]="","No definido",TEXT(Cartera1017[[#This Row],[Fecha de Priorización Comité]],"yyyy-mm"))</f>
        <v>2026-05</v>
      </c>
      <c r="AY261" s="44" t="str">
        <f>IF(Cartera1017[[#This Row],[Fecha Fin- Desarrollo]]="","No definido",TEXT(Cartera1017[[#This Row],[Fecha Fin- Desarrollo]],"yyyy-mm"))</f>
        <v>No definido</v>
      </c>
      <c r="AZ261" s="44" t="str">
        <f>IF(Cartera1017[[#This Row],[Fecha Fin- Producción]]="","No definido",TEXT(Cartera1017[[#This Row],[Fecha Fin- Producción]],"yyyy-mm"))</f>
        <v>No definido</v>
      </c>
      <c r="BA261" s="44" t="str">
        <f>IF(Cartera1017[[#This Row],[Fecha Fin-Planificada]]="","No definido",TEXT(Cartera1017[[#This Row],[Fecha Fin-Planificada]],"yyyy-mm"))</f>
        <v>No definido</v>
      </c>
      <c r="BB261" s="33"/>
      <c r="BC261" s="108"/>
      <c r="BD261" s="108"/>
      <c r="BE261" s="108"/>
      <c r="BF261" s="127"/>
      <c r="BG261" s="28"/>
      <c r="BH26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61" s="90" t="str">
        <f>IF(ISNUMBER(Cartera1017[[#This Row],[Duracion en Dias]]),Cartera1017[[#This Row],[Duracion en Dias]]/30, "No Aplica")</f>
        <v>No Aplica</v>
      </c>
      <c r="BJ261" s="109"/>
      <c r="BK261" s="28"/>
      <c r="BL261" s="110" t="s">
        <v>2000</v>
      </c>
      <c r="BM261" s="342">
        <v>45995.622662037036</v>
      </c>
      <c r="BN261" s="227"/>
      <c r="BO261" s="401"/>
      <c r="BP261" s="401"/>
      <c r="BQ26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61" s="14" t="str">
        <f>IFERROR(VLOOKUP(Cartera1017[[#This Row],[Aplicativo]],Tabla76[],2,FALSE),"Sin Aplicativo")</f>
        <v>BackOffice</v>
      </c>
      <c r="BS261" s="14" t="str">
        <f>IFERROR(VLOOKUP(Cartera1017[[#This Row],[Aplicativo]],Tabla76[],3,FALSE),"Sin Aplicativo")</f>
        <v>Otros Requerimientos</v>
      </c>
      <c r="BT261" s="400"/>
      <c r="BU261" s="33"/>
      <c r="BV261" s="28"/>
      <c r="BW26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6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61" s="149" t="str">
        <f ca="1">IF(Cartera1017[[#This Row],[Fecha Fin2]]="","No definido",CONCATENATE(TEXT(Cartera1017[[#This Row],[Fecha Fin2]],"mmm")," ",YEAR(Cartera1017[[#This Row],[Fecha Fin2]])))</f>
        <v>No definido</v>
      </c>
      <c r="BZ261" s="28"/>
      <c r="CA261" s="48" t="str">
        <f>IF(Cartera1017[[#This Row],[Estado TI]] = "08. Producción Finalizada","Culminado",IF(Cartera1017[[#This Row],[Estado TI]]= "09. Descartado","Descartado","Activos"))</f>
        <v>Activos</v>
      </c>
      <c r="CB261" s="28"/>
      <c r="CC261"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61" s="54" t="str">
        <f>IF(
AND(
Cartera1017[[#This Row],[DEVOLVER 27]]="NO",
NOT(ISBLANK(Cartera1017[[#This Row],[ESTADO NO DEVUELTOS 27]]))
),
"PRE",
"POST"
)</f>
        <v>POST</v>
      </c>
      <c r="CE261" s="54"/>
      <c r="CF261" s="28"/>
      <c r="CG26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61"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61"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61" s="388">
        <f>Cartera1017[[#This Row],[Porcentaje de Avance]]</f>
        <v>0.1</v>
      </c>
      <c r="CK261" s="388" t="str">
        <f>IF(
   OR(
     Cartera1017[[#This Row],[Estado TI]]="09. Descartado",
     Cartera1017[[#This Row],[Comienzo Desarrollo]]="",
     Cartera1017[[#This Row],[Fin Producción]]=""
   ),
   "",
   Cartera1017[[#This Row],[% PLANIFICADO]]-Cartera1017[[#This Row],[% COMPLETADO]]
)</f>
        <v/>
      </c>
      <c r="CL261" s="388" t="str">
        <f ca="1">IF(
   OR(
     Cartera1017[[#This Row],[Estado TI]]="09. Descartado",
     Cartera1017[[#This Row],[Comienzo Desarrollo]]="",
     Cartera1017[[#This Row],[Fin Producción]]="",
     Cartera1017[[#This Row],[% PLANIFICADO]]=0
   ),
   "",
   MIN(Cartera1017[[#This Row],[% COMPLETADO]]/Cartera1017[[#This Row],[% PLANIFICADO]],1.2)
)</f>
        <v/>
      </c>
      <c r="CM261" s="229"/>
      <c r="CN261" s="229"/>
      <c r="CO261" s="229"/>
      <c r="CP261" s="229"/>
      <c r="CQ261" s="229"/>
      <c r="CR261" s="229"/>
      <c r="CS261" s="229"/>
      <c r="CT261" s="44">
        <f>IF(Cartera1017[[#This Row],[Fin Desarrollo]]="",25,IFERROR(NETWORKDAYS(Cartera1017[[#This Row],[Comienzo Desarrollo]],Cartera1017[[#This Row],[Fin Desarrollo]],FERIADOS[Fecha]),""))</f>
        <v>25</v>
      </c>
      <c r="CU26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61" s="44">
        <f>IF(OR(Cartera1017[[#This Row],[Comienzo Desarrollo]]="",Cartera1017[[#This Row],[Fin Desarrollo]]=""),200,IFERROR(Cartera1017[[#This Row],[DURACIÓN DESARROLLO DIAS]]*VLOOKUP(Cartera1017[[#This Row],[ID Mantenimiento]],MANT_HORAS[],2,FALSE),200))</f>
        <v>200</v>
      </c>
      <c r="CW261" s="110"/>
      <c r="CX261" s="110" t="str">
        <f>VLOOKUP(Cartera1017[[#This Row],[Estado TI]],Definiciones!$A$549:$B$559,2,FALSE)</f>
        <v>1. DESARROLLO</v>
      </c>
      <c r="CY261" s="28">
        <f ca="1">1-Cartera1017[[#This Row],[Porcentaje avanzado desarrollo]]</f>
        <v>0.9</v>
      </c>
      <c r="CZ26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61" s="28">
        <f ca="1">MAX(0,Cartera1017[[#This Row],[DURACIÓN DESARROLLO DIAS]]-Cartera1017[[#This Row],[Dias avanzados]])</f>
        <v>24</v>
      </c>
      <c r="DB261" s="28">
        <f ca="1">Cartera1017[[#This Row],[Dias avanzados]]*IFERROR(VLOOKUP(Cartera1017[[#This Row],[ID Mantenimiento]],MANT_HORAS[],2,FALSE),8)</f>
        <v>8</v>
      </c>
      <c r="DC261" s="28">
        <f ca="1">Cartera1017[[#This Row],[Dias faltantes]]*IFERROR(VLOOKUP(Cartera1017[[#This Row],[ID Mantenimiento]],MANT_HORAS[],2,FALSE),8)</f>
        <v>192</v>
      </c>
      <c r="DD261" s="28" t="str">
        <f>IF(Cartera1017[[#This Row],[Fin Producción]]=0,"Por definir",CONCATENATE(YEAR(Cartera1017[[#This Row],[Fin Producción]]),"-",ROUNDUP(MONTH(Cartera1017[[#This Row],[Fin Producción]]),0)))</f>
        <v>Por definir</v>
      </c>
      <c r="DE261" s="28"/>
      <c r="DF261" s="28"/>
      <c r="DG261" s="28"/>
      <c r="DH261" s="565"/>
    </row>
    <row r="262" spans="1:112" ht="44.25" hidden="1" customHeight="1">
      <c r="A262" s="229" t="s">
        <v>2170</v>
      </c>
      <c r="B262" s="18">
        <v>3316</v>
      </c>
      <c r="C262" s="263" t="s">
        <v>485</v>
      </c>
      <c r="D262" s="18" t="s">
        <v>2171</v>
      </c>
      <c r="E262" s="522" t="s">
        <v>2172</v>
      </c>
      <c r="F262" s="33" t="s">
        <v>2173</v>
      </c>
      <c r="G262" s="19"/>
      <c r="H262" s="18" t="s">
        <v>33</v>
      </c>
      <c r="I262" s="18" t="s">
        <v>727</v>
      </c>
      <c r="J262" s="18" t="s">
        <v>728</v>
      </c>
      <c r="K262" s="20"/>
      <c r="L262" s="18"/>
      <c r="M262" s="50" t="s">
        <v>730</v>
      </c>
      <c r="N262" s="50"/>
      <c r="O262" s="18" t="s">
        <v>530</v>
      </c>
      <c r="P262" s="18" t="s">
        <v>731</v>
      </c>
      <c r="Q262" s="18" t="s">
        <v>496</v>
      </c>
      <c r="R262" s="18" t="s">
        <v>497</v>
      </c>
      <c r="S262" s="18"/>
      <c r="T262" s="18"/>
      <c r="U262" s="18"/>
      <c r="V262" s="18"/>
      <c r="W262" s="18"/>
      <c r="X262" s="18"/>
      <c r="Y262" s="80"/>
      <c r="Z262" s="18" t="s">
        <v>532</v>
      </c>
      <c r="AA262" s="20">
        <v>46147</v>
      </c>
      <c r="AB262" s="18" t="s">
        <v>500</v>
      </c>
      <c r="AC262" s="18"/>
      <c r="AD262" s="18" t="s">
        <v>150</v>
      </c>
      <c r="AE262" s="18" t="s">
        <v>34</v>
      </c>
      <c r="AF262" s="517" t="s">
        <v>87</v>
      </c>
      <c r="AG262" s="14" t="str">
        <f>VLOOKUP(AF262,Tabla3[[Estado Requerimiento]:[Macro estado]],2,FALSE)</f>
        <v>02. En Proceso</v>
      </c>
      <c r="AH262" s="18"/>
      <c r="AI262" s="80"/>
      <c r="AJ262" s="80"/>
      <c r="AK262" s="80">
        <v>46125</v>
      </c>
      <c r="AL262" s="80">
        <v>46125</v>
      </c>
      <c r="AM262" s="80"/>
      <c r="AN262" s="80">
        <v>46132</v>
      </c>
      <c r="AO262" s="80"/>
      <c r="AP262" s="81">
        <f t="shared" ref="AP262:AP267" si="8">IF(AND(ISNUMBER(AK262),ISNUMBER(AM262)),AM262+(AM262- AK262)*0.4,IF(AND(ISNUMBER(AK262),ISNUMBER(AL262)),AL262+(AL262-AK262)*0.4,""))</f>
        <v>46125</v>
      </c>
      <c r="AQ262" s="80"/>
      <c r="AR262" s="80"/>
      <c r="AS262" s="81">
        <f t="shared" ref="AS262:AS267" si="9">IF(ISNUMBER(AP262),AP262+7,"")</f>
        <v>46132</v>
      </c>
      <c r="AT262" s="19" t="s">
        <v>2141</v>
      </c>
      <c r="AU262" s="44" t="str">
        <f>VLOOKUP(Cartera1017[[#This Row],[Gerencia]],tbGerencia[#All],3,FALSE)</f>
        <v>Productos</v>
      </c>
      <c r="AV262" s="44" t="str">
        <f>IFERROR(VLOOKUP(Cartera1017[[#This Row],[Subgerencia]],Definiciones!$A$90:$B$144,2,FALSE),"")</f>
        <v>BancaPersonal</v>
      </c>
      <c r="AW262" s="44" t="str">
        <f>IF(OR(LEN(Cartera1017[[#This Row],[Fecha de Solicitud]])=0,(Cartera1017[[#This Row],[Fecha de Solicitud]])="No definido"),"No definido",IF(YEAR(Cartera1017[[#This Row],[Fecha de Solicitud]])&lt;2023," &lt;  2023",TEXT(Cartera1017[[#This Row],[Fecha de Solicitud]],"yyyy-mm")))</f>
        <v>No definido</v>
      </c>
      <c r="AX262" s="44" t="str">
        <f>IF(Cartera1017[[#This Row],[Fecha de Priorización Comité]]="","No definido",TEXT(Cartera1017[[#This Row],[Fecha de Priorización Comité]],"yyyy-mm"))</f>
        <v>2026-05</v>
      </c>
      <c r="AY262" s="44" t="str">
        <f>IF(Cartera1017[[#This Row],[Fecha Fin- Desarrollo]]="","No definido",TEXT(Cartera1017[[#This Row],[Fecha Fin- Desarrollo]],"yyyy-mm"))</f>
        <v>2026-04</v>
      </c>
      <c r="AZ262" s="44" t="str">
        <f>IF(Cartera1017[[#This Row],[Fecha Fin- Producción]]="","No definido",TEXT(Cartera1017[[#This Row],[Fecha Fin- Producción]],"yyyy-mm"))</f>
        <v>No definido</v>
      </c>
      <c r="BA262" s="44" t="str">
        <f>IF(Cartera1017[[#This Row],[Fecha Fin-Planificada]]="","No definido",TEXT(Cartera1017[[#This Row],[Fecha Fin-Planificada]],"yyyy-mm"))</f>
        <v>2026-04</v>
      </c>
      <c r="BB262" s="33"/>
      <c r="BC262" s="108"/>
      <c r="BD262" s="108"/>
      <c r="BE262" s="108"/>
      <c r="BF262" s="127"/>
      <c r="BG262" s="28"/>
      <c r="BH26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62" s="90" t="str">
        <f>IF(ISNUMBER(Cartera1017[[#This Row],[Duracion en Dias]]),Cartera1017[[#This Row],[Duracion en Dias]]/30, "No Aplica")</f>
        <v>No Aplica</v>
      </c>
      <c r="BJ262" s="109"/>
      <c r="BK262" s="28" t="s">
        <v>506</v>
      </c>
      <c r="BL262" s="110" t="s">
        <v>1260</v>
      </c>
      <c r="BM262" s="342">
        <v>46132.521145833336</v>
      </c>
      <c r="BN262" s="227"/>
      <c r="BO262" s="401"/>
      <c r="BP262" s="401"/>
      <c r="BQ26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62" s="14" t="str">
        <f>IFERROR(VLOOKUP(Cartera1017[[#This Row],[Aplicativo]],Tabla76[],2,FALSE),"Sin Aplicativo")</f>
        <v>Tarjeta Tesoro</v>
      </c>
      <c r="BS262" s="14" t="str">
        <f>IFERROR(VLOOKUP(Cartera1017[[#This Row],[Aplicativo]],Tabla76[],3,FALSE),"Sin Aplicativo")</f>
        <v>Productos</v>
      </c>
      <c r="BT262" s="400"/>
      <c r="BU262" s="33"/>
      <c r="BV262" s="28"/>
      <c r="BW26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6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62" s="149" t="str">
        <f ca="1">IF(Cartera1017[[#This Row],[Fecha Fin2]]="","No definido",CONCATENATE(TEXT(Cartera1017[[#This Row],[Fecha Fin2]],"mmm")," ",YEAR(Cartera1017[[#This Row],[Fecha Fin2]])))</f>
        <v>No definido</v>
      </c>
      <c r="BZ262" s="28"/>
      <c r="CA262" s="48" t="str">
        <f>IF(Cartera1017[[#This Row],[Estado TI]] = "08. Producción Finalizada","Culminado",IF(Cartera1017[[#This Row],[Estado TI]]= "09. Descartado","Descartado","Activos"))</f>
        <v>Activos</v>
      </c>
      <c r="CB262" s="28"/>
      <c r="CC262"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262" s="54" t="str">
        <f>IF(
AND(
Cartera1017[[#This Row],[DEVOLVER 27]]="NO",
NOT(ISBLANK(Cartera1017[[#This Row],[ESTADO NO DEVUELTOS 27]]))
),
"PRE",
"POST"
)</f>
        <v>POST</v>
      </c>
      <c r="CE262" s="54"/>
      <c r="CF262" s="28"/>
      <c r="CG26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62"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62"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62" s="388">
        <f>Cartera1017[[#This Row],[Porcentaje de Avance]]</f>
        <v>0.7</v>
      </c>
      <c r="CK262" s="388" t="str">
        <f>IF(
   OR(
     Cartera1017[[#This Row],[Estado TI]]="09. Descartado",
     Cartera1017[[#This Row],[Comienzo Desarrollo]]="",
     Cartera1017[[#This Row],[Fin Producción]]=""
   ),
   "",
   Cartera1017[[#This Row],[% PLANIFICADO]]-Cartera1017[[#This Row],[% COMPLETADO]]
)</f>
        <v/>
      </c>
      <c r="CL262" s="388" t="str">
        <f ca="1">IF(
   OR(
     Cartera1017[[#This Row],[Estado TI]]="09. Descartado",
     Cartera1017[[#This Row],[Comienzo Desarrollo]]="",
     Cartera1017[[#This Row],[Fin Producción]]="",
     Cartera1017[[#This Row],[% PLANIFICADO]]=0
   ),
   "",
   MIN(Cartera1017[[#This Row],[% COMPLETADO]]/Cartera1017[[#This Row],[% PLANIFICADO]],1.2)
)</f>
        <v/>
      </c>
      <c r="CM262" s="229"/>
      <c r="CN262" s="229"/>
      <c r="CO262" s="229"/>
      <c r="CP262" s="229"/>
      <c r="CQ262" s="229"/>
      <c r="CR262" s="229"/>
      <c r="CS262" s="229"/>
      <c r="CT262" s="44">
        <f>IF(Cartera1017[[#This Row],[Fin Desarrollo]]="",25,IFERROR(NETWORKDAYS(Cartera1017[[#This Row],[Comienzo Desarrollo]],Cartera1017[[#This Row],[Fin Desarrollo]],FERIADOS[Fecha]),""))</f>
        <v>25</v>
      </c>
      <c r="CU26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62" s="44">
        <f>IF(OR(Cartera1017[[#This Row],[Comienzo Desarrollo]]="",Cartera1017[[#This Row],[Fin Desarrollo]]=""),200,IFERROR(Cartera1017[[#This Row],[DURACIÓN DESARROLLO DIAS]]*VLOOKUP(Cartera1017[[#This Row],[ID Mantenimiento]],MANT_HORAS[],2,FALSE),200))</f>
        <v>200</v>
      </c>
      <c r="CW262" s="110"/>
      <c r="CX262" s="110" t="str">
        <f>VLOOKUP(Cartera1017[[#This Row],[Estado TI]],Definiciones!$A$549:$B$559,2,FALSE)</f>
        <v>2. CALIDAD</v>
      </c>
      <c r="CY262" s="28">
        <f ca="1">1-Cartera1017[[#This Row],[Porcentaje avanzado desarrollo]]</f>
        <v>0.9</v>
      </c>
      <c r="CZ26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62" s="28">
        <f ca="1">MAX(0,Cartera1017[[#This Row],[DURACIÓN DESARROLLO DIAS]]-Cartera1017[[#This Row],[Dias avanzados]])</f>
        <v>24</v>
      </c>
      <c r="DB262" s="28">
        <f ca="1">Cartera1017[[#This Row],[Dias avanzados]]*IFERROR(VLOOKUP(Cartera1017[[#This Row],[ID Mantenimiento]],MANT_HORAS[],2,FALSE),8)</f>
        <v>8</v>
      </c>
      <c r="DC262" s="28">
        <f ca="1">Cartera1017[[#This Row],[Dias faltantes]]*IFERROR(VLOOKUP(Cartera1017[[#This Row],[ID Mantenimiento]],MANT_HORAS[],2,FALSE),8)</f>
        <v>192</v>
      </c>
      <c r="DD262" s="28" t="str">
        <f>IF(Cartera1017[[#This Row],[Fin Producción]]=0,"Por definir",CONCATENATE(YEAR(Cartera1017[[#This Row],[Fin Producción]]),"-",ROUNDUP(MONTH(Cartera1017[[#This Row],[Fin Producción]]),0)))</f>
        <v>Por definir</v>
      </c>
      <c r="DE262" s="28"/>
      <c r="DF262" s="28"/>
      <c r="DG262" s="28"/>
      <c r="DH262" s="565"/>
    </row>
    <row r="263" spans="1:112" ht="44.25" customHeight="1">
      <c r="A263" s="229" t="s">
        <v>2174</v>
      </c>
      <c r="B263" s="18">
        <v>3317</v>
      </c>
      <c r="C263" s="263" t="s">
        <v>485</v>
      </c>
      <c r="D263" s="18" t="s">
        <v>2175</v>
      </c>
      <c r="E263" s="522" t="s">
        <v>2176</v>
      </c>
      <c r="F263" s="33" t="s">
        <v>2177</v>
      </c>
      <c r="G263" s="19"/>
      <c r="H263" s="18" t="s">
        <v>82</v>
      </c>
      <c r="I263" s="18" t="s">
        <v>700</v>
      </c>
      <c r="J263" s="18" t="s">
        <v>1451</v>
      </c>
      <c r="K263" s="20"/>
      <c r="L263" s="18"/>
      <c r="M263" s="50" t="s">
        <v>703</v>
      </c>
      <c r="N263" s="50"/>
      <c r="O263" s="18" t="s">
        <v>530</v>
      </c>
      <c r="P263" s="18" t="s">
        <v>495</v>
      </c>
      <c r="Q263" s="18" t="s">
        <v>496</v>
      </c>
      <c r="R263" s="18" t="s">
        <v>497</v>
      </c>
      <c r="S263" s="18"/>
      <c r="T263" s="18"/>
      <c r="U263" s="18"/>
      <c r="V263" s="18"/>
      <c r="W263" s="18"/>
      <c r="X263" s="18"/>
      <c r="Y263" s="80"/>
      <c r="Z263" s="18" t="s">
        <v>532</v>
      </c>
      <c r="AA263" s="20">
        <v>46147</v>
      </c>
      <c r="AB263" s="18" t="s">
        <v>500</v>
      </c>
      <c r="AC263" s="18"/>
      <c r="AD263" s="18" t="s">
        <v>84</v>
      </c>
      <c r="AE263" s="18" t="s">
        <v>63</v>
      </c>
      <c r="AF263" s="517" t="s">
        <v>53</v>
      </c>
      <c r="AG263" s="14" t="str">
        <f>VLOOKUP(AF263,Tabla3[[Estado Requerimiento]:[Macro estado]],2,FALSE)</f>
        <v>03. Culminado</v>
      </c>
      <c r="AH263" s="18"/>
      <c r="AI263" s="80"/>
      <c r="AJ263" s="80"/>
      <c r="AK263" s="80">
        <v>46056</v>
      </c>
      <c r="AL263" s="80">
        <v>46087</v>
      </c>
      <c r="AM263" s="80"/>
      <c r="AN263" s="80">
        <v>46099</v>
      </c>
      <c r="AO263" s="80">
        <v>46101</v>
      </c>
      <c r="AP263" s="81">
        <f t="shared" si="8"/>
        <v>46099.4</v>
      </c>
      <c r="AQ263" s="80">
        <v>46113</v>
      </c>
      <c r="AR263" s="80">
        <v>46116</v>
      </c>
      <c r="AS263" s="81">
        <f t="shared" si="9"/>
        <v>46106.400000000001</v>
      </c>
      <c r="AT263" s="19" t="s">
        <v>2146</v>
      </c>
      <c r="AU263" s="44" t="str">
        <f>VLOOKUP(Cartera1017[[#This Row],[Gerencia]],tbGerencia[#All],3,FALSE)</f>
        <v>Riesgos</v>
      </c>
      <c r="AV263" s="44" t="str">
        <f>IFERROR(VLOOKUP(Cartera1017[[#This Row],[Subgerencia]],Definiciones!$A$90:$B$144,2,FALSE),"")</f>
        <v>CrediticiosFinancieros</v>
      </c>
      <c r="AW263" s="44" t="str">
        <f>IF(OR(LEN(Cartera1017[[#This Row],[Fecha de Solicitud]])=0,(Cartera1017[[#This Row],[Fecha de Solicitud]])="No definido"),"No definido",IF(YEAR(Cartera1017[[#This Row],[Fecha de Solicitud]])&lt;2023," &lt;  2023",TEXT(Cartera1017[[#This Row],[Fecha de Solicitud]],"yyyy-mm")))</f>
        <v>No definido</v>
      </c>
      <c r="AX263" s="44" t="str">
        <f>IF(Cartera1017[[#This Row],[Fecha de Priorización Comité]]="","No definido",TEXT(Cartera1017[[#This Row],[Fecha de Priorización Comité]],"yyyy-mm"))</f>
        <v>2026-05</v>
      </c>
      <c r="AY263" s="44" t="str">
        <f>IF(Cartera1017[[#This Row],[Fecha Fin- Desarrollo]]="","No definido",TEXT(Cartera1017[[#This Row],[Fecha Fin- Desarrollo]],"yyyy-mm"))</f>
        <v>2026-03</v>
      </c>
      <c r="AZ263" s="44" t="str">
        <f>IF(Cartera1017[[#This Row],[Fecha Fin- Producción]]="","No definido",TEXT(Cartera1017[[#This Row],[Fecha Fin- Producción]],"yyyy-mm"))</f>
        <v>2026-04</v>
      </c>
      <c r="BA263" s="44" t="str">
        <f>IF(Cartera1017[[#This Row],[Fecha Fin-Planificada]]="","No definido",TEXT(Cartera1017[[#This Row],[Fecha Fin-Planificada]],"yyyy-mm"))</f>
        <v>2026-03</v>
      </c>
      <c r="BB263" s="33"/>
      <c r="BC263" s="108"/>
      <c r="BD263" s="108"/>
      <c r="BE263" s="108"/>
      <c r="BF263" s="127"/>
      <c r="BG263" s="28"/>
      <c r="BH26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60</v>
      </c>
      <c r="BI263" s="90">
        <f>IF(ISNUMBER(Cartera1017[[#This Row],[Duracion en Dias]]),Cartera1017[[#This Row],[Duracion en Dias]]/30, "No Aplica")</f>
        <v>2</v>
      </c>
      <c r="BJ263" s="109"/>
      <c r="BK263" s="28" t="s">
        <v>506</v>
      </c>
      <c r="BL263" s="110" t="s">
        <v>536</v>
      </c>
      <c r="BM263" s="342">
        <v>46132.674027777779</v>
      </c>
      <c r="BN263" s="227"/>
      <c r="BO263" s="401"/>
      <c r="BP263" s="401"/>
      <c r="BQ26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63" s="14" t="str">
        <f>IFERROR(VLOOKUP(Cartera1017[[#This Row],[Aplicativo]],Tabla76[],2,FALSE),"Sin Aplicativo")</f>
        <v>BackOffice</v>
      </c>
      <c r="BS263" s="14" t="str">
        <f>IFERROR(VLOOKUP(Cartera1017[[#This Row],[Aplicativo]],Tabla76[],3,FALSE),"Sin Aplicativo")</f>
        <v>Otros Requerimientos</v>
      </c>
      <c r="BT263" s="400"/>
      <c r="BU263" s="33"/>
      <c r="BV263" s="28"/>
      <c r="BW26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46116</v>
      </c>
      <c r="BX26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63" s="149" t="str">
        <f ca="1">IF(Cartera1017[[#This Row],[Fecha Fin2]]="","No definido",CONCATENATE(TEXT(Cartera1017[[#This Row],[Fecha Fin2]],"mmm")," ",YEAR(Cartera1017[[#This Row],[Fecha Fin2]])))</f>
        <v>Abr 2026</v>
      </c>
      <c r="BZ263" s="28"/>
      <c r="CA263" s="48" t="str">
        <f>IF(Cartera1017[[#This Row],[Estado TI]] = "08. Producción Finalizada","Culminado",IF(Cartera1017[[#This Row],[Estado TI]]= "09. Descartado","Descartado","Activos"))</f>
        <v>Culminado</v>
      </c>
      <c r="CB263" s="28"/>
      <c r="CC263"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63" s="54" t="str">
        <f>IF(
AND(
Cartera1017[[#This Row],[DEVOLVER 27]]="NO",
NOT(ISBLANK(Cartera1017[[#This Row],[ESTADO NO DEVUELTOS 27]]))
),
"PRE",
"POST"
)</f>
        <v>POST</v>
      </c>
      <c r="CE263" s="54"/>
      <c r="CF263" s="28"/>
      <c r="CG26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63"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63"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63" s="388">
        <f>Cartera1017[[#This Row],[Porcentaje de Avance]]</f>
        <v>1</v>
      </c>
      <c r="CK263" s="388" t="str">
        <f>IF(
   OR(
     Cartera1017[[#This Row],[Estado TI]]="09. Descartado",
     Cartera1017[[#This Row],[Comienzo Desarrollo]]="",
     Cartera1017[[#This Row],[Fin Producción]]=""
   ),
   "",
   Cartera1017[[#This Row],[% PLANIFICADO]]-Cartera1017[[#This Row],[% COMPLETADO]]
)</f>
        <v/>
      </c>
      <c r="CL263" s="388" t="str">
        <f ca="1">IF(
   OR(
     Cartera1017[[#This Row],[Estado TI]]="09. Descartado",
     Cartera1017[[#This Row],[Comienzo Desarrollo]]="",
     Cartera1017[[#This Row],[Fin Producción]]="",
     Cartera1017[[#This Row],[% PLANIFICADO]]=0
   ),
   "",
   MIN(Cartera1017[[#This Row],[% COMPLETADO]]/Cartera1017[[#This Row],[% PLANIFICADO]],1.2)
)</f>
        <v/>
      </c>
      <c r="CM263" s="229"/>
      <c r="CN263" s="229"/>
      <c r="CO263" s="229"/>
      <c r="CP263" s="229"/>
      <c r="CQ263" s="229"/>
      <c r="CR263" s="229"/>
      <c r="CS263" s="229"/>
      <c r="CT263" s="44">
        <f>IF(Cartera1017[[#This Row],[Fin Desarrollo]]="",25,IFERROR(NETWORKDAYS(Cartera1017[[#This Row],[Comienzo Desarrollo]],Cartera1017[[#This Row],[Fin Desarrollo]],FERIADOS[Fecha]),""))</f>
        <v>25</v>
      </c>
      <c r="CU26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63" s="44">
        <f>IF(OR(Cartera1017[[#This Row],[Comienzo Desarrollo]]="",Cartera1017[[#This Row],[Fin Desarrollo]]=""),200,IFERROR(Cartera1017[[#This Row],[DURACIÓN DESARROLLO DIAS]]*VLOOKUP(Cartera1017[[#This Row],[ID Mantenimiento]],MANT_HORAS[],2,FALSE),200))</f>
        <v>200</v>
      </c>
      <c r="CW263" s="110"/>
      <c r="CX263" s="110" t="str">
        <f>VLOOKUP(Cartera1017[[#This Row],[Estado TI]],Definiciones!$A$549:$B$559,2,FALSE)</f>
        <v>4. PRODUCCIÓN</v>
      </c>
      <c r="CY263" s="28">
        <f ca="1">1-Cartera1017[[#This Row],[Porcentaje avanzado desarrollo]]</f>
        <v>0.9</v>
      </c>
      <c r="CZ26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63" s="28">
        <f ca="1">MAX(0,Cartera1017[[#This Row],[DURACIÓN DESARROLLO DIAS]]-Cartera1017[[#This Row],[Dias avanzados]])</f>
        <v>24</v>
      </c>
      <c r="DB263" s="28">
        <f ca="1">Cartera1017[[#This Row],[Dias avanzados]]*IFERROR(VLOOKUP(Cartera1017[[#This Row],[ID Mantenimiento]],MANT_HORAS[],2,FALSE),8)</f>
        <v>8</v>
      </c>
      <c r="DC263" s="28">
        <f ca="1">Cartera1017[[#This Row],[Dias faltantes]]*IFERROR(VLOOKUP(Cartera1017[[#This Row],[ID Mantenimiento]],MANT_HORAS[],2,FALSE),8)</f>
        <v>192</v>
      </c>
      <c r="DD263" s="28" t="str">
        <f>IF(Cartera1017[[#This Row],[Fin Producción]]=0,"Por definir",CONCATENATE(YEAR(Cartera1017[[#This Row],[Fin Producción]]),"-",ROUNDUP(MONTH(Cartera1017[[#This Row],[Fin Producción]]),0)))</f>
        <v>Por definir</v>
      </c>
      <c r="DE263" s="28"/>
      <c r="DF263" s="28"/>
      <c r="DG263" s="28"/>
      <c r="DH263" s="565"/>
    </row>
    <row r="264" spans="1:112" ht="44.25" hidden="1" customHeight="1">
      <c r="A264" s="229" t="s">
        <v>2178</v>
      </c>
      <c r="B264" s="18">
        <v>3318</v>
      </c>
      <c r="C264" s="263" t="s">
        <v>485</v>
      </c>
      <c r="D264" s="18" t="s">
        <v>2179</v>
      </c>
      <c r="E264" s="522" t="s">
        <v>2180</v>
      </c>
      <c r="F264" s="33" t="s">
        <v>2181</v>
      </c>
      <c r="G264" s="19"/>
      <c r="H264" s="18" t="s">
        <v>40</v>
      </c>
      <c r="I264" s="18" t="s">
        <v>490</v>
      </c>
      <c r="J264" s="18" t="s">
        <v>662</v>
      </c>
      <c r="K264" s="20"/>
      <c r="L264" s="18"/>
      <c r="M264" s="50" t="s">
        <v>1041</v>
      </c>
      <c r="N264" s="50"/>
      <c r="O264" s="18" t="s">
        <v>548</v>
      </c>
      <c r="P264" s="18" t="s">
        <v>495</v>
      </c>
      <c r="Q264" s="18" t="s">
        <v>822</v>
      </c>
      <c r="R264" s="18" t="s">
        <v>497</v>
      </c>
      <c r="S264" s="18"/>
      <c r="T264" s="18"/>
      <c r="U264" s="18"/>
      <c r="V264" s="18"/>
      <c r="W264" s="18"/>
      <c r="X264" s="18"/>
      <c r="Y264" s="80"/>
      <c r="Z264" s="18" t="s">
        <v>532</v>
      </c>
      <c r="AA264" s="20">
        <v>46147</v>
      </c>
      <c r="AB264" s="18" t="s">
        <v>500</v>
      </c>
      <c r="AC264" s="18"/>
      <c r="AD264" s="18" t="s">
        <v>210</v>
      </c>
      <c r="AE264" s="18" t="s">
        <v>41</v>
      </c>
      <c r="AF264" s="517" t="s">
        <v>53</v>
      </c>
      <c r="AG264" s="14" t="str">
        <f>VLOOKUP(AF264,Tabla3[[Estado Requerimiento]:[Macro estado]],2,FALSE)</f>
        <v>03. Culminado</v>
      </c>
      <c r="AH264" s="18"/>
      <c r="AI264" s="80"/>
      <c r="AJ264" s="80"/>
      <c r="AK264" s="80">
        <v>45989</v>
      </c>
      <c r="AL264" s="80">
        <v>46003</v>
      </c>
      <c r="AM264" s="80"/>
      <c r="AN264" s="80">
        <v>46056</v>
      </c>
      <c r="AO264" s="80">
        <v>46058</v>
      </c>
      <c r="AP264" s="81">
        <f t="shared" si="8"/>
        <v>46008.6</v>
      </c>
      <c r="AQ264" s="80">
        <v>46070</v>
      </c>
      <c r="AR264" s="80">
        <v>46070</v>
      </c>
      <c r="AS264" s="81">
        <f t="shared" si="9"/>
        <v>46015.6</v>
      </c>
      <c r="AT264" s="19" t="s">
        <v>2146</v>
      </c>
      <c r="AU264" s="44" t="str">
        <f>VLOOKUP(Cartera1017[[#This Row],[Gerencia]],tbGerencia[#All],3,FALSE)</f>
        <v>Operac.</v>
      </c>
      <c r="AV264" s="44" t="str">
        <f>IFERROR(VLOOKUP(Cartera1017[[#This Row],[Subgerencia]],Definiciones!$A$90:$B$144,2,FALSE),"")</f>
        <v>BancariosRecaudación</v>
      </c>
      <c r="AW264" s="44" t="str">
        <f>IF(OR(LEN(Cartera1017[[#This Row],[Fecha de Solicitud]])=0,(Cartera1017[[#This Row],[Fecha de Solicitud]])="No definido"),"No definido",IF(YEAR(Cartera1017[[#This Row],[Fecha de Solicitud]])&lt;2023," &lt;  2023",TEXT(Cartera1017[[#This Row],[Fecha de Solicitud]],"yyyy-mm")))</f>
        <v>No definido</v>
      </c>
      <c r="AX264" s="44" t="str">
        <f>IF(Cartera1017[[#This Row],[Fecha de Priorización Comité]]="","No definido",TEXT(Cartera1017[[#This Row],[Fecha de Priorización Comité]],"yyyy-mm"))</f>
        <v>2026-05</v>
      </c>
      <c r="AY264" s="44" t="str">
        <f>IF(Cartera1017[[#This Row],[Fecha Fin- Desarrollo]]="","No definido",TEXT(Cartera1017[[#This Row],[Fecha Fin- Desarrollo]],"yyyy-mm"))</f>
        <v>2025-12</v>
      </c>
      <c r="AZ264" s="44" t="str">
        <f>IF(Cartera1017[[#This Row],[Fecha Fin- Producción]]="","No definido",TEXT(Cartera1017[[#This Row],[Fecha Fin- Producción]],"yyyy-mm"))</f>
        <v>2026-02</v>
      </c>
      <c r="BA264" s="44" t="str">
        <f>IF(Cartera1017[[#This Row],[Fecha Fin-Planificada]]="","No definido",TEXT(Cartera1017[[#This Row],[Fecha Fin-Planificada]],"yyyy-mm"))</f>
        <v>2025-12</v>
      </c>
      <c r="BB264" s="33"/>
      <c r="BC264" s="108"/>
      <c r="BD264" s="108"/>
      <c r="BE264" s="108"/>
      <c r="BF264" s="127"/>
      <c r="BG264" s="28"/>
      <c r="BH26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81</v>
      </c>
      <c r="BI264" s="90">
        <f>IF(ISNUMBER(Cartera1017[[#This Row],[Duracion en Dias]]),Cartera1017[[#This Row],[Duracion en Dias]]/30, "No Aplica")</f>
        <v>2.7</v>
      </c>
      <c r="BJ264" s="109"/>
      <c r="BK264" s="28" t="s">
        <v>506</v>
      </c>
      <c r="BL264" s="110" t="s">
        <v>536</v>
      </c>
      <c r="BM264" s="342">
        <v>46094.509108796294</v>
      </c>
      <c r="BN264" s="227"/>
      <c r="BO264" s="401"/>
      <c r="BP264" s="401"/>
      <c r="BQ26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64" s="14" t="str">
        <f>IFERROR(VLOOKUP(Cartera1017[[#This Row],[Aplicativo]],Tabla76[],2,FALSE),"Sin Aplicativo")</f>
        <v>Ventanilla</v>
      </c>
      <c r="BS264" s="14" t="str">
        <f>IFERROR(VLOOKUP(Cartera1017[[#This Row],[Aplicativo]],Tabla76[],3,FALSE),"Sin Aplicativo")</f>
        <v>Canales Presenciales</v>
      </c>
      <c r="BT264" s="400"/>
      <c r="BU264" s="33"/>
      <c r="BV264" s="28"/>
      <c r="BW26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46070</v>
      </c>
      <c r="BX26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64" s="149" t="str">
        <f ca="1">IF(Cartera1017[[#This Row],[Fecha Fin2]]="","No definido",CONCATENATE(TEXT(Cartera1017[[#This Row],[Fecha Fin2]],"mmm")," ",YEAR(Cartera1017[[#This Row],[Fecha Fin2]])))</f>
        <v>Feb 2026</v>
      </c>
      <c r="BZ264" s="28"/>
      <c r="CA264" s="48" t="str">
        <f>IF(Cartera1017[[#This Row],[Estado TI]] = "08. Producción Finalizada","Culminado",IF(Cartera1017[[#This Row],[Estado TI]]= "09. Descartado","Descartado","Activos"))</f>
        <v>Culminado</v>
      </c>
      <c r="CB264" s="28"/>
      <c r="CC264"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64" s="54" t="str">
        <f>IF(
AND(
Cartera1017[[#This Row],[DEVOLVER 27]]="NO",
NOT(ISBLANK(Cartera1017[[#This Row],[ESTADO NO DEVUELTOS 27]]))
),
"PRE",
"POST"
)</f>
        <v>POST</v>
      </c>
      <c r="CE264" s="54"/>
      <c r="CF264" s="28"/>
      <c r="CG26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64"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64"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64" s="388">
        <f>Cartera1017[[#This Row],[Porcentaje de Avance]]</f>
        <v>1</v>
      </c>
      <c r="CK264" s="388" t="str">
        <f>IF(
   OR(
     Cartera1017[[#This Row],[Estado TI]]="09. Descartado",
     Cartera1017[[#This Row],[Comienzo Desarrollo]]="",
     Cartera1017[[#This Row],[Fin Producción]]=""
   ),
   "",
   Cartera1017[[#This Row],[% PLANIFICADO]]-Cartera1017[[#This Row],[% COMPLETADO]]
)</f>
        <v/>
      </c>
      <c r="CL264" s="388" t="str">
        <f ca="1">IF(
   OR(
     Cartera1017[[#This Row],[Estado TI]]="09. Descartado",
     Cartera1017[[#This Row],[Comienzo Desarrollo]]="",
     Cartera1017[[#This Row],[Fin Producción]]="",
     Cartera1017[[#This Row],[% PLANIFICADO]]=0
   ),
   "",
   MIN(Cartera1017[[#This Row],[% COMPLETADO]]/Cartera1017[[#This Row],[% PLANIFICADO]],1.2)
)</f>
        <v/>
      </c>
      <c r="CM264" s="229"/>
      <c r="CN264" s="229"/>
      <c r="CO264" s="229"/>
      <c r="CP264" s="229"/>
      <c r="CQ264" s="229"/>
      <c r="CR264" s="229"/>
      <c r="CS264" s="229"/>
      <c r="CT264" s="44">
        <f>IF(Cartera1017[[#This Row],[Fin Desarrollo]]="",25,IFERROR(NETWORKDAYS(Cartera1017[[#This Row],[Comienzo Desarrollo]],Cartera1017[[#This Row],[Fin Desarrollo]],FERIADOS[Fecha]),""))</f>
        <v>25</v>
      </c>
      <c r="CU26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64" s="44">
        <f>IF(OR(Cartera1017[[#This Row],[Comienzo Desarrollo]]="",Cartera1017[[#This Row],[Fin Desarrollo]]=""),200,IFERROR(Cartera1017[[#This Row],[DURACIÓN DESARROLLO DIAS]]*VLOOKUP(Cartera1017[[#This Row],[ID Mantenimiento]],MANT_HORAS[],2,FALSE),200))</f>
        <v>200</v>
      </c>
      <c r="CW264" s="110"/>
      <c r="CX264" s="110" t="str">
        <f>VLOOKUP(Cartera1017[[#This Row],[Estado TI]],Definiciones!$A$549:$B$559,2,FALSE)</f>
        <v>4. PRODUCCIÓN</v>
      </c>
      <c r="CY264" s="28">
        <f ca="1">1-Cartera1017[[#This Row],[Porcentaje avanzado desarrollo]]</f>
        <v>0.9</v>
      </c>
      <c r="CZ26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64" s="28">
        <f ca="1">MAX(0,Cartera1017[[#This Row],[DURACIÓN DESARROLLO DIAS]]-Cartera1017[[#This Row],[Dias avanzados]])</f>
        <v>24</v>
      </c>
      <c r="DB264" s="28">
        <f ca="1">Cartera1017[[#This Row],[Dias avanzados]]*IFERROR(VLOOKUP(Cartera1017[[#This Row],[ID Mantenimiento]],MANT_HORAS[],2,FALSE),8)</f>
        <v>8</v>
      </c>
      <c r="DC264" s="28">
        <f ca="1">Cartera1017[[#This Row],[Dias faltantes]]*IFERROR(VLOOKUP(Cartera1017[[#This Row],[ID Mantenimiento]],MANT_HORAS[],2,FALSE),8)</f>
        <v>192</v>
      </c>
      <c r="DD264" s="28" t="str">
        <f>IF(Cartera1017[[#This Row],[Fin Producción]]=0,"Por definir",CONCATENATE(YEAR(Cartera1017[[#This Row],[Fin Producción]]),"-",ROUNDUP(MONTH(Cartera1017[[#This Row],[Fin Producción]]),0)))</f>
        <v>Por definir</v>
      </c>
      <c r="DE264" s="28"/>
      <c r="DF264" s="28"/>
      <c r="DG264" s="28"/>
      <c r="DH264" s="565"/>
    </row>
    <row r="265" spans="1:112" ht="44.25" hidden="1" customHeight="1">
      <c r="A265" s="229" t="s">
        <v>2182</v>
      </c>
      <c r="B265" s="18">
        <v>3319</v>
      </c>
      <c r="C265" s="263" t="s">
        <v>485</v>
      </c>
      <c r="D265" s="18" t="s">
        <v>2183</v>
      </c>
      <c r="E265" s="522" t="s">
        <v>2184</v>
      </c>
      <c r="F265" s="33" t="s">
        <v>2185</v>
      </c>
      <c r="G265" s="19"/>
      <c r="H265" s="18" t="s">
        <v>108</v>
      </c>
      <c r="I265" s="18" t="s">
        <v>811</v>
      </c>
      <c r="J265" s="18" t="s">
        <v>500</v>
      </c>
      <c r="K265" s="20"/>
      <c r="L265" s="18"/>
      <c r="M265" s="50" t="s">
        <v>812</v>
      </c>
      <c r="N265" s="50"/>
      <c r="O265" s="18" t="s">
        <v>670</v>
      </c>
      <c r="P265" s="18" t="s">
        <v>495</v>
      </c>
      <c r="Q265" s="18" t="s">
        <v>496</v>
      </c>
      <c r="R265" s="18" t="s">
        <v>531</v>
      </c>
      <c r="S265" s="18"/>
      <c r="T265" s="18"/>
      <c r="U265" s="18"/>
      <c r="V265" s="18"/>
      <c r="W265" s="18"/>
      <c r="X265" s="18"/>
      <c r="Y265" s="80"/>
      <c r="Z265" s="18" t="s">
        <v>532</v>
      </c>
      <c r="AA265" s="20">
        <v>46147</v>
      </c>
      <c r="AB265" s="18" t="s">
        <v>500</v>
      </c>
      <c r="AC265" s="18"/>
      <c r="AD265" s="18" t="s">
        <v>30</v>
      </c>
      <c r="AE265" s="18" t="s">
        <v>109</v>
      </c>
      <c r="AF265" s="517" t="s">
        <v>48</v>
      </c>
      <c r="AG265" s="14" t="str">
        <f>VLOOKUP(AF265,Tabla3[[Estado Requerimiento]:[Macro estado]],2,FALSE)</f>
        <v>02. En Proceso</v>
      </c>
      <c r="AH265" s="18"/>
      <c r="AI265" s="80"/>
      <c r="AJ265" s="80"/>
      <c r="AK265" s="80">
        <v>45992</v>
      </c>
      <c r="AL265" s="80"/>
      <c r="AM265" s="80"/>
      <c r="AN265" s="80"/>
      <c r="AO265" s="80"/>
      <c r="AP265" s="81" t="str">
        <f t="shared" si="8"/>
        <v/>
      </c>
      <c r="AQ265" s="80"/>
      <c r="AR265" s="80"/>
      <c r="AS265" s="81" t="str">
        <f t="shared" si="9"/>
        <v/>
      </c>
      <c r="AT265" s="19" t="s">
        <v>2151</v>
      </c>
      <c r="AU265" s="44" t="str">
        <f>VLOOKUP(Cartera1017[[#This Row],[Gerencia]],tbGerencia[#All],3,FALSE)</f>
        <v>TI</v>
      </c>
      <c r="AV265" s="44" t="str">
        <f>IFERROR(VLOOKUP(Cartera1017[[#This Row],[Subgerencia]],Definiciones!$A$90:$B$144,2,FALSE),"")</f>
        <v>ConstrucciónAplicaciones</v>
      </c>
      <c r="AW265" s="44" t="str">
        <f>IF(OR(LEN(Cartera1017[[#This Row],[Fecha de Solicitud]])=0,(Cartera1017[[#This Row],[Fecha de Solicitud]])="No definido"),"No definido",IF(YEAR(Cartera1017[[#This Row],[Fecha de Solicitud]])&lt;2023," &lt;  2023",TEXT(Cartera1017[[#This Row],[Fecha de Solicitud]],"yyyy-mm")))</f>
        <v>No definido</v>
      </c>
      <c r="AX265" s="44" t="str">
        <f>IF(Cartera1017[[#This Row],[Fecha de Priorización Comité]]="","No definido",TEXT(Cartera1017[[#This Row],[Fecha de Priorización Comité]],"yyyy-mm"))</f>
        <v>2026-05</v>
      </c>
      <c r="AY265" s="44" t="str">
        <f>IF(Cartera1017[[#This Row],[Fecha Fin- Desarrollo]]="","No definido",TEXT(Cartera1017[[#This Row],[Fecha Fin- Desarrollo]],"yyyy-mm"))</f>
        <v>No definido</v>
      </c>
      <c r="AZ265" s="44" t="str">
        <f>IF(Cartera1017[[#This Row],[Fecha Fin- Producción]]="","No definido",TEXT(Cartera1017[[#This Row],[Fecha Fin- Producción]],"yyyy-mm"))</f>
        <v>No definido</v>
      </c>
      <c r="BA265" s="44" t="str">
        <f>IF(Cartera1017[[#This Row],[Fecha Fin-Planificada]]="","No definido",TEXT(Cartera1017[[#This Row],[Fecha Fin-Planificada]],"yyyy-mm"))</f>
        <v>No definido</v>
      </c>
      <c r="BB265" s="33"/>
      <c r="BC265" s="108"/>
      <c r="BD265" s="108"/>
      <c r="BE265" s="108"/>
      <c r="BF265" s="127"/>
      <c r="BG265" s="28"/>
      <c r="BH26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65" s="90" t="str">
        <f>IF(ISNUMBER(Cartera1017[[#This Row],[Duracion en Dias]]),Cartera1017[[#This Row],[Duracion en Dias]]/30, "No Aplica")</f>
        <v>No Aplica</v>
      </c>
      <c r="BJ265" s="109"/>
      <c r="BK265" s="28" t="s">
        <v>613</v>
      </c>
      <c r="BL265" s="110" t="s">
        <v>592</v>
      </c>
      <c r="BM265" s="342">
        <v>46057.470659722225</v>
      </c>
      <c r="BN265" s="227"/>
      <c r="BO265" s="401"/>
      <c r="BP265" s="401"/>
      <c r="BQ26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65" s="14" t="str">
        <f>IFERROR(VLOOKUP(Cartera1017[[#This Row],[Aplicativo]],Tabla76[],2,FALSE),"Sin Aplicativo")</f>
        <v>ATM-Agentes-VISA</v>
      </c>
      <c r="BS265" s="14" t="str">
        <f>IFERROR(VLOOKUP(Cartera1017[[#This Row],[Aplicativo]],Tabla76[],3,FALSE),"Sin Aplicativo")</f>
        <v>Canales Presenciales</v>
      </c>
      <c r="BT265" s="400"/>
      <c r="BU265" s="33"/>
      <c r="BV265" s="28"/>
      <c r="BW26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6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65" s="149" t="str">
        <f ca="1">IF(Cartera1017[[#This Row],[Fecha Fin2]]="","No definido",CONCATENATE(TEXT(Cartera1017[[#This Row],[Fecha Fin2]],"mmm")," ",YEAR(Cartera1017[[#This Row],[Fecha Fin2]])))</f>
        <v>No definido</v>
      </c>
      <c r="BZ265" s="28"/>
      <c r="CA265" s="48" t="str">
        <f>IF(Cartera1017[[#This Row],[Estado TI]] = "08. Producción Finalizada","Culminado",IF(Cartera1017[[#This Row],[Estado TI]]= "09. Descartado","Descartado","Activos"))</f>
        <v>Activos</v>
      </c>
      <c r="CB265" s="28"/>
      <c r="CC265"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65" s="54" t="str">
        <f>IF(
AND(
Cartera1017[[#This Row],[DEVOLVER 27]]="NO",
NOT(ISBLANK(Cartera1017[[#This Row],[ESTADO NO DEVUELTOS 27]]))
),
"PRE",
"POST"
)</f>
        <v>POST</v>
      </c>
      <c r="CE265" s="54"/>
      <c r="CF265" s="28"/>
      <c r="CG26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65"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65"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65" s="388">
        <f>Cartera1017[[#This Row],[Porcentaje de Avance]]</f>
        <v>0.25</v>
      </c>
      <c r="CK265" s="388" t="str">
        <f>IF(
   OR(
     Cartera1017[[#This Row],[Estado TI]]="09. Descartado",
     Cartera1017[[#This Row],[Comienzo Desarrollo]]="",
     Cartera1017[[#This Row],[Fin Producción]]=""
   ),
   "",
   Cartera1017[[#This Row],[% PLANIFICADO]]-Cartera1017[[#This Row],[% COMPLETADO]]
)</f>
        <v/>
      </c>
      <c r="CL265" s="388" t="str">
        <f ca="1">IF(
   OR(
     Cartera1017[[#This Row],[Estado TI]]="09. Descartado",
     Cartera1017[[#This Row],[Comienzo Desarrollo]]="",
     Cartera1017[[#This Row],[Fin Producción]]="",
     Cartera1017[[#This Row],[% PLANIFICADO]]=0
   ),
   "",
   MIN(Cartera1017[[#This Row],[% COMPLETADO]]/Cartera1017[[#This Row],[% PLANIFICADO]],1.2)
)</f>
        <v/>
      </c>
      <c r="CM265" s="229"/>
      <c r="CN265" s="229"/>
      <c r="CO265" s="229"/>
      <c r="CP265" s="229"/>
      <c r="CQ265" s="229"/>
      <c r="CR265" s="229"/>
      <c r="CS265" s="229"/>
      <c r="CT265" s="44">
        <f>IF(Cartera1017[[#This Row],[Fin Desarrollo]]="",25,IFERROR(NETWORKDAYS(Cartera1017[[#This Row],[Comienzo Desarrollo]],Cartera1017[[#This Row],[Fin Desarrollo]],FERIADOS[Fecha]),""))</f>
        <v>25</v>
      </c>
      <c r="CU26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65" s="44">
        <f>IF(OR(Cartera1017[[#This Row],[Comienzo Desarrollo]]="",Cartera1017[[#This Row],[Fin Desarrollo]]=""),200,IFERROR(Cartera1017[[#This Row],[DURACIÓN DESARROLLO DIAS]]*VLOOKUP(Cartera1017[[#This Row],[ID Mantenimiento]],MANT_HORAS[],2,FALSE),200))</f>
        <v>200</v>
      </c>
      <c r="CW265" s="110"/>
      <c r="CX265" s="110" t="str">
        <f>VLOOKUP(Cartera1017[[#This Row],[Estado TI]],Definiciones!$A$549:$B$559,2,FALSE)</f>
        <v>1. DESARROLLO</v>
      </c>
      <c r="CY265" s="28">
        <f ca="1">1-Cartera1017[[#This Row],[Porcentaje avanzado desarrollo]]</f>
        <v>0.9</v>
      </c>
      <c r="CZ26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65" s="28">
        <f ca="1">MAX(0,Cartera1017[[#This Row],[DURACIÓN DESARROLLO DIAS]]-Cartera1017[[#This Row],[Dias avanzados]])</f>
        <v>24</v>
      </c>
      <c r="DB265" s="28">
        <f ca="1">Cartera1017[[#This Row],[Dias avanzados]]*IFERROR(VLOOKUP(Cartera1017[[#This Row],[ID Mantenimiento]],MANT_HORAS[],2,FALSE),8)</f>
        <v>8</v>
      </c>
      <c r="DC265" s="28">
        <f ca="1">Cartera1017[[#This Row],[Dias faltantes]]*IFERROR(VLOOKUP(Cartera1017[[#This Row],[ID Mantenimiento]],MANT_HORAS[],2,FALSE),8)</f>
        <v>192</v>
      </c>
      <c r="DD265" s="28" t="str">
        <f>IF(Cartera1017[[#This Row],[Fin Producción]]=0,"Por definir",CONCATENATE(YEAR(Cartera1017[[#This Row],[Fin Producción]]),"-",ROUNDUP(MONTH(Cartera1017[[#This Row],[Fin Producción]]),0)))</f>
        <v>Por definir</v>
      </c>
      <c r="DE265" s="28"/>
      <c r="DF265" s="28"/>
      <c r="DG265" s="28"/>
      <c r="DH265" s="565"/>
    </row>
    <row r="266" spans="1:112" ht="44.25" hidden="1" customHeight="1">
      <c r="A266" s="229" t="s">
        <v>2186</v>
      </c>
      <c r="B266" s="18">
        <v>3320</v>
      </c>
      <c r="C266" s="263" t="s">
        <v>485</v>
      </c>
      <c r="D266" s="18" t="s">
        <v>2187</v>
      </c>
      <c r="E266" s="522" t="s">
        <v>2188</v>
      </c>
      <c r="F266" s="33" t="s">
        <v>2189</v>
      </c>
      <c r="G266" s="19"/>
      <c r="H266" s="18" t="s">
        <v>33</v>
      </c>
      <c r="I266" s="18" t="s">
        <v>727</v>
      </c>
      <c r="J266" s="18" t="s">
        <v>728</v>
      </c>
      <c r="K266" s="20"/>
      <c r="L266" s="18"/>
      <c r="M266" s="50" t="s">
        <v>730</v>
      </c>
      <c r="N266" s="50"/>
      <c r="O266" s="18" t="s">
        <v>530</v>
      </c>
      <c r="P266" s="18" t="s">
        <v>495</v>
      </c>
      <c r="Q266" s="18" t="s">
        <v>496</v>
      </c>
      <c r="R266" s="18" t="s">
        <v>497</v>
      </c>
      <c r="S266" s="18"/>
      <c r="T266" s="18"/>
      <c r="U266" s="18"/>
      <c r="V266" s="18"/>
      <c r="W266" s="18"/>
      <c r="X266" s="18"/>
      <c r="Y266" s="80"/>
      <c r="Z266" s="18" t="s">
        <v>532</v>
      </c>
      <c r="AA266" s="20">
        <v>46147</v>
      </c>
      <c r="AB266" s="18" t="s">
        <v>500</v>
      </c>
      <c r="AC266" s="18"/>
      <c r="AD266" s="18" t="s">
        <v>165</v>
      </c>
      <c r="AE266" s="18" t="s">
        <v>34</v>
      </c>
      <c r="AF266" s="517" t="s">
        <v>48</v>
      </c>
      <c r="AG266" s="14" t="str">
        <f>VLOOKUP(AF266,Tabla3[[Estado Requerimiento]:[Macro estado]],2,FALSE)</f>
        <v>02. En Proceso</v>
      </c>
      <c r="AH266" s="18"/>
      <c r="AI266" s="80"/>
      <c r="AJ266" s="80"/>
      <c r="AK266" s="80">
        <v>45988</v>
      </c>
      <c r="AL266" s="80"/>
      <c r="AM266" s="80"/>
      <c r="AN266" s="80"/>
      <c r="AO266" s="80"/>
      <c r="AP266" s="81" t="str">
        <f t="shared" si="8"/>
        <v/>
      </c>
      <c r="AQ266" s="80"/>
      <c r="AR266" s="80"/>
      <c r="AS266" s="81" t="str">
        <f t="shared" si="9"/>
        <v/>
      </c>
      <c r="AT266" s="19" t="s">
        <v>2151</v>
      </c>
      <c r="AU266" s="44" t="str">
        <f>VLOOKUP(Cartera1017[[#This Row],[Gerencia]],tbGerencia[#All],3,FALSE)</f>
        <v>Productos</v>
      </c>
      <c r="AV266" s="44" t="str">
        <f>IFERROR(VLOOKUP(Cartera1017[[#This Row],[Subgerencia]],Definiciones!$A$90:$B$144,2,FALSE),"")</f>
        <v>BancaPersonal</v>
      </c>
      <c r="AW266" s="44" t="str">
        <f>IF(OR(LEN(Cartera1017[[#This Row],[Fecha de Solicitud]])=0,(Cartera1017[[#This Row],[Fecha de Solicitud]])="No definido"),"No definido",IF(YEAR(Cartera1017[[#This Row],[Fecha de Solicitud]])&lt;2023," &lt;  2023",TEXT(Cartera1017[[#This Row],[Fecha de Solicitud]],"yyyy-mm")))</f>
        <v>No definido</v>
      </c>
      <c r="AX266" s="44" t="str">
        <f>IF(Cartera1017[[#This Row],[Fecha de Priorización Comité]]="","No definido",TEXT(Cartera1017[[#This Row],[Fecha de Priorización Comité]],"yyyy-mm"))</f>
        <v>2026-05</v>
      </c>
      <c r="AY266" s="44" t="str">
        <f>IF(Cartera1017[[#This Row],[Fecha Fin- Desarrollo]]="","No definido",TEXT(Cartera1017[[#This Row],[Fecha Fin- Desarrollo]],"yyyy-mm"))</f>
        <v>No definido</v>
      </c>
      <c r="AZ266" s="44" t="str">
        <f>IF(Cartera1017[[#This Row],[Fecha Fin- Producción]]="","No definido",TEXT(Cartera1017[[#This Row],[Fecha Fin- Producción]],"yyyy-mm"))</f>
        <v>No definido</v>
      </c>
      <c r="BA266" s="44" t="str">
        <f>IF(Cartera1017[[#This Row],[Fecha Fin-Planificada]]="","No definido",TEXT(Cartera1017[[#This Row],[Fecha Fin-Planificada]],"yyyy-mm"))</f>
        <v>No definido</v>
      </c>
      <c r="BB266" s="33"/>
      <c r="BC266" s="108"/>
      <c r="BD266" s="108"/>
      <c r="BE266" s="108"/>
      <c r="BF266" s="127"/>
      <c r="BG266" s="28"/>
      <c r="BH26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66" s="90" t="str">
        <f>IF(ISNUMBER(Cartera1017[[#This Row],[Duracion en Dias]]),Cartera1017[[#This Row],[Duracion en Dias]]/30, "No Aplica")</f>
        <v>No Aplica</v>
      </c>
      <c r="BJ266" s="109"/>
      <c r="BK266" s="28" t="s">
        <v>613</v>
      </c>
      <c r="BL266" s="110" t="s">
        <v>592</v>
      </c>
      <c r="BM266" s="342">
        <v>45988.655300925922</v>
      </c>
      <c r="BN266" s="227"/>
      <c r="BO266" s="401"/>
      <c r="BP266" s="401"/>
      <c r="BQ26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66" s="14" t="str">
        <f>IFERROR(VLOOKUP(Cartera1017[[#This Row],[Aplicativo]],Tabla76[],2,FALSE),"Sin Aplicativo")</f>
        <v>Tarjeta Tesoro</v>
      </c>
      <c r="BS266" s="14" t="str">
        <f>IFERROR(VLOOKUP(Cartera1017[[#This Row],[Aplicativo]],Tabla76[],3,FALSE),"Sin Aplicativo")</f>
        <v>Productos</v>
      </c>
      <c r="BT266" s="400"/>
      <c r="BU266" s="33"/>
      <c r="BV266" s="28"/>
      <c r="BW26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6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66" s="149" t="str">
        <f ca="1">IF(Cartera1017[[#This Row],[Fecha Fin2]]="","No definido",CONCATENATE(TEXT(Cartera1017[[#This Row],[Fecha Fin2]],"mmm")," ",YEAR(Cartera1017[[#This Row],[Fecha Fin2]])))</f>
        <v>No definido</v>
      </c>
      <c r="BZ266" s="28"/>
      <c r="CA266" s="48" t="str">
        <f>IF(Cartera1017[[#This Row],[Estado TI]] = "08. Producción Finalizada","Culminado",IF(Cartera1017[[#This Row],[Estado TI]]= "09. Descartado","Descartado","Activos"))</f>
        <v>Activos</v>
      </c>
      <c r="CB266" s="28"/>
      <c r="CC266"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66" s="54" t="str">
        <f>IF(
AND(
Cartera1017[[#This Row],[DEVOLVER 27]]="NO",
NOT(ISBLANK(Cartera1017[[#This Row],[ESTADO NO DEVUELTOS 27]]))
),
"PRE",
"POST"
)</f>
        <v>POST</v>
      </c>
      <c r="CE266" s="54"/>
      <c r="CF266" s="28"/>
      <c r="CG26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66"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66" s="426"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66" s="388">
        <f>Cartera1017[[#This Row],[Porcentaje de Avance]]</f>
        <v>0.25</v>
      </c>
      <c r="CK266" s="388" t="str">
        <f>IF(
   OR(
     Cartera1017[[#This Row],[Estado TI]]="09. Descartado",
     Cartera1017[[#This Row],[Comienzo Desarrollo]]="",
     Cartera1017[[#This Row],[Fin Producción]]=""
   ),
   "",
   Cartera1017[[#This Row],[% PLANIFICADO]]-Cartera1017[[#This Row],[% COMPLETADO]]
)</f>
        <v/>
      </c>
      <c r="CL266" s="388" t="str">
        <f ca="1">IF(
   OR(
     Cartera1017[[#This Row],[Estado TI]]="09. Descartado",
     Cartera1017[[#This Row],[Comienzo Desarrollo]]="",
     Cartera1017[[#This Row],[Fin Producción]]="",
     Cartera1017[[#This Row],[% PLANIFICADO]]=0
   ),
   "",
   MIN(Cartera1017[[#This Row],[% COMPLETADO]]/Cartera1017[[#This Row],[% PLANIFICADO]],1.2)
)</f>
        <v/>
      </c>
      <c r="CM266" s="229"/>
      <c r="CN266" s="229"/>
      <c r="CO266" s="229"/>
      <c r="CP266" s="229"/>
      <c r="CQ266" s="229"/>
      <c r="CR266" s="229"/>
      <c r="CS266" s="229"/>
      <c r="CT266" s="44">
        <f>IF(Cartera1017[[#This Row],[Fin Desarrollo]]="",25,IFERROR(NETWORKDAYS(Cartera1017[[#This Row],[Comienzo Desarrollo]],Cartera1017[[#This Row],[Fin Desarrollo]],FERIADOS[Fecha]),""))</f>
        <v>25</v>
      </c>
      <c r="CU26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66" s="44">
        <f>IF(OR(Cartera1017[[#This Row],[Comienzo Desarrollo]]="",Cartera1017[[#This Row],[Fin Desarrollo]]=""),200,IFERROR(Cartera1017[[#This Row],[DURACIÓN DESARROLLO DIAS]]*VLOOKUP(Cartera1017[[#This Row],[ID Mantenimiento]],MANT_HORAS[],2,FALSE),200))</f>
        <v>200</v>
      </c>
      <c r="CW266" s="110"/>
      <c r="CX266" s="110" t="str">
        <f>VLOOKUP(Cartera1017[[#This Row],[Estado TI]],Definiciones!$A$549:$B$559,2,FALSE)</f>
        <v>1. DESARROLLO</v>
      </c>
      <c r="CY266" s="28">
        <f ca="1">1-Cartera1017[[#This Row],[Porcentaje avanzado desarrollo]]</f>
        <v>0.9</v>
      </c>
      <c r="CZ26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66" s="28">
        <f ca="1">MAX(0,Cartera1017[[#This Row],[DURACIÓN DESARROLLO DIAS]]-Cartera1017[[#This Row],[Dias avanzados]])</f>
        <v>24</v>
      </c>
      <c r="DB266" s="28">
        <f ca="1">Cartera1017[[#This Row],[Dias avanzados]]*IFERROR(VLOOKUP(Cartera1017[[#This Row],[ID Mantenimiento]],MANT_HORAS[],2,FALSE),8)</f>
        <v>8</v>
      </c>
      <c r="DC266" s="28">
        <f ca="1">Cartera1017[[#This Row],[Dias faltantes]]*IFERROR(VLOOKUP(Cartera1017[[#This Row],[ID Mantenimiento]],MANT_HORAS[],2,FALSE),8)</f>
        <v>192</v>
      </c>
      <c r="DD266" s="28" t="str">
        <f>IF(Cartera1017[[#This Row],[Fin Producción]]=0,"Por definir",CONCATENATE(YEAR(Cartera1017[[#This Row],[Fin Producción]]),"-",ROUNDUP(MONTH(Cartera1017[[#This Row],[Fin Producción]]),0)))</f>
        <v>Por definir</v>
      </c>
      <c r="DE266" s="28"/>
      <c r="DF266" s="28"/>
      <c r="DG266" s="28"/>
      <c r="DH266" s="565"/>
    </row>
    <row r="267" spans="1:112" ht="44.25" hidden="1" customHeight="1">
      <c r="A267" s="229" t="s">
        <v>2190</v>
      </c>
      <c r="B267" s="18">
        <v>3321</v>
      </c>
      <c r="C267" s="263" t="s">
        <v>485</v>
      </c>
      <c r="D267" s="18" t="s">
        <v>2191</v>
      </c>
      <c r="E267" s="522" t="s">
        <v>2192</v>
      </c>
      <c r="F267" s="33" t="s">
        <v>2193</v>
      </c>
      <c r="G267" s="19"/>
      <c r="H267" s="18" t="s">
        <v>108</v>
      </c>
      <c r="I267" s="18" t="s">
        <v>811</v>
      </c>
      <c r="J267" s="18" t="s">
        <v>500</v>
      </c>
      <c r="K267" s="20"/>
      <c r="L267" s="18"/>
      <c r="M267" s="50" t="s">
        <v>1631</v>
      </c>
      <c r="N267" s="50"/>
      <c r="O267" s="18" t="s">
        <v>530</v>
      </c>
      <c r="P267" s="18" t="s">
        <v>495</v>
      </c>
      <c r="Q267" s="18" t="s">
        <v>496</v>
      </c>
      <c r="R267" s="18" t="s">
        <v>531</v>
      </c>
      <c r="S267" s="18"/>
      <c r="T267" s="18"/>
      <c r="U267" s="18"/>
      <c r="V267" s="18"/>
      <c r="W267" s="18"/>
      <c r="X267" s="18"/>
      <c r="Y267" s="80"/>
      <c r="Z267" s="18" t="s">
        <v>532</v>
      </c>
      <c r="AA267" s="20">
        <v>46147</v>
      </c>
      <c r="AB267" s="18" t="s">
        <v>500</v>
      </c>
      <c r="AC267" s="18"/>
      <c r="AD267" s="18" t="s">
        <v>317</v>
      </c>
      <c r="AE267" s="18" t="s">
        <v>109</v>
      </c>
      <c r="AF267" s="517" t="s">
        <v>53</v>
      </c>
      <c r="AG267" s="14" t="str">
        <f>VLOOKUP(AF267,Tabla3[[Estado Requerimiento]:[Macro estado]],2,FALSE)</f>
        <v>03. Culminado</v>
      </c>
      <c r="AH267" s="18"/>
      <c r="AI267" s="80"/>
      <c r="AJ267" s="80"/>
      <c r="AK267" s="80">
        <v>45989</v>
      </c>
      <c r="AL267" s="80"/>
      <c r="AM267" s="80"/>
      <c r="AN267" s="80"/>
      <c r="AO267" s="80"/>
      <c r="AP267" s="81" t="str">
        <f t="shared" si="8"/>
        <v/>
      </c>
      <c r="AQ267" s="80">
        <v>45996</v>
      </c>
      <c r="AR267" s="80">
        <v>45996</v>
      </c>
      <c r="AS267" s="81" t="str">
        <f t="shared" si="9"/>
        <v/>
      </c>
      <c r="AT267" s="19" t="s">
        <v>2146</v>
      </c>
      <c r="AU267" s="44" t="str">
        <f>VLOOKUP(Cartera1017[[#This Row],[Gerencia]],tbGerencia[#All],3,FALSE)</f>
        <v>TI</v>
      </c>
      <c r="AV267" s="44" t="str">
        <f>IFERROR(VLOOKUP(Cartera1017[[#This Row],[Subgerencia]],Definiciones!$A$90:$B$144,2,FALSE),"")</f>
        <v>ConstrucciónAplicaciones</v>
      </c>
      <c r="AW267" s="44" t="str">
        <f>IF(OR(LEN(Cartera1017[[#This Row],[Fecha de Solicitud]])=0,(Cartera1017[[#This Row],[Fecha de Solicitud]])="No definido"),"No definido",IF(YEAR(Cartera1017[[#This Row],[Fecha de Solicitud]])&lt;2023," &lt;  2023",TEXT(Cartera1017[[#This Row],[Fecha de Solicitud]],"yyyy-mm")))</f>
        <v>No definido</v>
      </c>
      <c r="AX267" s="44" t="str">
        <f>IF(Cartera1017[[#This Row],[Fecha de Priorización Comité]]="","No definido",TEXT(Cartera1017[[#This Row],[Fecha de Priorización Comité]],"yyyy-mm"))</f>
        <v>2026-05</v>
      </c>
      <c r="AY267" s="44" t="str">
        <f>IF(Cartera1017[[#This Row],[Fecha Fin- Desarrollo]]="","No definido",TEXT(Cartera1017[[#This Row],[Fecha Fin- Desarrollo]],"yyyy-mm"))</f>
        <v>No definido</v>
      </c>
      <c r="AZ267" s="44" t="str">
        <f>IF(Cartera1017[[#This Row],[Fecha Fin- Producción]]="","No definido",TEXT(Cartera1017[[#This Row],[Fecha Fin- Producción]],"yyyy-mm"))</f>
        <v>2025-12</v>
      </c>
      <c r="BA267" s="44" t="str">
        <f>IF(Cartera1017[[#This Row],[Fecha Fin-Planificada]]="","No definido",TEXT(Cartera1017[[#This Row],[Fecha Fin-Planificada]],"yyyy-mm"))</f>
        <v>No definido</v>
      </c>
      <c r="BB267" s="33"/>
      <c r="BC267" s="108"/>
      <c r="BD267" s="108"/>
      <c r="BE267" s="108"/>
      <c r="BF267" s="127"/>
      <c r="BG267" s="28"/>
      <c r="BH26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7</v>
      </c>
      <c r="BI267" s="90">
        <f>IF(ISNUMBER(Cartera1017[[#This Row],[Duracion en Dias]]),Cartera1017[[#This Row],[Duracion en Dias]]/30, "No Aplica")</f>
        <v>0.23333333333333334</v>
      </c>
      <c r="BJ267" s="109"/>
      <c r="BK267" s="28" t="s">
        <v>506</v>
      </c>
      <c r="BL267" s="110" t="s">
        <v>636</v>
      </c>
      <c r="BM267" s="342">
        <v>45996.386041666665</v>
      </c>
      <c r="BN267" s="227"/>
      <c r="BO267" s="401"/>
      <c r="BP267" s="401"/>
      <c r="BQ26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67" s="14" t="str">
        <f>IFERROR(VLOOKUP(Cartera1017[[#This Row],[Aplicativo]],Tabla76[],2,FALSE),"Sin Aplicativo")</f>
        <v>Extractores de Sentinel</v>
      </c>
      <c r="BS267" s="14" t="str">
        <f>IFERROR(VLOOKUP(Cartera1017[[#This Row],[Aplicativo]],Tabla76[],3,FALSE),"Sin Aplicativo")</f>
        <v>Otros Requerimientos</v>
      </c>
      <c r="BT267" s="400"/>
      <c r="BU267" s="33"/>
      <c r="BV267" s="28"/>
      <c r="BW26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45996</v>
      </c>
      <c r="BX26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67" s="149" t="str">
        <f ca="1">IF(Cartera1017[[#This Row],[Fecha Fin2]]="","No definido",CONCATENATE(TEXT(Cartera1017[[#This Row],[Fecha Fin2]],"mmm")," ",YEAR(Cartera1017[[#This Row],[Fecha Fin2]])))</f>
        <v>Dic 2025</v>
      </c>
      <c r="BZ267" s="28"/>
      <c r="CA267" s="48" t="str">
        <f>IF(Cartera1017[[#This Row],[Estado TI]] = "08. Producción Finalizada","Culminado",IF(Cartera1017[[#This Row],[Estado TI]]= "09. Descartado","Descartado","Activos"))</f>
        <v>Culminado</v>
      </c>
      <c r="CB267" s="28"/>
      <c r="CC267" s="388">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67" s="54" t="str">
        <f>IF(
AND(
Cartera1017[[#This Row],[DEVOLVER 27]]="NO",
NOT(ISBLANK(Cartera1017[[#This Row],[ESTADO NO DEVUELTOS 27]]))
),
"PRE",
"POST"
)</f>
        <v>POST</v>
      </c>
      <c r="CE267" s="54"/>
      <c r="CF267" s="28"/>
      <c r="CG26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67" s="54"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67" s="426">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67" s="388">
        <f>Cartera1017[[#This Row],[Porcentaje de Avance]]</f>
        <v>1</v>
      </c>
      <c r="CK267" s="388" t="str">
        <f>IF(
   OR(
     Cartera1017[[#This Row],[Estado TI]]="09. Descartado",
     Cartera1017[[#This Row],[Comienzo Desarrollo]]="",
     Cartera1017[[#This Row],[Fin Producción]]=""
   ),
   "",
   Cartera1017[[#This Row],[% PLANIFICADO]]-Cartera1017[[#This Row],[% COMPLETADO]]
)</f>
        <v/>
      </c>
      <c r="CL267" s="388" t="str">
        <f ca="1">IF(
   OR(
     Cartera1017[[#This Row],[Estado TI]]="09. Descartado",
     Cartera1017[[#This Row],[Comienzo Desarrollo]]="",
     Cartera1017[[#This Row],[Fin Producción]]="",
     Cartera1017[[#This Row],[% PLANIFICADO]]=0
   ),
   "",
   MIN(Cartera1017[[#This Row],[% COMPLETADO]]/Cartera1017[[#This Row],[% PLANIFICADO]],1.2)
)</f>
        <v/>
      </c>
      <c r="CM267" s="229"/>
      <c r="CN267" s="229"/>
      <c r="CO267" s="229"/>
      <c r="CP267" s="229"/>
      <c r="CQ267" s="229"/>
      <c r="CR267" s="229"/>
      <c r="CS267" s="229"/>
      <c r="CT267" s="44">
        <f>IF(Cartera1017[[#This Row],[Fin Desarrollo]]="",25,IFERROR(NETWORKDAYS(Cartera1017[[#This Row],[Comienzo Desarrollo]],Cartera1017[[#This Row],[Fin Desarrollo]],FERIADOS[Fecha]),""))</f>
        <v>25</v>
      </c>
      <c r="CU26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V267" s="44">
        <f>IF(OR(Cartera1017[[#This Row],[Comienzo Desarrollo]]="",Cartera1017[[#This Row],[Fin Desarrollo]]=""),200,IFERROR(Cartera1017[[#This Row],[DURACIÓN DESARROLLO DIAS]]*VLOOKUP(Cartera1017[[#This Row],[ID Mantenimiento]],MANT_HORAS[],2,FALSE),200))</f>
        <v>200</v>
      </c>
      <c r="CW267" s="110"/>
      <c r="CX267" s="110" t="str">
        <f>VLOOKUP(Cartera1017[[#This Row],[Estado TI]],Definiciones!$A$549:$B$559,2,FALSE)</f>
        <v>4. PRODUCCIÓN</v>
      </c>
      <c r="CY267" s="28">
        <f ca="1">1-Cartera1017[[#This Row],[Porcentaje avanzado desarrollo]]</f>
        <v>0.9</v>
      </c>
      <c r="CZ26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67" s="28">
        <f ca="1">MAX(0,Cartera1017[[#This Row],[DURACIÓN DESARROLLO DIAS]]-Cartera1017[[#This Row],[Dias avanzados]])</f>
        <v>24</v>
      </c>
      <c r="DB267" s="28">
        <f ca="1">Cartera1017[[#This Row],[Dias avanzados]]*IFERROR(VLOOKUP(Cartera1017[[#This Row],[ID Mantenimiento]],MANT_HORAS[],2,FALSE),8)</f>
        <v>8</v>
      </c>
      <c r="DC267" s="28">
        <f ca="1">Cartera1017[[#This Row],[Dias faltantes]]*IFERROR(VLOOKUP(Cartera1017[[#This Row],[ID Mantenimiento]],MANT_HORAS[],2,FALSE),8)</f>
        <v>192</v>
      </c>
      <c r="DD267" s="28" t="str">
        <f>IF(Cartera1017[[#This Row],[Fin Producción]]=0,"Por definir",CONCATENATE(YEAR(Cartera1017[[#This Row],[Fin Producción]]),"-",ROUNDUP(MONTH(Cartera1017[[#This Row],[Fin Producción]]),0)))</f>
        <v>Por definir</v>
      </c>
      <c r="DE267" s="28"/>
      <c r="DF267" s="28"/>
      <c r="DG267" s="28"/>
      <c r="DH267" s="565"/>
    </row>
  </sheetData>
  <sheetProtection formatCells="0" formatColumns="0" formatRows="0" insertColumns="0" insertRows="0" insertHyperlinks="0" deleteColumns="0" deleteRows="0" sort="0" autoFilter="0" pivotTables="0"/>
  <mergeCells count="4">
    <mergeCell ref="Z4:AE4"/>
    <mergeCell ref="A1:B1"/>
    <mergeCell ref="A4:Y4"/>
    <mergeCell ref="CD4:CF4"/>
  </mergeCells>
  <phoneticPr fontId="19" type="noConversion"/>
  <conditionalFormatting sqref="AN176:AN184 AN6:AN174">
    <cfRule type="expression" dxfId="600" priority="104">
      <formula>IF(ISBLANK(AN6),FALSE,OR(AN6&lt;AL6,AN6&lt;AK6))</formula>
    </cfRule>
  </conditionalFormatting>
  <conditionalFormatting sqref="AO6:AO267">
    <cfRule type="expression" dxfId="599" priority="100">
      <formula>IF(ISBLANK(AO6),FALSE,OR(AO6&lt;AK6,AO6&lt;AL6,AO6&lt;AN6))</formula>
    </cfRule>
  </conditionalFormatting>
  <conditionalFormatting sqref="AQ6:AQ267">
    <cfRule type="expression" dxfId="598" priority="99">
      <formula>IF(ISBLANK(AQ6),FALSE,OR(AQ6&lt;AK6,AQ6&lt;AL6,AQ6&lt;AN6,AQ6&lt;AO6))</formula>
    </cfRule>
  </conditionalFormatting>
  <conditionalFormatting sqref="BD6:BD267">
    <cfRule type="expression" dxfId="597" priority="2297">
      <formula>IF(ISBLANK(BB6)=FALSE,BD6=AM6,FALSE)</formula>
    </cfRule>
  </conditionalFormatting>
  <conditionalFormatting sqref="BD6:BD267">
    <cfRule type="expression" dxfId="596" priority="2298">
      <formula>IF(ISBLANK(BB6)=FALSE,BD6&gt;AM6,FALSE)</formula>
    </cfRule>
  </conditionalFormatting>
  <conditionalFormatting sqref="BD6:BD267">
    <cfRule type="expression" dxfId="595" priority="2299">
      <formula>IF(ISBLANK(BB6)=FALSE,BD6&lt;AM6,FALSE)</formula>
    </cfRule>
  </conditionalFormatting>
  <conditionalFormatting sqref="AS6:AS267">
    <cfRule type="expression" dxfId="594" priority="80">
      <formula>AS6&lt;TODAY()</formula>
    </cfRule>
  </conditionalFormatting>
  <conditionalFormatting sqref="AR6:AR224 AR226:AR249">
    <cfRule type="expression" dxfId="593" priority="54">
      <formula>IF(ISBLANK(AR6),FALSE,OR(AR6&lt;AK6,AR6&lt;AL6,AR6&lt;AN6,AR6&lt;AO6,AR6&lt;AQ6))</formula>
    </cfRule>
  </conditionalFormatting>
  <conditionalFormatting sqref="AL94:AL183 AL6:AL91">
    <cfRule type="expression" dxfId="592" priority="53">
      <formula>IF(ISBLANK(AL6),FALSE,OR(AL6&lt;AJ6,AL6&lt;AK6))</formula>
    </cfRule>
  </conditionalFormatting>
  <conditionalFormatting sqref="CP141:CS141 CP132:CS132 CN249:CO250 CP79:CS79 CN6:CO185 CN187:CO190 CN186:CS186 CN193:CO244">
    <cfRule type="expression" dxfId="591" priority="45">
      <formula>AND(CN6&lt;&gt;AK6,CN6&lt;TODAY())</formula>
    </cfRule>
  </conditionalFormatting>
  <conditionalFormatting sqref="CP6:CQ35 CP133:CQ140 CP37:CQ39 CP142:CQ184 CP41:CQ78 CP80:CQ131">
    <cfRule type="expression" dxfId="590" priority="42">
      <formula>AND(CP6&lt;&gt;AN6,CP6&lt;TODAY())</formula>
    </cfRule>
  </conditionalFormatting>
  <conditionalFormatting sqref="CR6:CS35 CR37:CS39 CR142:CS184 CR133:CS140 CR41:CS78 CR80:CS131">
    <cfRule type="expression" dxfId="589" priority="41">
      <formula>AND(CR6&lt;&gt;AQ6,CR6&lt;TODAY())</formula>
    </cfRule>
  </conditionalFormatting>
  <conditionalFormatting sqref="CN249:CO250 CP79:CS79 CN6:CO185 CN187:CO190 CN186:CS186 CN193:CO244">
    <cfRule type="expression" dxfId="588" priority="17">
      <formula>CN6&lt;&gt;AK6</formula>
    </cfRule>
  </conditionalFormatting>
  <conditionalFormatting sqref="CP6:CQ35 CP133:CQ140 CP37:CQ39 CP142:CQ184 CP41:CQ78 CP80:CQ131">
    <cfRule type="expression" dxfId="587" priority="14">
      <formula>CP6&lt;&gt;AN6</formula>
    </cfRule>
  </conditionalFormatting>
  <conditionalFormatting sqref="CR6:CS35 CR37:CS39 CR142:CS184 CR133:CS140 CR41:CS78 CR80:CS131">
    <cfRule type="expression" dxfId="586" priority="12">
      <formula>CR6&lt;&gt;AQ6</formula>
    </cfRule>
  </conditionalFormatting>
  <conditionalFormatting sqref="CP36:CS36">
    <cfRule type="expression" dxfId="585" priority="10">
      <formula>AND(CP36&lt;&gt;AM36,CP36&lt;TODAY())</formula>
    </cfRule>
  </conditionalFormatting>
  <conditionalFormatting sqref="CP36:CS36">
    <cfRule type="expression" dxfId="584" priority="9">
      <formula>CP36&lt;&gt;AM36</formula>
    </cfRule>
  </conditionalFormatting>
  <conditionalFormatting sqref="CP40:CS40">
    <cfRule type="expression" dxfId="583" priority="8">
      <formula>AND(CP40&lt;&gt;AM40,CP40&lt;TODAY())</formula>
    </cfRule>
  </conditionalFormatting>
  <conditionalFormatting sqref="CP40:CS40">
    <cfRule type="expression" dxfId="582" priority="7">
      <formula>CP40&lt;&gt;AM40</formula>
    </cfRule>
  </conditionalFormatting>
  <conditionalFormatting sqref="CP132:CS132">
    <cfRule type="expression" dxfId="581" priority="6">
      <formula>CP132&lt;&gt;AM132</formula>
    </cfRule>
  </conditionalFormatting>
  <conditionalFormatting sqref="C268:C896">
    <cfRule type="duplicateValues" dxfId="580" priority="6543"/>
  </conditionalFormatting>
  <conditionalFormatting sqref="AR225">
    <cfRule type="expression" dxfId="579" priority="5">
      <formula>IF(ISBLANK(AR225),FALSE,OR(AR225&lt;AL225,AR225&lt;AM225,AR225&lt;AO225,AR225&lt;AP225))</formula>
    </cfRule>
  </conditionalFormatting>
  <conditionalFormatting sqref="B6:B267">
    <cfRule type="duplicateValues" dxfId="578" priority="6551"/>
  </conditionalFormatting>
  <conditionalFormatting sqref="CN246:CO248">
    <cfRule type="expression" dxfId="577" priority="2">
      <formula>AND(CN246&lt;&gt;AK246,CN246&lt;TODAY())</formula>
    </cfRule>
  </conditionalFormatting>
  <conditionalFormatting sqref="CN246:CO248">
    <cfRule type="expression" dxfId="576" priority="1">
      <formula>CN246&lt;&gt;AK246</formula>
    </cfRule>
  </conditionalFormatting>
  <dataValidations count="6">
    <dataValidation type="list" allowBlank="1" showInputMessage="1" showErrorMessage="1" sqref="J97 J83 J46 I112 I104 I45 J119:J120 J85:J89 I76 I67 I52 I41 I16:J40 I15 I6:J14" xr:uid="{00000000-0002-0000-0900-000000000000}">
      <formula1>INDIRECT(AU6)</formula1>
    </dataValidation>
    <dataValidation type="list" allowBlank="1" showInputMessage="1" showErrorMessage="1" sqref="J52" xr:uid="{00000000-0002-0000-0900-000001000000}">
      <formula1>INDIRECT(AZ52)</formula1>
    </dataValidation>
    <dataValidation allowBlank="1" showInputMessage="1" showErrorMessage="1" sqref="O73:Q82 DE6:DE267" xr:uid="{82B13D63-1D3E-4616-9ECA-3954DD357CE1}"/>
    <dataValidation allowBlank="1" showInputMessage="1" showErrorMessage="1" errorTitle="Coloca bien pes" sqref="Z93 Z73:Z90" xr:uid="{A2D22DBE-2FF5-459E-B079-1198036AA67E}"/>
    <dataValidation type="list" allowBlank="1" showInputMessage="1" showErrorMessage="1" sqref="S6:S58" xr:uid="{00000000-0002-0000-0900-000002000000}">
      <formula1>"Recomendación,Normativo"</formula1>
    </dataValidation>
    <dataValidation type="list" allowBlank="1" showInputMessage="1" showErrorMessage="1" sqref="C6:C267" xr:uid="{D1846353-4250-49FE-A47B-2BA42FEBABA9}">
      <formula1>"Mantenimiento-Sw,Proyecto-Hijo"</formula1>
    </dataValidation>
  </dataValidations>
  <pageMargins left="0.7" right="0.7" top="0.75" bottom="0.75" header="0.3" footer="0.3"/>
  <pageSetup paperSize="9" scale="65" fitToWidth="0" fitToHeight="0" orientation="landscape"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60" id="{ABF49A30-2A02-46FC-B09E-8BDD73207A05}">
            <xm:f>IFERROR(INDEX(Definiciones!$B$19:$B$36, MATCH(BL6, Definiciones!$A$19:$A$36, 0)) = AF6, FALSE)</xm:f>
            <x14:dxf>
              <font>
                <color rgb="FF006100"/>
              </font>
              <fill>
                <patternFill>
                  <bgColor rgb="FFC6EFCE"/>
                </patternFill>
              </fill>
            </x14:dxf>
          </x14:cfRule>
          <xm:sqref>BL6:BL999</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r:uid="{00000000-0002-0000-0900-000006000000}">
          <x14:formula1>
            <xm:f>Definiciones!$A$39:$A$44</xm:f>
          </x14:formula1>
          <xm:sqref>S60 S62 S72 S104 S111 S121 S133 S143 S126 S76 S67 R6:R90</xm:sqref>
        </x14:dataValidation>
        <x14:dataValidation type="list" allowBlank="1" showInputMessage="1" showErrorMessage="1" xr:uid="{00000000-0002-0000-0900-000007000000}">
          <x14:formula1>
            <xm:f>Definiciones!$A$275:$A$293</xm:f>
          </x14:formula1>
          <xm:sqref>U59 U61 U68 U66</xm:sqref>
        </x14:dataValidation>
        <x14:dataValidation type="list" allowBlank="1" showInputMessage="1" showErrorMessage="1" xr:uid="{00000000-0002-0000-0900-00000F000000}">
          <x14:formula1>
            <xm:f>Definiciones!$A$275:$A$294</xm:f>
          </x14:formula1>
          <xm:sqref>U97 T6:T267</xm:sqref>
        </x14:dataValidation>
        <x14:dataValidation type="list" allowBlank="1" showInputMessage="1" showErrorMessage="1" xr:uid="{00000000-0002-0000-0900-000005000000}">
          <x14:formula1>
            <xm:f>Definiciones!$A$69:$A$87</xm:f>
          </x14:formula1>
          <xm:sqref>H6:H49</xm:sqref>
        </x14:dataValidation>
        <x14:dataValidation type="list" allowBlank="1" showInputMessage="1" showErrorMessage="1" xr:uid="{00000000-0002-0000-0900-00000E000000}">
          <x14:formula1>
            <xm:f>Definiciones!$A$5:$A$15</xm:f>
          </x14:formula1>
          <xm:sqref>AF6:AF267</xm:sqref>
        </x14:dataValidation>
        <x14:dataValidation type="list" allowBlank="1" showInputMessage="1" showErrorMessage="1" xr:uid="{00000000-0002-0000-0900-000009000000}">
          <x14:formula1>
            <xm:f>Definiciones!$A$172:$A$186</xm:f>
          </x14:formula1>
          <xm:sqref>O6:O72 O233</xm:sqref>
        </x14:dataValidation>
        <x14:dataValidation type="list" allowBlank="1" showInputMessage="1" showErrorMessage="1" xr:uid="{00000000-0002-0000-0900-00000A000000}">
          <x14:formula1>
            <xm:f>Definiciones!$A$189:$A$206</xm:f>
          </x14:formula1>
          <xm:sqref>P6:P72 P233</xm:sqref>
        </x14:dataValidation>
        <x14:dataValidation type="list" allowBlank="1" showInputMessage="1" showErrorMessage="1" xr:uid="{00000000-0002-0000-0900-00000B000000}">
          <x14:formula1>
            <xm:f>Definiciones!$A$209:$A$221</xm:f>
          </x14:formula1>
          <xm:sqref>Q6:Q72 Q233</xm:sqref>
        </x14:dataValidation>
        <x14:dataValidation type="list" allowBlank="1" showInputMessage="1" showErrorMessage="1" errorTitle="Coloca bien pes" xr:uid="{00000000-0002-0000-0900-00000D000000}">
          <x14:formula1>
            <xm:f>Definiciones!$A$164:$A$168</xm:f>
          </x14:formula1>
          <xm:sqref>Z6:Z72</xm:sqref>
        </x14:dataValidation>
        <x14:dataValidation type="list" allowBlank="1" showInputMessage="1" showErrorMessage="1" xr:uid="{00000000-0002-0000-0900-000011000000}">
          <x14:formula1>
            <xm:f>Definiciones!$A$148:$A$150</xm:f>
          </x14:formula1>
          <xm:sqref>AB6:AB114</xm:sqref>
        </x14:dataValidation>
        <x14:dataValidation type="list" allowBlank="1" showInputMessage="1" showErrorMessage="1" xr:uid="{00000000-0002-0000-0900-000008000000}">
          <x14:formula1>
            <xm:f>Definiciones!$A$156:$A$160</xm:f>
          </x14:formula1>
          <xm:sqref>AC6:AC267</xm:sqref>
        </x14:dataValidation>
        <x14:dataValidation type="list" allowBlank="1" showInputMessage="1" showErrorMessage="1" xr:uid="{00000000-0002-0000-0900-00000C000000}">
          <x14:formula1>
            <xm:f>Definiciones!$A$225:$A$236</xm:f>
          </x14:formula1>
          <xm:sqref>AE6:AE267</xm:sqref>
        </x14:dataValidation>
        <x14:dataValidation type="list" allowBlank="1" showInputMessage="1" showErrorMessage="1" xr:uid="{EC85DA98-B766-46CC-BDA7-027B39C70307}">
          <x14:formula1>
            <xm:f>Definiciones!$A$50:$A$52</xm:f>
          </x14:formula1>
          <xm:sqref>AH6:AH267 AI229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EACB6-AB3D-46F5-BE47-2DB27128539B}">
  <sheetPr codeName="Hoja6"/>
  <dimension ref="A1:AY107"/>
  <sheetViews>
    <sheetView workbookViewId="0">
      <pane xSplit="3" topLeftCell="D1" activePane="topRight" state="frozen"/>
      <selection pane="topRight" activeCell="G9" sqref="G9"/>
    </sheetView>
  </sheetViews>
  <sheetFormatPr defaultColWidth="9.140625" defaultRowHeight="15" outlineLevelRow="1"/>
  <cols>
    <col min="1" max="1" width="5.5703125" bestFit="1" customWidth="1"/>
    <col min="2" max="2" width="19.140625" customWidth="1"/>
    <col min="3" max="3" width="51.7109375" customWidth="1"/>
    <col min="4" max="4" width="21.28515625" customWidth="1"/>
    <col min="5" max="5" width="16.7109375" customWidth="1"/>
    <col min="6" max="6" width="15.28515625" bestFit="1" customWidth="1"/>
    <col min="7" max="7" width="13.85546875" customWidth="1"/>
    <col min="8" max="8" width="13.5703125" customWidth="1"/>
    <col min="9" max="9" width="14.85546875" customWidth="1"/>
    <col min="10" max="10" width="16.140625" hidden="1" customWidth="1"/>
    <col min="11" max="11" width="21.85546875" hidden="1" customWidth="1"/>
    <col min="12" max="12" width="19.5703125" style="159" customWidth="1"/>
    <col min="13" max="13" width="25.7109375" customWidth="1"/>
  </cols>
  <sheetData>
    <row r="1" spans="1:12" ht="25.5" customHeight="1">
      <c r="A1" s="232" t="s">
        <v>2194</v>
      </c>
      <c r="B1" s="233" t="s">
        <v>2195</v>
      </c>
      <c r="C1" s="234" t="s">
        <v>2196</v>
      </c>
      <c r="D1" s="232" t="s">
        <v>5</v>
      </c>
      <c r="E1" s="232" t="s">
        <v>2197</v>
      </c>
      <c r="F1" s="232" t="s">
        <v>18</v>
      </c>
      <c r="G1" s="235" t="s">
        <v>2198</v>
      </c>
      <c r="H1" s="232" t="s">
        <v>2199</v>
      </c>
      <c r="I1" s="232" t="s">
        <v>2200</v>
      </c>
      <c r="J1" s="236" t="s">
        <v>2201</v>
      </c>
      <c r="K1" s="237" t="s">
        <v>2202</v>
      </c>
      <c r="L1" s="236" t="s">
        <v>2203</v>
      </c>
    </row>
    <row r="2" spans="1:12" ht="18" customHeight="1">
      <c r="A2" s="238">
        <v>1</v>
      </c>
      <c r="B2" s="253" t="s">
        <v>2204</v>
      </c>
      <c r="C2" s="239" t="s">
        <v>2205</v>
      </c>
      <c r="D2" s="240" t="s">
        <v>26</v>
      </c>
      <c r="E2" s="240" t="s">
        <v>2206</v>
      </c>
      <c r="F2" s="241">
        <v>0.95</v>
      </c>
      <c r="G2" s="241">
        <v>0.88</v>
      </c>
      <c r="H2" s="242">
        <v>45065</v>
      </c>
      <c r="I2" s="242">
        <v>46203</v>
      </c>
      <c r="J2" s="243"/>
      <c r="K2" s="244"/>
      <c r="L2" s="245">
        <v>224</v>
      </c>
    </row>
    <row r="3" spans="1:12">
      <c r="A3" s="238">
        <v>2</v>
      </c>
      <c r="B3" s="253" t="s">
        <v>2207</v>
      </c>
      <c r="C3" s="239" t="s">
        <v>2208</v>
      </c>
      <c r="D3" s="240" t="s">
        <v>26</v>
      </c>
      <c r="E3" s="240" t="s">
        <v>2209</v>
      </c>
      <c r="F3" s="241">
        <v>0.97</v>
      </c>
      <c r="G3" s="241">
        <v>0.8</v>
      </c>
      <c r="H3" s="242">
        <v>45629</v>
      </c>
      <c r="I3" s="242">
        <v>46173</v>
      </c>
      <c r="J3" s="243"/>
      <c r="K3" s="244"/>
      <c r="L3" s="245">
        <v>90</v>
      </c>
    </row>
    <row r="4" spans="1:12">
      <c r="A4" s="238">
        <v>3</v>
      </c>
      <c r="B4" s="253" t="s">
        <v>2204</v>
      </c>
      <c r="C4" s="239" t="s">
        <v>2210</v>
      </c>
      <c r="D4" s="240" t="s">
        <v>26</v>
      </c>
      <c r="E4" s="240" t="s">
        <v>2211</v>
      </c>
      <c r="F4" s="241">
        <v>0.6</v>
      </c>
      <c r="G4" s="241">
        <v>0.64</v>
      </c>
      <c r="H4" s="242">
        <v>45943</v>
      </c>
      <c r="I4" s="242">
        <v>46356</v>
      </c>
      <c r="J4" s="243"/>
      <c r="K4" s="244"/>
      <c r="L4" s="245">
        <v>500</v>
      </c>
    </row>
    <row r="5" spans="1:12">
      <c r="A5" s="238">
        <v>4</v>
      </c>
      <c r="B5" s="253" t="s">
        <v>2212</v>
      </c>
      <c r="C5" s="239" t="s">
        <v>2213</v>
      </c>
      <c r="D5" s="240" t="s">
        <v>26</v>
      </c>
      <c r="E5" s="240" t="s">
        <v>2214</v>
      </c>
      <c r="F5" s="241">
        <v>0.56000000000000005</v>
      </c>
      <c r="G5" s="241">
        <v>0.23</v>
      </c>
      <c r="H5" s="242">
        <v>45297</v>
      </c>
      <c r="I5" s="246">
        <v>46530</v>
      </c>
      <c r="J5" s="247"/>
      <c r="K5" s="244"/>
      <c r="L5" s="245">
        <v>500</v>
      </c>
    </row>
    <row r="6" spans="1:12">
      <c r="A6" s="238">
        <v>5</v>
      </c>
      <c r="B6" s="253" t="s">
        <v>2204</v>
      </c>
      <c r="C6" s="239" t="s">
        <v>2215</v>
      </c>
      <c r="D6" s="238" t="s">
        <v>40</v>
      </c>
      <c r="E6" s="238" t="s">
        <v>2209</v>
      </c>
      <c r="F6" s="241">
        <v>0.69</v>
      </c>
      <c r="G6" s="241">
        <v>0.61</v>
      </c>
      <c r="H6" s="242">
        <v>45600</v>
      </c>
      <c r="I6" s="242">
        <v>46416</v>
      </c>
      <c r="J6" s="243"/>
      <c r="K6" s="244"/>
      <c r="L6" s="245">
        <v>1410</v>
      </c>
    </row>
    <row r="7" spans="1:12">
      <c r="A7" s="238">
        <v>6</v>
      </c>
      <c r="B7" s="253" t="s">
        <v>2207</v>
      </c>
      <c r="C7" s="239" t="s">
        <v>2216</v>
      </c>
      <c r="D7" s="238" t="s">
        <v>82</v>
      </c>
      <c r="E7" s="238" t="s">
        <v>2217</v>
      </c>
      <c r="F7" s="241">
        <v>0.97</v>
      </c>
      <c r="G7" s="241">
        <v>0.84</v>
      </c>
      <c r="H7" s="242">
        <v>45439</v>
      </c>
      <c r="I7" s="242">
        <v>46248</v>
      </c>
      <c r="J7" s="248"/>
      <c r="K7" s="244"/>
      <c r="L7" s="245">
        <v>60</v>
      </c>
    </row>
    <row r="8" spans="1:12">
      <c r="A8" s="238">
        <v>7</v>
      </c>
      <c r="B8" s="253" t="s">
        <v>2204</v>
      </c>
      <c r="C8" s="239" t="s">
        <v>2218</v>
      </c>
      <c r="D8" s="238" t="s">
        <v>82</v>
      </c>
      <c r="E8" s="238" t="s">
        <v>2219</v>
      </c>
      <c r="F8" s="241">
        <v>0.91</v>
      </c>
      <c r="G8" s="241">
        <v>0.88</v>
      </c>
      <c r="H8" s="242">
        <v>44274</v>
      </c>
      <c r="I8" s="242">
        <v>46192</v>
      </c>
      <c r="J8" s="248"/>
      <c r="K8" s="244"/>
      <c r="L8" s="245">
        <v>340</v>
      </c>
    </row>
    <row r="9" spans="1:12">
      <c r="A9" s="249">
        <v>8</v>
      </c>
      <c r="B9" s="472" t="s">
        <v>2220</v>
      </c>
      <c r="C9" s="473" t="s">
        <v>2221</v>
      </c>
      <c r="D9" s="240" t="s">
        <v>26</v>
      </c>
      <c r="E9" s="477" t="s">
        <v>2214</v>
      </c>
      <c r="F9" s="250">
        <v>0</v>
      </c>
      <c r="G9" s="250">
        <v>0</v>
      </c>
      <c r="H9" s="242">
        <v>46160</v>
      </c>
      <c r="I9" s="242">
        <v>47040</v>
      </c>
      <c r="J9" s="251"/>
      <c r="K9" s="251"/>
      <c r="L9" s="252">
        <v>0</v>
      </c>
    </row>
    <row r="10" spans="1:12">
      <c r="A10" s="249">
        <v>9</v>
      </c>
      <c r="B10" s="472" t="s">
        <v>2220</v>
      </c>
      <c r="C10" s="473" t="s">
        <v>2222</v>
      </c>
      <c r="D10" s="249" t="s">
        <v>2223</v>
      </c>
      <c r="E10" s="249" t="s">
        <v>2224</v>
      </c>
      <c r="F10" s="250">
        <v>0</v>
      </c>
      <c r="G10" s="250">
        <v>0</v>
      </c>
      <c r="H10" s="531">
        <v>46023</v>
      </c>
      <c r="I10" s="531">
        <v>47818</v>
      </c>
      <c r="J10" s="251"/>
      <c r="K10" s="251"/>
      <c r="L10" s="245">
        <v>0</v>
      </c>
    </row>
    <row r="11" spans="1:12">
      <c r="A11" s="249">
        <v>10</v>
      </c>
      <c r="B11" s="472" t="s">
        <v>2220</v>
      </c>
      <c r="C11" s="473" t="s">
        <v>2225</v>
      </c>
      <c r="D11" s="249" t="s">
        <v>2226</v>
      </c>
      <c r="E11" s="249" t="s">
        <v>2224</v>
      </c>
      <c r="F11" s="250"/>
      <c r="G11" s="250">
        <v>0.63</v>
      </c>
      <c r="H11" s="531">
        <v>46042</v>
      </c>
      <c r="I11" s="531">
        <v>46203</v>
      </c>
      <c r="J11" s="251"/>
      <c r="K11" s="251"/>
      <c r="L11" s="245"/>
    </row>
    <row r="12" spans="1:12">
      <c r="A12" s="249">
        <v>11</v>
      </c>
      <c r="B12" s="472" t="s">
        <v>2220</v>
      </c>
      <c r="C12" s="473" t="s">
        <v>2227</v>
      </c>
      <c r="D12" s="249" t="s">
        <v>2226</v>
      </c>
      <c r="E12" s="249" t="s">
        <v>2224</v>
      </c>
      <c r="F12" s="250">
        <v>0</v>
      </c>
      <c r="G12" s="250">
        <v>0</v>
      </c>
      <c r="H12" s="531">
        <v>46448</v>
      </c>
      <c r="I12" s="531">
        <v>46553</v>
      </c>
      <c r="J12" s="251"/>
      <c r="K12" s="251"/>
      <c r="L12" s="245"/>
    </row>
    <row r="13" spans="1:12">
      <c r="A13" s="249">
        <v>12</v>
      </c>
      <c r="B13" s="472" t="s">
        <v>2220</v>
      </c>
      <c r="C13" s="473" t="s">
        <v>2228</v>
      </c>
      <c r="D13" s="249" t="s">
        <v>2226</v>
      </c>
      <c r="E13" s="249" t="s">
        <v>2224</v>
      </c>
      <c r="F13" s="250">
        <v>0</v>
      </c>
      <c r="G13" s="250">
        <v>0</v>
      </c>
      <c r="H13" s="531">
        <v>46149</v>
      </c>
      <c r="I13" s="531">
        <v>46317</v>
      </c>
      <c r="J13" s="251"/>
      <c r="K13" s="251"/>
      <c r="L13" s="245"/>
    </row>
    <row r="14" spans="1:12">
      <c r="A14" s="249">
        <v>13</v>
      </c>
      <c r="B14" s="472" t="s">
        <v>2220</v>
      </c>
      <c r="C14" s="473" t="s">
        <v>2229</v>
      </c>
      <c r="D14" s="249" t="s">
        <v>2226</v>
      </c>
      <c r="E14" s="249" t="s">
        <v>2224</v>
      </c>
      <c r="F14" s="250">
        <v>0</v>
      </c>
      <c r="G14" s="250">
        <v>0</v>
      </c>
      <c r="H14" s="531">
        <v>46323</v>
      </c>
      <c r="I14" s="531">
        <v>46540</v>
      </c>
      <c r="J14" s="251"/>
      <c r="K14" s="251"/>
      <c r="L14" s="245"/>
    </row>
    <row r="15" spans="1:12">
      <c r="A15" s="249">
        <v>14</v>
      </c>
      <c r="B15" s="472" t="s">
        <v>2220</v>
      </c>
      <c r="C15" s="239" t="s">
        <v>2230</v>
      </c>
      <c r="D15" s="238" t="s">
        <v>2226</v>
      </c>
      <c r="E15" s="249" t="s">
        <v>2224</v>
      </c>
      <c r="F15" s="250">
        <v>0</v>
      </c>
      <c r="G15" s="250">
        <v>0</v>
      </c>
      <c r="H15" s="242">
        <v>46220</v>
      </c>
      <c r="I15" s="242">
        <v>47568</v>
      </c>
      <c r="J15" s="243"/>
      <c r="K15" s="243"/>
      <c r="L15" s="245"/>
    </row>
    <row r="16" spans="1:12">
      <c r="A16" s="249">
        <v>15</v>
      </c>
      <c r="B16" s="472" t="s">
        <v>2220</v>
      </c>
      <c r="C16" s="239" t="s">
        <v>2231</v>
      </c>
      <c r="D16" s="238" t="s">
        <v>2226</v>
      </c>
      <c r="E16" s="249" t="s">
        <v>2224</v>
      </c>
      <c r="F16" s="250">
        <v>0</v>
      </c>
      <c r="G16" s="250">
        <v>0</v>
      </c>
      <c r="H16" s="242">
        <v>46541</v>
      </c>
      <c r="I16" s="242">
        <v>47568</v>
      </c>
      <c r="J16" s="243"/>
      <c r="K16" s="243"/>
      <c r="L16" s="245"/>
    </row>
    <row r="17" spans="1:12">
      <c r="A17" s="249">
        <v>16</v>
      </c>
      <c r="B17" s="472" t="s">
        <v>2220</v>
      </c>
      <c r="C17" s="239" t="s">
        <v>2232</v>
      </c>
      <c r="D17" s="238" t="s">
        <v>2226</v>
      </c>
      <c r="E17" s="249" t="s">
        <v>2224</v>
      </c>
      <c r="F17" s="250">
        <v>0</v>
      </c>
      <c r="G17" s="250">
        <v>0</v>
      </c>
      <c r="H17" s="242">
        <v>46496</v>
      </c>
      <c r="I17" s="242">
        <v>47568</v>
      </c>
      <c r="J17" s="243"/>
      <c r="K17" s="243"/>
      <c r="L17" s="245"/>
    </row>
    <row r="18" spans="1:12">
      <c r="A18" s="249">
        <v>17</v>
      </c>
      <c r="B18" s="472" t="s">
        <v>2220</v>
      </c>
      <c r="C18" s="239" t="s">
        <v>2233</v>
      </c>
      <c r="D18" s="238" t="s">
        <v>2226</v>
      </c>
      <c r="E18" s="249" t="s">
        <v>2224</v>
      </c>
      <c r="F18" s="250">
        <v>0</v>
      </c>
      <c r="G18" s="250">
        <v>0</v>
      </c>
      <c r="H18" s="242">
        <v>46496</v>
      </c>
      <c r="I18" s="242">
        <v>46685</v>
      </c>
      <c r="J18" s="243"/>
      <c r="K18" s="243"/>
      <c r="L18" s="245"/>
    </row>
    <row r="19" spans="1:12">
      <c r="A19" s="249">
        <v>18</v>
      </c>
      <c r="B19" s="472" t="s">
        <v>2220</v>
      </c>
      <c r="C19" s="239" t="s">
        <v>2234</v>
      </c>
      <c r="D19" s="238" t="s">
        <v>2226</v>
      </c>
      <c r="E19" s="249" t="s">
        <v>2224</v>
      </c>
      <c r="F19" s="250">
        <v>0</v>
      </c>
      <c r="G19" s="250">
        <v>0</v>
      </c>
      <c r="H19" s="242">
        <v>47149</v>
      </c>
      <c r="I19" s="242">
        <v>47513</v>
      </c>
      <c r="J19" s="243"/>
      <c r="K19" s="243"/>
      <c r="L19" s="245"/>
    </row>
    <row r="20" spans="1:12">
      <c r="A20" s="249">
        <v>19</v>
      </c>
      <c r="B20" s="472" t="s">
        <v>2220</v>
      </c>
      <c r="C20" s="239" t="s">
        <v>2235</v>
      </c>
      <c r="D20" s="238" t="s">
        <v>2226</v>
      </c>
      <c r="E20" s="249" t="s">
        <v>2224</v>
      </c>
      <c r="F20" s="250">
        <v>0</v>
      </c>
      <c r="G20" s="250">
        <v>0</v>
      </c>
      <c r="H20" s="242">
        <v>46743</v>
      </c>
      <c r="I20" s="242">
        <v>46920</v>
      </c>
      <c r="J20" s="243"/>
      <c r="K20" s="243"/>
      <c r="L20" s="245"/>
    </row>
    <row r="21" spans="1:12">
      <c r="A21" s="249">
        <v>20</v>
      </c>
      <c r="B21" s="472" t="s">
        <v>2220</v>
      </c>
      <c r="C21" s="239" t="s">
        <v>2236</v>
      </c>
      <c r="D21" s="238" t="s">
        <v>2226</v>
      </c>
      <c r="E21" s="249" t="s">
        <v>2224</v>
      </c>
      <c r="F21" s="250">
        <v>0</v>
      </c>
      <c r="G21" s="250">
        <v>0</v>
      </c>
      <c r="H21" s="242">
        <v>46276</v>
      </c>
      <c r="I21" s="242">
        <v>47568</v>
      </c>
      <c r="J21" s="243"/>
      <c r="K21" s="243"/>
      <c r="L21" s="245"/>
    </row>
    <row r="22" spans="1:12">
      <c r="A22" s="249">
        <v>21</v>
      </c>
      <c r="B22" s="472" t="s">
        <v>2220</v>
      </c>
      <c r="C22" s="239" t="s">
        <v>2237</v>
      </c>
      <c r="D22" s="238" t="s">
        <v>2238</v>
      </c>
      <c r="E22" s="249" t="s">
        <v>2224</v>
      </c>
      <c r="F22" s="250">
        <v>0</v>
      </c>
      <c r="G22" s="250">
        <v>0</v>
      </c>
      <c r="H22" s="242">
        <v>46183</v>
      </c>
      <c r="I22" s="242">
        <v>47568</v>
      </c>
      <c r="J22" s="243"/>
      <c r="K22" s="243"/>
      <c r="L22" s="245"/>
    </row>
    <row r="23" spans="1:12">
      <c r="A23" s="249">
        <v>22</v>
      </c>
      <c r="B23" s="472" t="s">
        <v>2220</v>
      </c>
      <c r="C23" s="239" t="s">
        <v>2239</v>
      </c>
      <c r="D23" s="238" t="s">
        <v>2238</v>
      </c>
      <c r="E23" s="249" t="s">
        <v>2224</v>
      </c>
      <c r="F23" s="250">
        <v>0</v>
      </c>
      <c r="G23" s="250">
        <v>0</v>
      </c>
      <c r="H23" s="242">
        <v>46399</v>
      </c>
      <c r="I23" s="242">
        <v>46762</v>
      </c>
      <c r="J23" s="243"/>
      <c r="K23" s="243"/>
      <c r="L23" s="245"/>
    </row>
    <row r="24" spans="1:12">
      <c r="A24" s="249">
        <v>23</v>
      </c>
      <c r="B24" s="472" t="s">
        <v>2220</v>
      </c>
      <c r="C24" s="239" t="s">
        <v>2240</v>
      </c>
      <c r="D24" s="238" t="s">
        <v>2238</v>
      </c>
      <c r="E24" s="249" t="s">
        <v>2224</v>
      </c>
      <c r="F24" s="250">
        <v>0</v>
      </c>
      <c r="G24" s="250">
        <v>0</v>
      </c>
      <c r="H24" s="242">
        <v>46553</v>
      </c>
      <c r="I24" s="242">
        <v>46981</v>
      </c>
      <c r="J24" s="243"/>
      <c r="K24" s="243"/>
      <c r="L24" s="245"/>
    </row>
    <row r="25" spans="1:12">
      <c r="A25" s="249">
        <v>24</v>
      </c>
      <c r="B25" s="472" t="s">
        <v>2220</v>
      </c>
      <c r="C25" s="239" t="s">
        <v>2241</v>
      </c>
      <c r="D25" s="238" t="s">
        <v>2238</v>
      </c>
      <c r="E25" s="249" t="s">
        <v>2224</v>
      </c>
      <c r="F25" s="250">
        <v>0</v>
      </c>
      <c r="G25" s="250">
        <v>0</v>
      </c>
      <c r="H25" s="242">
        <v>46896</v>
      </c>
      <c r="I25" s="242">
        <v>47568</v>
      </c>
      <c r="J25" s="243"/>
      <c r="K25" s="243"/>
      <c r="L25" s="245"/>
    </row>
    <row r="26" spans="1:12">
      <c r="A26" s="249">
        <v>25</v>
      </c>
      <c r="B26" s="472" t="s">
        <v>2220</v>
      </c>
      <c r="C26" s="239" t="s">
        <v>2242</v>
      </c>
      <c r="D26" s="238" t="s">
        <v>2238</v>
      </c>
      <c r="E26" s="249" t="s">
        <v>2224</v>
      </c>
      <c r="F26" s="250">
        <v>0</v>
      </c>
      <c r="G26" s="250">
        <v>0</v>
      </c>
      <c r="H26" s="242">
        <v>46594</v>
      </c>
      <c r="I26" s="242">
        <v>46777</v>
      </c>
      <c r="J26" s="243"/>
      <c r="K26" s="243"/>
      <c r="L26" s="245"/>
    </row>
    <row r="27" spans="1:12">
      <c r="A27" s="249">
        <v>26</v>
      </c>
      <c r="B27" s="472" t="s">
        <v>2220</v>
      </c>
      <c r="C27" s="473" t="s">
        <v>2243</v>
      </c>
      <c r="D27" s="249" t="s">
        <v>2238</v>
      </c>
      <c r="E27" s="249" t="s">
        <v>2224</v>
      </c>
      <c r="F27" s="250">
        <v>0</v>
      </c>
      <c r="G27" s="250">
        <v>0</v>
      </c>
      <c r="H27" s="531">
        <v>46189</v>
      </c>
      <c r="I27" s="531">
        <v>46238</v>
      </c>
      <c r="J27" s="251"/>
      <c r="K27" s="251"/>
      <c r="L27" s="245"/>
    </row>
    <row r="28" spans="1:12">
      <c r="A28" s="249">
        <v>27</v>
      </c>
      <c r="B28" s="472" t="s">
        <v>2220</v>
      </c>
      <c r="C28" s="239" t="s">
        <v>2244</v>
      </c>
      <c r="D28" s="238" t="s">
        <v>2245</v>
      </c>
      <c r="E28" s="249" t="s">
        <v>2224</v>
      </c>
      <c r="F28" s="250">
        <v>0</v>
      </c>
      <c r="G28" s="250">
        <v>0</v>
      </c>
      <c r="H28" s="242">
        <v>46633</v>
      </c>
      <c r="I28" s="242">
        <v>46876</v>
      </c>
      <c r="J28" s="243"/>
      <c r="K28" s="243"/>
      <c r="L28" s="245"/>
    </row>
    <row r="29" spans="1:12">
      <c r="A29" s="249">
        <v>28</v>
      </c>
      <c r="B29" s="472" t="s">
        <v>2220</v>
      </c>
      <c r="C29" s="239" t="s">
        <v>2246</v>
      </c>
      <c r="D29" s="238" t="s">
        <v>2245</v>
      </c>
      <c r="E29" s="249" t="s">
        <v>2224</v>
      </c>
      <c r="F29" s="250">
        <v>0</v>
      </c>
      <c r="G29" s="250">
        <v>0</v>
      </c>
      <c r="H29" s="242">
        <v>46723</v>
      </c>
      <c r="I29" s="242">
        <v>46897</v>
      </c>
      <c r="J29" s="243"/>
      <c r="K29" s="243"/>
      <c r="L29" s="245"/>
    </row>
    <row r="30" spans="1:12">
      <c r="A30" s="249">
        <v>29</v>
      </c>
      <c r="B30" s="472" t="s">
        <v>2220</v>
      </c>
      <c r="C30" s="239" t="s">
        <v>2247</v>
      </c>
      <c r="D30" s="238" t="s">
        <v>2245</v>
      </c>
      <c r="E30" s="249" t="s">
        <v>2224</v>
      </c>
      <c r="F30" s="250">
        <v>0</v>
      </c>
      <c r="G30" s="250">
        <v>0</v>
      </c>
      <c r="H30" s="242">
        <v>46436</v>
      </c>
      <c r="I30" s="242">
        <v>46608</v>
      </c>
      <c r="J30" s="243"/>
      <c r="K30" s="243"/>
      <c r="L30" s="245"/>
    </row>
    <row r="31" spans="1:12">
      <c r="A31" s="249">
        <v>30</v>
      </c>
      <c r="B31" s="472" t="s">
        <v>2220</v>
      </c>
      <c r="C31" s="239" t="s">
        <v>2248</v>
      </c>
      <c r="D31" s="238" t="s">
        <v>2245</v>
      </c>
      <c r="E31" s="249" t="s">
        <v>2224</v>
      </c>
      <c r="F31" s="250">
        <v>0</v>
      </c>
      <c r="G31" s="250">
        <v>0</v>
      </c>
      <c r="H31" s="242">
        <v>46447</v>
      </c>
      <c r="I31" s="242">
        <v>46689</v>
      </c>
      <c r="J31" s="243"/>
      <c r="K31" s="243"/>
      <c r="L31" s="245"/>
    </row>
    <row r="32" spans="1:12">
      <c r="A32" s="249">
        <v>31</v>
      </c>
      <c r="B32" s="472" t="s">
        <v>2220</v>
      </c>
      <c r="C32" s="239" t="s">
        <v>2249</v>
      </c>
      <c r="D32" s="238" t="s">
        <v>2245</v>
      </c>
      <c r="E32" s="249" t="s">
        <v>2224</v>
      </c>
      <c r="F32" s="250">
        <v>0</v>
      </c>
      <c r="G32" s="250">
        <v>0</v>
      </c>
      <c r="H32" s="242">
        <v>46237</v>
      </c>
      <c r="I32" s="242">
        <v>46506</v>
      </c>
      <c r="J32" s="243"/>
      <c r="K32" s="243"/>
      <c r="L32" s="245"/>
    </row>
    <row r="33" spans="1:12">
      <c r="A33" s="249">
        <v>32</v>
      </c>
      <c r="B33" s="472" t="s">
        <v>2220</v>
      </c>
      <c r="C33" s="239" t="s">
        <v>2250</v>
      </c>
      <c r="D33" s="238" t="s">
        <v>2245</v>
      </c>
      <c r="E33" s="249" t="s">
        <v>2224</v>
      </c>
      <c r="F33" s="250">
        <v>0</v>
      </c>
      <c r="G33" s="250">
        <v>0</v>
      </c>
      <c r="H33" s="242">
        <v>46203</v>
      </c>
      <c r="I33" s="242">
        <v>46353</v>
      </c>
      <c r="J33" s="243"/>
      <c r="K33" s="243"/>
      <c r="L33" s="245"/>
    </row>
    <row r="34" spans="1:12">
      <c r="A34" s="249">
        <v>33</v>
      </c>
      <c r="B34" s="472" t="s">
        <v>2220</v>
      </c>
      <c r="C34" s="239" t="s">
        <v>2251</v>
      </c>
      <c r="D34" s="238" t="s">
        <v>2245</v>
      </c>
      <c r="E34" s="249" t="s">
        <v>2224</v>
      </c>
      <c r="F34" s="250">
        <v>0</v>
      </c>
      <c r="G34" s="250">
        <v>0</v>
      </c>
      <c r="H34" s="242">
        <v>46447</v>
      </c>
      <c r="I34" s="242">
        <v>46605</v>
      </c>
      <c r="J34" s="243"/>
      <c r="K34" s="243"/>
      <c r="L34" s="245"/>
    </row>
    <row r="35" spans="1:12">
      <c r="A35" s="249">
        <v>34</v>
      </c>
      <c r="B35" s="472" t="s">
        <v>2220</v>
      </c>
      <c r="C35" s="239" t="s">
        <v>2252</v>
      </c>
      <c r="D35" s="238" t="s">
        <v>2245</v>
      </c>
      <c r="E35" s="249" t="s">
        <v>2224</v>
      </c>
      <c r="F35" s="250">
        <v>0</v>
      </c>
      <c r="G35" s="250">
        <v>0</v>
      </c>
      <c r="H35" s="242">
        <v>46436</v>
      </c>
      <c r="I35" s="242">
        <v>46532</v>
      </c>
      <c r="J35" s="243"/>
      <c r="K35" s="243"/>
      <c r="L35" s="245"/>
    </row>
    <row r="36" spans="1:12">
      <c r="A36" s="249">
        <v>35</v>
      </c>
      <c r="B36" s="472" t="s">
        <v>2220</v>
      </c>
      <c r="C36" s="239" t="s">
        <v>2253</v>
      </c>
      <c r="D36" s="238" t="s">
        <v>2245</v>
      </c>
      <c r="E36" s="249" t="s">
        <v>2224</v>
      </c>
      <c r="F36" s="250">
        <v>0</v>
      </c>
      <c r="G36" s="250">
        <v>0</v>
      </c>
      <c r="H36" s="242">
        <v>46436</v>
      </c>
      <c r="I36" s="242">
        <v>46622</v>
      </c>
      <c r="J36" s="243"/>
      <c r="K36" s="243"/>
      <c r="L36" s="245"/>
    </row>
    <row r="37" spans="1:12">
      <c r="A37" s="249">
        <v>36</v>
      </c>
      <c r="B37" s="472" t="s">
        <v>2220</v>
      </c>
      <c r="C37" s="239" t="s">
        <v>2254</v>
      </c>
      <c r="D37" s="238" t="s">
        <v>2245</v>
      </c>
      <c r="E37" s="249" t="s">
        <v>2224</v>
      </c>
      <c r="F37" s="250">
        <v>0</v>
      </c>
      <c r="G37" s="250">
        <v>0</v>
      </c>
      <c r="H37" s="242">
        <v>46797</v>
      </c>
      <c r="I37" s="242">
        <v>46860</v>
      </c>
      <c r="J37" s="243"/>
      <c r="K37" s="243"/>
      <c r="L37" s="245"/>
    </row>
    <row r="38" spans="1:12">
      <c r="A38" s="249">
        <v>37</v>
      </c>
      <c r="B38" s="472" t="s">
        <v>2220</v>
      </c>
      <c r="C38" s="239" t="s">
        <v>2255</v>
      </c>
      <c r="D38" s="238" t="s">
        <v>2245</v>
      </c>
      <c r="E38" s="249" t="s">
        <v>2224</v>
      </c>
      <c r="F38" s="250">
        <v>0</v>
      </c>
      <c r="G38" s="250">
        <v>0</v>
      </c>
      <c r="H38" s="242">
        <v>46351</v>
      </c>
      <c r="I38" s="242">
        <v>46584</v>
      </c>
      <c r="J38" s="243"/>
      <c r="K38" s="243"/>
      <c r="L38" s="245"/>
    </row>
    <row r="39" spans="1:12">
      <c r="A39" s="249">
        <v>38</v>
      </c>
      <c r="B39" s="472" t="s">
        <v>2220</v>
      </c>
      <c r="C39" s="239" t="s">
        <v>2256</v>
      </c>
      <c r="D39" s="238" t="s">
        <v>2245</v>
      </c>
      <c r="E39" s="249" t="s">
        <v>2224</v>
      </c>
      <c r="F39" s="250">
        <v>0</v>
      </c>
      <c r="G39" s="250">
        <v>0</v>
      </c>
      <c r="H39" s="242">
        <v>46351</v>
      </c>
      <c r="I39" s="242">
        <v>46527</v>
      </c>
      <c r="J39" s="243"/>
      <c r="K39" s="243"/>
      <c r="L39" s="245"/>
    </row>
    <row r="40" spans="1:12">
      <c r="A40" s="249">
        <v>39</v>
      </c>
      <c r="B40" s="472" t="s">
        <v>2220</v>
      </c>
      <c r="C40" s="239" t="s">
        <v>2257</v>
      </c>
      <c r="D40" s="238" t="s">
        <v>2245</v>
      </c>
      <c r="E40" s="249" t="s">
        <v>2224</v>
      </c>
      <c r="F40" s="250">
        <v>0</v>
      </c>
      <c r="G40" s="250">
        <v>0</v>
      </c>
      <c r="H40" s="242">
        <v>46370</v>
      </c>
      <c r="I40" s="242">
        <v>46479</v>
      </c>
      <c r="J40" s="243"/>
      <c r="K40" s="243"/>
      <c r="L40" s="245"/>
    </row>
    <row r="41" spans="1:12">
      <c r="A41" s="249">
        <v>40</v>
      </c>
      <c r="B41" s="472" t="s">
        <v>2220</v>
      </c>
      <c r="C41" s="473" t="s">
        <v>2258</v>
      </c>
      <c r="D41" s="249" t="s">
        <v>2245</v>
      </c>
      <c r="E41" s="249" t="s">
        <v>2224</v>
      </c>
      <c r="F41" s="250">
        <v>0</v>
      </c>
      <c r="G41" s="250">
        <v>0</v>
      </c>
      <c r="H41" s="531">
        <v>46290</v>
      </c>
      <c r="I41" s="531">
        <v>46400</v>
      </c>
      <c r="J41" s="251"/>
      <c r="K41" s="251"/>
      <c r="L41" s="245"/>
    </row>
    <row r="44" spans="1:12">
      <c r="B44" t="s">
        <v>2204</v>
      </c>
      <c r="C44" t="s">
        <v>2259</v>
      </c>
    </row>
    <row r="45" spans="1:12">
      <c r="B45" t="s">
        <v>2207</v>
      </c>
      <c r="C45" t="s">
        <v>2260</v>
      </c>
    </row>
    <row r="46" spans="1:12">
      <c r="B46" t="s">
        <v>2212</v>
      </c>
      <c r="C46" t="s">
        <v>2261</v>
      </c>
    </row>
    <row r="47" spans="1:12">
      <c r="B47" t="s">
        <v>2220</v>
      </c>
      <c r="C47" t="s">
        <v>2262</v>
      </c>
    </row>
    <row r="48" spans="1:12">
      <c r="B48" t="s">
        <v>2263</v>
      </c>
    </row>
    <row r="59" spans="1:36">
      <c r="A59" s="479" t="s">
        <v>2194</v>
      </c>
      <c r="B59" s="480" t="s">
        <v>2195</v>
      </c>
      <c r="C59" s="481" t="s">
        <v>2196</v>
      </c>
      <c r="D59" s="479" t="s">
        <v>5</v>
      </c>
      <c r="E59" s="479" t="s">
        <v>2197</v>
      </c>
      <c r="F59" s="479" t="s">
        <v>18</v>
      </c>
      <c r="G59" s="482" t="s">
        <v>2198</v>
      </c>
      <c r="H59" s="479" t="s">
        <v>2199</v>
      </c>
      <c r="I59" s="479" t="s">
        <v>2200</v>
      </c>
      <c r="J59" s="483" t="s">
        <v>2201</v>
      </c>
      <c r="K59" s="484" t="s">
        <v>2202</v>
      </c>
      <c r="L59" s="483"/>
      <c r="M59" s="509">
        <v>46023</v>
      </c>
      <c r="N59" s="509">
        <v>46054</v>
      </c>
      <c r="O59" s="509">
        <v>46082</v>
      </c>
      <c r="P59" s="509">
        <v>46113</v>
      </c>
      <c r="Q59" s="509">
        <v>46143</v>
      </c>
      <c r="R59" s="509">
        <v>46174</v>
      </c>
      <c r="S59" s="509">
        <v>46204</v>
      </c>
      <c r="T59" s="509">
        <v>46235</v>
      </c>
      <c r="U59" s="509">
        <v>46266</v>
      </c>
      <c r="V59" s="509">
        <v>46296</v>
      </c>
      <c r="W59" s="509">
        <v>46327</v>
      </c>
      <c r="X59" s="509">
        <v>46357</v>
      </c>
      <c r="Y59" s="509">
        <v>46388</v>
      </c>
      <c r="Z59" s="509">
        <v>46419</v>
      </c>
      <c r="AA59" s="509">
        <v>46447</v>
      </c>
      <c r="AB59" s="509">
        <v>46478</v>
      </c>
      <c r="AC59" s="509">
        <v>46508</v>
      </c>
      <c r="AD59" s="509">
        <v>46539</v>
      </c>
      <c r="AE59" s="509">
        <v>46569</v>
      </c>
      <c r="AF59" s="509">
        <v>46600</v>
      </c>
      <c r="AG59" s="509">
        <v>46631</v>
      </c>
      <c r="AH59" s="509">
        <v>46661</v>
      </c>
      <c r="AI59" s="509">
        <v>46692</v>
      </c>
      <c r="AJ59" s="509">
        <v>46722</v>
      </c>
    </row>
    <row r="60" spans="1:36" ht="30">
      <c r="A60" s="485">
        <v>1</v>
      </c>
      <c r="B60" s="486" t="s">
        <v>2204</v>
      </c>
      <c r="C60" s="487" t="s">
        <v>2205</v>
      </c>
      <c r="D60" s="488" t="s">
        <v>26</v>
      </c>
      <c r="E60" s="488" t="s">
        <v>2206</v>
      </c>
      <c r="F60" s="489">
        <v>0.87</v>
      </c>
      <c r="G60" s="489">
        <v>0.83</v>
      </c>
      <c r="H60" s="490">
        <v>45065</v>
      </c>
      <c r="I60" s="490">
        <v>46203</v>
      </c>
      <c r="J60" s="491"/>
      <c r="K60" s="492"/>
      <c r="L60" s="245"/>
      <c r="M60" s="510"/>
      <c r="N60" s="510"/>
      <c r="O60" s="510"/>
      <c r="P60" s="510"/>
      <c r="Q60" s="510"/>
      <c r="R60" s="510"/>
      <c r="S60" s="510"/>
      <c r="T60" s="510"/>
      <c r="U60" s="510"/>
      <c r="V60" s="510"/>
      <c r="W60" s="510"/>
      <c r="X60" s="510"/>
      <c r="Y60" s="510"/>
      <c r="Z60" s="510"/>
      <c r="AA60" s="510"/>
      <c r="AB60" s="510"/>
      <c r="AC60" s="510"/>
      <c r="AD60" s="510"/>
      <c r="AE60" s="510"/>
      <c r="AF60" s="510"/>
      <c r="AG60" s="510"/>
      <c r="AH60" s="510"/>
      <c r="AI60" s="510"/>
      <c r="AJ60" s="511"/>
    </row>
    <row r="61" spans="1:36" outlineLevel="1">
      <c r="A61" s="238"/>
      <c r="B61" s="500"/>
      <c r="C61" s="505" t="s">
        <v>2264</v>
      </c>
      <c r="D61" s="506"/>
      <c r="E61" s="506"/>
      <c r="F61" s="507">
        <v>0.94</v>
      </c>
      <c r="G61" s="507">
        <v>0.98</v>
      </c>
      <c r="H61" s="508">
        <v>45442</v>
      </c>
      <c r="I61" s="508">
        <v>46142</v>
      </c>
      <c r="J61" s="243"/>
      <c r="K61" s="244"/>
      <c r="L61" s="245"/>
      <c r="M61" s="510"/>
      <c r="N61" s="510"/>
      <c r="O61" s="510"/>
      <c r="P61" s="510"/>
      <c r="Q61" s="510"/>
      <c r="R61" s="510"/>
      <c r="S61" s="510"/>
      <c r="T61" s="510"/>
      <c r="U61" s="510"/>
      <c r="V61" s="510"/>
      <c r="W61" s="510"/>
      <c r="X61" s="510"/>
      <c r="Y61" s="510"/>
      <c r="Z61" s="510"/>
      <c r="AA61" s="510"/>
      <c r="AB61" s="510"/>
      <c r="AC61" s="510"/>
      <c r="AD61" s="510"/>
      <c r="AE61" s="510"/>
      <c r="AF61" s="510"/>
      <c r="AG61" s="510"/>
      <c r="AH61" s="510"/>
      <c r="AI61" s="510"/>
      <c r="AJ61" s="511"/>
    </row>
    <row r="62" spans="1:36" outlineLevel="1">
      <c r="A62" s="238"/>
      <c r="B62" s="500"/>
      <c r="C62" s="501" t="s">
        <v>2265</v>
      </c>
      <c r="D62" s="502"/>
      <c r="E62" s="502"/>
      <c r="F62" s="241"/>
      <c r="G62" s="241"/>
      <c r="H62" s="242">
        <v>46035</v>
      </c>
      <c r="I62" s="242">
        <v>46094</v>
      </c>
      <c r="J62" s="243"/>
      <c r="K62" s="244"/>
      <c r="L62" s="245"/>
      <c r="M62" s="510"/>
      <c r="N62" s="510"/>
      <c r="O62" s="510"/>
      <c r="P62" s="510"/>
      <c r="Q62" s="510"/>
      <c r="R62" s="510"/>
      <c r="S62" s="510"/>
      <c r="T62" s="510"/>
      <c r="U62" s="510"/>
      <c r="V62" s="510"/>
      <c r="W62" s="510"/>
      <c r="X62" s="510"/>
      <c r="Y62" s="510"/>
      <c r="Z62" s="510"/>
      <c r="AA62" s="510"/>
      <c r="AB62" s="510"/>
      <c r="AC62" s="510"/>
      <c r="AD62" s="510"/>
      <c r="AE62" s="510"/>
      <c r="AF62" s="510"/>
      <c r="AG62" s="510"/>
      <c r="AH62" s="510"/>
      <c r="AI62" s="510"/>
      <c r="AJ62" s="511"/>
    </row>
    <row r="63" spans="1:36" outlineLevel="1">
      <c r="A63" s="238"/>
      <c r="B63" s="500"/>
      <c r="C63" s="501" t="s">
        <v>2266</v>
      </c>
      <c r="D63" s="502"/>
      <c r="E63" s="502"/>
      <c r="F63" s="241"/>
      <c r="G63" s="241"/>
      <c r="H63" s="242">
        <v>46095</v>
      </c>
      <c r="I63" s="242">
        <v>46126</v>
      </c>
      <c r="J63" s="243"/>
      <c r="K63" s="244"/>
      <c r="L63" s="245"/>
      <c r="M63" s="510"/>
      <c r="N63" s="510"/>
      <c r="O63" s="510"/>
      <c r="P63" s="510"/>
      <c r="Q63" s="510"/>
      <c r="R63" s="510"/>
      <c r="S63" s="510"/>
      <c r="T63" s="510"/>
      <c r="U63" s="510"/>
      <c r="V63" s="510"/>
      <c r="W63" s="510"/>
      <c r="X63" s="510"/>
      <c r="Y63" s="510"/>
      <c r="Z63" s="510"/>
      <c r="AA63" s="510"/>
      <c r="AB63" s="510"/>
      <c r="AC63" s="510"/>
      <c r="AD63" s="510"/>
      <c r="AE63" s="510"/>
      <c r="AF63" s="510"/>
      <c r="AG63" s="510"/>
      <c r="AH63" s="510"/>
      <c r="AI63" s="510"/>
      <c r="AJ63" s="511"/>
    </row>
    <row r="64" spans="1:36" outlineLevel="1">
      <c r="A64" s="238"/>
      <c r="B64" s="500"/>
      <c r="C64" s="501" t="s">
        <v>1724</v>
      </c>
      <c r="D64" s="502"/>
      <c r="E64" s="502"/>
      <c r="F64" s="241"/>
      <c r="G64" s="241"/>
      <c r="H64" s="242">
        <v>46126</v>
      </c>
      <c r="I64" s="242">
        <v>46142</v>
      </c>
      <c r="J64" s="243"/>
      <c r="K64" s="244"/>
      <c r="L64" s="245"/>
      <c r="M64" s="510"/>
      <c r="N64" s="510"/>
      <c r="O64" s="510"/>
      <c r="P64" s="510"/>
      <c r="Q64" s="510"/>
      <c r="R64" s="510"/>
      <c r="S64" s="510"/>
      <c r="T64" s="510"/>
      <c r="U64" s="510"/>
      <c r="V64" s="510"/>
      <c r="W64" s="510"/>
      <c r="X64" s="510"/>
      <c r="Y64" s="510"/>
      <c r="Z64" s="510"/>
      <c r="AA64" s="510"/>
      <c r="AB64" s="510"/>
      <c r="AC64" s="510"/>
      <c r="AD64" s="510"/>
      <c r="AE64" s="510"/>
      <c r="AF64" s="510"/>
      <c r="AG64" s="510"/>
      <c r="AH64" s="510"/>
      <c r="AI64" s="510"/>
      <c r="AJ64" s="511"/>
    </row>
    <row r="65" spans="1:36" outlineLevel="1">
      <c r="A65" s="502"/>
      <c r="B65" s="500"/>
      <c r="C65" s="495" t="s">
        <v>2267</v>
      </c>
      <c r="D65" s="485"/>
      <c r="E65" s="485"/>
      <c r="F65" s="489">
        <v>0.56999999999999995</v>
      </c>
      <c r="G65" s="489">
        <v>0.3</v>
      </c>
      <c r="H65" s="508">
        <v>46142</v>
      </c>
      <c r="I65" s="490">
        <v>46203</v>
      </c>
      <c r="J65" s="491"/>
      <c r="K65" s="492"/>
      <c r="L65" s="245"/>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1"/>
    </row>
    <row r="66" spans="1:36" outlineLevel="1">
      <c r="A66" s="502"/>
      <c r="B66" s="500"/>
      <c r="C66" s="501" t="s">
        <v>2265</v>
      </c>
      <c r="D66" s="502"/>
      <c r="E66" s="502"/>
      <c r="F66" s="503"/>
      <c r="G66" s="503"/>
      <c r="H66" s="504">
        <v>45686</v>
      </c>
      <c r="I66" s="504">
        <v>46157</v>
      </c>
      <c r="J66" s="491"/>
      <c r="K66" s="492"/>
      <c r="L66" s="245"/>
      <c r="M66" s="510"/>
      <c r="N66" s="510"/>
      <c r="O66" s="510"/>
      <c r="P66" s="510"/>
      <c r="Q66" s="510"/>
      <c r="R66" s="510"/>
      <c r="S66" s="510"/>
      <c r="T66" s="510"/>
      <c r="U66" s="510"/>
      <c r="V66" s="510"/>
      <c r="W66" s="510"/>
      <c r="X66" s="510"/>
      <c r="Y66" s="510"/>
      <c r="Z66" s="510"/>
      <c r="AA66" s="510"/>
      <c r="AB66" s="510"/>
      <c r="AC66" s="510"/>
      <c r="AD66" s="510"/>
      <c r="AE66" s="510"/>
      <c r="AF66" s="510"/>
      <c r="AG66" s="510"/>
      <c r="AH66" s="510"/>
      <c r="AI66" s="510"/>
      <c r="AJ66" s="511"/>
    </row>
    <row r="67" spans="1:36" outlineLevel="1">
      <c r="A67" s="502"/>
      <c r="B67" s="500"/>
      <c r="C67" s="501" t="s">
        <v>2266</v>
      </c>
      <c r="D67" s="502"/>
      <c r="E67" s="502"/>
      <c r="F67" s="503"/>
      <c r="G67" s="503"/>
      <c r="H67" s="504">
        <v>46157</v>
      </c>
      <c r="I67" s="504">
        <v>46188</v>
      </c>
      <c r="J67" s="491"/>
      <c r="K67" s="492"/>
      <c r="L67" s="245"/>
      <c r="M67" s="510"/>
      <c r="N67" s="510"/>
      <c r="O67" s="510"/>
      <c r="P67" s="510"/>
      <c r="Q67" s="510"/>
      <c r="R67" s="510"/>
      <c r="S67" s="510"/>
      <c r="T67" s="510"/>
      <c r="U67" s="510"/>
      <c r="V67" s="510"/>
      <c r="W67" s="510"/>
      <c r="X67" s="510"/>
      <c r="Y67" s="510"/>
      <c r="Z67" s="510"/>
      <c r="AA67" s="510"/>
      <c r="AB67" s="510"/>
      <c r="AC67" s="510"/>
      <c r="AD67" s="510"/>
      <c r="AE67" s="510"/>
      <c r="AF67" s="510"/>
      <c r="AG67" s="510"/>
      <c r="AH67" s="510"/>
      <c r="AI67" s="510"/>
      <c r="AJ67" s="511"/>
    </row>
    <row r="68" spans="1:36" outlineLevel="1">
      <c r="A68" s="502"/>
      <c r="B68" s="500"/>
      <c r="C68" s="501" t="s">
        <v>1724</v>
      </c>
      <c r="D68" s="502"/>
      <c r="E68" s="502"/>
      <c r="F68" s="503"/>
      <c r="G68" s="503"/>
      <c r="H68" s="504">
        <v>46188</v>
      </c>
      <c r="I68" s="504">
        <v>46203</v>
      </c>
      <c r="J68" s="491"/>
      <c r="K68" s="492"/>
      <c r="L68" s="245"/>
      <c r="M68" s="510"/>
      <c r="N68" s="510"/>
      <c r="O68" s="510"/>
      <c r="P68" s="510"/>
      <c r="Q68" s="510"/>
      <c r="R68" s="510"/>
      <c r="S68" s="510"/>
      <c r="T68" s="510"/>
      <c r="U68" s="510"/>
      <c r="V68" s="510"/>
      <c r="W68" s="510"/>
      <c r="X68" s="510"/>
      <c r="Y68" s="510"/>
      <c r="Z68" s="510"/>
      <c r="AA68" s="510"/>
      <c r="AB68" s="510"/>
      <c r="AC68" s="510"/>
      <c r="AD68" s="510"/>
      <c r="AE68" s="510"/>
      <c r="AF68" s="510"/>
      <c r="AG68" s="510"/>
      <c r="AH68" s="510"/>
      <c r="AI68" s="510"/>
      <c r="AJ68" s="511"/>
    </row>
    <row r="69" spans="1:36">
      <c r="A69" s="238">
        <v>2</v>
      </c>
      <c r="B69" s="253" t="s">
        <v>2207</v>
      </c>
      <c r="C69" s="239" t="s">
        <v>2208</v>
      </c>
      <c r="D69" s="240" t="s">
        <v>26</v>
      </c>
      <c r="E69" s="240" t="s">
        <v>2209</v>
      </c>
      <c r="F69" s="241">
        <v>0.97</v>
      </c>
      <c r="G69" s="241">
        <v>0.8</v>
      </c>
      <c r="H69" s="242">
        <v>45629</v>
      </c>
      <c r="I69" s="242">
        <v>46173</v>
      </c>
      <c r="J69" s="243"/>
      <c r="K69" s="244"/>
      <c r="L69" s="245"/>
      <c r="M69" s="510"/>
      <c r="N69" s="510"/>
      <c r="O69" s="510"/>
      <c r="P69" s="510"/>
      <c r="Q69" s="510"/>
      <c r="R69" s="510"/>
      <c r="S69" s="510"/>
      <c r="T69" s="510"/>
      <c r="U69" s="510"/>
      <c r="V69" s="510"/>
      <c r="W69" s="510"/>
      <c r="X69" s="510"/>
      <c r="Y69" s="510"/>
      <c r="Z69" s="510"/>
      <c r="AA69" s="510"/>
      <c r="AB69" s="510"/>
      <c r="AC69" s="510"/>
      <c r="AD69" s="510"/>
      <c r="AE69" s="510"/>
      <c r="AF69" s="510"/>
      <c r="AG69" s="510"/>
      <c r="AH69" s="510"/>
      <c r="AI69" s="510"/>
      <c r="AJ69" s="511"/>
    </row>
    <row r="70" spans="1:36" outlineLevel="1">
      <c r="A70" s="485"/>
      <c r="B70" s="486"/>
      <c r="C70" s="495" t="s">
        <v>2265</v>
      </c>
      <c r="D70" s="485"/>
      <c r="E70" s="485"/>
      <c r="F70" s="489">
        <v>1</v>
      </c>
      <c r="G70" s="489">
        <v>0.76</v>
      </c>
      <c r="H70" s="490">
        <v>45853</v>
      </c>
      <c r="I70" s="490">
        <v>46112</v>
      </c>
      <c r="J70" s="491"/>
      <c r="K70" s="492"/>
      <c r="L70" s="245"/>
      <c r="M70" s="512"/>
      <c r="N70" s="512"/>
      <c r="O70" s="512"/>
      <c r="P70" s="512"/>
      <c r="Q70" s="512"/>
      <c r="R70" s="512"/>
      <c r="S70" s="512"/>
      <c r="T70" s="512"/>
      <c r="U70" s="512"/>
      <c r="V70" s="512"/>
      <c r="W70" s="512"/>
      <c r="X70" s="512"/>
      <c r="Y70" s="512"/>
      <c r="Z70" s="512"/>
      <c r="AA70" s="512"/>
      <c r="AB70" s="512"/>
      <c r="AC70" s="512"/>
      <c r="AD70" s="512"/>
      <c r="AE70" s="512"/>
      <c r="AF70" s="512"/>
      <c r="AG70" s="512"/>
      <c r="AH70" s="512"/>
      <c r="AI70" s="512"/>
      <c r="AJ70" s="513"/>
    </row>
    <row r="71" spans="1:36" outlineLevel="1">
      <c r="A71" s="238"/>
      <c r="B71" s="253"/>
      <c r="C71" s="494" t="s">
        <v>2266</v>
      </c>
      <c r="D71" s="238"/>
      <c r="E71" s="238"/>
      <c r="F71" s="241">
        <v>0.97</v>
      </c>
      <c r="G71" s="241">
        <v>0</v>
      </c>
      <c r="H71" s="242">
        <v>46113</v>
      </c>
      <c r="I71" s="242">
        <v>46158</v>
      </c>
      <c r="J71" s="243"/>
      <c r="K71" s="244"/>
      <c r="L71" s="245"/>
      <c r="M71" s="510"/>
      <c r="N71" s="510"/>
      <c r="O71" s="510"/>
      <c r="P71" s="512"/>
      <c r="Q71" s="512"/>
      <c r="R71" s="510"/>
      <c r="S71" s="510"/>
      <c r="T71" s="510"/>
      <c r="U71" s="510"/>
      <c r="V71" s="510"/>
      <c r="W71" s="510"/>
      <c r="X71" s="510"/>
      <c r="Y71" s="510"/>
      <c r="Z71" s="510"/>
      <c r="AA71" s="510"/>
      <c r="AB71" s="510"/>
      <c r="AC71" s="510"/>
      <c r="AD71" s="510"/>
      <c r="AE71" s="510"/>
      <c r="AF71" s="510"/>
      <c r="AG71" s="510"/>
      <c r="AH71" s="510"/>
      <c r="AI71" s="510"/>
      <c r="AJ71" s="511"/>
    </row>
    <row r="72" spans="1:36" outlineLevel="1">
      <c r="A72" s="485"/>
      <c r="B72" s="486"/>
      <c r="C72" s="495" t="s">
        <v>1724</v>
      </c>
      <c r="D72" s="485"/>
      <c r="E72" s="485"/>
      <c r="F72" s="489">
        <v>0</v>
      </c>
      <c r="G72" s="489">
        <v>0</v>
      </c>
      <c r="H72" s="490">
        <v>46158</v>
      </c>
      <c r="I72" s="490">
        <v>46173</v>
      </c>
      <c r="J72" s="491"/>
      <c r="K72" s="492"/>
      <c r="L72" s="245"/>
      <c r="M72" s="510"/>
      <c r="N72" s="510"/>
      <c r="O72" s="510"/>
      <c r="P72" s="512"/>
      <c r="Q72" s="512"/>
      <c r="R72" s="510"/>
      <c r="S72" s="510"/>
      <c r="T72" s="510"/>
      <c r="U72" s="510"/>
      <c r="V72" s="510"/>
      <c r="W72" s="510"/>
      <c r="X72" s="510"/>
      <c r="Y72" s="510"/>
      <c r="Z72" s="510"/>
      <c r="AA72" s="510"/>
      <c r="AB72" s="510"/>
      <c r="AC72" s="510"/>
      <c r="AD72" s="510"/>
      <c r="AE72" s="510"/>
      <c r="AF72" s="510"/>
      <c r="AG72" s="510"/>
      <c r="AH72" s="510"/>
      <c r="AI72" s="510"/>
      <c r="AJ72" s="511"/>
    </row>
    <row r="73" spans="1:36">
      <c r="A73" s="238">
        <v>3</v>
      </c>
      <c r="B73" s="253" t="s">
        <v>2204</v>
      </c>
      <c r="C73" s="239" t="s">
        <v>2210</v>
      </c>
      <c r="D73" s="240" t="s">
        <v>26</v>
      </c>
      <c r="E73" s="240" t="s">
        <v>2211</v>
      </c>
      <c r="F73" s="241">
        <v>0.38</v>
      </c>
      <c r="G73" s="241">
        <v>0.39</v>
      </c>
      <c r="H73" s="242">
        <v>45943</v>
      </c>
      <c r="I73" s="242">
        <v>46356</v>
      </c>
      <c r="J73" s="243"/>
      <c r="K73" s="244"/>
      <c r="L73" s="245"/>
      <c r="M73" s="510"/>
      <c r="N73" s="510"/>
      <c r="O73" s="510"/>
      <c r="P73" s="512"/>
      <c r="Q73" s="512"/>
      <c r="R73" s="512"/>
      <c r="S73" s="512"/>
      <c r="T73" s="512"/>
      <c r="U73" s="512"/>
      <c r="V73" s="512"/>
      <c r="W73" s="512"/>
      <c r="X73" s="512"/>
      <c r="Y73" s="512"/>
      <c r="Z73" s="512"/>
      <c r="AA73" s="512"/>
      <c r="AB73" s="512"/>
      <c r="AC73" s="512"/>
      <c r="AD73" s="512"/>
      <c r="AE73" s="512"/>
      <c r="AF73" s="512"/>
      <c r="AG73" s="512"/>
      <c r="AH73" s="512"/>
      <c r="AI73" s="512"/>
      <c r="AJ73" s="513"/>
    </row>
    <row r="74" spans="1:36">
      <c r="A74" s="485">
        <v>4</v>
      </c>
      <c r="B74" s="486" t="s">
        <v>2212</v>
      </c>
      <c r="C74" s="487" t="s">
        <v>2213</v>
      </c>
      <c r="D74" s="488" t="s">
        <v>26</v>
      </c>
      <c r="E74" s="488" t="s">
        <v>2214</v>
      </c>
      <c r="F74" s="489">
        <v>0.51</v>
      </c>
      <c r="G74" s="489">
        <v>0.23</v>
      </c>
      <c r="H74" s="490">
        <v>45297</v>
      </c>
      <c r="I74" s="516">
        <v>46530</v>
      </c>
      <c r="J74" s="496"/>
      <c r="K74" s="492"/>
      <c r="L74" s="245"/>
      <c r="M74" s="510"/>
      <c r="N74" s="510"/>
      <c r="O74" s="510"/>
      <c r="P74" s="510"/>
      <c r="Q74" s="510"/>
      <c r="R74" s="510"/>
      <c r="S74" s="510"/>
      <c r="T74" s="510"/>
      <c r="U74" s="510"/>
      <c r="V74" s="510"/>
      <c r="W74" s="510"/>
      <c r="X74" s="510"/>
      <c r="Y74" s="510"/>
      <c r="Z74" s="510"/>
      <c r="AA74" s="510"/>
      <c r="AB74" s="510"/>
      <c r="AC74" s="510"/>
      <c r="AD74" s="510"/>
      <c r="AE74" s="510"/>
      <c r="AF74" s="510"/>
      <c r="AG74" s="510"/>
      <c r="AH74" s="510"/>
      <c r="AI74" s="510"/>
      <c r="AJ74" s="511"/>
    </row>
    <row r="75" spans="1:36" outlineLevel="1">
      <c r="A75" s="238"/>
      <c r="B75" s="253"/>
      <c r="C75" s="494" t="s">
        <v>2268</v>
      </c>
      <c r="D75" s="238"/>
      <c r="E75" s="238"/>
      <c r="F75" s="241"/>
      <c r="G75" s="241"/>
      <c r="H75" s="242">
        <f>H76</f>
        <v>45903</v>
      </c>
      <c r="I75" s="242">
        <f>I78</f>
        <v>46140</v>
      </c>
      <c r="J75" s="243"/>
      <c r="K75" s="244"/>
      <c r="L75" s="245"/>
      <c r="M75" s="510"/>
      <c r="N75" s="510"/>
      <c r="O75" s="510"/>
      <c r="P75" s="512"/>
      <c r="Q75" s="512"/>
      <c r="R75" s="512"/>
      <c r="S75" s="512"/>
      <c r="T75" s="512"/>
      <c r="U75" s="512"/>
      <c r="V75" s="512"/>
      <c r="W75" s="512"/>
      <c r="X75" s="512"/>
      <c r="Y75" s="512"/>
      <c r="Z75" s="512"/>
      <c r="AA75" s="512"/>
      <c r="AB75" s="512"/>
      <c r="AC75" s="512"/>
      <c r="AD75" s="512"/>
      <c r="AE75" s="512"/>
      <c r="AF75" s="512"/>
      <c r="AG75" s="512"/>
      <c r="AH75" s="512"/>
      <c r="AI75" s="512"/>
      <c r="AJ75" s="513"/>
    </row>
    <row r="76" spans="1:36" outlineLevel="1">
      <c r="A76" s="485"/>
      <c r="B76" s="486"/>
      <c r="C76" s="497" t="s">
        <v>2265</v>
      </c>
      <c r="D76" s="485" t="s">
        <v>26</v>
      </c>
      <c r="E76" s="485" t="s">
        <v>2214</v>
      </c>
      <c r="F76" s="489">
        <v>1</v>
      </c>
      <c r="G76" s="489">
        <v>0.48</v>
      </c>
      <c r="H76" s="490">
        <v>45903</v>
      </c>
      <c r="I76" s="490">
        <v>46043</v>
      </c>
      <c r="J76" s="491"/>
      <c r="K76" s="492"/>
      <c r="L76" s="245"/>
      <c r="M76" s="510"/>
      <c r="N76" s="510"/>
      <c r="O76" s="510"/>
      <c r="P76" s="510"/>
      <c r="Q76" s="510"/>
      <c r="R76" s="510"/>
      <c r="S76" s="510"/>
      <c r="T76" s="510"/>
      <c r="U76" s="510"/>
      <c r="V76" s="510"/>
      <c r="W76" s="510"/>
      <c r="X76" s="510"/>
      <c r="Y76" s="510"/>
      <c r="Z76" s="510"/>
      <c r="AA76" s="510"/>
      <c r="AB76" s="510"/>
      <c r="AC76" s="510"/>
      <c r="AD76" s="510"/>
      <c r="AE76" s="510"/>
      <c r="AF76" s="510"/>
      <c r="AG76" s="510"/>
      <c r="AH76" s="510"/>
      <c r="AI76" s="510"/>
      <c r="AJ76" s="511"/>
    </row>
    <row r="77" spans="1:36" outlineLevel="1">
      <c r="A77" s="238"/>
      <c r="B77" s="253"/>
      <c r="C77" s="498" t="s">
        <v>2266</v>
      </c>
      <c r="D77" s="238" t="s">
        <v>26</v>
      </c>
      <c r="E77" s="238" t="s">
        <v>2214</v>
      </c>
      <c r="F77" s="241">
        <v>1</v>
      </c>
      <c r="G77" s="241">
        <v>0</v>
      </c>
      <c r="H77" s="242">
        <v>46043</v>
      </c>
      <c r="I77" s="242">
        <v>46088</v>
      </c>
      <c r="J77" s="243"/>
      <c r="K77" s="244"/>
      <c r="L77" s="245"/>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1"/>
    </row>
    <row r="78" spans="1:36" outlineLevel="1">
      <c r="A78" s="485"/>
      <c r="B78" s="486"/>
      <c r="C78" s="497" t="s">
        <v>1724</v>
      </c>
      <c r="D78" s="485" t="s">
        <v>26</v>
      </c>
      <c r="E78" s="485" t="s">
        <v>2214</v>
      </c>
      <c r="F78" s="489">
        <v>0.05</v>
      </c>
      <c r="G78" s="489">
        <v>0</v>
      </c>
      <c r="H78" s="490">
        <v>46106</v>
      </c>
      <c r="I78" s="490">
        <v>46140</v>
      </c>
      <c r="J78" s="491"/>
      <c r="K78" s="492"/>
      <c r="L78" s="245"/>
      <c r="M78" s="510"/>
      <c r="N78" s="510"/>
      <c r="O78" s="510"/>
      <c r="P78" s="510"/>
      <c r="Q78" s="510"/>
      <c r="R78" s="510"/>
      <c r="S78" s="510"/>
      <c r="T78" s="510"/>
      <c r="U78" s="510"/>
      <c r="V78" s="510"/>
      <c r="W78" s="510"/>
      <c r="X78" s="510"/>
      <c r="Y78" s="510"/>
      <c r="Z78" s="510"/>
      <c r="AA78" s="510"/>
      <c r="AB78" s="510"/>
      <c r="AC78" s="510"/>
      <c r="AD78" s="510"/>
      <c r="AE78" s="510"/>
      <c r="AF78" s="510"/>
      <c r="AG78" s="510"/>
      <c r="AH78" s="510"/>
      <c r="AI78" s="510"/>
      <c r="AJ78" s="511"/>
    </row>
    <row r="79" spans="1:36" outlineLevel="1">
      <c r="A79" s="238"/>
      <c r="B79" s="253"/>
      <c r="C79" s="494" t="s">
        <v>2269</v>
      </c>
      <c r="D79" s="238"/>
      <c r="E79" s="238"/>
      <c r="F79" s="241"/>
      <c r="G79" s="241"/>
      <c r="H79" s="242">
        <f>H80</f>
        <v>46140</v>
      </c>
      <c r="I79" s="242">
        <f>I82</f>
        <v>46296</v>
      </c>
      <c r="J79" s="243"/>
      <c r="K79" s="244"/>
      <c r="L79" s="245"/>
      <c r="M79" s="510"/>
      <c r="N79" s="510"/>
      <c r="O79" s="510"/>
      <c r="P79" s="510"/>
      <c r="Q79" s="510"/>
      <c r="R79" s="510"/>
      <c r="S79" s="510"/>
      <c r="T79" s="510"/>
      <c r="U79" s="510"/>
      <c r="V79" s="510"/>
      <c r="W79" s="510"/>
      <c r="X79" s="510"/>
      <c r="Y79" s="510"/>
      <c r="Z79" s="510"/>
      <c r="AA79" s="510"/>
      <c r="AB79" s="510"/>
      <c r="AC79" s="510"/>
      <c r="AD79" s="510"/>
      <c r="AE79" s="510"/>
      <c r="AF79" s="510"/>
      <c r="AG79" s="510"/>
      <c r="AH79" s="510"/>
      <c r="AI79" s="510"/>
      <c r="AJ79" s="511"/>
    </row>
    <row r="80" spans="1:36" outlineLevel="1">
      <c r="A80" s="485"/>
      <c r="B80" s="486"/>
      <c r="C80" s="497" t="s">
        <v>2265</v>
      </c>
      <c r="D80" s="485" t="s">
        <v>26</v>
      </c>
      <c r="E80" s="485" t="s">
        <v>2214</v>
      </c>
      <c r="F80" s="489">
        <v>0</v>
      </c>
      <c r="G80" s="489">
        <v>0</v>
      </c>
      <c r="H80" s="490">
        <v>46140</v>
      </c>
      <c r="I80" s="490">
        <v>46227</v>
      </c>
      <c r="J80" s="491"/>
      <c r="K80" s="492"/>
      <c r="L80" s="245"/>
      <c r="M80" s="510"/>
      <c r="N80" s="510"/>
      <c r="O80" s="510"/>
      <c r="P80" s="510"/>
      <c r="Q80" s="510"/>
      <c r="R80" s="510"/>
      <c r="S80" s="510"/>
      <c r="T80" s="510"/>
      <c r="U80" s="510"/>
      <c r="V80" s="510"/>
      <c r="W80" s="510"/>
      <c r="X80" s="510"/>
      <c r="Y80" s="510"/>
      <c r="Z80" s="510"/>
      <c r="AA80" s="510"/>
      <c r="AB80" s="510"/>
      <c r="AC80" s="510"/>
      <c r="AD80" s="510"/>
      <c r="AE80" s="510"/>
      <c r="AF80" s="510"/>
      <c r="AG80" s="510"/>
      <c r="AH80" s="510"/>
      <c r="AI80" s="510"/>
      <c r="AJ80" s="511"/>
    </row>
    <row r="81" spans="1:36" outlineLevel="1">
      <c r="A81" s="238"/>
      <c r="B81" s="253"/>
      <c r="C81" s="498" t="s">
        <v>2266</v>
      </c>
      <c r="D81" s="238" t="s">
        <v>26</v>
      </c>
      <c r="E81" s="238" t="s">
        <v>2214</v>
      </c>
      <c r="F81" s="241">
        <v>0</v>
      </c>
      <c r="G81" s="241">
        <v>0</v>
      </c>
      <c r="H81" s="242">
        <v>46209</v>
      </c>
      <c r="I81" s="242">
        <v>46244</v>
      </c>
      <c r="J81" s="243"/>
      <c r="K81" s="244"/>
      <c r="L81" s="245"/>
      <c r="M81" s="510"/>
      <c r="N81" s="510"/>
      <c r="O81" s="510"/>
      <c r="P81" s="510"/>
      <c r="Q81" s="510"/>
      <c r="R81" s="510"/>
      <c r="S81" s="510"/>
      <c r="T81" s="510"/>
      <c r="U81" s="510"/>
      <c r="V81" s="510"/>
      <c r="W81" s="510"/>
      <c r="X81" s="510"/>
      <c r="Y81" s="510"/>
      <c r="Z81" s="510"/>
      <c r="AA81" s="510"/>
      <c r="AB81" s="510"/>
      <c r="AC81" s="510"/>
      <c r="AD81" s="510"/>
      <c r="AE81" s="510"/>
      <c r="AF81" s="510"/>
      <c r="AG81" s="510"/>
      <c r="AH81" s="510"/>
      <c r="AI81" s="510"/>
      <c r="AJ81" s="511"/>
    </row>
    <row r="82" spans="1:36" outlineLevel="1">
      <c r="A82" s="485"/>
      <c r="B82" s="486"/>
      <c r="C82" s="497" t="s">
        <v>1724</v>
      </c>
      <c r="D82" s="485" t="s">
        <v>26</v>
      </c>
      <c r="E82" s="485" t="s">
        <v>2214</v>
      </c>
      <c r="F82" s="489">
        <v>0</v>
      </c>
      <c r="G82" s="489">
        <v>0</v>
      </c>
      <c r="H82" s="490">
        <v>46262</v>
      </c>
      <c r="I82" s="490">
        <v>46296</v>
      </c>
      <c r="J82" s="491"/>
      <c r="K82" s="492"/>
      <c r="L82" s="245"/>
      <c r="M82" s="510"/>
      <c r="N82" s="510"/>
      <c r="O82" s="510"/>
      <c r="P82" s="510"/>
      <c r="Q82" s="510"/>
      <c r="R82" s="510"/>
      <c r="S82" s="510"/>
      <c r="T82" s="510"/>
      <c r="U82" s="510"/>
      <c r="V82" s="510"/>
      <c r="W82" s="510"/>
      <c r="X82" s="510"/>
      <c r="Y82" s="510"/>
      <c r="Z82" s="510"/>
      <c r="AA82" s="510"/>
      <c r="AB82" s="510"/>
      <c r="AC82" s="510"/>
      <c r="AD82" s="510"/>
      <c r="AE82" s="510"/>
      <c r="AF82" s="510"/>
      <c r="AG82" s="510"/>
      <c r="AH82" s="510"/>
      <c r="AI82" s="510"/>
      <c r="AJ82" s="511"/>
    </row>
    <row r="83" spans="1:36" outlineLevel="1">
      <c r="A83" s="238"/>
      <c r="B83" s="253"/>
      <c r="C83" s="494" t="s">
        <v>2270</v>
      </c>
      <c r="D83" s="238"/>
      <c r="E83" s="238"/>
      <c r="F83" s="241"/>
      <c r="G83" s="241"/>
      <c r="H83" s="242">
        <f>H84</f>
        <v>46296</v>
      </c>
      <c r="I83" s="242">
        <f>I86</f>
        <v>46451</v>
      </c>
      <c r="J83" s="243"/>
      <c r="K83" s="244"/>
      <c r="L83" s="245"/>
      <c r="M83" s="510"/>
      <c r="N83" s="510"/>
      <c r="O83" s="510"/>
      <c r="P83" s="510"/>
      <c r="Q83" s="510"/>
      <c r="R83" s="510"/>
      <c r="S83" s="510"/>
      <c r="T83" s="510"/>
      <c r="U83" s="510"/>
      <c r="W83" s="510"/>
      <c r="X83" s="510"/>
      <c r="Y83" s="510"/>
      <c r="Z83" s="510"/>
      <c r="AA83" s="510"/>
      <c r="AB83" s="510"/>
      <c r="AC83" s="510"/>
      <c r="AD83" s="510"/>
      <c r="AE83" s="510"/>
      <c r="AF83" s="510"/>
      <c r="AG83" s="510"/>
      <c r="AH83" s="510"/>
      <c r="AI83" s="510"/>
      <c r="AJ83" s="511"/>
    </row>
    <row r="84" spans="1:36" outlineLevel="1">
      <c r="A84" s="485"/>
      <c r="B84" s="486"/>
      <c r="C84" s="497" t="s">
        <v>2265</v>
      </c>
      <c r="D84" s="485" t="s">
        <v>26</v>
      </c>
      <c r="E84" s="485" t="s">
        <v>2214</v>
      </c>
      <c r="F84" s="489">
        <v>0</v>
      </c>
      <c r="G84" s="489">
        <v>0</v>
      </c>
      <c r="H84" s="490">
        <v>46296</v>
      </c>
      <c r="I84" s="490">
        <v>46393</v>
      </c>
      <c r="J84" s="491"/>
      <c r="K84" s="492"/>
      <c r="L84" s="245"/>
      <c r="M84" s="510"/>
      <c r="N84" s="510"/>
      <c r="O84" s="510"/>
      <c r="P84" s="510"/>
      <c r="Q84" s="510"/>
      <c r="R84" s="510"/>
      <c r="S84" s="510"/>
      <c r="T84" s="510"/>
      <c r="U84" s="510"/>
      <c r="V84" s="510"/>
      <c r="W84" s="510"/>
      <c r="X84" s="510"/>
      <c r="Y84" s="510"/>
      <c r="Z84" s="510"/>
      <c r="AA84" s="510"/>
      <c r="AB84" s="510"/>
      <c r="AC84" s="510"/>
      <c r="AD84" s="510"/>
      <c r="AE84" s="510"/>
      <c r="AF84" s="510"/>
      <c r="AG84" s="510"/>
      <c r="AH84" s="510"/>
      <c r="AI84" s="510"/>
      <c r="AJ84" s="511"/>
    </row>
    <row r="85" spans="1:36" outlineLevel="1">
      <c r="A85" s="238"/>
      <c r="B85" s="253"/>
      <c r="C85" s="498" t="s">
        <v>2266</v>
      </c>
      <c r="D85" s="238" t="s">
        <v>26</v>
      </c>
      <c r="E85" s="238" t="s">
        <v>2214</v>
      </c>
      <c r="F85" s="241">
        <v>0</v>
      </c>
      <c r="G85" s="241">
        <v>0</v>
      </c>
      <c r="H85" s="242">
        <v>46369</v>
      </c>
      <c r="I85" s="242">
        <v>46399</v>
      </c>
      <c r="J85" s="243"/>
      <c r="K85" s="244"/>
      <c r="L85" s="245"/>
      <c r="M85" s="510"/>
      <c r="N85" s="510"/>
      <c r="O85" s="510"/>
      <c r="P85" s="510"/>
      <c r="Q85" s="510"/>
      <c r="R85" s="510"/>
      <c r="S85" s="510"/>
      <c r="T85" s="510"/>
      <c r="U85" s="510"/>
      <c r="V85" s="510"/>
      <c r="W85" s="510"/>
      <c r="X85" s="510"/>
      <c r="Y85" s="510"/>
      <c r="Z85" s="510"/>
      <c r="AA85" s="510"/>
      <c r="AB85" s="510"/>
      <c r="AC85" s="510"/>
      <c r="AD85" s="510"/>
      <c r="AE85" s="510"/>
      <c r="AF85" s="510"/>
      <c r="AG85" s="510"/>
      <c r="AH85" s="510"/>
      <c r="AI85" s="510"/>
      <c r="AJ85" s="511"/>
    </row>
    <row r="86" spans="1:36" outlineLevel="1">
      <c r="A86" s="485"/>
      <c r="B86" s="486"/>
      <c r="C86" s="497" t="s">
        <v>1724</v>
      </c>
      <c r="D86" s="485" t="s">
        <v>26</v>
      </c>
      <c r="E86" s="485" t="s">
        <v>2214</v>
      </c>
      <c r="F86" s="489">
        <v>0</v>
      </c>
      <c r="G86" s="489">
        <v>0</v>
      </c>
      <c r="H86" s="490">
        <v>46417</v>
      </c>
      <c r="I86" s="490">
        <v>46451</v>
      </c>
      <c r="J86" s="491"/>
      <c r="K86" s="492"/>
      <c r="L86" s="245"/>
      <c r="M86" s="510"/>
      <c r="N86" s="510"/>
      <c r="O86" s="510"/>
      <c r="P86" s="510"/>
      <c r="Q86" s="510"/>
      <c r="R86" s="510"/>
      <c r="S86" s="510"/>
      <c r="T86" s="510"/>
      <c r="U86" s="510"/>
      <c r="V86" s="510"/>
      <c r="W86" s="510"/>
      <c r="X86" s="510"/>
      <c r="Y86" s="510"/>
      <c r="Z86" s="510"/>
      <c r="AA86" s="510"/>
      <c r="AB86" s="510"/>
      <c r="AC86" s="510"/>
      <c r="AD86" s="510"/>
      <c r="AE86" s="510"/>
      <c r="AF86" s="510"/>
      <c r="AG86" s="510"/>
      <c r="AH86" s="510"/>
      <c r="AI86" s="510"/>
      <c r="AJ86" s="511"/>
    </row>
    <row r="87" spans="1:36" outlineLevel="1">
      <c r="A87" s="238"/>
      <c r="B87" s="253"/>
      <c r="C87" s="494" t="s">
        <v>2271</v>
      </c>
      <c r="D87" s="238"/>
      <c r="E87" s="238"/>
      <c r="F87" s="241"/>
      <c r="G87" s="241"/>
      <c r="H87" s="242">
        <f>H88</f>
        <v>46417</v>
      </c>
      <c r="I87" s="242">
        <f>I90</f>
        <v>46530</v>
      </c>
      <c r="J87" s="243"/>
      <c r="K87" s="244"/>
      <c r="L87" s="245"/>
      <c r="M87" s="510"/>
      <c r="N87" s="510"/>
      <c r="O87" s="510"/>
      <c r="P87" s="510"/>
      <c r="Q87" s="510"/>
      <c r="R87" s="510"/>
      <c r="S87" s="510"/>
      <c r="T87" s="510"/>
      <c r="U87" s="510"/>
      <c r="V87" s="510"/>
      <c r="W87" s="510"/>
      <c r="X87" s="510"/>
      <c r="Y87" s="510"/>
      <c r="Z87" s="510"/>
      <c r="AA87" s="510"/>
      <c r="AB87" s="510"/>
      <c r="AC87" s="510"/>
      <c r="AD87" s="510"/>
      <c r="AE87" s="510"/>
      <c r="AF87" s="510"/>
      <c r="AG87" s="510"/>
      <c r="AH87" s="510"/>
      <c r="AI87" s="510"/>
      <c r="AJ87" s="511"/>
    </row>
    <row r="88" spans="1:36" outlineLevel="1">
      <c r="A88" s="485"/>
      <c r="B88" s="486"/>
      <c r="C88" s="497" t="s">
        <v>2265</v>
      </c>
      <c r="D88" s="485" t="s">
        <v>26</v>
      </c>
      <c r="E88" s="485" t="s">
        <v>2214</v>
      </c>
      <c r="F88" s="489">
        <v>0</v>
      </c>
      <c r="G88" s="489">
        <v>0</v>
      </c>
      <c r="H88" s="490">
        <v>46417</v>
      </c>
      <c r="I88" s="490">
        <v>46468</v>
      </c>
      <c r="J88" s="491"/>
      <c r="K88" s="492"/>
      <c r="L88" s="245"/>
      <c r="M88" s="510"/>
      <c r="N88" s="510"/>
      <c r="O88" s="510"/>
      <c r="P88" s="510"/>
      <c r="Q88" s="510"/>
      <c r="R88" s="510"/>
      <c r="S88" s="510"/>
      <c r="T88" s="510"/>
      <c r="U88" s="510"/>
      <c r="V88" s="510"/>
      <c r="W88" s="510"/>
      <c r="X88" s="510"/>
      <c r="Y88" s="510"/>
      <c r="Z88" s="510"/>
      <c r="AA88" s="510"/>
      <c r="AB88" s="510"/>
      <c r="AC88" s="510"/>
      <c r="AD88" s="510"/>
      <c r="AE88" s="510"/>
      <c r="AF88" s="510"/>
      <c r="AG88" s="510"/>
      <c r="AH88" s="510"/>
      <c r="AI88" s="510"/>
      <c r="AJ88" s="511"/>
    </row>
    <row r="89" spans="1:36" outlineLevel="1">
      <c r="A89" s="238"/>
      <c r="B89" s="253"/>
      <c r="C89" s="498" t="s">
        <v>2266</v>
      </c>
      <c r="D89" s="238" t="s">
        <v>26</v>
      </c>
      <c r="E89" s="238" t="s">
        <v>2214</v>
      </c>
      <c r="F89" s="241">
        <v>0</v>
      </c>
      <c r="G89" s="241">
        <v>0</v>
      </c>
      <c r="H89" s="242">
        <v>46459</v>
      </c>
      <c r="I89" s="242">
        <v>46479</v>
      </c>
      <c r="J89" s="243"/>
      <c r="K89" s="244"/>
      <c r="L89" s="245"/>
      <c r="M89" s="510"/>
      <c r="N89" s="510"/>
      <c r="O89" s="510"/>
      <c r="P89" s="510"/>
      <c r="Q89" s="510"/>
      <c r="R89" s="510"/>
      <c r="S89" s="510"/>
      <c r="T89" s="510"/>
      <c r="U89" s="510"/>
      <c r="V89" s="510"/>
      <c r="W89" s="510"/>
      <c r="X89" s="510"/>
      <c r="Y89" s="510"/>
      <c r="Z89" s="510"/>
      <c r="AA89" s="510"/>
      <c r="AB89" s="510"/>
      <c r="AC89" s="510"/>
      <c r="AD89" s="510"/>
      <c r="AE89" s="510"/>
      <c r="AF89" s="510"/>
      <c r="AG89" s="510"/>
      <c r="AH89" s="510"/>
      <c r="AI89" s="510"/>
      <c r="AJ89" s="511"/>
    </row>
    <row r="90" spans="1:36" outlineLevel="1">
      <c r="A90" s="485"/>
      <c r="B90" s="486"/>
      <c r="C90" s="497" t="s">
        <v>1724</v>
      </c>
      <c r="D90" s="485" t="s">
        <v>26</v>
      </c>
      <c r="E90" s="485" t="s">
        <v>2214</v>
      </c>
      <c r="F90" s="489">
        <v>0</v>
      </c>
      <c r="G90" s="489">
        <v>0</v>
      </c>
      <c r="H90" s="490">
        <v>46496</v>
      </c>
      <c r="I90" s="490">
        <v>46530</v>
      </c>
      <c r="J90" s="491"/>
      <c r="K90" s="492"/>
      <c r="L90" s="245"/>
      <c r="M90" s="510"/>
      <c r="N90" s="510"/>
      <c r="O90" s="510"/>
      <c r="P90" s="510"/>
      <c r="Q90" s="510"/>
      <c r="R90" s="510"/>
      <c r="S90" s="510"/>
      <c r="T90" s="510"/>
      <c r="U90" s="510"/>
      <c r="V90" s="510"/>
      <c r="W90" s="510"/>
      <c r="X90" s="510"/>
      <c r="Y90" s="510"/>
      <c r="Z90" s="510"/>
      <c r="AA90" s="510"/>
      <c r="AB90" s="510"/>
      <c r="AC90" s="510"/>
      <c r="AD90" s="510"/>
      <c r="AE90" s="510"/>
      <c r="AF90" s="510"/>
      <c r="AG90" s="510"/>
      <c r="AH90" s="510"/>
      <c r="AI90" s="510"/>
      <c r="AJ90" s="511"/>
    </row>
    <row r="91" spans="1:36">
      <c r="A91" s="238">
        <v>5</v>
      </c>
      <c r="B91" s="253" t="s">
        <v>2204</v>
      </c>
      <c r="C91" s="239" t="s">
        <v>2215</v>
      </c>
      <c r="D91" s="238" t="s">
        <v>40</v>
      </c>
      <c r="E91" s="238" t="s">
        <v>2209</v>
      </c>
      <c r="F91" s="241">
        <v>0.69</v>
      </c>
      <c r="G91" s="241">
        <v>0.61</v>
      </c>
      <c r="H91" s="242">
        <v>45600</v>
      </c>
      <c r="I91" s="242">
        <v>46416</v>
      </c>
      <c r="J91" s="243"/>
      <c r="K91" s="244"/>
      <c r="L91" s="245"/>
      <c r="M91" s="510"/>
      <c r="N91" s="510"/>
      <c r="O91" s="510"/>
      <c r="P91" s="512"/>
      <c r="Q91" s="512"/>
      <c r="R91" s="512"/>
      <c r="S91" s="512"/>
      <c r="T91" s="512"/>
      <c r="U91" s="512"/>
      <c r="V91" s="512"/>
      <c r="W91" s="512"/>
      <c r="X91" s="512"/>
      <c r="Y91" s="512"/>
      <c r="Z91" s="512"/>
      <c r="AA91" s="512"/>
      <c r="AB91" s="512"/>
      <c r="AC91" s="512"/>
      <c r="AD91" s="512"/>
      <c r="AE91" s="512"/>
      <c r="AF91" s="512"/>
      <c r="AG91" s="512"/>
      <c r="AH91" s="512"/>
      <c r="AI91" s="512"/>
      <c r="AJ91" s="513"/>
    </row>
    <row r="92" spans="1:36" outlineLevel="1">
      <c r="A92" s="485"/>
      <c r="B92" s="486"/>
      <c r="C92" s="495" t="s">
        <v>2272</v>
      </c>
      <c r="D92" s="485"/>
      <c r="E92" s="485"/>
      <c r="F92" s="489">
        <v>0.93</v>
      </c>
      <c r="G92" s="489">
        <v>0.79</v>
      </c>
      <c r="H92" s="490"/>
      <c r="I92" s="490"/>
      <c r="J92" s="491"/>
      <c r="K92" s="492"/>
      <c r="L92" s="245"/>
      <c r="M92" s="510"/>
      <c r="N92" s="510"/>
      <c r="O92" s="510"/>
      <c r="P92" s="510"/>
      <c r="Q92" s="510"/>
      <c r="R92" s="510"/>
      <c r="S92" s="510"/>
      <c r="T92" s="510"/>
      <c r="U92" s="510"/>
      <c r="V92" s="510"/>
      <c r="W92" s="510"/>
      <c r="X92" s="510"/>
      <c r="Y92" s="510"/>
      <c r="Z92" s="510"/>
      <c r="AA92" s="510"/>
      <c r="AB92" s="510"/>
      <c r="AC92" s="510"/>
      <c r="AD92" s="510"/>
      <c r="AE92" s="510"/>
      <c r="AF92" s="510"/>
      <c r="AG92" s="510"/>
      <c r="AH92" s="510"/>
      <c r="AI92" s="510"/>
      <c r="AJ92" s="511"/>
    </row>
    <row r="93" spans="1:36" outlineLevel="1">
      <c r="A93" s="238"/>
      <c r="B93" s="253"/>
      <c r="C93" s="498" t="s">
        <v>2265</v>
      </c>
      <c r="D93" s="238"/>
      <c r="E93" s="238" t="s">
        <v>2209</v>
      </c>
      <c r="F93" s="241">
        <v>1</v>
      </c>
      <c r="G93" s="241">
        <v>0.96</v>
      </c>
      <c r="H93" s="242">
        <v>45659</v>
      </c>
      <c r="I93" s="242">
        <v>46101</v>
      </c>
      <c r="J93" s="243"/>
      <c r="K93" s="244"/>
      <c r="L93" s="245"/>
      <c r="M93" s="512"/>
      <c r="N93" s="512"/>
      <c r="O93" s="512"/>
      <c r="P93" s="512"/>
      <c r="Q93" s="512"/>
      <c r="R93" s="512"/>
      <c r="S93" s="512"/>
      <c r="T93" s="512"/>
      <c r="U93" s="512"/>
      <c r="V93" s="512"/>
      <c r="W93" s="512"/>
      <c r="X93" s="512"/>
      <c r="Y93" s="512"/>
      <c r="Z93" s="512"/>
      <c r="AA93" s="512"/>
      <c r="AB93" s="512"/>
      <c r="AC93" s="512"/>
      <c r="AD93" s="512"/>
      <c r="AE93" s="512"/>
      <c r="AF93" s="512"/>
      <c r="AG93" s="512"/>
      <c r="AH93" s="512"/>
      <c r="AI93" s="512"/>
      <c r="AJ93" s="513"/>
    </row>
    <row r="94" spans="1:36" outlineLevel="1">
      <c r="A94" s="485"/>
      <c r="B94" s="486"/>
      <c r="C94" s="497" t="s">
        <v>2266</v>
      </c>
      <c r="D94" s="485"/>
      <c r="E94" s="238" t="s">
        <v>2209</v>
      </c>
      <c r="F94" s="489">
        <v>0.65</v>
      </c>
      <c r="G94" s="489">
        <v>0</v>
      </c>
      <c r="H94" s="490">
        <v>46104</v>
      </c>
      <c r="I94" s="490">
        <v>46183</v>
      </c>
      <c r="J94" s="491"/>
      <c r="K94" s="492"/>
      <c r="L94" s="245"/>
      <c r="M94" s="510"/>
      <c r="N94" s="510"/>
      <c r="O94" s="512"/>
      <c r="P94" s="512"/>
      <c r="Q94" s="512"/>
      <c r="R94" s="512"/>
      <c r="S94" s="510"/>
      <c r="T94" s="510"/>
      <c r="U94" s="510"/>
      <c r="V94" s="510"/>
      <c r="W94" s="510"/>
      <c r="X94" s="510"/>
      <c r="Y94" s="510"/>
      <c r="Z94" s="510"/>
      <c r="AA94" s="510"/>
      <c r="AB94" s="510"/>
      <c r="AC94" s="510"/>
      <c r="AD94" s="510"/>
      <c r="AE94" s="510"/>
      <c r="AF94" s="510"/>
      <c r="AG94" s="510"/>
      <c r="AH94" s="510"/>
      <c r="AI94" s="510"/>
      <c r="AJ94" s="511"/>
    </row>
    <row r="95" spans="1:36" outlineLevel="1">
      <c r="A95" s="238"/>
      <c r="B95" s="253"/>
      <c r="C95" s="498" t="s">
        <v>1724</v>
      </c>
      <c r="D95" s="238"/>
      <c r="E95" s="238" t="s">
        <v>2209</v>
      </c>
      <c r="F95" s="241">
        <v>0</v>
      </c>
      <c r="G95" s="241">
        <v>0</v>
      </c>
      <c r="H95" s="242">
        <v>46184</v>
      </c>
      <c r="I95" s="242">
        <v>46197</v>
      </c>
      <c r="J95" s="243"/>
      <c r="K95" s="244"/>
      <c r="L95" s="245"/>
      <c r="M95" s="510"/>
      <c r="N95" s="510"/>
      <c r="O95" s="510"/>
      <c r="P95" s="510"/>
      <c r="Q95" s="510"/>
      <c r="R95" s="512"/>
      <c r="S95" s="510"/>
      <c r="T95" s="510"/>
      <c r="U95" s="510"/>
      <c r="V95" s="510"/>
      <c r="W95" s="510"/>
      <c r="X95" s="510"/>
      <c r="Y95" s="510"/>
      <c r="Z95" s="510"/>
      <c r="AA95" s="510"/>
      <c r="AB95" s="510"/>
      <c r="AC95" s="510"/>
      <c r="AD95" s="510"/>
      <c r="AE95" s="510"/>
      <c r="AF95" s="510"/>
      <c r="AG95" s="510"/>
      <c r="AH95" s="510"/>
      <c r="AI95" s="510"/>
      <c r="AJ95" s="511"/>
    </row>
    <row r="96" spans="1:36" outlineLevel="1">
      <c r="A96" s="485"/>
      <c r="B96" s="486"/>
      <c r="C96" s="487" t="s">
        <v>2273</v>
      </c>
      <c r="D96" s="485"/>
      <c r="E96" s="485"/>
      <c r="F96" s="489">
        <v>0.26</v>
      </c>
      <c r="G96" s="489">
        <v>0.09</v>
      </c>
      <c r="H96" s="490">
        <f>H97</f>
        <v>46129</v>
      </c>
      <c r="I96" s="490">
        <f>I99</f>
        <v>46416</v>
      </c>
      <c r="J96" s="491"/>
      <c r="K96" s="492"/>
      <c r="L96" s="245"/>
      <c r="M96" s="510"/>
      <c r="N96" s="510"/>
      <c r="O96" s="510"/>
      <c r="P96" s="510"/>
      <c r="Q96" s="510"/>
      <c r="R96" s="510"/>
      <c r="S96" s="510"/>
      <c r="T96" s="510"/>
      <c r="U96" s="510"/>
      <c r="V96" s="510"/>
      <c r="W96" s="510"/>
      <c r="X96" s="510"/>
      <c r="Y96" s="510"/>
      <c r="Z96" s="510"/>
      <c r="AA96" s="510"/>
      <c r="AB96" s="510"/>
      <c r="AC96" s="510"/>
      <c r="AD96" s="510"/>
      <c r="AE96" s="510"/>
      <c r="AF96" s="510"/>
      <c r="AG96" s="510"/>
      <c r="AH96" s="510"/>
      <c r="AI96" s="510"/>
      <c r="AJ96" s="511"/>
    </row>
    <row r="97" spans="1:51" outlineLevel="1">
      <c r="A97" s="238"/>
      <c r="B97" s="253"/>
      <c r="C97" s="498" t="s">
        <v>2265</v>
      </c>
      <c r="D97" s="238"/>
      <c r="E97" s="238" t="s">
        <v>2209</v>
      </c>
      <c r="F97" s="241">
        <v>0.1</v>
      </c>
      <c r="G97" s="241">
        <v>0</v>
      </c>
      <c r="H97" s="242">
        <v>46129</v>
      </c>
      <c r="I97" s="242">
        <v>46295</v>
      </c>
      <c r="J97" s="243"/>
      <c r="K97" s="244"/>
      <c r="L97" s="245"/>
      <c r="M97" s="510"/>
      <c r="N97" s="510"/>
      <c r="O97" s="510"/>
      <c r="P97" s="512"/>
      <c r="Q97" s="512"/>
      <c r="R97" s="512"/>
      <c r="S97" s="512"/>
      <c r="T97" s="512"/>
      <c r="U97" s="512"/>
      <c r="V97" s="510"/>
      <c r="W97" s="510"/>
      <c r="X97" s="510"/>
      <c r="Y97" s="510"/>
      <c r="Z97" s="510"/>
      <c r="AA97" s="510"/>
      <c r="AB97" s="510"/>
      <c r="AC97" s="510"/>
      <c r="AD97" s="510"/>
      <c r="AE97" s="510"/>
      <c r="AF97" s="510"/>
      <c r="AG97" s="510"/>
      <c r="AH97" s="510"/>
      <c r="AI97" s="510"/>
      <c r="AJ97" s="511"/>
    </row>
    <row r="98" spans="1:51" outlineLevel="1">
      <c r="A98" s="485"/>
      <c r="B98" s="486"/>
      <c r="C98" s="497" t="s">
        <v>2266</v>
      </c>
      <c r="D98" s="485"/>
      <c r="E98" s="238" t="s">
        <v>2209</v>
      </c>
      <c r="F98" s="489">
        <v>0</v>
      </c>
      <c r="G98" s="489">
        <v>0</v>
      </c>
      <c r="H98" s="490">
        <v>46296</v>
      </c>
      <c r="I98" s="490">
        <v>46402</v>
      </c>
      <c r="J98" s="491"/>
      <c r="K98" s="492"/>
      <c r="L98" s="245"/>
      <c r="M98" s="510"/>
      <c r="N98" s="510"/>
      <c r="O98" s="510"/>
      <c r="P98" s="510"/>
      <c r="Q98" s="510"/>
      <c r="R98" s="510"/>
      <c r="S98" s="510"/>
      <c r="T98" s="510"/>
      <c r="U98" s="510"/>
      <c r="V98" s="512"/>
      <c r="W98" s="512"/>
      <c r="X98" s="512"/>
      <c r="Y98" s="512"/>
      <c r="Z98" s="510"/>
      <c r="AA98" s="510"/>
      <c r="AB98" s="510"/>
      <c r="AC98" s="510"/>
      <c r="AD98" s="510"/>
      <c r="AE98" s="510"/>
      <c r="AF98" s="510"/>
      <c r="AG98" s="510"/>
      <c r="AH98" s="510"/>
      <c r="AI98" s="510"/>
      <c r="AJ98" s="511"/>
    </row>
    <row r="99" spans="1:51" outlineLevel="1">
      <c r="A99" s="238"/>
      <c r="B99" s="253"/>
      <c r="C99" s="498" t="s">
        <v>1724</v>
      </c>
      <c r="D99" s="238"/>
      <c r="E99" s="238" t="s">
        <v>2209</v>
      </c>
      <c r="F99" s="241">
        <v>0</v>
      </c>
      <c r="G99" s="241">
        <v>0</v>
      </c>
      <c r="H99" s="242">
        <v>46405</v>
      </c>
      <c r="I99" s="242">
        <v>46416</v>
      </c>
      <c r="J99" s="243"/>
      <c r="K99" s="244"/>
      <c r="L99" s="245"/>
      <c r="M99" s="510"/>
      <c r="N99" s="510"/>
      <c r="O99" s="510"/>
      <c r="P99" s="510"/>
      <c r="Q99" s="510"/>
      <c r="R99" s="510"/>
      <c r="S99" s="510"/>
      <c r="T99" s="510"/>
      <c r="U99" s="510"/>
      <c r="V99" s="510"/>
      <c r="W99" s="510"/>
      <c r="X99" s="510"/>
      <c r="Y99" s="512"/>
      <c r="Z99" s="510"/>
      <c r="AA99" s="510"/>
      <c r="AB99" s="510"/>
      <c r="AC99" s="510"/>
      <c r="AD99" s="510"/>
      <c r="AE99" s="510"/>
      <c r="AF99" s="510"/>
      <c r="AG99" s="510"/>
      <c r="AH99" s="510"/>
      <c r="AI99" s="510"/>
      <c r="AJ99" s="511"/>
    </row>
    <row r="100" spans="1:51">
      <c r="A100" s="485">
        <v>6</v>
      </c>
      <c r="B100" s="486" t="s">
        <v>2274</v>
      </c>
      <c r="C100" s="487" t="s">
        <v>2216</v>
      </c>
      <c r="D100" s="485" t="s">
        <v>82</v>
      </c>
      <c r="E100" s="485" t="s">
        <v>2217</v>
      </c>
      <c r="F100" s="489">
        <v>0.79</v>
      </c>
      <c r="G100" s="489">
        <v>0.75</v>
      </c>
      <c r="H100" s="242">
        <v>45427</v>
      </c>
      <c r="I100" s="242">
        <v>46241</v>
      </c>
      <c r="J100" s="499"/>
      <c r="K100" s="492"/>
      <c r="L100" s="245"/>
      <c r="M100" s="510"/>
      <c r="N100" s="510"/>
      <c r="O100" s="510"/>
      <c r="P100" s="510"/>
      <c r="Q100" s="510"/>
      <c r="R100" s="510"/>
      <c r="S100" s="510"/>
      <c r="T100" s="510"/>
      <c r="U100" s="510"/>
      <c r="V100" s="510"/>
      <c r="W100" s="510"/>
      <c r="X100" s="510"/>
      <c r="Y100" s="510"/>
      <c r="Z100" s="510"/>
      <c r="AA100" s="510"/>
      <c r="AB100" s="510"/>
      <c r="AC100" s="510"/>
      <c r="AD100" s="510"/>
      <c r="AE100" s="510"/>
      <c r="AF100" s="510"/>
      <c r="AG100" s="510"/>
      <c r="AH100" s="510"/>
      <c r="AI100" s="510"/>
      <c r="AJ100" s="511"/>
    </row>
    <row r="101" spans="1:51">
      <c r="A101" s="485"/>
      <c r="B101" s="486"/>
      <c r="C101" s="487" t="s">
        <v>2275</v>
      </c>
      <c r="D101" s="485"/>
      <c r="E101" s="485"/>
      <c r="F101" s="489"/>
      <c r="G101" s="489">
        <v>0</v>
      </c>
      <c r="H101" s="242">
        <v>45439</v>
      </c>
      <c r="I101" s="242">
        <v>46092</v>
      </c>
      <c r="J101" s="499"/>
      <c r="K101" s="492"/>
      <c r="L101" s="245"/>
      <c r="M101" s="512"/>
      <c r="N101" s="512"/>
      <c r="O101" s="512"/>
      <c r="P101" s="510"/>
      <c r="Q101" s="510"/>
      <c r="R101" s="510"/>
      <c r="S101" s="510"/>
      <c r="T101" s="510"/>
      <c r="U101" s="510"/>
      <c r="V101" s="510"/>
      <c r="W101" s="510"/>
      <c r="X101" s="510"/>
      <c r="Y101" s="510"/>
      <c r="Z101" s="510"/>
      <c r="AA101" s="510"/>
      <c r="AB101" s="510"/>
      <c r="AC101" s="510"/>
      <c r="AD101" s="510"/>
      <c r="AE101" s="510"/>
      <c r="AF101" s="510"/>
      <c r="AG101" s="510"/>
      <c r="AH101" s="510"/>
      <c r="AI101" s="510"/>
      <c r="AJ101" s="514"/>
    </row>
    <row r="102" spans="1:51">
      <c r="A102" s="485"/>
      <c r="B102" s="486"/>
      <c r="C102" s="487" t="s">
        <v>2276</v>
      </c>
      <c r="D102" s="485"/>
      <c r="E102" s="485"/>
      <c r="F102" s="489">
        <v>0</v>
      </c>
      <c r="G102" s="489">
        <v>0</v>
      </c>
      <c r="H102" s="242">
        <v>46093</v>
      </c>
      <c r="I102" s="242">
        <v>46215</v>
      </c>
      <c r="J102" s="499"/>
      <c r="K102" s="492"/>
      <c r="L102" s="245"/>
      <c r="P102" s="512"/>
      <c r="Q102" s="512"/>
      <c r="R102" s="512"/>
      <c r="S102" s="512"/>
      <c r="T102" s="510"/>
      <c r="U102" s="510"/>
      <c r="V102" s="510"/>
      <c r="W102" s="510"/>
      <c r="X102" s="510"/>
      <c r="Y102" s="510"/>
      <c r="Z102" s="510"/>
      <c r="AA102" s="510"/>
      <c r="AB102" s="510"/>
      <c r="AC102" s="510"/>
      <c r="AD102" s="510"/>
      <c r="AE102" s="510"/>
      <c r="AF102" s="510"/>
      <c r="AG102" s="510"/>
      <c r="AH102" s="510"/>
      <c r="AI102" s="510"/>
      <c r="AJ102" s="514"/>
    </row>
    <row r="103" spans="1:51">
      <c r="A103" s="485"/>
      <c r="B103" s="486"/>
      <c r="C103" s="487" t="s">
        <v>2277</v>
      </c>
      <c r="D103" s="485"/>
      <c r="E103" s="485"/>
      <c r="F103" s="489">
        <v>0</v>
      </c>
      <c r="G103" s="489">
        <v>0</v>
      </c>
      <c r="H103" s="242">
        <v>46216</v>
      </c>
      <c r="I103" s="242">
        <v>46241</v>
      </c>
      <c r="J103" s="499"/>
      <c r="K103" s="492"/>
      <c r="L103" s="245"/>
      <c r="P103" s="510"/>
      <c r="Q103" s="510"/>
      <c r="R103" s="510"/>
      <c r="T103" s="512"/>
      <c r="U103" s="510"/>
      <c r="V103" s="510"/>
      <c r="W103" s="510"/>
      <c r="X103" s="510"/>
      <c r="Y103" s="510"/>
      <c r="Z103" s="510"/>
      <c r="AA103" s="510"/>
      <c r="AB103" s="510"/>
      <c r="AC103" s="510"/>
      <c r="AD103" s="510"/>
      <c r="AE103" s="510"/>
      <c r="AF103" s="510"/>
      <c r="AG103" s="510"/>
      <c r="AH103" s="510"/>
      <c r="AI103" s="510"/>
      <c r="AJ103" s="514"/>
    </row>
    <row r="104" spans="1:51">
      <c r="A104" s="238">
        <v>7</v>
      </c>
      <c r="B104" s="253" t="s">
        <v>2274</v>
      </c>
      <c r="C104" s="239" t="s">
        <v>2218</v>
      </c>
      <c r="D104" s="238" t="s">
        <v>82</v>
      </c>
      <c r="E104" s="238" t="s">
        <v>2219</v>
      </c>
      <c r="F104" s="241">
        <v>0.84</v>
      </c>
      <c r="G104" s="241">
        <v>0.76</v>
      </c>
      <c r="H104" s="242">
        <v>45652</v>
      </c>
      <c r="I104" s="242">
        <v>46387</v>
      </c>
      <c r="J104" s="248"/>
      <c r="K104" s="244"/>
      <c r="L104" s="245"/>
      <c r="M104" s="510"/>
      <c r="N104" s="510"/>
      <c r="O104" s="510"/>
      <c r="P104" s="510"/>
      <c r="Q104" s="510"/>
      <c r="R104" s="510"/>
      <c r="S104" s="510"/>
      <c r="T104" s="510"/>
      <c r="U104" s="510"/>
      <c r="V104" s="510"/>
      <c r="W104" s="510"/>
      <c r="X104" s="510"/>
      <c r="Y104" s="510"/>
      <c r="Z104" s="510"/>
      <c r="AA104" s="510"/>
      <c r="AB104" s="510"/>
      <c r="AC104" s="510"/>
      <c r="AD104" s="510"/>
      <c r="AE104" s="510"/>
      <c r="AF104" s="510"/>
      <c r="AG104" s="510"/>
      <c r="AH104" s="510"/>
      <c r="AI104" s="510"/>
      <c r="AJ104" s="510"/>
      <c r="AK104" s="493"/>
      <c r="AL104" s="493"/>
      <c r="AM104" s="493"/>
      <c r="AN104" s="493"/>
      <c r="AO104" s="493"/>
      <c r="AP104" s="493"/>
      <c r="AQ104" s="493"/>
      <c r="AR104" s="493"/>
      <c r="AS104" s="493"/>
      <c r="AT104" s="493"/>
      <c r="AU104" s="493"/>
      <c r="AV104" s="493"/>
      <c r="AW104" s="493"/>
      <c r="AX104" s="493"/>
      <c r="AY104" s="493"/>
    </row>
    <row r="105" spans="1:51" outlineLevel="1">
      <c r="A105" s="485"/>
      <c r="B105" s="486"/>
      <c r="C105" s="487" t="s">
        <v>2278</v>
      </c>
      <c r="D105" s="485" t="s">
        <v>2279</v>
      </c>
      <c r="E105" s="238" t="s">
        <v>2219</v>
      </c>
      <c r="F105" s="489">
        <v>0.89</v>
      </c>
      <c r="G105" s="489">
        <v>0.87</v>
      </c>
      <c r="H105" s="242">
        <v>44323</v>
      </c>
      <c r="I105" s="242">
        <v>46197</v>
      </c>
      <c r="J105" s="491"/>
      <c r="K105" s="492"/>
      <c r="L105" s="252"/>
      <c r="M105" s="510"/>
      <c r="N105" s="510"/>
      <c r="O105" s="510"/>
      <c r="P105" s="510"/>
      <c r="Q105" s="510"/>
      <c r="R105" s="510"/>
      <c r="S105" s="510"/>
      <c r="T105" s="510"/>
      <c r="U105" s="510"/>
      <c r="V105" s="510"/>
      <c r="W105" s="510"/>
      <c r="X105" s="510"/>
      <c r="Y105" s="510"/>
      <c r="Z105" s="510"/>
      <c r="AA105" s="510"/>
      <c r="AB105" s="510"/>
      <c r="AC105" s="510"/>
      <c r="AD105" s="510"/>
      <c r="AE105" s="510"/>
      <c r="AF105" s="510"/>
      <c r="AG105" s="510"/>
      <c r="AH105" s="510"/>
      <c r="AI105" s="510"/>
      <c r="AJ105" s="510"/>
      <c r="AK105" s="493"/>
      <c r="AL105" s="493"/>
      <c r="AM105" s="493"/>
      <c r="AN105" s="493"/>
      <c r="AO105" s="493"/>
      <c r="AP105" s="493"/>
      <c r="AQ105" s="493"/>
      <c r="AR105" s="493"/>
      <c r="AS105" s="493"/>
      <c r="AT105" s="493"/>
      <c r="AU105" s="493"/>
      <c r="AV105" s="493"/>
      <c r="AW105" s="493"/>
      <c r="AX105" s="493"/>
      <c r="AY105" s="493"/>
    </row>
    <row r="106" spans="1:51" outlineLevel="1">
      <c r="A106" s="238"/>
      <c r="B106" s="253"/>
      <c r="C106" s="239" t="s">
        <v>2280</v>
      </c>
      <c r="D106" s="238" t="s">
        <v>2281</v>
      </c>
      <c r="E106" s="238" t="s">
        <v>2219</v>
      </c>
      <c r="F106" s="241">
        <v>0.86</v>
      </c>
      <c r="G106" s="241">
        <v>0.79</v>
      </c>
      <c r="H106" s="242">
        <v>45922</v>
      </c>
      <c r="I106" s="242">
        <v>46197</v>
      </c>
      <c r="J106" s="243"/>
      <c r="K106" s="244"/>
      <c r="L106" s="252"/>
      <c r="M106" s="510"/>
      <c r="N106" s="510"/>
      <c r="O106" s="510"/>
      <c r="P106" s="510"/>
      <c r="Q106" s="510"/>
      <c r="R106" s="510"/>
      <c r="S106" s="510"/>
      <c r="T106" s="510"/>
      <c r="U106" s="510"/>
      <c r="V106" s="510"/>
      <c r="W106" s="510"/>
      <c r="X106" s="510"/>
      <c r="Y106" s="510"/>
      <c r="Z106" s="510"/>
      <c r="AA106" s="510"/>
      <c r="AB106" s="510"/>
      <c r="AC106" s="510"/>
      <c r="AD106" s="510"/>
      <c r="AE106" s="510"/>
      <c r="AF106" s="510"/>
      <c r="AG106" s="510"/>
      <c r="AH106" s="510"/>
      <c r="AI106" s="510"/>
      <c r="AJ106" s="510"/>
      <c r="AK106" s="493"/>
      <c r="AL106" s="493"/>
      <c r="AM106" s="493"/>
      <c r="AN106" s="493"/>
      <c r="AO106" s="493"/>
      <c r="AP106" s="493"/>
      <c r="AQ106" s="493"/>
      <c r="AR106" s="493"/>
      <c r="AS106" s="493"/>
      <c r="AT106" s="493"/>
      <c r="AU106" s="493"/>
      <c r="AV106" s="493"/>
      <c r="AW106" s="493"/>
      <c r="AX106" s="493"/>
      <c r="AY106" s="493"/>
    </row>
    <row r="107" spans="1:51" outlineLevel="1">
      <c r="A107" s="238"/>
      <c r="B107" s="253"/>
      <c r="C107" s="239" t="s">
        <v>2282</v>
      </c>
      <c r="D107" s="238" t="s">
        <v>2281</v>
      </c>
      <c r="E107" s="238" t="s">
        <v>2219</v>
      </c>
      <c r="F107" s="241">
        <v>0.59</v>
      </c>
      <c r="G107" s="241">
        <v>0.52</v>
      </c>
      <c r="H107" s="242">
        <v>45177</v>
      </c>
      <c r="I107" s="242">
        <v>46387</v>
      </c>
      <c r="J107" s="243"/>
      <c r="K107" s="244"/>
      <c r="L107" s="252"/>
      <c r="M107" s="510"/>
      <c r="N107" s="510"/>
      <c r="O107" s="510"/>
      <c r="P107" s="510"/>
      <c r="Q107" s="510"/>
      <c r="R107" s="510"/>
      <c r="S107" s="510"/>
      <c r="T107" s="510"/>
      <c r="U107" s="510"/>
      <c r="V107" s="510"/>
      <c r="W107" s="510"/>
      <c r="X107" s="510"/>
      <c r="Y107" s="510"/>
      <c r="Z107" s="510"/>
      <c r="AA107" s="510"/>
      <c r="AB107" s="510"/>
      <c r="AC107" s="510"/>
      <c r="AD107" s="510"/>
      <c r="AE107" s="510"/>
      <c r="AF107" s="510"/>
      <c r="AG107" s="510"/>
      <c r="AH107" s="510"/>
      <c r="AI107" s="510"/>
      <c r="AJ107" s="510"/>
      <c r="AK107" s="493"/>
      <c r="AL107" s="493"/>
      <c r="AM107" s="493"/>
      <c r="AN107" s="493"/>
      <c r="AO107" s="493"/>
      <c r="AP107" s="493"/>
      <c r="AQ107" s="493"/>
      <c r="AR107" s="493"/>
      <c r="AS107" s="493"/>
      <c r="AT107" s="493"/>
      <c r="AU107" s="493"/>
      <c r="AV107" s="493"/>
      <c r="AW107" s="493"/>
      <c r="AX107" s="493"/>
      <c r="AY107" s="493"/>
    </row>
  </sheetData>
  <conditionalFormatting sqref="B60:B107 B2:B41">
    <cfRule type="cellIs" dxfId="459" priority="14" operator="equal">
      <formula>$B$45</formula>
    </cfRule>
  </conditionalFormatting>
  <conditionalFormatting sqref="B60:B107 B2:B41">
    <cfRule type="cellIs" dxfId="458" priority="15" operator="equal">
      <formula>$B$46</formula>
    </cfRule>
  </conditionalFormatting>
  <conditionalFormatting sqref="B60:B107 B2:B41">
    <cfRule type="cellIs" dxfId="457" priority="16" operator="equal">
      <formula>$B$44</formula>
    </cfRule>
  </conditionalFormatting>
  <conditionalFormatting sqref="M60:AJ107">
    <cfRule type="expression" dxfId="456" priority="5">
      <formula>AND(  M$59&gt;=DATE(YEAR($H60),MONTH($H60),1),  M$59&lt;=IF(       $I60="",       DATE(YEAR(TODAY()),MONTH(TODAY()),1),       DATE(YEAR($I60),MONTH($I60),1)  ) )</formula>
    </cfRule>
  </conditionalFormatting>
  <conditionalFormatting sqref="M60:AJ107">
    <cfRule type="expression" dxfId="455" priority="1">
      <formula>AND($H60&lt;&gt;"",$I60&lt;&gt;"",$G60&gt;0,M$59&lt;=EOMONTH($H60+$G60*($I60-$H60),0),M$59&gt;=DATE(YEAR($H60),MONTH($H60),1))</formula>
    </cfRule>
  </conditionalFormatting>
  <conditionalFormatting sqref="M60:AJ107">
    <cfRule type="expression" dxfId="454" priority="2">
      <formula>AND($H60&lt;&gt;"",$I60&lt;&gt;"",$F60&gt;0,M$59&lt;=EOMONTH($H60+$F60*($I60-$H60),0),M$59&gt;=DATE(YEAR($H60),MONTH($H60),1))</formula>
    </cfRule>
  </conditionalFormatting>
  <dataValidations count="1">
    <dataValidation type="list" allowBlank="1" showInputMessage="1" showErrorMessage="1" sqref="B60:B107 B2:B41" xr:uid="{D34EC1FB-F37A-40C7-8AEA-18C25EEB90C6}">
      <formula1>$B$44:$B$48</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6C786-097F-4C25-B535-B6A63946E74C}">
  <sheetPr codeName="Hoja5" filterMode="1"/>
  <dimension ref="A1:AI999"/>
  <sheetViews>
    <sheetView workbookViewId="0">
      <selection activeCell="A78" sqref="A78"/>
    </sheetView>
  </sheetViews>
  <sheetFormatPr defaultColWidth="9.140625" defaultRowHeight="15" outlineLevelRow="1"/>
  <cols>
    <col min="1" max="1" width="29.85546875" bestFit="1" customWidth="1"/>
    <col min="2" max="2" width="23.5703125" bestFit="1" customWidth="1"/>
    <col min="3" max="3" width="12.28515625" bestFit="1" customWidth="1"/>
    <col min="4" max="4" width="17.42578125" bestFit="1" customWidth="1"/>
    <col min="5" max="6" width="17.42578125" style="255" customWidth="1"/>
    <col min="7" max="7" width="11.42578125" style="101" bestFit="1" customWidth="1"/>
    <col min="8" max="8" width="11.140625" style="101" customWidth="1"/>
    <col min="9" max="9" width="29.85546875" hidden="1" customWidth="1"/>
    <col min="10" max="10" width="12.42578125" bestFit="1" customWidth="1"/>
  </cols>
  <sheetData>
    <row r="1" spans="1:35" ht="15" customHeight="1">
      <c r="A1" s="354" t="s">
        <v>2283</v>
      </c>
      <c r="B1" s="355">
        <f ca="1">COUNTA(_xlfn.UNIQUE(C12:C711))</f>
        <v>174</v>
      </c>
      <c r="D1" s="357" t="s">
        <v>2284</v>
      </c>
      <c r="E1" s="357"/>
      <c r="F1" s="357"/>
      <c r="G1"/>
      <c r="H1"/>
    </row>
    <row r="2" spans="1:35">
      <c r="E2"/>
      <c r="F2"/>
      <c r="G2"/>
      <c r="H2"/>
      <c r="I2" s="352" t="s">
        <v>2285</v>
      </c>
      <c r="J2" s="582" t="s">
        <v>2286</v>
      </c>
      <c r="K2" s="582"/>
      <c r="L2" s="582" t="s">
        <v>2287</v>
      </c>
      <c r="M2" s="582"/>
      <c r="N2" s="582"/>
      <c r="O2" s="582"/>
      <c r="P2" s="582"/>
      <c r="Q2" s="582"/>
      <c r="R2" s="582" t="s">
        <v>2288</v>
      </c>
      <c r="S2" s="582"/>
      <c r="T2" s="582"/>
      <c r="U2" s="582"/>
      <c r="V2" s="582"/>
      <c r="W2" s="582"/>
      <c r="X2" s="583" t="s">
        <v>671</v>
      </c>
      <c r="Y2" s="583"/>
      <c r="Z2" s="583"/>
      <c r="AA2" s="583"/>
      <c r="AB2" s="583"/>
      <c r="AC2" s="583"/>
      <c r="AD2" s="583" t="s">
        <v>671</v>
      </c>
      <c r="AE2" s="583"/>
      <c r="AF2" s="583"/>
      <c r="AG2" s="583"/>
      <c r="AH2" s="583"/>
      <c r="AI2" s="583"/>
    </row>
    <row r="3" spans="1:35">
      <c r="A3" s="351" t="s">
        <v>5</v>
      </c>
      <c r="B3" s="351" t="s">
        <v>7</v>
      </c>
      <c r="C3" s="351" t="s">
        <v>2289</v>
      </c>
      <c r="D3" s="351" t="s">
        <v>3</v>
      </c>
      <c r="E3" s="351" t="s">
        <v>19</v>
      </c>
      <c r="F3" s="351" t="s">
        <v>459</v>
      </c>
      <c r="G3" s="351" t="s">
        <v>2199</v>
      </c>
      <c r="H3" s="351" t="s">
        <v>2200</v>
      </c>
      <c r="I3" s="353">
        <v>45627</v>
      </c>
      <c r="J3" s="353">
        <v>45962</v>
      </c>
      <c r="K3" s="353">
        <v>45992</v>
      </c>
      <c r="L3" s="353">
        <v>46023</v>
      </c>
      <c r="M3" s="353">
        <v>46054</v>
      </c>
      <c r="N3" s="353">
        <v>46082</v>
      </c>
      <c r="O3" s="353">
        <v>46113</v>
      </c>
      <c r="P3" s="353">
        <v>46143</v>
      </c>
      <c r="Q3" s="353">
        <v>46174</v>
      </c>
      <c r="R3" s="353">
        <v>46204</v>
      </c>
      <c r="S3" s="353">
        <v>46235</v>
      </c>
      <c r="T3" s="353">
        <v>46266</v>
      </c>
      <c r="U3" s="353">
        <v>46296</v>
      </c>
      <c r="V3" s="353">
        <v>46327</v>
      </c>
      <c r="W3" s="353">
        <v>46357</v>
      </c>
      <c r="X3" s="353">
        <v>46388</v>
      </c>
      <c r="Y3" s="353">
        <v>46419</v>
      </c>
      <c r="Z3" s="353">
        <v>46447</v>
      </c>
      <c r="AA3" s="353">
        <v>46478</v>
      </c>
      <c r="AB3" s="353">
        <v>46508</v>
      </c>
      <c r="AC3" s="353">
        <v>46539</v>
      </c>
      <c r="AD3" s="353">
        <v>46569</v>
      </c>
      <c r="AE3" s="353">
        <v>46600</v>
      </c>
      <c r="AF3" s="353">
        <v>46631</v>
      </c>
      <c r="AG3" s="353">
        <v>46661</v>
      </c>
      <c r="AH3" s="353">
        <v>46692</v>
      </c>
      <c r="AI3" s="353">
        <v>46722</v>
      </c>
    </row>
    <row r="4" spans="1:35" hidden="1">
      <c r="A4" t="str" cm="1">
        <f t="array" aca="1" ref="A4:F999" ca="1">_xlfn.LET(
_xlpm.ger0,Cartera1017[Gerencia],
_xlpm.id0,Cartera1017[ID Mantenimiento],
_xlpm.est0,Cartera1017[Estado TI],
_xlpm.comp0,Cartera1017[% COMPLETADO],
_xlpm.plan0,Cartera1017[% PLANIFICADO],
_xlpm.ger,_xlfn._xlws.FILTER(_xlpm.ger0,_xlpm.id0&lt;&gt;""),
_xlpm.id,_xlfn._xlws.FILTER(_xlpm.id0,_xlpm.id0&lt;&gt;""),
_xlpm.est,_xlfn._xlws.FILTER(_xlpm.est0,_xlpm.id0&lt;&gt;""),
_xlpm.comp,_xlfn._xlws.FILTER(_xlpm.comp0,_xlpm.id0&lt;&gt;""),
_xlpm.plan,_xlfn._xlws.FILTER(_xlpm.plan0,_xlpm.id0&lt;&gt;""),
_xlpm.n,ROWS(_xlpm.id),
_xlpm.sec,_xlfn.SEQUENCE(_xlpm.n*4),
_xlpm.bloque,INT((_xlpm.sec-1)/4)+1,
_xlpm.pos,MOD(_xlpm.sec-1,4),
_xlpm.fase,IF(_xlpm.pos=0,INDEX(_xlpm.id,_xlpm.bloque),
IF(_xlpm.pos=1,"   Desarrollo",
IF(_xlpm.pos=2,"   Calidad",
"   Producción"))),
CHOOSE({1,2,3,4,5,6},
INDEX(_xlpm.ger,_xlpm.bloque),
INDEX(_xlpm.est,_xlpm.bloque),
INDEX(_xlpm.id,_xlpm.bloque),
_xlpm.fase,
INDEX(_xlpm.comp,_xlpm.bloque),
INDEX(_xlpm.plan,_xlpm.bloque)
))</f>
        <v>Operaciones</v>
      </c>
      <c r="B4" t="str">
        <f ca="1"/>
        <v>09. Descartado</v>
      </c>
      <c r="C4" t="str">
        <f ca="1"/>
        <v>2024-M0367</v>
      </c>
      <c r="D4" t="str">
        <f ca="1"/>
        <v>2024-M0367</v>
      </c>
      <c r="E4" s="255">
        <f ca="1"/>
        <v>-0.01</v>
      </c>
      <c r="F4" s="255" t="str">
        <f ca="1"/>
        <v/>
      </c>
      <c r="G4" s="356">
        <f ca="1">IF(TRIM(D4)=C4,
   _xlfn.XLOOKUP(C4, Cartera1017[ID Mantenimiento],Cartera1017[Comienzo Desarrollo]),
IF(TRIM(D4)="Desarrollo",
   _xlfn.XLOOKUP(C4,Cartera1017[ID Mantenimiento],Cartera1017[Comienzo Desarrollo]),
IF(TRIM(D4)="Calidad",
   _xlfn.XLOOKUP(C4,Cartera1017[ID Mantenimiento],Cartera1017[Comienzo Calidad]),
IF(TRIM(D4)="Producción",
   _xlfn.XLOOKUP(C4,Cartera1017[ID Mantenimiento],Cartera1017[Comienzo Producción]),
""))))</f>
        <v>0</v>
      </c>
      <c r="H4" s="160">
        <f ca="1">IF(TRIM(D4)=C4,
   _xlfn.XLOOKUP(C4, Cartera1017[ID Mantenimiento],Cartera1017[Fin Producción]),
IF(TRIM(D4)="Desarrollo",
   _xlfn.XLOOKUP(C4,Cartera1017[ID Mantenimiento],Cartera1017[Fin Desarrollo]),
IF(TRIM(D4)="Calidad",
   _xlfn.XLOOKUP(C4,Cartera1017[ID Mantenimiento],Cartera1017[Fin Calidad]),
IF(TRIM(D4)="Producción",
   _xlfn.XLOOKUP(C4,Cartera1017[ID Mantenimiento],Cartera1017[Fin Producción]),
""))))</f>
        <v>0</v>
      </c>
      <c r="AI4" t="s">
        <v>2290</v>
      </c>
    </row>
    <row r="5" spans="1:35" hidden="1" outlineLevel="1">
      <c r="A5" t="str">
        <f ca="1"/>
        <v>Operaciones</v>
      </c>
      <c r="B5" t="str">
        <f ca="1"/>
        <v>09. Descartado</v>
      </c>
      <c r="C5" t="str">
        <f ca="1"/>
        <v>2024-M0367</v>
      </c>
      <c r="D5" t="str">
        <f ca="1"/>
        <v xml:space="preserve">   Desarrollo</v>
      </c>
      <c r="E5" s="255">
        <f ca="1"/>
        <v>-0.01</v>
      </c>
      <c r="F5" s="255" t="str">
        <f ca="1"/>
        <v/>
      </c>
      <c r="G5" s="356">
        <f ca="1">IF(TRIM(D5)=C5,
   _xlfn.XLOOKUP(C5, Cartera1017[ID Mantenimiento],Cartera1017[Comienzo Desarrollo]),
IF(TRIM(D5)="Desarrollo",
   _xlfn.XLOOKUP(C5,Cartera1017[ID Mantenimiento],Cartera1017[Comienzo Desarrollo]),
IF(TRIM(D5)="Calidad",
   _xlfn.XLOOKUP(C5,Cartera1017[ID Mantenimiento],Cartera1017[Comienzo Calidad]),
IF(TRIM(D5)="Producción",
   _xlfn.XLOOKUP(C5,Cartera1017[ID Mantenimiento],Cartera1017[Comienzo Producción]),
""))))</f>
        <v>0</v>
      </c>
      <c r="H5" s="160">
        <f ca="1">IF(TRIM(D5)=C5,
   _xlfn.XLOOKUP(C5, Cartera1017[ID Mantenimiento],Cartera1017[Fin Producción]),
IF(TRIM(D5)="Desarrollo",
   _xlfn.XLOOKUP(C5,Cartera1017[ID Mantenimiento],Cartera1017[Fin Desarrollo]),
IF(TRIM(D5)="Calidad",
   _xlfn.XLOOKUP(C5,Cartera1017[ID Mantenimiento],Cartera1017[Fin Calidad]),
IF(TRIM(D5)="Producción",
   _xlfn.XLOOKUP(C5,Cartera1017[ID Mantenimiento],Cartera1017[Fin Producción]),
""))))</f>
        <v>0</v>
      </c>
    </row>
    <row r="6" spans="1:35" hidden="1" outlineLevel="1">
      <c r="A6" t="str">
        <f ca="1"/>
        <v>Operaciones</v>
      </c>
      <c r="B6" t="str">
        <f ca="1"/>
        <v>09. Descartado</v>
      </c>
      <c r="C6" t="str">
        <f ca="1"/>
        <v>2024-M0367</v>
      </c>
      <c r="D6" t="str">
        <f ca="1"/>
        <v xml:space="preserve">   Calidad</v>
      </c>
      <c r="E6" s="255">
        <f ca="1"/>
        <v>-0.01</v>
      </c>
      <c r="F6" s="255" t="str">
        <f ca="1"/>
        <v/>
      </c>
      <c r="G6" s="356">
        <f ca="1">IF(TRIM(D6)=C6,
   _xlfn.XLOOKUP(C6, Cartera1017[ID Mantenimiento],Cartera1017[Comienzo Desarrollo]),
IF(TRIM(D6)="Desarrollo",
   _xlfn.XLOOKUP(C6,Cartera1017[ID Mantenimiento],Cartera1017[Comienzo Desarrollo]),
IF(TRIM(D6)="Calidad",
   _xlfn.XLOOKUP(C6,Cartera1017[ID Mantenimiento],Cartera1017[Comienzo Calidad]),
IF(TRIM(D6)="Producción",
   _xlfn.XLOOKUP(C6,Cartera1017[ID Mantenimiento],Cartera1017[Comienzo Producción]),
""))))</f>
        <v>0</v>
      </c>
      <c r="H6" s="160">
        <f ca="1">IF(TRIM(D6)=C6,
   _xlfn.XLOOKUP(C6, Cartera1017[ID Mantenimiento],Cartera1017[Fin Producción]),
IF(TRIM(D6)="Desarrollo",
   _xlfn.XLOOKUP(C6,Cartera1017[ID Mantenimiento],Cartera1017[Fin Desarrollo]),
IF(TRIM(D6)="Calidad",
   _xlfn.XLOOKUP(C6,Cartera1017[ID Mantenimiento],Cartera1017[Fin Calidad]),
IF(TRIM(D6)="Producción",
   _xlfn.XLOOKUP(C6,Cartera1017[ID Mantenimiento],Cartera1017[Fin Producción]),
""))))</f>
        <v>0</v>
      </c>
    </row>
    <row r="7" spans="1:35" hidden="1" outlineLevel="1">
      <c r="A7" s="1" t="str">
        <f ca="1"/>
        <v>Operaciones</v>
      </c>
      <c r="B7" s="1" t="str">
        <f ca="1"/>
        <v>09. Descartado</v>
      </c>
      <c r="C7" t="str">
        <f ca="1"/>
        <v>2024-M0367</v>
      </c>
      <c r="D7" t="str">
        <f ca="1"/>
        <v xml:space="preserve">   Producción</v>
      </c>
      <c r="E7" s="255">
        <f ca="1"/>
        <v>-0.01</v>
      </c>
      <c r="F7" s="255" t="str">
        <f ca="1"/>
        <v/>
      </c>
      <c r="G7" s="356">
        <f ca="1">IF(TRIM(D7)=C7,
   _xlfn.XLOOKUP(C7, Cartera1017[ID Mantenimiento],Cartera1017[Comienzo Desarrollo]),
IF(TRIM(D7)="Desarrollo",
   _xlfn.XLOOKUP(C7,Cartera1017[ID Mantenimiento],Cartera1017[Comienzo Desarrollo]),
IF(TRIM(D7)="Calidad",
   _xlfn.XLOOKUP(C7,Cartera1017[ID Mantenimiento],Cartera1017[Comienzo Calidad]),
IF(TRIM(D7)="Producción",
   _xlfn.XLOOKUP(C7,Cartera1017[ID Mantenimiento],Cartera1017[Comienzo Producción]),
""))))</f>
        <v>0</v>
      </c>
      <c r="H7" s="160">
        <f ca="1">IF(TRIM(D7)=C7,
   _xlfn.XLOOKUP(C7, Cartera1017[ID Mantenimiento],Cartera1017[Fin Producción]),
IF(TRIM(D7)="Desarrollo",
   _xlfn.XLOOKUP(C7,Cartera1017[ID Mantenimiento],Cartera1017[Fin Desarrollo]),
IF(TRIM(D7)="Calidad",
   _xlfn.XLOOKUP(C7,Cartera1017[ID Mantenimiento],Cartera1017[Fin Calidad]),
IF(TRIM(D7)="Producción",
   _xlfn.XLOOKUP(C7,Cartera1017[ID Mantenimiento],Cartera1017[Fin Producción]),
""))))</f>
        <v>0</v>
      </c>
    </row>
    <row r="8" spans="1:35" hidden="1" collapsed="1">
      <c r="A8" t="str">
        <f ca="1"/>
        <v>Operaciones</v>
      </c>
      <c r="B8" t="str">
        <f ca="1"/>
        <v>09. Descartado</v>
      </c>
      <c r="C8" t="str">
        <f ca="1"/>
        <v>2024-M0423</v>
      </c>
      <c r="D8" t="str">
        <f ca="1"/>
        <v>2024-M0423</v>
      </c>
      <c r="E8" s="255">
        <f ca="1"/>
        <v>-0.01</v>
      </c>
      <c r="F8" s="255" t="str">
        <f ca="1"/>
        <v/>
      </c>
      <c r="G8" s="356">
        <f ca="1">IF(TRIM(D8)=C8,
   _xlfn.XLOOKUP(C8, Cartera1017[ID Mantenimiento],Cartera1017[Comienzo Desarrollo]),
IF(TRIM(D8)="Desarrollo",
   _xlfn.XLOOKUP(C8,Cartera1017[ID Mantenimiento],Cartera1017[Comienzo Desarrollo]),
IF(TRIM(D8)="Calidad",
   _xlfn.XLOOKUP(C8,Cartera1017[ID Mantenimiento],Cartera1017[Comienzo Calidad]),
IF(TRIM(D8)="Producción",
   _xlfn.XLOOKUP(C8,Cartera1017[ID Mantenimiento],Cartera1017[Comienzo Producción]),
""))))</f>
        <v>0</v>
      </c>
      <c r="H8" s="160">
        <f ca="1">IF(TRIM(D8)=C8,
   _xlfn.XLOOKUP(C8, Cartera1017[ID Mantenimiento],Cartera1017[Fin Producción]),
IF(TRIM(D8)="Desarrollo",
   _xlfn.XLOOKUP(C8,Cartera1017[ID Mantenimiento],Cartera1017[Fin Desarrollo]),
IF(TRIM(D8)="Calidad",
   _xlfn.XLOOKUP(C8,Cartera1017[ID Mantenimiento],Cartera1017[Fin Calidad]),
IF(TRIM(D8)="Producción",
   _xlfn.XLOOKUP(C8,Cartera1017[ID Mantenimiento],Cartera1017[Fin Producción]),
""))))</f>
        <v>0</v>
      </c>
    </row>
    <row r="9" spans="1:35" hidden="1" outlineLevel="1">
      <c r="A9" t="str">
        <f ca="1"/>
        <v>Operaciones</v>
      </c>
      <c r="B9" t="str">
        <f ca="1"/>
        <v>09. Descartado</v>
      </c>
      <c r="C9" t="str">
        <f ca="1"/>
        <v>2024-M0423</v>
      </c>
      <c r="D9" t="str">
        <f ca="1"/>
        <v xml:space="preserve">   Desarrollo</v>
      </c>
      <c r="E9" s="255">
        <f ca="1"/>
        <v>-0.01</v>
      </c>
      <c r="F9" s="255" t="str">
        <f ca="1"/>
        <v/>
      </c>
      <c r="G9" s="356">
        <f ca="1">IF(TRIM(D9)=C9,
   _xlfn.XLOOKUP(C9, Cartera1017[ID Mantenimiento],Cartera1017[Comienzo Desarrollo]),
IF(TRIM(D9)="Desarrollo",
   _xlfn.XLOOKUP(C9,Cartera1017[ID Mantenimiento],Cartera1017[Comienzo Desarrollo]),
IF(TRIM(D9)="Calidad",
   _xlfn.XLOOKUP(C9,Cartera1017[ID Mantenimiento],Cartera1017[Comienzo Calidad]),
IF(TRIM(D9)="Producción",
   _xlfn.XLOOKUP(C9,Cartera1017[ID Mantenimiento],Cartera1017[Comienzo Producción]),
""))))</f>
        <v>0</v>
      </c>
      <c r="H9" s="160">
        <f ca="1">IF(TRIM(D9)=C9,
   _xlfn.XLOOKUP(C9, Cartera1017[ID Mantenimiento],Cartera1017[Fin Producción]),
IF(TRIM(D9)="Desarrollo",
   _xlfn.XLOOKUP(C9,Cartera1017[ID Mantenimiento],Cartera1017[Fin Desarrollo]),
IF(TRIM(D9)="Calidad",
   _xlfn.XLOOKUP(C9,Cartera1017[ID Mantenimiento],Cartera1017[Fin Calidad]),
IF(TRIM(D9)="Producción",
   _xlfn.XLOOKUP(C9,Cartera1017[ID Mantenimiento],Cartera1017[Fin Producción]),
""))))</f>
        <v>0</v>
      </c>
    </row>
    <row r="10" spans="1:35" hidden="1" outlineLevel="1">
      <c r="A10" t="str">
        <f ca="1"/>
        <v>Operaciones</v>
      </c>
      <c r="B10" t="str">
        <f ca="1"/>
        <v>09. Descartado</v>
      </c>
      <c r="C10" t="str">
        <f ca="1"/>
        <v>2024-M0423</v>
      </c>
      <c r="D10" t="str">
        <f ca="1"/>
        <v xml:space="preserve">   Calidad</v>
      </c>
      <c r="E10" s="255">
        <f ca="1"/>
        <v>-0.01</v>
      </c>
      <c r="F10" s="255" t="str">
        <f ca="1"/>
        <v/>
      </c>
      <c r="G10" s="356">
        <f ca="1">IF(TRIM(D10)=C10,
   _xlfn.XLOOKUP(C10, Cartera1017[ID Mantenimiento],Cartera1017[Comienzo Desarrollo]),
IF(TRIM(D10)="Desarrollo",
   _xlfn.XLOOKUP(C10,Cartera1017[ID Mantenimiento],Cartera1017[Comienzo Desarrollo]),
IF(TRIM(D10)="Calidad",
   _xlfn.XLOOKUP(C10,Cartera1017[ID Mantenimiento],Cartera1017[Comienzo Calidad]),
IF(TRIM(D10)="Producción",
   _xlfn.XLOOKUP(C10,Cartera1017[ID Mantenimiento],Cartera1017[Comienzo Producción]),
""))))</f>
        <v>0</v>
      </c>
      <c r="H10" s="160">
        <f ca="1">IF(TRIM(D10)=C10,
   _xlfn.XLOOKUP(C10, Cartera1017[ID Mantenimiento],Cartera1017[Fin Producción]),
IF(TRIM(D10)="Desarrollo",
   _xlfn.XLOOKUP(C10,Cartera1017[ID Mantenimiento],Cartera1017[Fin Desarrollo]),
IF(TRIM(D10)="Calidad",
   _xlfn.XLOOKUP(C10,Cartera1017[ID Mantenimiento],Cartera1017[Fin Calidad]),
IF(TRIM(D10)="Producción",
   _xlfn.XLOOKUP(C10,Cartera1017[ID Mantenimiento],Cartera1017[Fin Producción]),
""))))</f>
        <v>0</v>
      </c>
    </row>
    <row r="11" spans="1:35" hidden="1" outlineLevel="1">
      <c r="A11" t="str">
        <f ca="1"/>
        <v>Operaciones</v>
      </c>
      <c r="B11" t="str">
        <f ca="1"/>
        <v>09. Descartado</v>
      </c>
      <c r="C11" t="str">
        <f ca="1"/>
        <v>2024-M0423</v>
      </c>
      <c r="D11" t="str">
        <f ca="1"/>
        <v xml:space="preserve">   Producción</v>
      </c>
      <c r="E11" s="255">
        <f ca="1"/>
        <v>-0.01</v>
      </c>
      <c r="F11" s="255" t="str">
        <f ca="1"/>
        <v/>
      </c>
      <c r="G11" s="356">
        <f ca="1">IF(TRIM(D11)=C11,
   _xlfn.XLOOKUP(C11, Cartera1017[ID Mantenimiento],Cartera1017[Comienzo Desarrollo]),
IF(TRIM(D11)="Desarrollo",
   _xlfn.XLOOKUP(C11,Cartera1017[ID Mantenimiento],Cartera1017[Comienzo Desarrollo]),
IF(TRIM(D11)="Calidad",
   _xlfn.XLOOKUP(C11,Cartera1017[ID Mantenimiento],Cartera1017[Comienzo Calidad]),
IF(TRIM(D11)="Producción",
   _xlfn.XLOOKUP(C11,Cartera1017[ID Mantenimiento],Cartera1017[Comienzo Producción]),
""))))</f>
        <v>0</v>
      </c>
      <c r="H11" s="160">
        <f ca="1">IF(TRIM(D11)=C11,
   _xlfn.XLOOKUP(C11, Cartera1017[ID Mantenimiento],Cartera1017[Fin Producción]),
IF(TRIM(D11)="Desarrollo",
   _xlfn.XLOOKUP(C11,Cartera1017[ID Mantenimiento],Cartera1017[Fin Desarrollo]),
IF(TRIM(D11)="Calidad",
   _xlfn.XLOOKUP(C11,Cartera1017[ID Mantenimiento],Cartera1017[Fin Calidad]),
IF(TRIM(D11)="Producción",
   _xlfn.XLOOKUP(C11,Cartera1017[ID Mantenimiento],Cartera1017[Fin Producción]),
""))))</f>
        <v>0</v>
      </c>
    </row>
    <row r="12" spans="1:35" hidden="1" collapsed="1">
      <c r="A12" t="str">
        <f ca="1"/>
        <v>Productos e Inclusión Financiera</v>
      </c>
      <c r="B12" t="str">
        <f ca="1"/>
        <v>08. Producción Finalizada</v>
      </c>
      <c r="C12" t="str">
        <f ca="1"/>
        <v>2025-M0543</v>
      </c>
      <c r="D12" t="str">
        <f ca="1"/>
        <v>2025-M0543</v>
      </c>
      <c r="E12" s="255">
        <f ca="1"/>
        <v>1</v>
      </c>
      <c r="F12" s="255">
        <f ca="1"/>
        <v>1</v>
      </c>
      <c r="G12" s="356">
        <f ca="1">IF(TRIM(D12)=C12,
   _xlfn.XLOOKUP(C12, Cartera1017[ID Mantenimiento],Cartera1017[Comienzo Desarrollo]),
IF(TRIM(D12)="Desarrollo",
   _xlfn.XLOOKUP(C12,Cartera1017[ID Mantenimiento],Cartera1017[Comienzo Desarrollo]),
IF(TRIM(D12)="Calidad",
   _xlfn.XLOOKUP(C12,Cartera1017[ID Mantenimiento],Cartera1017[Comienzo Calidad]),
IF(TRIM(D12)="Producción",
   _xlfn.XLOOKUP(C12,Cartera1017[ID Mantenimiento],Cartera1017[Comienzo Producción]),
""))))</f>
        <v>45877</v>
      </c>
      <c r="H12" s="160">
        <f ca="1">IF(TRIM(D12)=C12,
   _xlfn.XLOOKUP(C12, Cartera1017[ID Mantenimiento],Cartera1017[Fin Producción]),
IF(TRIM(D12)="Desarrollo",
   _xlfn.XLOOKUP(C12,Cartera1017[ID Mantenimiento],Cartera1017[Fin Desarrollo]),
IF(TRIM(D12)="Calidad",
   _xlfn.XLOOKUP(C12,Cartera1017[ID Mantenimiento],Cartera1017[Fin Calidad]),
IF(TRIM(D12)="Producción",
   _xlfn.XLOOKUP(C12,Cartera1017[ID Mantenimiento],Cartera1017[Fin Producción]),
""))))</f>
        <v>46129</v>
      </c>
    </row>
    <row r="13" spans="1:35" hidden="1" outlineLevel="1">
      <c r="A13" t="str">
        <f ca="1"/>
        <v>Productos e Inclusión Financiera</v>
      </c>
      <c r="B13" t="str">
        <f ca="1"/>
        <v>08. Producción Finalizada</v>
      </c>
      <c r="C13" t="str">
        <f ca="1"/>
        <v>2025-M0543</v>
      </c>
      <c r="D13" t="str">
        <f ca="1"/>
        <v xml:space="preserve">   Desarrollo</v>
      </c>
      <c r="E13" s="255">
        <f ca="1"/>
        <v>1</v>
      </c>
      <c r="F13" s="255">
        <f ca="1"/>
        <v>1</v>
      </c>
      <c r="G13" s="356">
        <f ca="1">IF(TRIM(D13)=C13,
   _xlfn.XLOOKUP(C13, Cartera1017[ID Mantenimiento],Cartera1017[Comienzo Desarrollo]),
IF(TRIM(D13)="Desarrollo",
   _xlfn.XLOOKUP(C13,Cartera1017[ID Mantenimiento],Cartera1017[Comienzo Desarrollo]),
IF(TRIM(D13)="Calidad",
   _xlfn.XLOOKUP(C13,Cartera1017[ID Mantenimiento],Cartera1017[Comienzo Calidad]),
IF(TRIM(D13)="Producción",
   _xlfn.XLOOKUP(C13,Cartera1017[ID Mantenimiento],Cartera1017[Comienzo Producción]),
""))))</f>
        <v>45877</v>
      </c>
      <c r="H13" s="160">
        <f ca="1">IF(TRIM(D13)=C13,
   _xlfn.XLOOKUP(C13, Cartera1017[ID Mantenimiento],Cartera1017[Fin Producción]),
IF(TRIM(D13)="Desarrollo",
   _xlfn.XLOOKUP(C13,Cartera1017[ID Mantenimiento],Cartera1017[Fin Desarrollo]),
IF(TRIM(D13)="Calidad",
   _xlfn.XLOOKUP(C13,Cartera1017[ID Mantenimiento],Cartera1017[Fin Calidad]),
IF(TRIM(D13)="Producción",
   _xlfn.XLOOKUP(C13,Cartera1017[ID Mantenimiento],Cartera1017[Fin Producción]),
""))))</f>
        <v>46003</v>
      </c>
    </row>
    <row r="14" spans="1:35" hidden="1" outlineLevel="1">
      <c r="A14" t="str">
        <f ca="1"/>
        <v>Productos e Inclusión Financiera</v>
      </c>
      <c r="B14" t="str">
        <f ca="1"/>
        <v>08. Producción Finalizada</v>
      </c>
      <c r="C14" t="str">
        <f ca="1"/>
        <v>2025-M0543</v>
      </c>
      <c r="D14" t="str">
        <f ca="1"/>
        <v xml:space="preserve">   Calidad</v>
      </c>
      <c r="E14" s="255">
        <f ca="1"/>
        <v>1</v>
      </c>
      <c r="F14" s="255">
        <f ca="1"/>
        <v>1</v>
      </c>
      <c r="G14" s="356">
        <f ca="1">IF(TRIM(D14)=C14,
   _xlfn.XLOOKUP(C14, Cartera1017[ID Mantenimiento],Cartera1017[Comienzo Desarrollo]),
IF(TRIM(D14)="Desarrollo",
   _xlfn.XLOOKUP(C14,Cartera1017[ID Mantenimiento],Cartera1017[Comienzo Desarrollo]),
IF(TRIM(D14)="Calidad",
   _xlfn.XLOOKUP(C14,Cartera1017[ID Mantenimiento],Cartera1017[Comienzo Calidad]),
IF(TRIM(D14)="Producción",
   _xlfn.XLOOKUP(C14,Cartera1017[ID Mantenimiento],Cartera1017[Comienzo Producción]),
""))))</f>
        <v>46013</v>
      </c>
      <c r="H14" s="160">
        <f ca="1">IF(TRIM(D14)=C14,
   _xlfn.XLOOKUP(C14, Cartera1017[ID Mantenimiento],Cartera1017[Fin Producción]),
IF(TRIM(D14)="Desarrollo",
   _xlfn.XLOOKUP(C14,Cartera1017[ID Mantenimiento],Cartera1017[Fin Desarrollo]),
IF(TRIM(D14)="Calidad",
   _xlfn.XLOOKUP(C14,Cartera1017[ID Mantenimiento],Cartera1017[Fin Calidad]),
IF(TRIM(D14)="Producción",
   _xlfn.XLOOKUP(C14,Cartera1017[ID Mantenimiento],Cartera1017[Fin Producción]),
""))))</f>
        <v>46122</v>
      </c>
    </row>
    <row r="15" spans="1:35" hidden="1" outlineLevel="1">
      <c r="A15" t="str">
        <f ca="1"/>
        <v>Productos e Inclusión Financiera</v>
      </c>
      <c r="B15" t="str">
        <f ca="1"/>
        <v>08. Producción Finalizada</v>
      </c>
      <c r="C15" t="str">
        <f ca="1"/>
        <v>2025-M0543</v>
      </c>
      <c r="D15" t="str">
        <f ca="1"/>
        <v xml:space="preserve">   Producción</v>
      </c>
      <c r="E15" s="255">
        <f ca="1"/>
        <v>1</v>
      </c>
      <c r="F15" s="255">
        <f ca="1"/>
        <v>1</v>
      </c>
      <c r="G15" s="356">
        <f ca="1">IF(TRIM(D15)=C15,
   _xlfn.XLOOKUP(C15, Cartera1017[ID Mantenimiento],Cartera1017[Comienzo Desarrollo]),
IF(TRIM(D15)="Desarrollo",
   _xlfn.XLOOKUP(C15,Cartera1017[ID Mantenimiento],Cartera1017[Comienzo Desarrollo]),
IF(TRIM(D15)="Calidad",
   _xlfn.XLOOKUP(C15,Cartera1017[ID Mantenimiento],Cartera1017[Comienzo Calidad]),
IF(TRIM(D15)="Producción",
   _xlfn.XLOOKUP(C15,Cartera1017[ID Mantenimiento],Cartera1017[Comienzo Producción]),
""))))</f>
        <v>46122</v>
      </c>
      <c r="H15" s="160">
        <f ca="1">IF(TRIM(D15)=C15,
   _xlfn.XLOOKUP(C15, Cartera1017[ID Mantenimiento],Cartera1017[Fin Producción]),
IF(TRIM(D15)="Desarrollo",
   _xlfn.XLOOKUP(C15,Cartera1017[ID Mantenimiento],Cartera1017[Fin Desarrollo]),
IF(TRIM(D15)="Calidad",
   _xlfn.XLOOKUP(C15,Cartera1017[ID Mantenimiento],Cartera1017[Fin Calidad]),
IF(TRIM(D15)="Producción",
   _xlfn.XLOOKUP(C15,Cartera1017[ID Mantenimiento],Cartera1017[Fin Producción]),
""))))</f>
        <v>46129</v>
      </c>
    </row>
    <row r="16" spans="1:35" hidden="1" collapsed="1">
      <c r="A16" t="str">
        <f ca="1"/>
        <v>Banca Digital</v>
      </c>
      <c r="B16" t="str">
        <f ca="1"/>
        <v>10. Paralizado</v>
      </c>
      <c r="C16" t="str">
        <f ca="1"/>
        <v>2023-M0402</v>
      </c>
      <c r="D16" t="str">
        <f ca="1"/>
        <v>2023-M0402</v>
      </c>
      <c r="E16" s="255">
        <f ca="1"/>
        <v>0.12</v>
      </c>
      <c r="F16" s="255" t="str">
        <f ca="1"/>
        <v/>
      </c>
      <c r="G16" s="356">
        <f ca="1">IF(TRIM(D16)=C16,
   _xlfn.XLOOKUP(C16, Cartera1017[ID Mantenimiento],Cartera1017[Comienzo Desarrollo]),
IF(TRIM(D16)="Desarrollo",
   _xlfn.XLOOKUP(C16,Cartera1017[ID Mantenimiento],Cartera1017[Comienzo Desarrollo]),
IF(TRIM(D16)="Calidad",
   _xlfn.XLOOKUP(C16,Cartera1017[ID Mantenimiento],Cartera1017[Comienzo Calidad]),
IF(TRIM(D16)="Producción",
   _xlfn.XLOOKUP(C16,Cartera1017[ID Mantenimiento],Cartera1017[Comienzo Producción]),
""))))</f>
        <v>0</v>
      </c>
      <c r="H16" s="160">
        <f ca="1">IF(TRIM(D16)=C16,
   _xlfn.XLOOKUP(C16, Cartera1017[ID Mantenimiento],Cartera1017[Fin Producción]),
IF(TRIM(D16)="Desarrollo",
   _xlfn.XLOOKUP(C16,Cartera1017[ID Mantenimiento],Cartera1017[Fin Desarrollo]),
IF(TRIM(D16)="Calidad",
   _xlfn.XLOOKUP(C16,Cartera1017[ID Mantenimiento],Cartera1017[Fin Calidad]),
IF(TRIM(D16)="Producción",
   _xlfn.XLOOKUP(C16,Cartera1017[ID Mantenimiento],Cartera1017[Fin Producción]),
""))))</f>
        <v>46477</v>
      </c>
    </row>
    <row r="17" spans="1:8" hidden="1" outlineLevel="1">
      <c r="A17" t="str">
        <f ca="1"/>
        <v>Banca Digital</v>
      </c>
      <c r="B17" t="str">
        <f ca="1"/>
        <v>10. Paralizado</v>
      </c>
      <c r="C17" t="str">
        <f ca="1"/>
        <v>2023-M0402</v>
      </c>
      <c r="D17" t="str">
        <f ca="1"/>
        <v xml:space="preserve">   Desarrollo</v>
      </c>
      <c r="E17" s="255">
        <f ca="1"/>
        <v>0.12</v>
      </c>
      <c r="F17" s="255" t="str">
        <f ca="1"/>
        <v/>
      </c>
      <c r="G17" s="356">
        <f ca="1">IF(TRIM(D17)=C17,
   _xlfn.XLOOKUP(C17, Cartera1017[ID Mantenimiento],Cartera1017[Comienzo Desarrollo]),
IF(TRIM(D17)="Desarrollo",
   _xlfn.XLOOKUP(C17,Cartera1017[ID Mantenimiento],Cartera1017[Comienzo Desarrollo]),
IF(TRIM(D17)="Calidad",
   _xlfn.XLOOKUP(C17,Cartera1017[ID Mantenimiento],Cartera1017[Comienzo Calidad]),
IF(TRIM(D17)="Producción",
   _xlfn.XLOOKUP(C17,Cartera1017[ID Mantenimiento],Cartera1017[Comienzo Producción]),
""))))</f>
        <v>0</v>
      </c>
      <c r="H17" s="160">
        <f ca="1">IF(TRIM(D17)=C17,
   _xlfn.XLOOKUP(C17, Cartera1017[ID Mantenimiento],Cartera1017[Fin Producción]),
IF(TRIM(D17)="Desarrollo",
   _xlfn.XLOOKUP(C17,Cartera1017[ID Mantenimiento],Cartera1017[Fin Desarrollo]),
IF(TRIM(D17)="Calidad",
   _xlfn.XLOOKUP(C17,Cartera1017[ID Mantenimiento],Cartera1017[Fin Calidad]),
IF(TRIM(D17)="Producción",
   _xlfn.XLOOKUP(C17,Cartera1017[ID Mantenimiento],Cartera1017[Fin Producción]),
""))))</f>
        <v>0</v>
      </c>
    </row>
    <row r="18" spans="1:8" hidden="1" outlineLevel="1">
      <c r="A18" t="str">
        <f ca="1"/>
        <v>Banca Digital</v>
      </c>
      <c r="B18" t="str">
        <f ca="1"/>
        <v>10. Paralizado</v>
      </c>
      <c r="C18" t="str">
        <f ca="1"/>
        <v>2023-M0402</v>
      </c>
      <c r="D18" t="str">
        <f ca="1"/>
        <v xml:space="preserve">   Calidad</v>
      </c>
      <c r="E18" s="255">
        <f ca="1"/>
        <v>0.12</v>
      </c>
      <c r="F18" s="255" t="str">
        <f ca="1"/>
        <v/>
      </c>
      <c r="G18" s="356">
        <f ca="1">IF(TRIM(D18)=C18,
   _xlfn.XLOOKUP(C18, Cartera1017[ID Mantenimiento],Cartera1017[Comienzo Desarrollo]),
IF(TRIM(D18)="Desarrollo",
   _xlfn.XLOOKUP(C18,Cartera1017[ID Mantenimiento],Cartera1017[Comienzo Desarrollo]),
IF(TRIM(D18)="Calidad",
   _xlfn.XLOOKUP(C18,Cartera1017[ID Mantenimiento],Cartera1017[Comienzo Calidad]),
IF(TRIM(D18)="Producción",
   _xlfn.XLOOKUP(C18,Cartera1017[ID Mantenimiento],Cartera1017[Comienzo Producción]),
""))))</f>
        <v>0</v>
      </c>
      <c r="H18" s="160">
        <f ca="1">IF(TRIM(D18)=C18,
   _xlfn.XLOOKUP(C18, Cartera1017[ID Mantenimiento],Cartera1017[Fin Producción]),
IF(TRIM(D18)="Desarrollo",
   _xlfn.XLOOKUP(C18,Cartera1017[ID Mantenimiento],Cartera1017[Fin Desarrollo]),
IF(TRIM(D18)="Calidad",
   _xlfn.XLOOKUP(C18,Cartera1017[ID Mantenimiento],Cartera1017[Fin Calidad]),
IF(TRIM(D18)="Producción",
   _xlfn.XLOOKUP(C18,Cartera1017[ID Mantenimiento],Cartera1017[Fin Producción]),
""))))</f>
        <v>0</v>
      </c>
    </row>
    <row r="19" spans="1:8" hidden="1" outlineLevel="1">
      <c r="A19" t="str">
        <f ca="1"/>
        <v>Banca Digital</v>
      </c>
      <c r="B19" t="str">
        <f ca="1"/>
        <v>10. Paralizado</v>
      </c>
      <c r="C19" t="str">
        <f ca="1"/>
        <v>2023-M0402</v>
      </c>
      <c r="D19" t="str">
        <f ca="1"/>
        <v xml:space="preserve">   Producción</v>
      </c>
      <c r="E19" s="255">
        <f ca="1"/>
        <v>0.12</v>
      </c>
      <c r="F19" s="255" t="str">
        <f ca="1"/>
        <v/>
      </c>
      <c r="G19" s="356">
        <f ca="1">IF(TRIM(D19)=C19,
   _xlfn.XLOOKUP(C19, Cartera1017[ID Mantenimiento],Cartera1017[Comienzo Desarrollo]),
IF(TRIM(D19)="Desarrollo",
   _xlfn.XLOOKUP(C19,Cartera1017[ID Mantenimiento],Cartera1017[Comienzo Desarrollo]),
IF(TRIM(D19)="Calidad",
   _xlfn.XLOOKUP(C19,Cartera1017[ID Mantenimiento],Cartera1017[Comienzo Calidad]),
IF(TRIM(D19)="Producción",
   _xlfn.XLOOKUP(C19,Cartera1017[ID Mantenimiento],Cartera1017[Comienzo Producción]),
""))))</f>
        <v>0</v>
      </c>
      <c r="H19" s="160">
        <f ca="1">IF(TRIM(D19)=C19,
   _xlfn.XLOOKUP(C19, Cartera1017[ID Mantenimiento],Cartera1017[Fin Producción]),
IF(TRIM(D19)="Desarrollo",
   _xlfn.XLOOKUP(C19,Cartera1017[ID Mantenimiento],Cartera1017[Fin Desarrollo]),
IF(TRIM(D19)="Calidad",
   _xlfn.XLOOKUP(C19,Cartera1017[ID Mantenimiento],Cartera1017[Fin Calidad]),
IF(TRIM(D19)="Producción",
   _xlfn.XLOOKUP(C19,Cartera1017[ID Mantenimiento],Cartera1017[Fin Producción]),
""))))</f>
        <v>46477</v>
      </c>
    </row>
    <row r="20" spans="1:8" hidden="1" collapsed="1">
      <c r="A20" t="str">
        <f ca="1"/>
        <v>Productos e Inclusión Financiera</v>
      </c>
      <c r="B20" t="str">
        <f ca="1"/>
        <v>08. Producción Finalizada</v>
      </c>
      <c r="C20" t="str">
        <f ca="1"/>
        <v>2021-M0473</v>
      </c>
      <c r="D20" t="str">
        <f ca="1"/>
        <v>2021-M0473</v>
      </c>
      <c r="E20" s="255">
        <f ca="1"/>
        <v>1</v>
      </c>
      <c r="F20" s="255">
        <f ca="1"/>
        <v>1</v>
      </c>
      <c r="G20" s="356">
        <f ca="1">IF(TRIM(D20)=C20,
   _xlfn.XLOOKUP(C20, Cartera1017[ID Mantenimiento],Cartera1017[Comienzo Desarrollo]),
IF(TRIM(D20)="Desarrollo",
   _xlfn.XLOOKUP(C20,Cartera1017[ID Mantenimiento],Cartera1017[Comienzo Desarrollo]),
IF(TRIM(D20)="Calidad",
   _xlfn.XLOOKUP(C20,Cartera1017[ID Mantenimiento],Cartera1017[Comienzo Calidad]),
IF(TRIM(D20)="Producción",
   _xlfn.XLOOKUP(C20,Cartera1017[ID Mantenimiento],Cartera1017[Comienzo Producción]),
""))))</f>
        <v>44487</v>
      </c>
      <c r="H20" s="160">
        <f ca="1">IF(TRIM(D20)=C20,
   _xlfn.XLOOKUP(C20, Cartera1017[ID Mantenimiento],Cartera1017[Fin Producción]),
IF(TRIM(D20)="Desarrollo",
   _xlfn.XLOOKUP(C20,Cartera1017[ID Mantenimiento],Cartera1017[Fin Desarrollo]),
IF(TRIM(D20)="Calidad",
   _xlfn.XLOOKUP(C20,Cartera1017[ID Mantenimiento],Cartera1017[Fin Calidad]),
IF(TRIM(D20)="Producción",
   _xlfn.XLOOKUP(C20,Cartera1017[ID Mantenimiento],Cartera1017[Fin Producción]),
""))))</f>
        <v>46108</v>
      </c>
    </row>
    <row r="21" spans="1:8" hidden="1" outlineLevel="1">
      <c r="A21" t="str">
        <f ca="1"/>
        <v>Productos e Inclusión Financiera</v>
      </c>
      <c r="B21" t="str">
        <f ca="1"/>
        <v>08. Producción Finalizada</v>
      </c>
      <c r="C21" t="str">
        <f ca="1"/>
        <v>2021-M0473</v>
      </c>
      <c r="D21" t="str">
        <f ca="1"/>
        <v xml:space="preserve">   Desarrollo</v>
      </c>
      <c r="E21" s="255">
        <f ca="1"/>
        <v>1</v>
      </c>
      <c r="F21" s="255">
        <f ca="1"/>
        <v>1</v>
      </c>
      <c r="G21" s="356">
        <f ca="1">IF(TRIM(D21)=C21,
   _xlfn.XLOOKUP(C21, Cartera1017[ID Mantenimiento],Cartera1017[Comienzo Desarrollo]),
IF(TRIM(D21)="Desarrollo",
   _xlfn.XLOOKUP(C21,Cartera1017[ID Mantenimiento],Cartera1017[Comienzo Desarrollo]),
IF(TRIM(D21)="Calidad",
   _xlfn.XLOOKUP(C21,Cartera1017[ID Mantenimiento],Cartera1017[Comienzo Calidad]),
IF(TRIM(D21)="Producción",
   _xlfn.XLOOKUP(C21,Cartera1017[ID Mantenimiento],Cartera1017[Comienzo Producción]),
""))))</f>
        <v>44487</v>
      </c>
      <c r="H21" s="160">
        <f ca="1">IF(TRIM(D21)=C21,
   _xlfn.XLOOKUP(C21, Cartera1017[ID Mantenimiento],Cartera1017[Fin Producción]),
IF(TRIM(D21)="Desarrollo",
   _xlfn.XLOOKUP(C21,Cartera1017[ID Mantenimiento],Cartera1017[Fin Desarrollo]),
IF(TRIM(D21)="Calidad",
   _xlfn.XLOOKUP(C21,Cartera1017[ID Mantenimiento],Cartera1017[Fin Calidad]),
IF(TRIM(D21)="Producción",
   _xlfn.XLOOKUP(C21,Cartera1017[ID Mantenimiento],Cartera1017[Fin Producción]),
""))))</f>
        <v>45797</v>
      </c>
    </row>
    <row r="22" spans="1:8" hidden="1" outlineLevel="1">
      <c r="A22" t="str">
        <f ca="1"/>
        <v>Productos e Inclusión Financiera</v>
      </c>
      <c r="B22" t="str">
        <f ca="1"/>
        <v>08. Producción Finalizada</v>
      </c>
      <c r="C22" t="str">
        <f ca="1"/>
        <v>2021-M0473</v>
      </c>
      <c r="D22" t="str">
        <f ca="1"/>
        <v xml:space="preserve">   Calidad</v>
      </c>
      <c r="E22" s="255">
        <f ca="1"/>
        <v>1</v>
      </c>
      <c r="F22" s="255">
        <f ca="1"/>
        <v>1</v>
      </c>
      <c r="G22" s="356">
        <f ca="1">IF(TRIM(D22)=C22,
   _xlfn.XLOOKUP(C22, Cartera1017[ID Mantenimiento],Cartera1017[Comienzo Desarrollo]),
IF(TRIM(D22)="Desarrollo",
   _xlfn.XLOOKUP(C22,Cartera1017[ID Mantenimiento],Cartera1017[Comienzo Desarrollo]),
IF(TRIM(D22)="Calidad",
   _xlfn.XLOOKUP(C22,Cartera1017[ID Mantenimiento],Cartera1017[Comienzo Calidad]),
IF(TRIM(D22)="Producción",
   _xlfn.XLOOKUP(C22,Cartera1017[ID Mantenimiento],Cartera1017[Comienzo Producción]),
""))))</f>
        <v>45832</v>
      </c>
      <c r="H22" s="160">
        <f ca="1">IF(TRIM(D22)=C22,
   _xlfn.XLOOKUP(C22, Cartera1017[ID Mantenimiento],Cartera1017[Fin Producción]),
IF(TRIM(D22)="Desarrollo",
   _xlfn.XLOOKUP(C22,Cartera1017[ID Mantenimiento],Cartera1017[Fin Desarrollo]),
IF(TRIM(D22)="Calidad",
   _xlfn.XLOOKUP(C22,Cartera1017[ID Mantenimiento],Cartera1017[Fin Calidad]),
IF(TRIM(D22)="Producción",
   _xlfn.XLOOKUP(C22,Cartera1017[ID Mantenimiento],Cartera1017[Fin Producción]),
""))))</f>
        <v>45853</v>
      </c>
    </row>
    <row r="23" spans="1:8" hidden="1" outlineLevel="1">
      <c r="A23" t="str">
        <f ca="1"/>
        <v>Productos e Inclusión Financiera</v>
      </c>
      <c r="B23" t="str">
        <f ca="1"/>
        <v>08. Producción Finalizada</v>
      </c>
      <c r="C23" t="str">
        <f ca="1"/>
        <v>2021-M0473</v>
      </c>
      <c r="D23" t="str">
        <f ca="1"/>
        <v xml:space="preserve">   Producción</v>
      </c>
      <c r="E23" s="255">
        <f ca="1"/>
        <v>1</v>
      </c>
      <c r="F23" s="255">
        <f ca="1"/>
        <v>1</v>
      </c>
      <c r="G23" s="356">
        <f ca="1">IF(TRIM(D23)=C23,
   _xlfn.XLOOKUP(C23, Cartera1017[ID Mantenimiento],Cartera1017[Comienzo Desarrollo]),
IF(TRIM(D23)="Desarrollo",
   _xlfn.XLOOKUP(C23,Cartera1017[ID Mantenimiento],Cartera1017[Comienzo Desarrollo]),
IF(TRIM(D23)="Calidad",
   _xlfn.XLOOKUP(C23,Cartera1017[ID Mantenimiento],Cartera1017[Comienzo Calidad]),
IF(TRIM(D23)="Producción",
   _xlfn.XLOOKUP(C23,Cartera1017[ID Mantenimiento],Cartera1017[Comienzo Producción]),
""))))</f>
        <v>45887</v>
      </c>
      <c r="H23" s="160">
        <f ca="1">IF(TRIM(D23)=C23,
   _xlfn.XLOOKUP(C23, Cartera1017[ID Mantenimiento],Cartera1017[Fin Producción]),
IF(TRIM(D23)="Desarrollo",
   _xlfn.XLOOKUP(C23,Cartera1017[ID Mantenimiento],Cartera1017[Fin Desarrollo]),
IF(TRIM(D23)="Calidad",
   _xlfn.XLOOKUP(C23,Cartera1017[ID Mantenimiento],Cartera1017[Fin Calidad]),
IF(TRIM(D23)="Producción",
   _xlfn.XLOOKUP(C23,Cartera1017[ID Mantenimiento],Cartera1017[Fin Producción]),
""))))</f>
        <v>46108</v>
      </c>
    </row>
    <row r="24" spans="1:8" hidden="1" collapsed="1">
      <c r="A24" t="str">
        <f ca="1"/>
        <v>Operaciones</v>
      </c>
      <c r="B24" t="str">
        <f ca="1"/>
        <v>07. En Despliegue</v>
      </c>
      <c r="C24" t="str">
        <f ca="1"/>
        <v>2022-M0526</v>
      </c>
      <c r="D24" t="str">
        <f ca="1"/>
        <v>2022-M0526</v>
      </c>
      <c r="E24" s="255">
        <f ca="1"/>
        <v>0.9</v>
      </c>
      <c r="F24" s="255">
        <f ca="1"/>
        <v>1</v>
      </c>
      <c r="G24" s="356">
        <f ca="1">IF(TRIM(D24)=C24,
   _xlfn.XLOOKUP(C24, Cartera1017[ID Mantenimiento],Cartera1017[Comienzo Desarrollo]),
IF(TRIM(D24)="Desarrollo",
   _xlfn.XLOOKUP(C24,Cartera1017[ID Mantenimiento],Cartera1017[Comienzo Desarrollo]),
IF(TRIM(D24)="Calidad",
   _xlfn.XLOOKUP(C24,Cartera1017[ID Mantenimiento],Cartera1017[Comienzo Calidad]),
IF(TRIM(D24)="Producción",
   _xlfn.XLOOKUP(C24,Cartera1017[ID Mantenimiento],Cartera1017[Comienzo Producción]),
""))))</f>
        <v>45187</v>
      </c>
      <c r="H24" s="160">
        <f ca="1">IF(TRIM(D24)=C24,
   _xlfn.XLOOKUP(C24, Cartera1017[ID Mantenimiento],Cartera1017[Fin Producción]),
IF(TRIM(D24)="Desarrollo",
   _xlfn.XLOOKUP(C24,Cartera1017[ID Mantenimiento],Cartera1017[Fin Desarrollo]),
IF(TRIM(D24)="Calidad",
   _xlfn.XLOOKUP(C24,Cartera1017[ID Mantenimiento],Cartera1017[Fin Calidad]),
IF(TRIM(D24)="Producción",
   _xlfn.XLOOKUP(C24,Cartera1017[ID Mantenimiento],Cartera1017[Fin Producción]),
""))))</f>
        <v>46108</v>
      </c>
    </row>
    <row r="25" spans="1:8" hidden="1" outlineLevel="1">
      <c r="A25" t="str">
        <f ca="1"/>
        <v>Operaciones</v>
      </c>
      <c r="B25" t="str">
        <f ca="1"/>
        <v>07. En Despliegue</v>
      </c>
      <c r="C25" t="str">
        <f ca="1"/>
        <v>2022-M0526</v>
      </c>
      <c r="D25" t="str">
        <f ca="1"/>
        <v xml:space="preserve">   Desarrollo</v>
      </c>
      <c r="E25" s="255">
        <f ca="1"/>
        <v>0.9</v>
      </c>
      <c r="F25" s="255">
        <f ca="1"/>
        <v>1</v>
      </c>
      <c r="G25" s="356">
        <f ca="1">IF(TRIM(D25)=C25,
   _xlfn.XLOOKUP(C25, Cartera1017[ID Mantenimiento],Cartera1017[Comienzo Desarrollo]),
IF(TRIM(D25)="Desarrollo",
   _xlfn.XLOOKUP(C25,Cartera1017[ID Mantenimiento],Cartera1017[Comienzo Desarrollo]),
IF(TRIM(D25)="Calidad",
   _xlfn.XLOOKUP(C25,Cartera1017[ID Mantenimiento],Cartera1017[Comienzo Calidad]),
IF(TRIM(D25)="Producción",
   _xlfn.XLOOKUP(C25,Cartera1017[ID Mantenimiento],Cartera1017[Comienzo Producción]),
""))))</f>
        <v>45187</v>
      </c>
      <c r="H25" s="160">
        <f ca="1">IF(TRIM(D25)=C25,
   _xlfn.XLOOKUP(C25, Cartera1017[ID Mantenimiento],Cartera1017[Fin Producción]),
IF(TRIM(D25)="Desarrollo",
   _xlfn.XLOOKUP(C25,Cartera1017[ID Mantenimiento],Cartera1017[Fin Desarrollo]),
IF(TRIM(D25)="Calidad",
   _xlfn.XLOOKUP(C25,Cartera1017[ID Mantenimiento],Cartera1017[Fin Calidad]),
IF(TRIM(D25)="Producción",
   _xlfn.XLOOKUP(C25,Cartera1017[ID Mantenimiento],Cartera1017[Fin Producción]),
""))))</f>
        <v>45226</v>
      </c>
    </row>
    <row r="26" spans="1:8" hidden="1" outlineLevel="1">
      <c r="A26" t="str">
        <f ca="1"/>
        <v>Operaciones</v>
      </c>
      <c r="B26" t="str">
        <f ca="1"/>
        <v>07. En Despliegue</v>
      </c>
      <c r="C26" t="str">
        <f ca="1"/>
        <v>2022-M0526</v>
      </c>
      <c r="D26" t="str">
        <f ca="1"/>
        <v xml:space="preserve">   Calidad</v>
      </c>
      <c r="E26" s="255">
        <f ca="1"/>
        <v>0.9</v>
      </c>
      <c r="F26" s="255">
        <f ca="1"/>
        <v>1</v>
      </c>
      <c r="G26" s="356">
        <f ca="1">IF(TRIM(D26)=C26,
   _xlfn.XLOOKUP(C26, Cartera1017[ID Mantenimiento],Cartera1017[Comienzo Desarrollo]),
IF(TRIM(D26)="Desarrollo",
   _xlfn.XLOOKUP(C26,Cartera1017[ID Mantenimiento],Cartera1017[Comienzo Desarrollo]),
IF(TRIM(D26)="Calidad",
   _xlfn.XLOOKUP(C26,Cartera1017[ID Mantenimiento],Cartera1017[Comienzo Calidad]),
IF(TRIM(D26)="Producción",
   _xlfn.XLOOKUP(C26,Cartera1017[ID Mantenimiento],Cartera1017[Comienzo Producción]),
""))))</f>
        <v>45240</v>
      </c>
      <c r="H26" s="160">
        <f ca="1">IF(TRIM(D26)=C26,
   _xlfn.XLOOKUP(C26, Cartera1017[ID Mantenimiento],Cartera1017[Fin Producción]),
IF(TRIM(D26)="Desarrollo",
   _xlfn.XLOOKUP(C26,Cartera1017[ID Mantenimiento],Cartera1017[Fin Desarrollo]),
IF(TRIM(D26)="Calidad",
   _xlfn.XLOOKUP(C26,Cartera1017[ID Mantenimiento],Cartera1017[Fin Calidad]),
IF(TRIM(D26)="Producción",
   _xlfn.XLOOKUP(C26,Cartera1017[ID Mantenimiento],Cartera1017[Fin Producción]),
""))))</f>
        <v>45252</v>
      </c>
    </row>
    <row r="27" spans="1:8" hidden="1" outlineLevel="1">
      <c r="A27" t="str">
        <f ca="1"/>
        <v>Operaciones</v>
      </c>
      <c r="B27" t="str">
        <f ca="1"/>
        <v>07. En Despliegue</v>
      </c>
      <c r="C27" t="str">
        <f ca="1"/>
        <v>2022-M0526</v>
      </c>
      <c r="D27" t="str">
        <f ca="1"/>
        <v xml:space="preserve">   Producción</v>
      </c>
      <c r="E27" s="255">
        <f ca="1"/>
        <v>0.9</v>
      </c>
      <c r="F27" s="255">
        <f ca="1"/>
        <v>1</v>
      </c>
      <c r="G27" s="356">
        <f ca="1">IF(TRIM(D27)=C27,
   _xlfn.XLOOKUP(C27, Cartera1017[ID Mantenimiento],Cartera1017[Comienzo Desarrollo]),
IF(TRIM(D27)="Desarrollo",
   _xlfn.XLOOKUP(C27,Cartera1017[ID Mantenimiento],Cartera1017[Comienzo Desarrollo]),
IF(TRIM(D27)="Calidad",
   _xlfn.XLOOKUP(C27,Cartera1017[ID Mantenimiento],Cartera1017[Comienzo Calidad]),
IF(TRIM(D27)="Producción",
   _xlfn.XLOOKUP(C27,Cartera1017[ID Mantenimiento],Cartera1017[Comienzo Producción]),
""))))</f>
        <v>46072</v>
      </c>
      <c r="H27" s="160">
        <f ca="1">IF(TRIM(D27)=C27,
   _xlfn.XLOOKUP(C27, Cartera1017[ID Mantenimiento],Cartera1017[Fin Producción]),
IF(TRIM(D27)="Desarrollo",
   _xlfn.XLOOKUP(C27,Cartera1017[ID Mantenimiento],Cartera1017[Fin Desarrollo]),
IF(TRIM(D27)="Calidad",
   _xlfn.XLOOKUP(C27,Cartera1017[ID Mantenimiento],Cartera1017[Fin Calidad]),
IF(TRIM(D27)="Producción",
   _xlfn.XLOOKUP(C27,Cartera1017[ID Mantenimiento],Cartera1017[Fin Producción]),
""))))</f>
        <v>46108</v>
      </c>
    </row>
    <row r="28" spans="1:8" hidden="1" collapsed="1">
      <c r="A28" t="str">
        <f ca="1"/>
        <v>Oficialía de PLAFT</v>
      </c>
      <c r="B28" t="str">
        <f ca="1"/>
        <v>03. En Desarrollo</v>
      </c>
      <c r="C28" t="str">
        <f ca="1"/>
        <v>2023-M0356</v>
      </c>
      <c r="D28" t="str">
        <f ca="1"/>
        <v>2023-M0356</v>
      </c>
      <c r="E28" s="255">
        <f ca="1"/>
        <v>0.15</v>
      </c>
      <c r="F28" s="255">
        <f ca="1"/>
        <v>0.33333333333333331</v>
      </c>
      <c r="G28" s="356">
        <f ca="1">IF(TRIM(D28)=C28,
   _xlfn.XLOOKUP(C28, Cartera1017[ID Mantenimiento],Cartera1017[Comienzo Desarrollo]),
IF(TRIM(D28)="Desarrollo",
   _xlfn.XLOOKUP(C28,Cartera1017[ID Mantenimiento],Cartera1017[Comienzo Desarrollo]),
IF(TRIM(D28)="Calidad",
   _xlfn.XLOOKUP(C28,Cartera1017[ID Mantenimiento],Cartera1017[Comienzo Calidad]),
IF(TRIM(D28)="Producción",
   _xlfn.XLOOKUP(C28,Cartera1017[ID Mantenimiento],Cartera1017[Comienzo Producción]),
""))))</f>
        <v>46125</v>
      </c>
      <c r="H28" s="160">
        <f ca="1">IF(TRIM(D28)=C28,
   _xlfn.XLOOKUP(C28, Cartera1017[ID Mantenimiento],Cartera1017[Fin Producción]),
IF(TRIM(D28)="Desarrollo",
   _xlfn.XLOOKUP(C28,Cartera1017[ID Mantenimiento],Cartera1017[Fin Desarrollo]),
IF(TRIM(D28)="Calidad",
   _xlfn.XLOOKUP(C28,Cartera1017[ID Mantenimiento],Cartera1017[Fin Calidad]),
IF(TRIM(D28)="Producción",
   _xlfn.XLOOKUP(C28,Cartera1017[ID Mantenimiento],Cartera1017[Fin Producción]),
""))))</f>
        <v>46243</v>
      </c>
    </row>
    <row r="29" spans="1:8" hidden="1" outlineLevel="1">
      <c r="A29" t="str">
        <f ca="1"/>
        <v>Oficialía de PLAFT</v>
      </c>
      <c r="B29" t="str">
        <f ca="1"/>
        <v>03. En Desarrollo</v>
      </c>
      <c r="C29" t="str">
        <f ca="1"/>
        <v>2023-M0356</v>
      </c>
      <c r="D29" t="str">
        <f ca="1"/>
        <v xml:space="preserve">   Desarrollo</v>
      </c>
      <c r="E29" s="255">
        <f ca="1"/>
        <v>0.15</v>
      </c>
      <c r="F29" s="255">
        <f ca="1"/>
        <v>0.33333333333333331</v>
      </c>
      <c r="G29" s="356">
        <f ca="1">IF(TRIM(D29)=C29,
   _xlfn.XLOOKUP(C29, Cartera1017[ID Mantenimiento],Cartera1017[Comienzo Desarrollo]),
IF(TRIM(D29)="Desarrollo",
   _xlfn.XLOOKUP(C29,Cartera1017[ID Mantenimiento],Cartera1017[Comienzo Desarrollo]),
IF(TRIM(D29)="Calidad",
   _xlfn.XLOOKUP(C29,Cartera1017[ID Mantenimiento],Cartera1017[Comienzo Calidad]),
IF(TRIM(D29)="Producción",
   _xlfn.XLOOKUP(C29,Cartera1017[ID Mantenimiento],Cartera1017[Comienzo Producción]),
""))))</f>
        <v>46125</v>
      </c>
      <c r="H29" s="160">
        <f ca="1">IF(TRIM(D29)=C29,
   _xlfn.XLOOKUP(C29, Cartera1017[ID Mantenimiento],Cartera1017[Fin Producción]),
IF(TRIM(D29)="Desarrollo",
   _xlfn.XLOOKUP(C29,Cartera1017[ID Mantenimiento],Cartera1017[Fin Desarrollo]),
IF(TRIM(D29)="Calidad",
   _xlfn.XLOOKUP(C29,Cartera1017[ID Mantenimiento],Cartera1017[Fin Calidad]),
IF(TRIM(D29)="Producción",
   _xlfn.XLOOKUP(C29,Cartera1017[ID Mantenimiento],Cartera1017[Fin Producción]),
""))))</f>
        <v>46203</v>
      </c>
    </row>
    <row r="30" spans="1:8" hidden="1" outlineLevel="1">
      <c r="A30" t="str">
        <f ca="1"/>
        <v>Oficialía de PLAFT</v>
      </c>
      <c r="B30" t="str">
        <f ca="1"/>
        <v>03. En Desarrollo</v>
      </c>
      <c r="C30" t="str">
        <f ca="1"/>
        <v>2023-M0356</v>
      </c>
      <c r="D30" t="str">
        <f ca="1"/>
        <v xml:space="preserve">   Calidad</v>
      </c>
      <c r="E30" s="255">
        <f ca="1"/>
        <v>0.15</v>
      </c>
      <c r="F30" s="255">
        <f ca="1"/>
        <v>0.33333333333333331</v>
      </c>
      <c r="G30" s="356">
        <f ca="1">IF(TRIM(D30)=C30,
   _xlfn.XLOOKUP(C30, Cartera1017[ID Mantenimiento],Cartera1017[Comienzo Desarrollo]),
IF(TRIM(D30)="Desarrollo",
   _xlfn.XLOOKUP(C30,Cartera1017[ID Mantenimiento],Cartera1017[Comienzo Desarrollo]),
IF(TRIM(D30)="Calidad",
   _xlfn.XLOOKUP(C30,Cartera1017[ID Mantenimiento],Cartera1017[Comienzo Calidad]),
IF(TRIM(D30)="Producción",
   _xlfn.XLOOKUP(C30,Cartera1017[ID Mantenimiento],Cartera1017[Comienzo Producción]),
""))))</f>
        <v>46207</v>
      </c>
      <c r="H30" s="160">
        <f ca="1">IF(TRIM(D30)=C30,
   _xlfn.XLOOKUP(C30, Cartera1017[ID Mantenimiento],Cartera1017[Fin Producción]),
IF(TRIM(D30)="Desarrollo",
   _xlfn.XLOOKUP(C30,Cartera1017[ID Mantenimiento],Cartera1017[Fin Desarrollo]),
IF(TRIM(D30)="Calidad",
   _xlfn.XLOOKUP(C30,Cartera1017[ID Mantenimiento],Cartera1017[Fin Calidad]),
IF(TRIM(D30)="Producción",
   _xlfn.XLOOKUP(C30,Cartera1017[ID Mantenimiento],Cartera1017[Fin Producción]),
""))))</f>
        <v>46228</v>
      </c>
    </row>
    <row r="31" spans="1:8" hidden="1" outlineLevel="1">
      <c r="A31" t="str">
        <f ca="1"/>
        <v>Oficialía de PLAFT</v>
      </c>
      <c r="B31" t="str">
        <f ca="1"/>
        <v>03. En Desarrollo</v>
      </c>
      <c r="C31" t="str">
        <f ca="1"/>
        <v>2023-M0356</v>
      </c>
      <c r="D31" t="str">
        <f ca="1"/>
        <v xml:space="preserve">   Producción</v>
      </c>
      <c r="E31" s="255">
        <f ca="1"/>
        <v>0.15</v>
      </c>
      <c r="F31" s="255">
        <f ca="1"/>
        <v>0.33333333333333331</v>
      </c>
      <c r="G31" s="356">
        <f ca="1">IF(TRIM(D31)=C31,
   _xlfn.XLOOKUP(C31, Cartera1017[ID Mantenimiento],Cartera1017[Comienzo Desarrollo]),
IF(TRIM(D31)="Desarrollo",
   _xlfn.XLOOKUP(C31,Cartera1017[ID Mantenimiento],Cartera1017[Comienzo Desarrollo]),
IF(TRIM(D31)="Calidad",
   _xlfn.XLOOKUP(C31,Cartera1017[ID Mantenimiento],Cartera1017[Comienzo Calidad]),
IF(TRIM(D31)="Producción",
   _xlfn.XLOOKUP(C31,Cartera1017[ID Mantenimiento],Cartera1017[Comienzo Producción]),
""))))</f>
        <v>46236</v>
      </c>
      <c r="H31" s="160">
        <f ca="1">IF(TRIM(D31)=C31,
   _xlfn.XLOOKUP(C31, Cartera1017[ID Mantenimiento],Cartera1017[Fin Producción]),
IF(TRIM(D31)="Desarrollo",
   _xlfn.XLOOKUP(C31,Cartera1017[ID Mantenimiento],Cartera1017[Fin Desarrollo]),
IF(TRIM(D31)="Calidad",
   _xlfn.XLOOKUP(C31,Cartera1017[ID Mantenimiento],Cartera1017[Fin Calidad]),
IF(TRIM(D31)="Producción",
   _xlfn.XLOOKUP(C31,Cartera1017[ID Mantenimiento],Cartera1017[Fin Producción]),
""))))</f>
        <v>46243</v>
      </c>
    </row>
    <row r="32" spans="1:8" hidden="1" collapsed="1">
      <c r="A32" t="str">
        <f ca="1"/>
        <v>Finanzas y Tesorería</v>
      </c>
      <c r="B32" t="str">
        <f ca="1"/>
        <v>08. Producción Finalizada</v>
      </c>
      <c r="C32" t="str">
        <f ca="1"/>
        <v>2023-M0052</v>
      </c>
      <c r="D32" t="str">
        <f ca="1"/>
        <v>2023-M0052</v>
      </c>
      <c r="E32" s="255">
        <f ca="1"/>
        <v>1</v>
      </c>
      <c r="F32" s="255">
        <f ca="1"/>
        <v>1</v>
      </c>
      <c r="G32" s="356">
        <f ca="1">IF(TRIM(D32)=C32,
   _xlfn.XLOOKUP(C32, Cartera1017[ID Mantenimiento],Cartera1017[Comienzo Desarrollo]),
IF(TRIM(D32)="Desarrollo",
   _xlfn.XLOOKUP(C32,Cartera1017[ID Mantenimiento],Cartera1017[Comienzo Desarrollo]),
IF(TRIM(D32)="Calidad",
   _xlfn.XLOOKUP(C32,Cartera1017[ID Mantenimiento],Cartera1017[Comienzo Calidad]),
IF(TRIM(D32)="Producción",
   _xlfn.XLOOKUP(C32,Cartera1017[ID Mantenimiento],Cartera1017[Comienzo Producción]),
""))))</f>
        <v>45870</v>
      </c>
      <c r="H32" s="160">
        <f ca="1">IF(TRIM(D32)=C32,
   _xlfn.XLOOKUP(C32, Cartera1017[ID Mantenimiento],Cartera1017[Fin Producción]),
IF(TRIM(D32)="Desarrollo",
   _xlfn.XLOOKUP(C32,Cartera1017[ID Mantenimiento],Cartera1017[Fin Desarrollo]),
IF(TRIM(D32)="Calidad",
   _xlfn.XLOOKUP(C32,Cartera1017[ID Mantenimiento],Cartera1017[Fin Calidad]),
IF(TRIM(D32)="Producción",
   _xlfn.XLOOKUP(C32,Cartera1017[ID Mantenimiento],Cartera1017[Fin Producción]),
""))))</f>
        <v>46122</v>
      </c>
    </row>
    <row r="33" spans="1:8" hidden="1" outlineLevel="1">
      <c r="A33" t="str">
        <f ca="1"/>
        <v>Finanzas y Tesorería</v>
      </c>
      <c r="B33" t="str">
        <f ca="1"/>
        <v>08. Producción Finalizada</v>
      </c>
      <c r="C33" t="str">
        <f ca="1"/>
        <v>2023-M0052</v>
      </c>
      <c r="D33" t="str">
        <f ca="1"/>
        <v xml:space="preserve">   Desarrollo</v>
      </c>
      <c r="E33" s="255">
        <f ca="1"/>
        <v>1</v>
      </c>
      <c r="F33" s="255">
        <f ca="1"/>
        <v>1</v>
      </c>
      <c r="G33" s="356">
        <f ca="1">IF(TRIM(D33)=C33,
   _xlfn.XLOOKUP(C33, Cartera1017[ID Mantenimiento],Cartera1017[Comienzo Desarrollo]),
IF(TRIM(D33)="Desarrollo",
   _xlfn.XLOOKUP(C33,Cartera1017[ID Mantenimiento],Cartera1017[Comienzo Desarrollo]),
IF(TRIM(D33)="Calidad",
   _xlfn.XLOOKUP(C33,Cartera1017[ID Mantenimiento],Cartera1017[Comienzo Calidad]),
IF(TRIM(D33)="Producción",
   _xlfn.XLOOKUP(C33,Cartera1017[ID Mantenimiento],Cartera1017[Comienzo Producción]),
""))))</f>
        <v>45870</v>
      </c>
      <c r="H33" s="160">
        <f ca="1">IF(TRIM(D33)=C33,
   _xlfn.XLOOKUP(C33, Cartera1017[ID Mantenimiento],Cartera1017[Fin Producción]),
IF(TRIM(D33)="Desarrollo",
   _xlfn.XLOOKUP(C33,Cartera1017[ID Mantenimiento],Cartera1017[Fin Desarrollo]),
IF(TRIM(D33)="Calidad",
   _xlfn.XLOOKUP(C33,Cartera1017[ID Mantenimiento],Cartera1017[Fin Calidad]),
IF(TRIM(D33)="Producción",
   _xlfn.XLOOKUP(C33,Cartera1017[ID Mantenimiento],Cartera1017[Fin Producción]),
""))))</f>
        <v>45870</v>
      </c>
    </row>
    <row r="34" spans="1:8" hidden="1" outlineLevel="1">
      <c r="A34" t="str">
        <f ca="1"/>
        <v>Finanzas y Tesorería</v>
      </c>
      <c r="B34" t="str">
        <f ca="1"/>
        <v>08. Producción Finalizada</v>
      </c>
      <c r="C34" t="str">
        <f ca="1"/>
        <v>2023-M0052</v>
      </c>
      <c r="D34" t="str">
        <f ca="1"/>
        <v xml:space="preserve">   Calidad</v>
      </c>
      <c r="E34" s="255">
        <f ca="1"/>
        <v>1</v>
      </c>
      <c r="F34" s="255">
        <f ca="1"/>
        <v>1</v>
      </c>
      <c r="G34" s="356">
        <f ca="1">IF(TRIM(D34)=C34,
   _xlfn.XLOOKUP(C34, Cartera1017[ID Mantenimiento],Cartera1017[Comienzo Desarrollo]),
IF(TRIM(D34)="Desarrollo",
   _xlfn.XLOOKUP(C34,Cartera1017[ID Mantenimiento],Cartera1017[Comienzo Desarrollo]),
IF(TRIM(D34)="Calidad",
   _xlfn.XLOOKUP(C34,Cartera1017[ID Mantenimiento],Cartera1017[Comienzo Calidad]),
IF(TRIM(D34)="Producción",
   _xlfn.XLOOKUP(C34,Cartera1017[ID Mantenimiento],Cartera1017[Comienzo Producción]),
""))))</f>
        <v>45911</v>
      </c>
      <c r="H34" s="160">
        <f ca="1">IF(TRIM(D34)=C34,
   _xlfn.XLOOKUP(C34, Cartera1017[ID Mantenimiento],Cartera1017[Fin Producción]),
IF(TRIM(D34)="Desarrollo",
   _xlfn.XLOOKUP(C34,Cartera1017[ID Mantenimiento],Cartera1017[Fin Desarrollo]),
IF(TRIM(D34)="Calidad",
   _xlfn.XLOOKUP(C34,Cartera1017[ID Mantenimiento],Cartera1017[Fin Calidad]),
IF(TRIM(D34)="Producción",
   _xlfn.XLOOKUP(C34,Cartera1017[ID Mantenimiento],Cartera1017[Fin Producción]),
""))))</f>
        <v>45929</v>
      </c>
    </row>
    <row r="35" spans="1:8" hidden="1" outlineLevel="1">
      <c r="A35" t="str">
        <f ca="1"/>
        <v>Finanzas y Tesorería</v>
      </c>
      <c r="B35" t="str">
        <f ca="1"/>
        <v>08. Producción Finalizada</v>
      </c>
      <c r="C35" t="str">
        <f ca="1"/>
        <v>2023-M0052</v>
      </c>
      <c r="D35" t="str">
        <f ca="1"/>
        <v xml:space="preserve">   Producción</v>
      </c>
      <c r="E35" s="255">
        <f ca="1"/>
        <v>1</v>
      </c>
      <c r="F35" s="255">
        <f ca="1"/>
        <v>1</v>
      </c>
      <c r="G35" s="356">
        <f ca="1">IF(TRIM(D35)=C35,
   _xlfn.XLOOKUP(C35, Cartera1017[ID Mantenimiento],Cartera1017[Comienzo Desarrollo]),
IF(TRIM(D35)="Desarrollo",
   _xlfn.XLOOKUP(C35,Cartera1017[ID Mantenimiento],Cartera1017[Comienzo Desarrollo]),
IF(TRIM(D35)="Calidad",
   _xlfn.XLOOKUP(C35,Cartera1017[ID Mantenimiento],Cartera1017[Comienzo Calidad]),
IF(TRIM(D35)="Producción",
   _xlfn.XLOOKUP(C35,Cartera1017[ID Mantenimiento],Cartera1017[Comienzo Producción]),
""))))</f>
        <v>46063</v>
      </c>
      <c r="H35" s="160">
        <f ca="1">IF(TRIM(D35)=C35,
   _xlfn.XLOOKUP(C35, Cartera1017[ID Mantenimiento],Cartera1017[Fin Producción]),
IF(TRIM(D35)="Desarrollo",
   _xlfn.XLOOKUP(C35,Cartera1017[ID Mantenimiento],Cartera1017[Fin Desarrollo]),
IF(TRIM(D35)="Calidad",
   _xlfn.XLOOKUP(C35,Cartera1017[ID Mantenimiento],Cartera1017[Fin Calidad]),
IF(TRIM(D35)="Producción",
   _xlfn.XLOOKUP(C35,Cartera1017[ID Mantenimiento],Cartera1017[Fin Producción]),
""))))</f>
        <v>46122</v>
      </c>
    </row>
    <row r="36" spans="1:8" hidden="1" collapsed="1">
      <c r="A36" t="str">
        <f ca="1"/>
        <v>Banca Digital</v>
      </c>
      <c r="B36" t="str">
        <f ca="1"/>
        <v>03. En Desarrollo</v>
      </c>
      <c r="C36" t="str">
        <f ca="1"/>
        <v>2023-M0182</v>
      </c>
      <c r="D36" t="str">
        <f ca="1"/>
        <v>2023-M0182</v>
      </c>
      <c r="E36" s="255">
        <f ca="1"/>
        <v>0.25</v>
      </c>
      <c r="F36" s="255">
        <f ca="1"/>
        <v>0.70370370370370372</v>
      </c>
      <c r="G36" s="356">
        <f ca="1">IF(TRIM(D36)=C36,
   _xlfn.XLOOKUP(C36, Cartera1017[ID Mantenimiento],Cartera1017[Comienzo Desarrollo]),
IF(TRIM(D36)="Desarrollo",
   _xlfn.XLOOKUP(C36,Cartera1017[ID Mantenimiento],Cartera1017[Comienzo Desarrollo]),
IF(TRIM(D36)="Calidad",
   _xlfn.XLOOKUP(C36,Cartera1017[ID Mantenimiento],Cartera1017[Comienzo Calidad]),
IF(TRIM(D36)="Producción",
   _xlfn.XLOOKUP(C36,Cartera1017[ID Mantenimiento],Cartera1017[Comienzo Producción]),
""))))</f>
        <v>46083</v>
      </c>
      <c r="H36" s="160">
        <f ca="1">IF(TRIM(D36)=C36,
   _xlfn.XLOOKUP(C36, Cartera1017[ID Mantenimiento],Cartera1017[Fin Producción]),
IF(TRIM(D36)="Desarrollo",
   _xlfn.XLOOKUP(C36,Cartera1017[ID Mantenimiento],Cartera1017[Fin Desarrollo]),
IF(TRIM(D36)="Calidad",
   _xlfn.XLOOKUP(C36,Cartera1017[ID Mantenimiento],Cartera1017[Fin Calidad]),
IF(TRIM(D36)="Producción",
   _xlfn.XLOOKUP(C36,Cartera1017[ID Mantenimiento],Cartera1017[Fin Producción]),
""))))</f>
        <v>46196</v>
      </c>
    </row>
    <row r="37" spans="1:8" hidden="1" outlineLevel="1">
      <c r="A37" t="str">
        <f ca="1"/>
        <v>Banca Digital</v>
      </c>
      <c r="B37" t="str">
        <f ca="1"/>
        <v>03. En Desarrollo</v>
      </c>
      <c r="C37" t="str">
        <f ca="1"/>
        <v>2023-M0182</v>
      </c>
      <c r="D37" t="str">
        <f ca="1"/>
        <v xml:space="preserve">   Desarrollo</v>
      </c>
      <c r="E37" s="255">
        <f ca="1"/>
        <v>0.25</v>
      </c>
      <c r="F37" s="255">
        <f ca="1"/>
        <v>0.70370370370370372</v>
      </c>
      <c r="G37" s="356">
        <f ca="1">IF(TRIM(D37)=C37,
   _xlfn.XLOOKUP(C37, Cartera1017[ID Mantenimiento],Cartera1017[Comienzo Desarrollo]),
IF(TRIM(D37)="Desarrollo",
   _xlfn.XLOOKUP(C37,Cartera1017[ID Mantenimiento],Cartera1017[Comienzo Desarrollo]),
IF(TRIM(D37)="Calidad",
   _xlfn.XLOOKUP(C37,Cartera1017[ID Mantenimiento],Cartera1017[Comienzo Calidad]),
IF(TRIM(D37)="Producción",
   _xlfn.XLOOKUP(C37,Cartera1017[ID Mantenimiento],Cartera1017[Comienzo Producción]),
""))))</f>
        <v>46083</v>
      </c>
      <c r="H37" s="160">
        <f ca="1">IF(TRIM(D37)=C37,
   _xlfn.XLOOKUP(C37, Cartera1017[ID Mantenimiento],Cartera1017[Fin Producción]),
IF(TRIM(D37)="Desarrollo",
   _xlfn.XLOOKUP(C37,Cartera1017[ID Mantenimiento],Cartera1017[Fin Desarrollo]),
IF(TRIM(D37)="Calidad",
   _xlfn.XLOOKUP(C37,Cartera1017[ID Mantenimiento],Cartera1017[Fin Calidad]),
IF(TRIM(D37)="Producción",
   _xlfn.XLOOKUP(C37,Cartera1017[ID Mantenimiento],Cartera1017[Fin Producción]),
""))))</f>
        <v>46135</v>
      </c>
    </row>
    <row r="38" spans="1:8" hidden="1" outlineLevel="1">
      <c r="A38" t="str">
        <f ca="1"/>
        <v>Banca Digital</v>
      </c>
      <c r="B38" t="str">
        <f ca="1"/>
        <v>03. En Desarrollo</v>
      </c>
      <c r="C38" t="str">
        <f ca="1"/>
        <v>2023-M0182</v>
      </c>
      <c r="D38" t="str">
        <f ca="1"/>
        <v xml:space="preserve">   Calidad</v>
      </c>
      <c r="E38" s="255">
        <f ca="1"/>
        <v>0.25</v>
      </c>
      <c r="F38" s="255">
        <f ca="1"/>
        <v>0.70370370370370372</v>
      </c>
      <c r="G38" s="356">
        <f ca="1">IF(TRIM(D38)=C38,
   _xlfn.XLOOKUP(C38, Cartera1017[ID Mantenimiento],Cartera1017[Comienzo Desarrollo]),
IF(TRIM(D38)="Desarrollo",
   _xlfn.XLOOKUP(C38,Cartera1017[ID Mantenimiento],Cartera1017[Comienzo Desarrollo]),
IF(TRIM(D38)="Calidad",
   _xlfn.XLOOKUP(C38,Cartera1017[ID Mantenimiento],Cartera1017[Comienzo Calidad]),
IF(TRIM(D38)="Producción",
   _xlfn.XLOOKUP(C38,Cartera1017[ID Mantenimiento],Cartera1017[Comienzo Producción]),
""))))</f>
        <v>46136</v>
      </c>
      <c r="H38" s="160">
        <f ca="1">IF(TRIM(D38)=C38,
   _xlfn.XLOOKUP(C38, Cartera1017[ID Mantenimiento],Cartera1017[Fin Producción]),
IF(TRIM(D38)="Desarrollo",
   _xlfn.XLOOKUP(C38,Cartera1017[ID Mantenimiento],Cartera1017[Fin Desarrollo]),
IF(TRIM(D38)="Calidad",
   _xlfn.XLOOKUP(C38,Cartera1017[ID Mantenimiento],Cartera1017[Fin Calidad]),
IF(TRIM(D38)="Producción",
   _xlfn.XLOOKUP(C38,Cartera1017[ID Mantenimiento],Cartera1017[Fin Producción]),
""))))</f>
        <v>46171</v>
      </c>
    </row>
    <row r="39" spans="1:8" hidden="1" outlineLevel="1">
      <c r="A39" t="str">
        <f ca="1"/>
        <v>Banca Digital</v>
      </c>
      <c r="B39" t="str">
        <f ca="1"/>
        <v>03. En Desarrollo</v>
      </c>
      <c r="C39" t="str">
        <f ca="1"/>
        <v>2023-M0182</v>
      </c>
      <c r="D39" t="str">
        <f ca="1"/>
        <v xml:space="preserve">   Producción</v>
      </c>
      <c r="E39" s="255">
        <f ca="1"/>
        <v>0.25</v>
      </c>
      <c r="F39" s="255">
        <f ca="1"/>
        <v>0.70370370370370372</v>
      </c>
      <c r="G39" s="356">
        <f ca="1">IF(TRIM(D39)=C39,
   _xlfn.XLOOKUP(C39, Cartera1017[ID Mantenimiento],Cartera1017[Comienzo Desarrollo]),
IF(TRIM(D39)="Desarrollo",
   _xlfn.XLOOKUP(C39,Cartera1017[ID Mantenimiento],Cartera1017[Comienzo Desarrollo]),
IF(TRIM(D39)="Calidad",
   _xlfn.XLOOKUP(C39,Cartera1017[ID Mantenimiento],Cartera1017[Comienzo Calidad]),
IF(TRIM(D39)="Producción",
   _xlfn.XLOOKUP(C39,Cartera1017[ID Mantenimiento],Cartera1017[Comienzo Producción]),
""))))</f>
        <v>46174</v>
      </c>
      <c r="H39" s="160">
        <f ca="1">IF(TRIM(D39)=C39,
   _xlfn.XLOOKUP(C39, Cartera1017[ID Mantenimiento],Cartera1017[Fin Producción]),
IF(TRIM(D39)="Desarrollo",
   _xlfn.XLOOKUP(C39,Cartera1017[ID Mantenimiento],Cartera1017[Fin Desarrollo]),
IF(TRIM(D39)="Calidad",
   _xlfn.XLOOKUP(C39,Cartera1017[ID Mantenimiento],Cartera1017[Fin Calidad]),
IF(TRIM(D39)="Producción",
   _xlfn.XLOOKUP(C39,Cartera1017[ID Mantenimiento],Cartera1017[Fin Producción]),
""))))</f>
        <v>46196</v>
      </c>
    </row>
    <row r="40" spans="1:8" hidden="1" collapsed="1">
      <c r="A40" t="str">
        <f ca="1"/>
        <v>Recursos Humanos y Cultura</v>
      </c>
      <c r="B40" t="str">
        <f ca="1"/>
        <v>03. En Desarrollo</v>
      </c>
      <c r="C40" t="str">
        <f ca="1"/>
        <v>2024-M0085</v>
      </c>
      <c r="D40" t="str">
        <f ca="1"/>
        <v>2024-M0085</v>
      </c>
      <c r="E40" s="255">
        <f ca="1"/>
        <v>0.15</v>
      </c>
      <c r="F40" s="255">
        <f ca="1"/>
        <v>0</v>
      </c>
      <c r="G40" s="356">
        <f ca="1">IF(TRIM(D40)=C40,
   _xlfn.XLOOKUP(C40, Cartera1017[ID Mantenimiento],Cartera1017[Comienzo Desarrollo]),
IF(TRIM(D40)="Desarrollo",
   _xlfn.XLOOKUP(C40,Cartera1017[ID Mantenimiento],Cartera1017[Comienzo Desarrollo]),
IF(TRIM(D40)="Calidad",
   _xlfn.XLOOKUP(C40,Cartera1017[ID Mantenimiento],Cartera1017[Comienzo Calidad]),
IF(TRIM(D40)="Producción",
   _xlfn.XLOOKUP(C40,Cartera1017[ID Mantenimiento],Cartera1017[Comienzo Producción]),
""))))</f>
        <v>46174</v>
      </c>
      <c r="H40" s="160">
        <f ca="1">IF(TRIM(D40)=C40,
   _xlfn.XLOOKUP(C40, Cartera1017[ID Mantenimiento],Cartera1017[Fin Producción]),
IF(TRIM(D40)="Desarrollo",
   _xlfn.XLOOKUP(C40,Cartera1017[ID Mantenimiento],Cartera1017[Fin Desarrollo]),
IF(TRIM(D40)="Calidad",
   _xlfn.XLOOKUP(C40,Cartera1017[ID Mantenimiento],Cartera1017[Fin Calidad]),
IF(TRIM(D40)="Producción",
   _xlfn.XLOOKUP(C40,Cartera1017[ID Mantenimiento],Cartera1017[Fin Producción]),
""))))</f>
        <v>46272</v>
      </c>
    </row>
    <row r="41" spans="1:8" hidden="1" outlineLevel="1">
      <c r="A41" t="str">
        <f ca="1"/>
        <v>Recursos Humanos y Cultura</v>
      </c>
      <c r="B41" t="str">
        <f ca="1"/>
        <v>03. En Desarrollo</v>
      </c>
      <c r="C41" t="str">
        <f ca="1"/>
        <v>2024-M0085</v>
      </c>
      <c r="D41" t="str">
        <f ca="1"/>
        <v xml:space="preserve">   Desarrollo</v>
      </c>
      <c r="E41" s="255">
        <f ca="1"/>
        <v>0.15</v>
      </c>
      <c r="F41" s="255">
        <f ca="1"/>
        <v>0</v>
      </c>
      <c r="G41" s="356">
        <f ca="1">IF(TRIM(D41)=C41,
   _xlfn.XLOOKUP(C41, Cartera1017[ID Mantenimiento],Cartera1017[Comienzo Desarrollo]),
IF(TRIM(D41)="Desarrollo",
   _xlfn.XLOOKUP(C41,Cartera1017[ID Mantenimiento],Cartera1017[Comienzo Desarrollo]),
IF(TRIM(D41)="Calidad",
   _xlfn.XLOOKUP(C41,Cartera1017[ID Mantenimiento],Cartera1017[Comienzo Calidad]),
IF(TRIM(D41)="Producción",
   _xlfn.XLOOKUP(C41,Cartera1017[ID Mantenimiento],Cartera1017[Comienzo Producción]),
""))))</f>
        <v>46174</v>
      </c>
      <c r="H41" s="160">
        <f ca="1">IF(TRIM(D41)=C41,
   _xlfn.XLOOKUP(C41, Cartera1017[ID Mantenimiento],Cartera1017[Fin Producción]),
IF(TRIM(D41)="Desarrollo",
   _xlfn.XLOOKUP(C41,Cartera1017[ID Mantenimiento],Cartera1017[Fin Desarrollo]),
IF(TRIM(D41)="Calidad",
   _xlfn.XLOOKUP(C41,Cartera1017[ID Mantenimiento],Cartera1017[Fin Calidad]),
IF(TRIM(D41)="Producción",
   _xlfn.XLOOKUP(C41,Cartera1017[ID Mantenimiento],Cartera1017[Fin Producción]),
""))))</f>
        <v>46234</v>
      </c>
    </row>
    <row r="42" spans="1:8" hidden="1" outlineLevel="1">
      <c r="A42" t="str">
        <f ca="1"/>
        <v>Recursos Humanos y Cultura</v>
      </c>
      <c r="B42" t="str">
        <f ca="1"/>
        <v>03. En Desarrollo</v>
      </c>
      <c r="C42" t="str">
        <f ca="1"/>
        <v>2024-M0085</v>
      </c>
      <c r="D42" t="str">
        <f ca="1"/>
        <v xml:space="preserve">   Calidad</v>
      </c>
      <c r="E42" s="255">
        <f ca="1"/>
        <v>0.15</v>
      </c>
      <c r="F42" s="255">
        <f ca="1"/>
        <v>0</v>
      </c>
      <c r="G42" s="356">
        <f ca="1">IF(TRIM(D42)=C42,
   _xlfn.XLOOKUP(C42, Cartera1017[ID Mantenimiento],Cartera1017[Comienzo Desarrollo]),
IF(TRIM(D42)="Desarrollo",
   _xlfn.XLOOKUP(C42,Cartera1017[ID Mantenimiento],Cartera1017[Comienzo Desarrollo]),
IF(TRIM(D42)="Calidad",
   _xlfn.XLOOKUP(C42,Cartera1017[ID Mantenimiento],Cartera1017[Comienzo Calidad]),
IF(TRIM(D42)="Producción",
   _xlfn.XLOOKUP(C42,Cartera1017[ID Mantenimiento],Cartera1017[Comienzo Producción]),
""))))</f>
        <v>46235</v>
      </c>
      <c r="H42" s="160">
        <f ca="1">IF(TRIM(D42)=C42,
   _xlfn.XLOOKUP(C42, Cartera1017[ID Mantenimiento],Cartera1017[Fin Producción]),
IF(TRIM(D42)="Desarrollo",
   _xlfn.XLOOKUP(C42,Cartera1017[ID Mantenimiento],Cartera1017[Fin Desarrollo]),
IF(TRIM(D42)="Calidad",
   _xlfn.XLOOKUP(C42,Cartera1017[ID Mantenimiento],Cartera1017[Fin Calidad]),
IF(TRIM(D42)="Producción",
   _xlfn.XLOOKUP(C42,Cartera1017[ID Mantenimiento],Cartera1017[Fin Producción]),
""))))</f>
        <v>46254</v>
      </c>
    </row>
    <row r="43" spans="1:8" hidden="1" outlineLevel="1">
      <c r="A43" t="str">
        <f ca="1"/>
        <v>Recursos Humanos y Cultura</v>
      </c>
      <c r="B43" t="str">
        <f ca="1"/>
        <v>03. En Desarrollo</v>
      </c>
      <c r="C43" t="str">
        <f ca="1"/>
        <v>2024-M0085</v>
      </c>
      <c r="D43" t="str">
        <f ca="1"/>
        <v xml:space="preserve">   Producción</v>
      </c>
      <c r="E43" s="255">
        <f ca="1"/>
        <v>0.15</v>
      </c>
      <c r="F43" s="255">
        <f ca="1"/>
        <v>0</v>
      </c>
      <c r="G43" s="356">
        <f ca="1">IF(TRIM(D43)=C43,
   _xlfn.XLOOKUP(C43, Cartera1017[ID Mantenimiento],Cartera1017[Comienzo Desarrollo]),
IF(TRIM(D43)="Desarrollo",
   _xlfn.XLOOKUP(C43,Cartera1017[ID Mantenimiento],Cartera1017[Comienzo Desarrollo]),
IF(TRIM(D43)="Calidad",
   _xlfn.XLOOKUP(C43,Cartera1017[ID Mantenimiento],Cartera1017[Comienzo Calidad]),
IF(TRIM(D43)="Producción",
   _xlfn.XLOOKUP(C43,Cartera1017[ID Mantenimiento],Cartera1017[Comienzo Producción]),
""))))</f>
        <v>46266</v>
      </c>
      <c r="H43" s="160">
        <f ca="1">IF(TRIM(D43)=C43,
   _xlfn.XLOOKUP(C43, Cartera1017[ID Mantenimiento],Cartera1017[Fin Producción]),
IF(TRIM(D43)="Desarrollo",
   _xlfn.XLOOKUP(C43,Cartera1017[ID Mantenimiento],Cartera1017[Fin Desarrollo]),
IF(TRIM(D43)="Calidad",
   _xlfn.XLOOKUP(C43,Cartera1017[ID Mantenimiento],Cartera1017[Fin Calidad]),
IF(TRIM(D43)="Producción",
   _xlfn.XLOOKUP(C43,Cartera1017[ID Mantenimiento],Cartera1017[Fin Producción]),
""))))</f>
        <v>46272</v>
      </c>
    </row>
    <row r="44" spans="1:8" hidden="1" collapsed="1">
      <c r="A44" t="str">
        <f ca="1"/>
        <v>Administración y Logística</v>
      </c>
      <c r="B44" t="str">
        <f ca="1"/>
        <v>08. Producción Finalizada</v>
      </c>
      <c r="C44" t="str">
        <f ca="1"/>
        <v>2023-M0197</v>
      </c>
      <c r="D44" t="str">
        <f ca="1"/>
        <v>2023-M0197</v>
      </c>
      <c r="E44" s="255">
        <f ca="1"/>
        <v>1</v>
      </c>
      <c r="F44" s="255">
        <f ca="1"/>
        <v>1</v>
      </c>
      <c r="G44" s="356">
        <f ca="1">IF(TRIM(D44)=C44,
   _xlfn.XLOOKUP(C44, Cartera1017[ID Mantenimiento],Cartera1017[Comienzo Desarrollo]),
IF(TRIM(D44)="Desarrollo",
   _xlfn.XLOOKUP(C44,Cartera1017[ID Mantenimiento],Cartera1017[Comienzo Desarrollo]),
IF(TRIM(D44)="Calidad",
   _xlfn.XLOOKUP(C44,Cartera1017[ID Mantenimiento],Cartera1017[Comienzo Calidad]),
IF(TRIM(D44)="Producción",
   _xlfn.XLOOKUP(C44,Cartera1017[ID Mantenimiento],Cartera1017[Comienzo Producción]),
""))))</f>
        <v>45702</v>
      </c>
      <c r="H44" s="160">
        <f ca="1">IF(TRIM(D44)=C44,
   _xlfn.XLOOKUP(C44, Cartera1017[ID Mantenimiento],Cartera1017[Fin Producción]),
IF(TRIM(D44)="Desarrollo",
   _xlfn.XLOOKUP(C44,Cartera1017[ID Mantenimiento],Cartera1017[Fin Desarrollo]),
IF(TRIM(D44)="Calidad",
   _xlfn.XLOOKUP(C44,Cartera1017[ID Mantenimiento],Cartera1017[Fin Calidad]),
IF(TRIM(D44)="Producción",
   _xlfn.XLOOKUP(C44,Cartera1017[ID Mantenimiento],Cartera1017[Fin Producción]),
""))))</f>
        <v>46108</v>
      </c>
    </row>
    <row r="45" spans="1:8" hidden="1" outlineLevel="1">
      <c r="A45" t="str">
        <f ca="1"/>
        <v>Administración y Logística</v>
      </c>
      <c r="B45" t="str">
        <f ca="1"/>
        <v>08. Producción Finalizada</v>
      </c>
      <c r="C45" t="str">
        <f ca="1"/>
        <v>2023-M0197</v>
      </c>
      <c r="D45" t="str">
        <f ca="1"/>
        <v xml:space="preserve">   Desarrollo</v>
      </c>
      <c r="E45" s="255">
        <f ca="1"/>
        <v>1</v>
      </c>
      <c r="F45" s="255">
        <f ca="1"/>
        <v>1</v>
      </c>
      <c r="G45" s="356">
        <f ca="1">IF(TRIM(D45)=C45,
   _xlfn.XLOOKUP(C45, Cartera1017[ID Mantenimiento],Cartera1017[Comienzo Desarrollo]),
IF(TRIM(D45)="Desarrollo",
   _xlfn.XLOOKUP(C45,Cartera1017[ID Mantenimiento],Cartera1017[Comienzo Desarrollo]),
IF(TRIM(D45)="Calidad",
   _xlfn.XLOOKUP(C45,Cartera1017[ID Mantenimiento],Cartera1017[Comienzo Calidad]),
IF(TRIM(D45)="Producción",
   _xlfn.XLOOKUP(C45,Cartera1017[ID Mantenimiento],Cartera1017[Comienzo Producción]),
""))))</f>
        <v>45702</v>
      </c>
      <c r="H45" s="160">
        <f ca="1">IF(TRIM(D45)=C45,
   _xlfn.XLOOKUP(C45, Cartera1017[ID Mantenimiento],Cartera1017[Fin Producción]),
IF(TRIM(D45)="Desarrollo",
   _xlfn.XLOOKUP(C45,Cartera1017[ID Mantenimiento],Cartera1017[Fin Desarrollo]),
IF(TRIM(D45)="Calidad",
   _xlfn.XLOOKUP(C45,Cartera1017[ID Mantenimiento],Cartera1017[Fin Calidad]),
IF(TRIM(D45)="Producción",
   _xlfn.XLOOKUP(C45,Cartera1017[ID Mantenimiento],Cartera1017[Fin Producción]),
""))))</f>
        <v>45708</v>
      </c>
    </row>
    <row r="46" spans="1:8" hidden="1" outlineLevel="1">
      <c r="A46" t="str">
        <f ca="1"/>
        <v>Administración y Logística</v>
      </c>
      <c r="B46" t="str">
        <f ca="1"/>
        <v>08. Producción Finalizada</v>
      </c>
      <c r="C46" t="str">
        <f ca="1"/>
        <v>2023-M0197</v>
      </c>
      <c r="D46" t="str">
        <f ca="1"/>
        <v xml:space="preserve">   Calidad</v>
      </c>
      <c r="E46" s="255">
        <f ca="1"/>
        <v>1</v>
      </c>
      <c r="F46" s="255">
        <f ca="1"/>
        <v>1</v>
      </c>
      <c r="G46" s="356">
        <f ca="1">IF(TRIM(D46)=C46,
   _xlfn.XLOOKUP(C46, Cartera1017[ID Mantenimiento],Cartera1017[Comienzo Desarrollo]),
IF(TRIM(D46)="Desarrollo",
   _xlfn.XLOOKUP(C46,Cartera1017[ID Mantenimiento],Cartera1017[Comienzo Desarrollo]),
IF(TRIM(D46)="Calidad",
   _xlfn.XLOOKUP(C46,Cartera1017[ID Mantenimiento],Cartera1017[Comienzo Calidad]),
IF(TRIM(D46)="Producción",
   _xlfn.XLOOKUP(C46,Cartera1017[ID Mantenimiento],Cartera1017[Comienzo Producción]),
""))))</f>
        <v>45709</v>
      </c>
      <c r="H46" s="160">
        <f ca="1">IF(TRIM(D46)=C46,
   _xlfn.XLOOKUP(C46, Cartera1017[ID Mantenimiento],Cartera1017[Fin Producción]),
IF(TRIM(D46)="Desarrollo",
   _xlfn.XLOOKUP(C46,Cartera1017[ID Mantenimiento],Cartera1017[Fin Desarrollo]),
IF(TRIM(D46)="Calidad",
   _xlfn.XLOOKUP(C46,Cartera1017[ID Mantenimiento],Cartera1017[Fin Calidad]),
IF(TRIM(D46)="Producción",
   _xlfn.XLOOKUP(C46,Cartera1017[ID Mantenimiento],Cartera1017[Fin Producción]),
""))))</f>
        <v>45714</v>
      </c>
    </row>
    <row r="47" spans="1:8" hidden="1" outlineLevel="1">
      <c r="A47" t="str">
        <f ca="1"/>
        <v>Administración y Logística</v>
      </c>
      <c r="B47" t="str">
        <f ca="1"/>
        <v>08. Producción Finalizada</v>
      </c>
      <c r="C47" t="str">
        <f ca="1"/>
        <v>2023-M0197</v>
      </c>
      <c r="D47" t="str">
        <f ca="1"/>
        <v xml:space="preserve">   Producción</v>
      </c>
      <c r="E47" s="255">
        <f ca="1"/>
        <v>1</v>
      </c>
      <c r="F47" s="255">
        <f ca="1"/>
        <v>1</v>
      </c>
      <c r="G47" s="356">
        <f ca="1">IF(TRIM(D47)=C47,
   _xlfn.XLOOKUP(C47, Cartera1017[ID Mantenimiento],Cartera1017[Comienzo Desarrollo]),
IF(TRIM(D47)="Desarrollo",
   _xlfn.XLOOKUP(C47,Cartera1017[ID Mantenimiento],Cartera1017[Comienzo Desarrollo]),
IF(TRIM(D47)="Calidad",
   _xlfn.XLOOKUP(C47,Cartera1017[ID Mantenimiento],Cartera1017[Comienzo Calidad]),
IF(TRIM(D47)="Producción",
   _xlfn.XLOOKUP(C47,Cartera1017[ID Mantenimiento],Cartera1017[Comienzo Producción]),
""))))</f>
        <v>45726</v>
      </c>
      <c r="H47" s="160">
        <f ca="1">IF(TRIM(D47)=C47,
   _xlfn.XLOOKUP(C47, Cartera1017[ID Mantenimiento],Cartera1017[Fin Producción]),
IF(TRIM(D47)="Desarrollo",
   _xlfn.XLOOKUP(C47,Cartera1017[ID Mantenimiento],Cartera1017[Fin Desarrollo]),
IF(TRIM(D47)="Calidad",
   _xlfn.XLOOKUP(C47,Cartera1017[ID Mantenimiento],Cartera1017[Fin Calidad]),
IF(TRIM(D47)="Producción",
   _xlfn.XLOOKUP(C47,Cartera1017[ID Mantenimiento],Cartera1017[Fin Producción]),
""))))</f>
        <v>46108</v>
      </c>
    </row>
    <row r="48" spans="1:8" hidden="1" collapsed="1">
      <c r="A48" t="str">
        <f ca="1"/>
        <v>Banca Digital</v>
      </c>
      <c r="B48" t="str">
        <f ca="1"/>
        <v>10. Paralizado</v>
      </c>
      <c r="C48" t="str">
        <f ca="1"/>
        <v>2024-M0083</v>
      </c>
      <c r="D48" t="str">
        <f ca="1"/>
        <v>2024-M0083</v>
      </c>
      <c r="E48" s="255">
        <f ca="1"/>
        <v>0.12</v>
      </c>
      <c r="F48" s="255">
        <f ca="1"/>
        <v>0</v>
      </c>
      <c r="G48" s="356">
        <f ca="1">IF(TRIM(D48)=C48,
   _xlfn.XLOOKUP(C48, Cartera1017[ID Mantenimiento],Cartera1017[Comienzo Desarrollo]),
IF(TRIM(D48)="Desarrollo",
   _xlfn.XLOOKUP(C48,Cartera1017[ID Mantenimiento],Cartera1017[Comienzo Desarrollo]),
IF(TRIM(D48)="Calidad",
   _xlfn.XLOOKUP(C48,Cartera1017[ID Mantenimiento],Cartera1017[Comienzo Calidad]),
IF(TRIM(D48)="Producción",
   _xlfn.XLOOKUP(C48,Cartera1017[ID Mantenimiento],Cartera1017[Comienzo Producción]),
""))))</f>
        <v>46204</v>
      </c>
      <c r="H48" s="160">
        <f ca="1">IF(TRIM(D48)=C48,
   _xlfn.XLOOKUP(C48, Cartera1017[ID Mantenimiento],Cartera1017[Fin Producción]),
IF(TRIM(D48)="Desarrollo",
   _xlfn.XLOOKUP(C48,Cartera1017[ID Mantenimiento],Cartera1017[Fin Desarrollo]),
IF(TRIM(D48)="Calidad",
   _xlfn.XLOOKUP(C48,Cartera1017[ID Mantenimiento],Cartera1017[Fin Calidad]),
IF(TRIM(D48)="Producción",
   _xlfn.XLOOKUP(C48,Cartera1017[ID Mantenimiento],Cartera1017[Fin Producción]),
""))))</f>
        <v>46300</v>
      </c>
    </row>
    <row r="49" spans="1:8" hidden="1" outlineLevel="1">
      <c r="A49" t="str">
        <f ca="1"/>
        <v>Banca Digital</v>
      </c>
      <c r="B49" t="str">
        <f ca="1"/>
        <v>10. Paralizado</v>
      </c>
      <c r="C49" t="str">
        <f ca="1"/>
        <v>2024-M0083</v>
      </c>
      <c r="D49" t="str">
        <f ca="1"/>
        <v xml:space="preserve">   Desarrollo</v>
      </c>
      <c r="E49" s="255">
        <f ca="1"/>
        <v>0.12</v>
      </c>
      <c r="F49" s="255">
        <f ca="1"/>
        <v>0</v>
      </c>
      <c r="G49" s="356">
        <f ca="1">IF(TRIM(D49)=C49,
   _xlfn.XLOOKUP(C49, Cartera1017[ID Mantenimiento],Cartera1017[Comienzo Desarrollo]),
IF(TRIM(D49)="Desarrollo",
   _xlfn.XLOOKUP(C49,Cartera1017[ID Mantenimiento],Cartera1017[Comienzo Desarrollo]),
IF(TRIM(D49)="Calidad",
   _xlfn.XLOOKUP(C49,Cartera1017[ID Mantenimiento],Cartera1017[Comienzo Calidad]),
IF(TRIM(D49)="Producción",
   _xlfn.XLOOKUP(C49,Cartera1017[ID Mantenimiento],Cartera1017[Comienzo Producción]),
""))))</f>
        <v>46204</v>
      </c>
      <c r="H49" s="160">
        <f ca="1">IF(TRIM(D49)=C49,
   _xlfn.XLOOKUP(C49, Cartera1017[ID Mantenimiento],Cartera1017[Fin Producción]),
IF(TRIM(D49)="Desarrollo",
   _xlfn.XLOOKUP(C49,Cartera1017[ID Mantenimiento],Cartera1017[Fin Desarrollo]),
IF(TRIM(D49)="Calidad",
   _xlfn.XLOOKUP(C49,Cartera1017[ID Mantenimiento],Cartera1017[Fin Calidad]),
IF(TRIM(D49)="Producción",
   _xlfn.XLOOKUP(C49,Cartera1017[ID Mantenimiento],Cartera1017[Fin Producción]),
""))))</f>
        <v>46264</v>
      </c>
    </row>
    <row r="50" spans="1:8" hidden="1" outlineLevel="1">
      <c r="A50" t="str">
        <f ca="1"/>
        <v>Banca Digital</v>
      </c>
      <c r="B50" t="str">
        <f ca="1"/>
        <v>10. Paralizado</v>
      </c>
      <c r="C50" t="str">
        <f ca="1"/>
        <v>2024-M0083</v>
      </c>
      <c r="D50" t="str">
        <f ca="1"/>
        <v xml:space="preserve">   Calidad</v>
      </c>
      <c r="E50" s="255">
        <f ca="1"/>
        <v>0.12</v>
      </c>
      <c r="F50" s="255">
        <f ca="1"/>
        <v>0</v>
      </c>
      <c r="G50" s="356">
        <f ca="1">IF(TRIM(D50)=C50,
   _xlfn.XLOOKUP(C50, Cartera1017[ID Mantenimiento],Cartera1017[Comienzo Desarrollo]),
IF(TRIM(D50)="Desarrollo",
   _xlfn.XLOOKUP(C50,Cartera1017[ID Mantenimiento],Cartera1017[Comienzo Desarrollo]),
IF(TRIM(D50)="Calidad",
   _xlfn.XLOOKUP(C50,Cartera1017[ID Mantenimiento],Cartera1017[Comienzo Calidad]),
IF(TRIM(D50)="Producción",
   _xlfn.XLOOKUP(C50,Cartera1017[ID Mantenimiento],Cartera1017[Comienzo Producción]),
""))))</f>
        <v>46266</v>
      </c>
      <c r="H50" s="160">
        <f ca="1">IF(TRIM(D50)=C50,
   _xlfn.XLOOKUP(C50, Cartera1017[ID Mantenimiento],Cartera1017[Fin Producción]),
IF(TRIM(D50)="Desarrollo",
   _xlfn.XLOOKUP(C50,Cartera1017[ID Mantenimiento],Cartera1017[Fin Desarrollo]),
IF(TRIM(D50)="Calidad",
   _xlfn.XLOOKUP(C50,Cartera1017[ID Mantenimiento],Cartera1017[Fin Calidad]),
IF(TRIM(D50)="Producción",
   _xlfn.XLOOKUP(C50,Cartera1017[ID Mantenimiento],Cartera1017[Fin Producción]),
""))))</f>
        <v>46295</v>
      </c>
    </row>
    <row r="51" spans="1:8" hidden="1" outlineLevel="1">
      <c r="A51" t="str">
        <f ca="1"/>
        <v>Banca Digital</v>
      </c>
      <c r="B51" t="str">
        <f ca="1"/>
        <v>10. Paralizado</v>
      </c>
      <c r="C51" t="str">
        <f ca="1"/>
        <v>2024-M0083</v>
      </c>
      <c r="D51" t="str">
        <f ca="1"/>
        <v xml:space="preserve">   Producción</v>
      </c>
      <c r="E51" s="255">
        <f ca="1"/>
        <v>0.12</v>
      </c>
      <c r="F51" s="255">
        <f ca="1"/>
        <v>0</v>
      </c>
      <c r="G51" s="356">
        <f ca="1">IF(TRIM(D51)=C51,
   _xlfn.XLOOKUP(C51, Cartera1017[ID Mantenimiento],Cartera1017[Comienzo Desarrollo]),
IF(TRIM(D51)="Desarrollo",
   _xlfn.XLOOKUP(C51,Cartera1017[ID Mantenimiento],Cartera1017[Comienzo Desarrollo]),
IF(TRIM(D51)="Calidad",
   _xlfn.XLOOKUP(C51,Cartera1017[ID Mantenimiento],Cartera1017[Comienzo Calidad]),
IF(TRIM(D51)="Producción",
   _xlfn.XLOOKUP(C51,Cartera1017[ID Mantenimiento],Cartera1017[Comienzo Producción]),
""))))</f>
        <v>46296</v>
      </c>
      <c r="H51" s="160">
        <f ca="1">IF(TRIM(D51)=C51,
   _xlfn.XLOOKUP(C51, Cartera1017[ID Mantenimiento],Cartera1017[Fin Producción]),
IF(TRIM(D51)="Desarrollo",
   _xlfn.XLOOKUP(C51,Cartera1017[ID Mantenimiento],Cartera1017[Fin Desarrollo]),
IF(TRIM(D51)="Calidad",
   _xlfn.XLOOKUP(C51,Cartera1017[ID Mantenimiento],Cartera1017[Fin Calidad]),
IF(TRIM(D51)="Producción",
   _xlfn.XLOOKUP(C51,Cartera1017[ID Mantenimiento],Cartera1017[Fin Producción]),
""))))</f>
        <v>46300</v>
      </c>
    </row>
    <row r="52" spans="1:8" hidden="1" collapsed="1">
      <c r="A52" t="str">
        <f ca="1"/>
        <v>Banca Digital</v>
      </c>
      <c r="B52" t="str">
        <f ca="1"/>
        <v>06. Calidad Finalizado</v>
      </c>
      <c r="C52" t="str">
        <f ca="1"/>
        <v>2023-M0712</v>
      </c>
      <c r="D52" t="str">
        <f ca="1"/>
        <v>2023-M0712</v>
      </c>
      <c r="E52" s="255">
        <f ca="1"/>
        <v>0.85</v>
      </c>
      <c r="F52" s="255">
        <f ca="1"/>
        <v>1</v>
      </c>
      <c r="G52" s="356">
        <f ca="1">IF(TRIM(D52)=C52,
   _xlfn.XLOOKUP(C52, Cartera1017[ID Mantenimiento],Cartera1017[Comienzo Desarrollo]),
IF(TRIM(D52)="Desarrollo",
   _xlfn.XLOOKUP(C52,Cartera1017[ID Mantenimiento],Cartera1017[Comienzo Desarrollo]),
IF(TRIM(D52)="Calidad",
   _xlfn.XLOOKUP(C52,Cartera1017[ID Mantenimiento],Cartera1017[Comienzo Calidad]),
IF(TRIM(D52)="Producción",
   _xlfn.XLOOKUP(C52,Cartera1017[ID Mantenimiento],Cartera1017[Comienzo Producción]),
""))))</f>
        <v>45490</v>
      </c>
      <c r="H52" s="160">
        <f ca="1">IF(TRIM(D52)=C52,
   _xlfn.XLOOKUP(C52, Cartera1017[ID Mantenimiento],Cartera1017[Fin Producción]),
IF(TRIM(D52)="Desarrollo",
   _xlfn.XLOOKUP(C52,Cartera1017[ID Mantenimiento],Cartera1017[Fin Desarrollo]),
IF(TRIM(D52)="Calidad",
   _xlfn.XLOOKUP(C52,Cartera1017[ID Mantenimiento],Cartera1017[Fin Calidad]),
IF(TRIM(D52)="Producción",
   _xlfn.XLOOKUP(C52,Cartera1017[ID Mantenimiento],Cartera1017[Fin Producción]),
""))))</f>
        <v>46108</v>
      </c>
    </row>
    <row r="53" spans="1:8" hidden="1" outlineLevel="1">
      <c r="A53" t="str">
        <f ca="1"/>
        <v>Banca Digital</v>
      </c>
      <c r="B53" t="str">
        <f ca="1"/>
        <v>06. Calidad Finalizado</v>
      </c>
      <c r="C53" t="str">
        <f ca="1"/>
        <v>2023-M0712</v>
      </c>
      <c r="D53" t="str">
        <f ca="1"/>
        <v xml:space="preserve">   Desarrollo</v>
      </c>
      <c r="E53" s="255">
        <f ca="1"/>
        <v>0.85</v>
      </c>
      <c r="F53" s="255">
        <f ca="1"/>
        <v>1</v>
      </c>
      <c r="G53" s="356">
        <f ca="1">IF(TRIM(D53)=C53,
   _xlfn.XLOOKUP(C53, Cartera1017[ID Mantenimiento],Cartera1017[Comienzo Desarrollo]),
IF(TRIM(D53)="Desarrollo",
   _xlfn.XLOOKUP(C53,Cartera1017[ID Mantenimiento],Cartera1017[Comienzo Desarrollo]),
IF(TRIM(D53)="Calidad",
   _xlfn.XLOOKUP(C53,Cartera1017[ID Mantenimiento],Cartera1017[Comienzo Calidad]),
IF(TRIM(D53)="Producción",
   _xlfn.XLOOKUP(C53,Cartera1017[ID Mantenimiento],Cartera1017[Comienzo Producción]),
""))))</f>
        <v>45490</v>
      </c>
      <c r="H53" s="160">
        <f ca="1">IF(TRIM(D53)=C53,
   _xlfn.XLOOKUP(C53, Cartera1017[ID Mantenimiento],Cartera1017[Fin Producción]),
IF(TRIM(D53)="Desarrollo",
   _xlfn.XLOOKUP(C53,Cartera1017[ID Mantenimiento],Cartera1017[Fin Desarrollo]),
IF(TRIM(D53)="Calidad",
   _xlfn.XLOOKUP(C53,Cartera1017[ID Mantenimiento],Cartera1017[Fin Calidad]),
IF(TRIM(D53)="Producción",
   _xlfn.XLOOKUP(C53,Cartera1017[ID Mantenimiento],Cartera1017[Fin Producción]),
""))))</f>
        <v>45863</v>
      </c>
    </row>
    <row r="54" spans="1:8" hidden="1" outlineLevel="1">
      <c r="A54" t="str">
        <f ca="1"/>
        <v>Banca Digital</v>
      </c>
      <c r="B54" t="str">
        <f ca="1"/>
        <v>06. Calidad Finalizado</v>
      </c>
      <c r="C54" t="str">
        <f ca="1"/>
        <v>2023-M0712</v>
      </c>
      <c r="D54" t="str">
        <f ca="1"/>
        <v xml:space="preserve">   Calidad</v>
      </c>
      <c r="E54" s="255">
        <f ca="1"/>
        <v>0.85</v>
      </c>
      <c r="F54" s="255">
        <f ca="1"/>
        <v>1</v>
      </c>
      <c r="G54" s="356">
        <f ca="1">IF(TRIM(D54)=C54,
   _xlfn.XLOOKUP(C54, Cartera1017[ID Mantenimiento],Cartera1017[Comienzo Desarrollo]),
IF(TRIM(D54)="Desarrollo",
   _xlfn.XLOOKUP(C54,Cartera1017[ID Mantenimiento],Cartera1017[Comienzo Desarrollo]),
IF(TRIM(D54)="Calidad",
   _xlfn.XLOOKUP(C54,Cartera1017[ID Mantenimiento],Cartera1017[Comienzo Calidad]),
IF(TRIM(D54)="Producción",
   _xlfn.XLOOKUP(C54,Cartera1017[ID Mantenimiento],Cartera1017[Comienzo Producción]),
""))))</f>
        <v>45872</v>
      </c>
      <c r="H54" s="160">
        <f ca="1">IF(TRIM(D54)=C54,
   _xlfn.XLOOKUP(C54, Cartera1017[ID Mantenimiento],Cartera1017[Fin Producción]),
IF(TRIM(D54)="Desarrollo",
   _xlfn.XLOOKUP(C54,Cartera1017[ID Mantenimiento],Cartera1017[Fin Desarrollo]),
IF(TRIM(D54)="Calidad",
   _xlfn.XLOOKUP(C54,Cartera1017[ID Mantenimiento],Cartera1017[Fin Calidad]),
IF(TRIM(D54)="Producción",
   _xlfn.XLOOKUP(C54,Cartera1017[ID Mantenimiento],Cartera1017[Fin Producción]),
""))))</f>
        <v>45902</v>
      </c>
    </row>
    <row r="55" spans="1:8" hidden="1" outlineLevel="1">
      <c r="A55" t="str">
        <f ca="1"/>
        <v>Banca Digital</v>
      </c>
      <c r="B55" t="str">
        <f ca="1"/>
        <v>06. Calidad Finalizado</v>
      </c>
      <c r="C55" t="str">
        <f ca="1"/>
        <v>2023-M0712</v>
      </c>
      <c r="D55" t="str">
        <f ca="1"/>
        <v xml:space="preserve">   Producción</v>
      </c>
      <c r="E55" s="255">
        <f ca="1"/>
        <v>0.85</v>
      </c>
      <c r="F55" s="255">
        <f ca="1"/>
        <v>1</v>
      </c>
      <c r="G55" s="356">
        <f ca="1">IF(TRIM(D55)=C55,
   _xlfn.XLOOKUP(C55, Cartera1017[ID Mantenimiento],Cartera1017[Comienzo Desarrollo]),
IF(TRIM(D55)="Desarrollo",
   _xlfn.XLOOKUP(C55,Cartera1017[ID Mantenimiento],Cartera1017[Comienzo Desarrollo]),
IF(TRIM(D55)="Calidad",
   _xlfn.XLOOKUP(C55,Cartera1017[ID Mantenimiento],Cartera1017[Comienzo Calidad]),
IF(TRIM(D55)="Producción",
   _xlfn.XLOOKUP(C55,Cartera1017[ID Mantenimiento],Cartera1017[Comienzo Producción]),
""))))</f>
        <v>46072</v>
      </c>
      <c r="H55" s="160">
        <f ca="1">IF(TRIM(D55)=C55,
   _xlfn.XLOOKUP(C55, Cartera1017[ID Mantenimiento],Cartera1017[Fin Producción]),
IF(TRIM(D55)="Desarrollo",
   _xlfn.XLOOKUP(C55,Cartera1017[ID Mantenimiento],Cartera1017[Fin Desarrollo]),
IF(TRIM(D55)="Calidad",
   _xlfn.XLOOKUP(C55,Cartera1017[ID Mantenimiento],Cartera1017[Fin Calidad]),
IF(TRIM(D55)="Producción",
   _xlfn.XLOOKUP(C55,Cartera1017[ID Mantenimiento],Cartera1017[Fin Producción]),
""))))</f>
        <v>46108</v>
      </c>
    </row>
    <row r="56" spans="1:8" hidden="1" collapsed="1">
      <c r="A56" t="str">
        <f ca="1"/>
        <v>Operaciones</v>
      </c>
      <c r="B56" t="str">
        <f ca="1"/>
        <v>03. En Desarrollo</v>
      </c>
      <c r="C56" t="str">
        <f ca="1"/>
        <v>2023-M0522</v>
      </c>
      <c r="D56" t="str">
        <f ca="1"/>
        <v>2023-M0522</v>
      </c>
      <c r="E56" s="255">
        <f ca="1"/>
        <v>0.15</v>
      </c>
      <c r="F56" s="255">
        <f ca="1"/>
        <v>1</v>
      </c>
      <c r="G56" s="356">
        <f ca="1">IF(TRIM(D56)=C56,
   _xlfn.XLOOKUP(C56, Cartera1017[ID Mantenimiento],Cartera1017[Comienzo Desarrollo]),
IF(TRIM(D56)="Desarrollo",
   _xlfn.XLOOKUP(C56,Cartera1017[ID Mantenimiento],Cartera1017[Comienzo Desarrollo]),
IF(TRIM(D56)="Calidad",
   _xlfn.XLOOKUP(C56,Cartera1017[ID Mantenimiento],Cartera1017[Comienzo Calidad]),
IF(TRIM(D56)="Producción",
   _xlfn.XLOOKUP(C56,Cartera1017[ID Mantenimiento],Cartera1017[Comienzo Producción]),
""))))</f>
        <v>45470</v>
      </c>
      <c r="H56" s="160">
        <f ca="1">IF(TRIM(D56)=C56,
   _xlfn.XLOOKUP(C56, Cartera1017[ID Mantenimiento],Cartera1017[Fin Producción]),
IF(TRIM(D56)="Desarrollo",
   _xlfn.XLOOKUP(C56,Cartera1017[ID Mantenimiento],Cartera1017[Fin Desarrollo]),
IF(TRIM(D56)="Calidad",
   _xlfn.XLOOKUP(C56,Cartera1017[ID Mantenimiento],Cartera1017[Fin Calidad]),
IF(TRIM(D56)="Producción",
   _xlfn.XLOOKUP(C56,Cartera1017[ID Mantenimiento],Cartera1017[Fin Producción]),
""))))</f>
        <v>46108</v>
      </c>
    </row>
    <row r="57" spans="1:8" hidden="1" outlineLevel="1">
      <c r="A57" t="str">
        <f ca="1"/>
        <v>Operaciones</v>
      </c>
      <c r="B57" t="str">
        <f ca="1"/>
        <v>03. En Desarrollo</v>
      </c>
      <c r="C57" t="str">
        <f ca="1"/>
        <v>2023-M0522</v>
      </c>
      <c r="D57" t="str">
        <f ca="1"/>
        <v xml:space="preserve">   Desarrollo</v>
      </c>
      <c r="E57" s="255">
        <f ca="1"/>
        <v>0.15</v>
      </c>
      <c r="F57" s="255">
        <f ca="1"/>
        <v>1</v>
      </c>
      <c r="G57" s="356">
        <f ca="1">IF(TRIM(D57)=C57,
   _xlfn.XLOOKUP(C57, Cartera1017[ID Mantenimiento],Cartera1017[Comienzo Desarrollo]),
IF(TRIM(D57)="Desarrollo",
   _xlfn.XLOOKUP(C57,Cartera1017[ID Mantenimiento],Cartera1017[Comienzo Desarrollo]),
IF(TRIM(D57)="Calidad",
   _xlfn.XLOOKUP(C57,Cartera1017[ID Mantenimiento],Cartera1017[Comienzo Calidad]),
IF(TRIM(D57)="Producción",
   _xlfn.XLOOKUP(C57,Cartera1017[ID Mantenimiento],Cartera1017[Comienzo Producción]),
""))))</f>
        <v>45470</v>
      </c>
      <c r="H57" s="160">
        <f ca="1">IF(TRIM(D57)=C57,
   _xlfn.XLOOKUP(C57, Cartera1017[ID Mantenimiento],Cartera1017[Fin Producción]),
IF(TRIM(D57)="Desarrollo",
   _xlfn.XLOOKUP(C57,Cartera1017[ID Mantenimiento],Cartera1017[Fin Desarrollo]),
IF(TRIM(D57)="Calidad",
   _xlfn.XLOOKUP(C57,Cartera1017[ID Mantenimiento],Cartera1017[Fin Calidad]),
IF(TRIM(D57)="Producción",
   _xlfn.XLOOKUP(C57,Cartera1017[ID Mantenimiento],Cartera1017[Fin Producción]),
""))))</f>
        <v>45624</v>
      </c>
    </row>
    <row r="58" spans="1:8" hidden="1" outlineLevel="1">
      <c r="A58" t="str">
        <f ca="1"/>
        <v>Operaciones</v>
      </c>
      <c r="B58" t="str">
        <f ca="1"/>
        <v>03. En Desarrollo</v>
      </c>
      <c r="C58" t="str">
        <f ca="1"/>
        <v>2023-M0522</v>
      </c>
      <c r="D58" t="str">
        <f ca="1"/>
        <v xml:space="preserve">   Calidad</v>
      </c>
      <c r="E58" s="255">
        <f ca="1"/>
        <v>0.15</v>
      </c>
      <c r="F58" s="255">
        <f ca="1"/>
        <v>1</v>
      </c>
      <c r="G58" s="356">
        <f ca="1">IF(TRIM(D58)=C58,
   _xlfn.XLOOKUP(C58, Cartera1017[ID Mantenimiento],Cartera1017[Comienzo Desarrollo]),
IF(TRIM(D58)="Desarrollo",
   _xlfn.XLOOKUP(C58,Cartera1017[ID Mantenimiento],Cartera1017[Comienzo Desarrollo]),
IF(TRIM(D58)="Calidad",
   _xlfn.XLOOKUP(C58,Cartera1017[ID Mantenimiento],Cartera1017[Comienzo Calidad]),
IF(TRIM(D58)="Producción",
   _xlfn.XLOOKUP(C58,Cartera1017[ID Mantenimiento],Cartera1017[Comienzo Producción]),
""))))</f>
        <v>45659</v>
      </c>
      <c r="H58" s="160">
        <f ca="1">IF(TRIM(D58)=C58,
   _xlfn.XLOOKUP(C58, Cartera1017[ID Mantenimiento],Cartera1017[Fin Producción]),
IF(TRIM(D58)="Desarrollo",
   _xlfn.XLOOKUP(C58,Cartera1017[ID Mantenimiento],Cartera1017[Fin Desarrollo]),
IF(TRIM(D58)="Calidad",
   _xlfn.XLOOKUP(C58,Cartera1017[ID Mantenimiento],Cartera1017[Fin Calidad]),
IF(TRIM(D58)="Producción",
   _xlfn.XLOOKUP(C58,Cartera1017[ID Mantenimiento],Cartera1017[Fin Producción]),
""))))</f>
        <v>45660</v>
      </c>
    </row>
    <row r="59" spans="1:8" hidden="1" outlineLevel="1">
      <c r="A59" t="str">
        <f ca="1"/>
        <v>Operaciones</v>
      </c>
      <c r="B59" t="str">
        <f ca="1"/>
        <v>03. En Desarrollo</v>
      </c>
      <c r="C59" t="str">
        <f ca="1"/>
        <v>2023-M0522</v>
      </c>
      <c r="D59" t="str">
        <f ca="1"/>
        <v xml:space="preserve">   Producción</v>
      </c>
      <c r="E59" s="255">
        <f ca="1"/>
        <v>0.15</v>
      </c>
      <c r="F59" s="255">
        <f ca="1"/>
        <v>1</v>
      </c>
      <c r="G59" s="356">
        <f ca="1">IF(TRIM(D59)=C59,
   _xlfn.XLOOKUP(C59, Cartera1017[ID Mantenimiento],Cartera1017[Comienzo Desarrollo]),
IF(TRIM(D59)="Desarrollo",
   _xlfn.XLOOKUP(C59,Cartera1017[ID Mantenimiento],Cartera1017[Comienzo Desarrollo]),
IF(TRIM(D59)="Calidad",
   _xlfn.XLOOKUP(C59,Cartera1017[ID Mantenimiento],Cartera1017[Comienzo Calidad]),
IF(TRIM(D59)="Producción",
   _xlfn.XLOOKUP(C59,Cartera1017[ID Mantenimiento],Cartera1017[Comienzo Producción]),
""))))</f>
        <v>46072</v>
      </c>
      <c r="H59" s="160">
        <f ca="1">IF(TRIM(D59)=C59,
   _xlfn.XLOOKUP(C59, Cartera1017[ID Mantenimiento],Cartera1017[Fin Producción]),
IF(TRIM(D59)="Desarrollo",
   _xlfn.XLOOKUP(C59,Cartera1017[ID Mantenimiento],Cartera1017[Fin Desarrollo]),
IF(TRIM(D59)="Calidad",
   _xlfn.XLOOKUP(C59,Cartera1017[ID Mantenimiento],Cartera1017[Fin Calidad]),
IF(TRIM(D59)="Producción",
   _xlfn.XLOOKUP(C59,Cartera1017[ID Mantenimiento],Cartera1017[Fin Producción]),
""))))</f>
        <v>46108</v>
      </c>
    </row>
    <row r="60" spans="1:8" hidden="1" collapsed="1">
      <c r="A60" t="str">
        <f ca="1"/>
        <v>Banca Digital</v>
      </c>
      <c r="B60" t="str">
        <f ca="1"/>
        <v>06. Calidad Finalizado</v>
      </c>
      <c r="C60" t="str">
        <f ca="1"/>
        <v>2023-M0708</v>
      </c>
      <c r="D60" t="str">
        <f ca="1"/>
        <v>2023-M0708</v>
      </c>
      <c r="E60" s="255">
        <f ca="1"/>
        <v>0.85</v>
      </c>
      <c r="F60" s="255">
        <f ca="1"/>
        <v>1</v>
      </c>
      <c r="G60" s="356">
        <f ca="1">IF(TRIM(D60)=C60,
   _xlfn.XLOOKUP(C60, Cartera1017[ID Mantenimiento],Cartera1017[Comienzo Desarrollo]),
IF(TRIM(D60)="Desarrollo",
   _xlfn.XLOOKUP(C60,Cartera1017[ID Mantenimiento],Cartera1017[Comienzo Desarrollo]),
IF(TRIM(D60)="Calidad",
   _xlfn.XLOOKUP(C60,Cartera1017[ID Mantenimiento],Cartera1017[Comienzo Calidad]),
IF(TRIM(D60)="Producción",
   _xlfn.XLOOKUP(C60,Cartera1017[ID Mantenimiento],Cartera1017[Comienzo Producción]),
""))))</f>
        <v>45673</v>
      </c>
      <c r="H60" s="160">
        <f ca="1">IF(TRIM(D60)=C60,
   _xlfn.XLOOKUP(C60, Cartera1017[ID Mantenimiento],Cartera1017[Fin Producción]),
IF(TRIM(D60)="Desarrollo",
   _xlfn.XLOOKUP(C60,Cartera1017[ID Mantenimiento],Cartera1017[Fin Desarrollo]),
IF(TRIM(D60)="Calidad",
   _xlfn.XLOOKUP(C60,Cartera1017[ID Mantenimiento],Cartera1017[Fin Calidad]),
IF(TRIM(D60)="Producción",
   _xlfn.XLOOKUP(C60,Cartera1017[ID Mantenimiento],Cartera1017[Fin Producción]),
""))))</f>
        <v>46108</v>
      </c>
    </row>
    <row r="61" spans="1:8" hidden="1" outlineLevel="1">
      <c r="A61" t="str">
        <f ca="1"/>
        <v>Banca Digital</v>
      </c>
      <c r="B61" t="str">
        <f ca="1"/>
        <v>06. Calidad Finalizado</v>
      </c>
      <c r="C61" t="str">
        <f ca="1"/>
        <v>2023-M0708</v>
      </c>
      <c r="D61" t="str">
        <f ca="1"/>
        <v xml:space="preserve">   Desarrollo</v>
      </c>
      <c r="E61" s="255">
        <f ca="1"/>
        <v>0.85</v>
      </c>
      <c r="F61" s="255">
        <f ca="1"/>
        <v>1</v>
      </c>
      <c r="G61" s="356">
        <f ca="1">IF(TRIM(D61)=C61,
   _xlfn.XLOOKUP(C61, Cartera1017[ID Mantenimiento],Cartera1017[Comienzo Desarrollo]),
IF(TRIM(D61)="Desarrollo",
   _xlfn.XLOOKUP(C61,Cartera1017[ID Mantenimiento],Cartera1017[Comienzo Desarrollo]),
IF(TRIM(D61)="Calidad",
   _xlfn.XLOOKUP(C61,Cartera1017[ID Mantenimiento],Cartera1017[Comienzo Calidad]),
IF(TRIM(D61)="Producción",
   _xlfn.XLOOKUP(C61,Cartera1017[ID Mantenimiento],Cartera1017[Comienzo Producción]),
""))))</f>
        <v>45673</v>
      </c>
      <c r="H61" s="160">
        <f ca="1">IF(TRIM(D61)=C61,
   _xlfn.XLOOKUP(C61, Cartera1017[ID Mantenimiento],Cartera1017[Fin Producción]),
IF(TRIM(D61)="Desarrollo",
   _xlfn.XLOOKUP(C61,Cartera1017[ID Mantenimiento],Cartera1017[Fin Desarrollo]),
IF(TRIM(D61)="Calidad",
   _xlfn.XLOOKUP(C61,Cartera1017[ID Mantenimiento],Cartera1017[Fin Calidad]),
IF(TRIM(D61)="Producción",
   _xlfn.XLOOKUP(C61,Cartera1017[ID Mantenimiento],Cartera1017[Fin Producción]),
""))))</f>
        <v>45890</v>
      </c>
    </row>
    <row r="62" spans="1:8" hidden="1" outlineLevel="1">
      <c r="A62" t="str">
        <f ca="1"/>
        <v>Banca Digital</v>
      </c>
      <c r="B62" t="str">
        <f ca="1"/>
        <v>06. Calidad Finalizado</v>
      </c>
      <c r="C62" t="str">
        <f ca="1"/>
        <v>2023-M0708</v>
      </c>
      <c r="D62" t="str">
        <f ca="1"/>
        <v xml:space="preserve">   Calidad</v>
      </c>
      <c r="E62" s="255">
        <f ca="1"/>
        <v>0.85</v>
      </c>
      <c r="F62" s="255">
        <f ca="1"/>
        <v>1</v>
      </c>
      <c r="G62" s="356">
        <f ca="1">IF(TRIM(D62)=C62,
   _xlfn.XLOOKUP(C62, Cartera1017[ID Mantenimiento],Cartera1017[Comienzo Desarrollo]),
IF(TRIM(D62)="Desarrollo",
   _xlfn.XLOOKUP(C62,Cartera1017[ID Mantenimiento],Cartera1017[Comienzo Desarrollo]),
IF(TRIM(D62)="Calidad",
   _xlfn.XLOOKUP(C62,Cartera1017[ID Mantenimiento],Cartera1017[Comienzo Calidad]),
IF(TRIM(D62)="Producción",
   _xlfn.XLOOKUP(C62,Cartera1017[ID Mantenimiento],Cartera1017[Comienzo Producción]),
""))))</f>
        <v>45892</v>
      </c>
      <c r="H62" s="160">
        <f ca="1">IF(TRIM(D62)=C62,
   _xlfn.XLOOKUP(C62, Cartera1017[ID Mantenimiento],Cartera1017[Fin Producción]),
IF(TRIM(D62)="Desarrollo",
   _xlfn.XLOOKUP(C62,Cartera1017[ID Mantenimiento],Cartera1017[Fin Desarrollo]),
IF(TRIM(D62)="Calidad",
   _xlfn.XLOOKUP(C62,Cartera1017[ID Mantenimiento],Cartera1017[Fin Calidad]),
IF(TRIM(D62)="Producción",
   _xlfn.XLOOKUP(C62,Cartera1017[ID Mantenimiento],Cartera1017[Fin Producción]),
""))))</f>
        <v>45902</v>
      </c>
    </row>
    <row r="63" spans="1:8" hidden="1" outlineLevel="1">
      <c r="A63" t="str">
        <f ca="1"/>
        <v>Banca Digital</v>
      </c>
      <c r="B63" t="str">
        <f ca="1"/>
        <v>06. Calidad Finalizado</v>
      </c>
      <c r="C63" t="str">
        <f ca="1"/>
        <v>2023-M0708</v>
      </c>
      <c r="D63" t="str">
        <f ca="1"/>
        <v xml:space="preserve">   Producción</v>
      </c>
      <c r="E63" s="255">
        <f ca="1"/>
        <v>0.85</v>
      </c>
      <c r="F63" s="255">
        <f ca="1"/>
        <v>1</v>
      </c>
      <c r="G63" s="356">
        <f ca="1">IF(TRIM(D63)=C63,
   _xlfn.XLOOKUP(C63, Cartera1017[ID Mantenimiento],Cartera1017[Comienzo Desarrollo]),
IF(TRIM(D63)="Desarrollo",
   _xlfn.XLOOKUP(C63,Cartera1017[ID Mantenimiento],Cartera1017[Comienzo Desarrollo]),
IF(TRIM(D63)="Calidad",
   _xlfn.XLOOKUP(C63,Cartera1017[ID Mantenimiento],Cartera1017[Comienzo Calidad]),
IF(TRIM(D63)="Producción",
   _xlfn.XLOOKUP(C63,Cartera1017[ID Mantenimiento],Cartera1017[Comienzo Producción]),
""))))</f>
        <v>46072</v>
      </c>
      <c r="H63" s="160">
        <f ca="1">IF(TRIM(D63)=C63,
   _xlfn.XLOOKUP(C63, Cartera1017[ID Mantenimiento],Cartera1017[Fin Producción]),
IF(TRIM(D63)="Desarrollo",
   _xlfn.XLOOKUP(C63,Cartera1017[ID Mantenimiento],Cartera1017[Fin Desarrollo]),
IF(TRIM(D63)="Calidad",
   _xlfn.XLOOKUP(C63,Cartera1017[ID Mantenimiento],Cartera1017[Fin Calidad]),
IF(TRIM(D63)="Producción",
   _xlfn.XLOOKUP(C63,Cartera1017[ID Mantenimiento],Cartera1017[Fin Producción]),
""))))</f>
        <v>46108</v>
      </c>
    </row>
    <row r="64" spans="1:8" hidden="1" collapsed="1">
      <c r="A64" t="str">
        <f ca="1"/>
        <v>Banca Digital</v>
      </c>
      <c r="B64" t="str">
        <f ca="1"/>
        <v>06. Calidad Finalizado</v>
      </c>
      <c r="C64" t="str">
        <f ca="1"/>
        <v>2023-M0711</v>
      </c>
      <c r="D64" t="str">
        <f ca="1"/>
        <v>2023-M0711</v>
      </c>
      <c r="E64" s="255">
        <f ca="1"/>
        <v>0.85</v>
      </c>
      <c r="F64" s="255">
        <f ca="1"/>
        <v>1</v>
      </c>
      <c r="G64" s="356">
        <f ca="1">IF(TRIM(D64)=C64,
   _xlfn.XLOOKUP(C64, Cartera1017[ID Mantenimiento],Cartera1017[Comienzo Desarrollo]),
IF(TRIM(D64)="Desarrollo",
   _xlfn.XLOOKUP(C64,Cartera1017[ID Mantenimiento],Cartera1017[Comienzo Desarrollo]),
IF(TRIM(D64)="Calidad",
   _xlfn.XLOOKUP(C64,Cartera1017[ID Mantenimiento],Cartera1017[Comienzo Calidad]),
IF(TRIM(D64)="Producción",
   _xlfn.XLOOKUP(C64,Cartera1017[ID Mantenimiento],Cartera1017[Comienzo Producción]),
""))))</f>
        <v>45761</v>
      </c>
      <c r="H64" s="160">
        <f ca="1">IF(TRIM(D64)=C64,
   _xlfn.XLOOKUP(C64, Cartera1017[ID Mantenimiento],Cartera1017[Fin Producción]),
IF(TRIM(D64)="Desarrollo",
   _xlfn.XLOOKUP(C64,Cartera1017[ID Mantenimiento],Cartera1017[Fin Desarrollo]),
IF(TRIM(D64)="Calidad",
   _xlfn.XLOOKUP(C64,Cartera1017[ID Mantenimiento],Cartera1017[Fin Calidad]),
IF(TRIM(D64)="Producción",
   _xlfn.XLOOKUP(C64,Cartera1017[ID Mantenimiento],Cartera1017[Fin Producción]),
""))))</f>
        <v>46108</v>
      </c>
    </row>
    <row r="65" spans="1:8" hidden="1" outlineLevel="1">
      <c r="A65" t="str">
        <f ca="1"/>
        <v>Banca Digital</v>
      </c>
      <c r="B65" t="str">
        <f ca="1"/>
        <v>06. Calidad Finalizado</v>
      </c>
      <c r="C65" t="str">
        <f ca="1"/>
        <v>2023-M0711</v>
      </c>
      <c r="D65" t="str">
        <f ca="1"/>
        <v xml:space="preserve">   Desarrollo</v>
      </c>
      <c r="E65" s="255">
        <f ca="1"/>
        <v>0.85</v>
      </c>
      <c r="F65" s="255">
        <f ca="1"/>
        <v>1</v>
      </c>
      <c r="G65" s="356">
        <f ca="1">IF(TRIM(D65)=C65,
   _xlfn.XLOOKUP(C65, Cartera1017[ID Mantenimiento],Cartera1017[Comienzo Desarrollo]),
IF(TRIM(D65)="Desarrollo",
   _xlfn.XLOOKUP(C65,Cartera1017[ID Mantenimiento],Cartera1017[Comienzo Desarrollo]),
IF(TRIM(D65)="Calidad",
   _xlfn.XLOOKUP(C65,Cartera1017[ID Mantenimiento],Cartera1017[Comienzo Calidad]),
IF(TRIM(D65)="Producción",
   _xlfn.XLOOKUP(C65,Cartera1017[ID Mantenimiento],Cartera1017[Comienzo Producción]),
""))))</f>
        <v>45761</v>
      </c>
      <c r="H65" s="160">
        <f ca="1">IF(TRIM(D65)=C65,
   _xlfn.XLOOKUP(C65, Cartera1017[ID Mantenimiento],Cartera1017[Fin Producción]),
IF(TRIM(D65)="Desarrollo",
   _xlfn.XLOOKUP(C65,Cartera1017[ID Mantenimiento],Cartera1017[Fin Desarrollo]),
IF(TRIM(D65)="Calidad",
   _xlfn.XLOOKUP(C65,Cartera1017[ID Mantenimiento],Cartera1017[Fin Calidad]),
IF(TRIM(D65)="Producción",
   _xlfn.XLOOKUP(C65,Cartera1017[ID Mantenimiento],Cartera1017[Fin Producción]),
""))))</f>
        <v>45890</v>
      </c>
    </row>
    <row r="66" spans="1:8" hidden="1" outlineLevel="1">
      <c r="A66" t="str">
        <f ca="1"/>
        <v>Banca Digital</v>
      </c>
      <c r="B66" t="str">
        <f ca="1"/>
        <v>06. Calidad Finalizado</v>
      </c>
      <c r="C66" t="str">
        <f ca="1"/>
        <v>2023-M0711</v>
      </c>
      <c r="D66" t="str">
        <f ca="1"/>
        <v xml:space="preserve">   Calidad</v>
      </c>
      <c r="E66" s="255">
        <f ca="1"/>
        <v>0.85</v>
      </c>
      <c r="F66" s="255">
        <f ca="1"/>
        <v>1</v>
      </c>
      <c r="G66" s="356">
        <f ca="1">IF(TRIM(D66)=C66,
   _xlfn.XLOOKUP(C66, Cartera1017[ID Mantenimiento],Cartera1017[Comienzo Desarrollo]),
IF(TRIM(D66)="Desarrollo",
   _xlfn.XLOOKUP(C66,Cartera1017[ID Mantenimiento],Cartera1017[Comienzo Desarrollo]),
IF(TRIM(D66)="Calidad",
   _xlfn.XLOOKUP(C66,Cartera1017[ID Mantenimiento],Cartera1017[Comienzo Calidad]),
IF(TRIM(D66)="Producción",
   _xlfn.XLOOKUP(C66,Cartera1017[ID Mantenimiento],Cartera1017[Comienzo Producción]),
""))))</f>
        <v>45892</v>
      </c>
      <c r="H66" s="160">
        <f ca="1">IF(TRIM(D66)=C66,
   _xlfn.XLOOKUP(C66, Cartera1017[ID Mantenimiento],Cartera1017[Fin Producción]),
IF(TRIM(D66)="Desarrollo",
   _xlfn.XLOOKUP(C66,Cartera1017[ID Mantenimiento],Cartera1017[Fin Desarrollo]),
IF(TRIM(D66)="Calidad",
   _xlfn.XLOOKUP(C66,Cartera1017[ID Mantenimiento],Cartera1017[Fin Calidad]),
IF(TRIM(D66)="Producción",
   _xlfn.XLOOKUP(C66,Cartera1017[ID Mantenimiento],Cartera1017[Fin Producción]),
""))))</f>
        <v>45902</v>
      </c>
    </row>
    <row r="67" spans="1:8" hidden="1" outlineLevel="1">
      <c r="A67" t="str">
        <f ca="1"/>
        <v>Banca Digital</v>
      </c>
      <c r="B67" t="str">
        <f ca="1"/>
        <v>06. Calidad Finalizado</v>
      </c>
      <c r="C67" t="str">
        <f ca="1"/>
        <v>2023-M0711</v>
      </c>
      <c r="D67" t="str">
        <f ca="1"/>
        <v xml:space="preserve">   Producción</v>
      </c>
      <c r="E67" s="255">
        <f ca="1"/>
        <v>0.85</v>
      </c>
      <c r="F67" s="255">
        <f ca="1"/>
        <v>1</v>
      </c>
      <c r="G67" s="356">
        <f ca="1">IF(TRIM(D67)=C67,
   _xlfn.XLOOKUP(C67, Cartera1017[ID Mantenimiento],Cartera1017[Comienzo Desarrollo]),
IF(TRIM(D67)="Desarrollo",
   _xlfn.XLOOKUP(C67,Cartera1017[ID Mantenimiento],Cartera1017[Comienzo Desarrollo]),
IF(TRIM(D67)="Calidad",
   _xlfn.XLOOKUP(C67,Cartera1017[ID Mantenimiento],Cartera1017[Comienzo Calidad]),
IF(TRIM(D67)="Producción",
   _xlfn.XLOOKUP(C67,Cartera1017[ID Mantenimiento],Cartera1017[Comienzo Producción]),
""))))</f>
        <v>46072</v>
      </c>
      <c r="H67" s="160">
        <f ca="1">IF(TRIM(D67)=C67,
   _xlfn.XLOOKUP(C67, Cartera1017[ID Mantenimiento],Cartera1017[Fin Producción]),
IF(TRIM(D67)="Desarrollo",
   _xlfn.XLOOKUP(C67,Cartera1017[ID Mantenimiento],Cartera1017[Fin Desarrollo]),
IF(TRIM(D67)="Calidad",
   _xlfn.XLOOKUP(C67,Cartera1017[ID Mantenimiento],Cartera1017[Fin Calidad]),
IF(TRIM(D67)="Producción",
   _xlfn.XLOOKUP(C67,Cartera1017[ID Mantenimiento],Cartera1017[Fin Producción]),
""))))</f>
        <v>46108</v>
      </c>
    </row>
    <row r="68" spans="1:8" hidden="1" collapsed="1">
      <c r="A68" t="str">
        <f ca="1"/>
        <v>Banca Digital</v>
      </c>
      <c r="B68" t="str">
        <f ca="1"/>
        <v>08. Producción Finalizada</v>
      </c>
      <c r="C68" t="str">
        <f ca="1"/>
        <v>2023-M0701</v>
      </c>
      <c r="D68" t="str">
        <f ca="1"/>
        <v>2023-M0701</v>
      </c>
      <c r="E68" s="255">
        <f ca="1"/>
        <v>1</v>
      </c>
      <c r="F68" s="255">
        <f ca="1"/>
        <v>1</v>
      </c>
      <c r="G68" s="356">
        <f ca="1">IF(TRIM(D68)=C68,
   _xlfn.XLOOKUP(C68, Cartera1017[ID Mantenimiento],Cartera1017[Comienzo Desarrollo]),
IF(TRIM(D68)="Desarrollo",
   _xlfn.XLOOKUP(C68,Cartera1017[ID Mantenimiento],Cartera1017[Comienzo Desarrollo]),
IF(TRIM(D68)="Calidad",
   _xlfn.XLOOKUP(C68,Cartera1017[ID Mantenimiento],Cartera1017[Comienzo Calidad]),
IF(TRIM(D68)="Producción",
   _xlfn.XLOOKUP(C68,Cartera1017[ID Mantenimiento],Cartera1017[Comienzo Producción]),
""))))</f>
        <v>45798</v>
      </c>
      <c r="H68" s="160">
        <f ca="1">IF(TRIM(D68)=C68,
   _xlfn.XLOOKUP(C68, Cartera1017[ID Mantenimiento],Cartera1017[Fin Producción]),
IF(TRIM(D68)="Desarrollo",
   _xlfn.XLOOKUP(C68,Cartera1017[ID Mantenimiento],Cartera1017[Fin Desarrollo]),
IF(TRIM(D68)="Calidad",
   _xlfn.XLOOKUP(C68,Cartera1017[ID Mantenimiento],Cartera1017[Fin Calidad]),
IF(TRIM(D68)="Producción",
   _xlfn.XLOOKUP(C68,Cartera1017[ID Mantenimiento],Cartera1017[Fin Producción]),
""))))</f>
        <v>46111</v>
      </c>
    </row>
    <row r="69" spans="1:8" hidden="1" outlineLevel="1">
      <c r="A69" t="str">
        <f ca="1"/>
        <v>Banca Digital</v>
      </c>
      <c r="B69" t="str">
        <f ca="1"/>
        <v>08. Producción Finalizada</v>
      </c>
      <c r="C69" t="str">
        <f ca="1"/>
        <v>2023-M0701</v>
      </c>
      <c r="D69" t="str">
        <f ca="1"/>
        <v xml:space="preserve">   Desarrollo</v>
      </c>
      <c r="E69" s="255">
        <f ca="1"/>
        <v>1</v>
      </c>
      <c r="F69" s="255">
        <f ca="1"/>
        <v>1</v>
      </c>
      <c r="G69" s="356">
        <f ca="1">IF(TRIM(D69)=C69,
   _xlfn.XLOOKUP(C69, Cartera1017[ID Mantenimiento],Cartera1017[Comienzo Desarrollo]),
IF(TRIM(D69)="Desarrollo",
   _xlfn.XLOOKUP(C69,Cartera1017[ID Mantenimiento],Cartera1017[Comienzo Desarrollo]),
IF(TRIM(D69)="Calidad",
   _xlfn.XLOOKUP(C69,Cartera1017[ID Mantenimiento],Cartera1017[Comienzo Calidad]),
IF(TRIM(D69)="Producción",
   _xlfn.XLOOKUP(C69,Cartera1017[ID Mantenimiento],Cartera1017[Comienzo Producción]),
""))))</f>
        <v>45798</v>
      </c>
      <c r="H69" s="160">
        <f ca="1">IF(TRIM(D69)=C69,
   _xlfn.XLOOKUP(C69, Cartera1017[ID Mantenimiento],Cartera1017[Fin Producción]),
IF(TRIM(D69)="Desarrollo",
   _xlfn.XLOOKUP(C69,Cartera1017[ID Mantenimiento],Cartera1017[Fin Desarrollo]),
IF(TRIM(D69)="Calidad",
   _xlfn.XLOOKUP(C69,Cartera1017[ID Mantenimiento],Cartera1017[Fin Calidad]),
IF(TRIM(D69)="Producción",
   _xlfn.XLOOKUP(C69,Cartera1017[ID Mantenimiento],Cartera1017[Fin Producción]),
""))))</f>
        <v>45859</v>
      </c>
    </row>
    <row r="70" spans="1:8" hidden="1" outlineLevel="1">
      <c r="A70" t="str">
        <f ca="1"/>
        <v>Banca Digital</v>
      </c>
      <c r="B70" t="str">
        <f ca="1"/>
        <v>08. Producción Finalizada</v>
      </c>
      <c r="C70" t="str">
        <f ca="1"/>
        <v>2023-M0701</v>
      </c>
      <c r="D70" t="str">
        <f ca="1"/>
        <v xml:space="preserve">   Calidad</v>
      </c>
      <c r="E70" s="255">
        <f ca="1"/>
        <v>1</v>
      </c>
      <c r="F70" s="255">
        <f ca="1"/>
        <v>1</v>
      </c>
      <c r="G70" s="356">
        <f ca="1">IF(TRIM(D70)=C70,
   _xlfn.XLOOKUP(C70, Cartera1017[ID Mantenimiento],Cartera1017[Comienzo Desarrollo]),
IF(TRIM(D70)="Desarrollo",
   _xlfn.XLOOKUP(C70,Cartera1017[ID Mantenimiento],Cartera1017[Comienzo Desarrollo]),
IF(TRIM(D70)="Calidad",
   _xlfn.XLOOKUP(C70,Cartera1017[ID Mantenimiento],Cartera1017[Comienzo Calidad]),
IF(TRIM(D70)="Producción",
   _xlfn.XLOOKUP(C70,Cartera1017[ID Mantenimiento],Cartera1017[Comienzo Producción]),
""))))</f>
        <v>45861</v>
      </c>
      <c r="H70" s="160">
        <f ca="1">IF(TRIM(D70)=C70,
   _xlfn.XLOOKUP(C70, Cartera1017[ID Mantenimiento],Cartera1017[Fin Producción]),
IF(TRIM(D70)="Desarrollo",
   _xlfn.XLOOKUP(C70,Cartera1017[ID Mantenimiento],Cartera1017[Fin Desarrollo]),
IF(TRIM(D70)="Calidad",
   _xlfn.XLOOKUP(C70,Cartera1017[ID Mantenimiento],Cartera1017[Fin Calidad]),
IF(TRIM(D70)="Producción",
   _xlfn.XLOOKUP(C70,Cartera1017[ID Mantenimiento],Cartera1017[Fin Producción]),
""))))</f>
        <v>45933</v>
      </c>
    </row>
    <row r="71" spans="1:8" hidden="1" outlineLevel="1">
      <c r="A71" t="str">
        <f ca="1"/>
        <v>Banca Digital</v>
      </c>
      <c r="B71" t="str">
        <f ca="1"/>
        <v>08. Producción Finalizada</v>
      </c>
      <c r="C71" t="str">
        <f ca="1"/>
        <v>2023-M0701</v>
      </c>
      <c r="D71" t="str">
        <f ca="1"/>
        <v xml:space="preserve">   Producción</v>
      </c>
      <c r="E71" s="255">
        <f ca="1"/>
        <v>1</v>
      </c>
      <c r="F71" s="255">
        <f ca="1"/>
        <v>1</v>
      </c>
      <c r="G71" s="356">
        <f ca="1">IF(TRIM(D71)=C71,
   _xlfn.XLOOKUP(C71, Cartera1017[ID Mantenimiento],Cartera1017[Comienzo Desarrollo]),
IF(TRIM(D71)="Desarrollo",
   _xlfn.XLOOKUP(C71,Cartera1017[ID Mantenimiento],Cartera1017[Comienzo Desarrollo]),
IF(TRIM(D71)="Calidad",
   _xlfn.XLOOKUP(C71,Cartera1017[ID Mantenimiento],Cartera1017[Comienzo Calidad]),
IF(TRIM(D71)="Producción",
   _xlfn.XLOOKUP(C71,Cartera1017[ID Mantenimiento],Cartera1017[Comienzo Producción]),
""))))</f>
        <v>46083</v>
      </c>
      <c r="H71" s="160">
        <f ca="1">IF(TRIM(D71)=C71,
   _xlfn.XLOOKUP(C71, Cartera1017[ID Mantenimiento],Cartera1017[Fin Producción]),
IF(TRIM(D71)="Desarrollo",
   _xlfn.XLOOKUP(C71,Cartera1017[ID Mantenimiento],Cartera1017[Fin Desarrollo]),
IF(TRIM(D71)="Calidad",
   _xlfn.XLOOKUP(C71,Cartera1017[ID Mantenimiento],Cartera1017[Fin Calidad]),
IF(TRIM(D71)="Producción",
   _xlfn.XLOOKUP(C71,Cartera1017[ID Mantenimiento],Cartera1017[Fin Producción]),
""))))</f>
        <v>46111</v>
      </c>
    </row>
    <row r="72" spans="1:8" hidden="1" collapsed="1">
      <c r="A72" t="str">
        <f ca="1"/>
        <v>Operaciones</v>
      </c>
      <c r="B72" t="str">
        <f ca="1"/>
        <v>08. Producción Finalizada</v>
      </c>
      <c r="C72" t="str">
        <f ca="1"/>
        <v>2024-M0071</v>
      </c>
      <c r="D72" t="str">
        <f ca="1"/>
        <v>2024-M0071</v>
      </c>
      <c r="E72" s="255">
        <f ca="1"/>
        <v>1</v>
      </c>
      <c r="F72" s="255">
        <f ca="1"/>
        <v>1</v>
      </c>
      <c r="G72" s="356">
        <f ca="1">IF(TRIM(D72)=C72,
   _xlfn.XLOOKUP(C72, Cartera1017[ID Mantenimiento],Cartera1017[Comienzo Desarrollo]),
IF(TRIM(D72)="Desarrollo",
   _xlfn.XLOOKUP(C72,Cartera1017[ID Mantenimiento],Cartera1017[Comienzo Desarrollo]),
IF(TRIM(D72)="Calidad",
   _xlfn.XLOOKUP(C72,Cartera1017[ID Mantenimiento],Cartera1017[Comienzo Calidad]),
IF(TRIM(D72)="Producción",
   _xlfn.XLOOKUP(C72,Cartera1017[ID Mantenimiento],Cartera1017[Comienzo Producción]),
""))))</f>
        <v>45329</v>
      </c>
      <c r="H72" s="160">
        <f ca="1">IF(TRIM(D72)=C72,
   _xlfn.XLOOKUP(C72, Cartera1017[ID Mantenimiento],Cartera1017[Fin Producción]),
IF(TRIM(D72)="Desarrollo",
   _xlfn.XLOOKUP(C72,Cartera1017[ID Mantenimiento],Cartera1017[Fin Desarrollo]),
IF(TRIM(D72)="Calidad",
   _xlfn.XLOOKUP(C72,Cartera1017[ID Mantenimiento],Cartera1017[Fin Calidad]),
IF(TRIM(D72)="Producción",
   _xlfn.XLOOKUP(C72,Cartera1017[ID Mantenimiento],Cartera1017[Fin Producción]),
""))))</f>
        <v>46108</v>
      </c>
    </row>
    <row r="73" spans="1:8" hidden="1" outlineLevel="1">
      <c r="A73" t="str">
        <f ca="1"/>
        <v>Operaciones</v>
      </c>
      <c r="B73" t="str">
        <f ca="1"/>
        <v>08. Producción Finalizada</v>
      </c>
      <c r="C73" t="str">
        <f ca="1"/>
        <v>2024-M0071</v>
      </c>
      <c r="D73" t="str">
        <f ca="1"/>
        <v xml:space="preserve">   Desarrollo</v>
      </c>
      <c r="E73" s="255">
        <f ca="1"/>
        <v>1</v>
      </c>
      <c r="F73" s="255">
        <f ca="1"/>
        <v>1</v>
      </c>
      <c r="G73" s="356">
        <f ca="1">IF(TRIM(D73)=C73,
   _xlfn.XLOOKUP(C73, Cartera1017[ID Mantenimiento],Cartera1017[Comienzo Desarrollo]),
IF(TRIM(D73)="Desarrollo",
   _xlfn.XLOOKUP(C73,Cartera1017[ID Mantenimiento],Cartera1017[Comienzo Desarrollo]),
IF(TRIM(D73)="Calidad",
   _xlfn.XLOOKUP(C73,Cartera1017[ID Mantenimiento],Cartera1017[Comienzo Calidad]),
IF(TRIM(D73)="Producción",
   _xlfn.XLOOKUP(C73,Cartera1017[ID Mantenimiento],Cartera1017[Comienzo Producción]),
""))))</f>
        <v>45329</v>
      </c>
      <c r="H73" s="160">
        <f ca="1">IF(TRIM(D73)=C73,
   _xlfn.XLOOKUP(C73, Cartera1017[ID Mantenimiento],Cartera1017[Fin Producción]),
IF(TRIM(D73)="Desarrollo",
   _xlfn.XLOOKUP(C73,Cartera1017[ID Mantenimiento],Cartera1017[Fin Desarrollo]),
IF(TRIM(D73)="Calidad",
   _xlfn.XLOOKUP(C73,Cartera1017[ID Mantenimiento],Cartera1017[Fin Calidad]),
IF(TRIM(D73)="Producción",
   _xlfn.XLOOKUP(C73,Cartera1017[ID Mantenimiento],Cartera1017[Fin Producción]),
""))))</f>
        <v>45890</v>
      </c>
    </row>
    <row r="74" spans="1:8" hidden="1" outlineLevel="1">
      <c r="A74" t="str">
        <f ca="1"/>
        <v>Operaciones</v>
      </c>
      <c r="B74" t="str">
        <f ca="1"/>
        <v>08. Producción Finalizada</v>
      </c>
      <c r="C74" t="str">
        <f ca="1"/>
        <v>2024-M0071</v>
      </c>
      <c r="D74" t="str">
        <f ca="1"/>
        <v xml:space="preserve">   Calidad</v>
      </c>
      <c r="E74" s="255">
        <f ca="1"/>
        <v>1</v>
      </c>
      <c r="F74" s="255">
        <f ca="1"/>
        <v>1</v>
      </c>
      <c r="G74" s="356">
        <f ca="1">IF(TRIM(D74)=C74,
   _xlfn.XLOOKUP(C74, Cartera1017[ID Mantenimiento],Cartera1017[Comienzo Desarrollo]),
IF(TRIM(D74)="Desarrollo",
   _xlfn.XLOOKUP(C74,Cartera1017[ID Mantenimiento],Cartera1017[Comienzo Desarrollo]),
IF(TRIM(D74)="Calidad",
   _xlfn.XLOOKUP(C74,Cartera1017[ID Mantenimiento],Cartera1017[Comienzo Calidad]),
IF(TRIM(D74)="Producción",
   _xlfn.XLOOKUP(C74,Cartera1017[ID Mantenimiento],Cartera1017[Comienzo Producción]),
""))))</f>
        <v>45931</v>
      </c>
      <c r="H74" s="160">
        <f ca="1">IF(TRIM(D74)=C74,
   _xlfn.XLOOKUP(C74, Cartera1017[ID Mantenimiento],Cartera1017[Fin Producción]),
IF(TRIM(D74)="Desarrollo",
   _xlfn.XLOOKUP(C74,Cartera1017[ID Mantenimiento],Cartera1017[Fin Desarrollo]),
IF(TRIM(D74)="Calidad",
   _xlfn.XLOOKUP(C74,Cartera1017[ID Mantenimiento],Cartera1017[Fin Calidad]),
IF(TRIM(D74)="Producción",
   _xlfn.XLOOKUP(C74,Cartera1017[ID Mantenimiento],Cartera1017[Fin Producción]),
""))))</f>
        <v>45933</v>
      </c>
    </row>
    <row r="75" spans="1:8" hidden="1" outlineLevel="1">
      <c r="A75" t="str">
        <f ca="1"/>
        <v>Operaciones</v>
      </c>
      <c r="B75" t="str">
        <f ca="1"/>
        <v>08. Producción Finalizada</v>
      </c>
      <c r="C75" t="str">
        <f ca="1"/>
        <v>2024-M0071</v>
      </c>
      <c r="D75" t="str">
        <f ca="1"/>
        <v xml:space="preserve">   Producción</v>
      </c>
      <c r="E75" s="255">
        <f ca="1"/>
        <v>1</v>
      </c>
      <c r="F75" s="255">
        <f ca="1"/>
        <v>1</v>
      </c>
      <c r="G75" s="356">
        <f ca="1">IF(TRIM(D75)=C75,
   _xlfn.XLOOKUP(C75, Cartera1017[ID Mantenimiento],Cartera1017[Comienzo Desarrollo]),
IF(TRIM(D75)="Desarrollo",
   _xlfn.XLOOKUP(C75,Cartera1017[ID Mantenimiento],Cartera1017[Comienzo Desarrollo]),
IF(TRIM(D75)="Calidad",
   _xlfn.XLOOKUP(C75,Cartera1017[ID Mantenimiento],Cartera1017[Comienzo Calidad]),
IF(TRIM(D75)="Producción",
   _xlfn.XLOOKUP(C75,Cartera1017[ID Mantenimiento],Cartera1017[Comienzo Producción]),
""))))</f>
        <v>46072</v>
      </c>
      <c r="H75" s="160">
        <f ca="1">IF(TRIM(D75)=C75,
   _xlfn.XLOOKUP(C75, Cartera1017[ID Mantenimiento],Cartera1017[Fin Producción]),
IF(TRIM(D75)="Desarrollo",
   _xlfn.XLOOKUP(C75,Cartera1017[ID Mantenimiento],Cartera1017[Fin Desarrollo]),
IF(TRIM(D75)="Calidad",
   _xlfn.XLOOKUP(C75,Cartera1017[ID Mantenimiento],Cartera1017[Fin Calidad]),
IF(TRIM(D75)="Producción",
   _xlfn.XLOOKUP(C75,Cartera1017[ID Mantenimiento],Cartera1017[Fin Producción]),
""))))</f>
        <v>46108</v>
      </c>
    </row>
    <row r="76" spans="1:8" hidden="1" collapsed="1">
      <c r="A76" t="str">
        <f ca="1"/>
        <v>Riesgos</v>
      </c>
      <c r="B76" t="str">
        <f ca="1"/>
        <v>06. Calidad Finalizado</v>
      </c>
      <c r="C76" t="str">
        <f ca="1"/>
        <v>2024-M0315</v>
      </c>
      <c r="D76" t="str">
        <f ca="1"/>
        <v>2024-M0315</v>
      </c>
      <c r="E76" s="255">
        <f ca="1"/>
        <v>0.85</v>
      </c>
      <c r="F76" s="255">
        <f ca="1"/>
        <v>0.9</v>
      </c>
      <c r="G76" s="356">
        <f ca="1">IF(TRIM(D76)=C76,
   _xlfn.XLOOKUP(C76, Cartera1017[ID Mantenimiento],Cartera1017[Comienzo Desarrollo]),
IF(TRIM(D76)="Desarrollo",
   _xlfn.XLOOKUP(C76,Cartera1017[ID Mantenimiento],Cartera1017[Comienzo Desarrollo]),
IF(TRIM(D76)="Calidad",
   _xlfn.XLOOKUP(C76,Cartera1017[ID Mantenimiento],Cartera1017[Comienzo Calidad]),
IF(TRIM(D76)="Producción",
   _xlfn.XLOOKUP(C76,Cartera1017[ID Mantenimiento],Cartera1017[Comienzo Producción]),
""))))</f>
        <v>46083</v>
      </c>
      <c r="H76" s="160">
        <f ca="1">IF(TRIM(D76)=C76,
   _xlfn.XLOOKUP(C76, Cartera1017[ID Mantenimiento],Cartera1017[Fin Producción]),
IF(TRIM(D76)="Desarrollo",
   _xlfn.XLOOKUP(C76,Cartera1017[ID Mantenimiento],Cartera1017[Fin Desarrollo]),
IF(TRIM(D76)="Calidad",
   _xlfn.XLOOKUP(C76,Cartera1017[ID Mantenimiento],Cartera1017[Fin Calidad]),
IF(TRIM(D76)="Producción",
   _xlfn.XLOOKUP(C76,Cartera1017[ID Mantenimiento],Cartera1017[Fin Producción]),
""))))</f>
        <v>46160</v>
      </c>
    </row>
    <row r="77" spans="1:8" hidden="1" outlineLevel="1">
      <c r="A77" t="str">
        <f ca="1"/>
        <v>Riesgos</v>
      </c>
      <c r="B77" t="str">
        <f ca="1"/>
        <v>06. Calidad Finalizado</v>
      </c>
      <c r="C77" t="str">
        <f ca="1"/>
        <v>2024-M0315</v>
      </c>
      <c r="D77" t="str">
        <f ca="1"/>
        <v xml:space="preserve">   Desarrollo</v>
      </c>
      <c r="E77" s="255">
        <f ca="1"/>
        <v>0.85</v>
      </c>
      <c r="F77" s="255">
        <f ca="1"/>
        <v>0.9</v>
      </c>
      <c r="G77" s="356">
        <f ca="1">IF(TRIM(D77)=C77,
   _xlfn.XLOOKUP(C77, Cartera1017[ID Mantenimiento],Cartera1017[Comienzo Desarrollo]),
IF(TRIM(D77)="Desarrollo",
   _xlfn.XLOOKUP(C77,Cartera1017[ID Mantenimiento],Cartera1017[Comienzo Desarrollo]),
IF(TRIM(D77)="Calidad",
   _xlfn.XLOOKUP(C77,Cartera1017[ID Mantenimiento],Cartera1017[Comienzo Calidad]),
IF(TRIM(D77)="Producción",
   _xlfn.XLOOKUP(C77,Cartera1017[ID Mantenimiento],Cartera1017[Comienzo Producción]),
""))))</f>
        <v>46083</v>
      </c>
      <c r="H77" s="160">
        <v>46112</v>
      </c>
    </row>
    <row r="78" spans="1:8" hidden="1" outlineLevel="1">
      <c r="A78" t="str">
        <f ca="1"/>
        <v>Riesgos</v>
      </c>
      <c r="B78" t="str">
        <f ca="1"/>
        <v>06. Calidad Finalizado</v>
      </c>
      <c r="C78" t="str">
        <f ca="1"/>
        <v>2024-M0315</v>
      </c>
      <c r="D78" t="str">
        <f ca="1"/>
        <v xml:space="preserve">   Calidad</v>
      </c>
      <c r="E78" s="255">
        <f ca="1"/>
        <v>0.85</v>
      </c>
      <c r="F78" s="255">
        <f ca="1"/>
        <v>0.9</v>
      </c>
      <c r="G78" s="356">
        <v>46127</v>
      </c>
      <c r="H78" s="356">
        <v>46132</v>
      </c>
    </row>
    <row r="79" spans="1:8" hidden="1" outlineLevel="1">
      <c r="A79" t="str">
        <f ca="1"/>
        <v>Riesgos</v>
      </c>
      <c r="B79" t="str">
        <f ca="1"/>
        <v>06. Calidad Finalizado</v>
      </c>
      <c r="C79" t="str">
        <f ca="1"/>
        <v>2024-M0315</v>
      </c>
      <c r="D79" t="str">
        <f ca="1"/>
        <v xml:space="preserve">   Producción</v>
      </c>
      <c r="E79" s="255">
        <f ca="1"/>
        <v>0.85</v>
      </c>
      <c r="F79" s="255">
        <f ca="1"/>
        <v>0.9</v>
      </c>
      <c r="G79" s="356">
        <v>46132</v>
      </c>
      <c r="H79" s="160">
        <f ca="1">IF(TRIM(D79)=C79,
   _xlfn.XLOOKUP(C79, Cartera1017[ID Mantenimiento],Cartera1017[Fin Producción]),
IF(TRIM(D79)="Desarrollo",
   _xlfn.XLOOKUP(C79,Cartera1017[ID Mantenimiento],Cartera1017[Fin Desarrollo]),
IF(TRIM(D79)="Calidad",
   _xlfn.XLOOKUP(C79,Cartera1017[ID Mantenimiento],Cartera1017[Fin Calidad]),
IF(TRIM(D79)="Producción",
   _xlfn.XLOOKUP(C79,Cartera1017[ID Mantenimiento],Cartera1017[Fin Producción]),
""))))</f>
        <v>46160</v>
      </c>
    </row>
    <row r="80" spans="1:8" hidden="1" collapsed="1">
      <c r="A80" t="str">
        <f ca="1"/>
        <v>Banca Digital</v>
      </c>
      <c r="B80" t="str">
        <f ca="1"/>
        <v>06. Calidad Finalizado</v>
      </c>
      <c r="C80" t="str">
        <f ca="1"/>
        <v>2024-M0146</v>
      </c>
      <c r="D80" t="str">
        <f ca="1"/>
        <v>2024-M0146</v>
      </c>
      <c r="E80" s="255">
        <f ca="1"/>
        <v>0.85</v>
      </c>
      <c r="F80" s="255">
        <f ca="1"/>
        <v>1</v>
      </c>
      <c r="G80" s="356">
        <f ca="1">IF(TRIM(D80)=C80,
   _xlfn.XLOOKUP(C80, Cartera1017[ID Mantenimiento],Cartera1017[Comienzo Desarrollo]),
IF(TRIM(D80)="Desarrollo",
   _xlfn.XLOOKUP(C80,Cartera1017[ID Mantenimiento],Cartera1017[Comienzo Desarrollo]),
IF(TRIM(D80)="Calidad",
   _xlfn.XLOOKUP(C80,Cartera1017[ID Mantenimiento],Cartera1017[Comienzo Calidad]),
IF(TRIM(D80)="Producción",
   _xlfn.XLOOKUP(C80,Cartera1017[ID Mantenimiento],Cartera1017[Comienzo Producción]),
""))))</f>
        <v>46014</v>
      </c>
      <c r="H80" s="160">
        <f ca="1">IF(TRIM(D80)=C80,
   _xlfn.XLOOKUP(C80, Cartera1017[ID Mantenimiento],Cartera1017[Fin Producción]),
IF(TRIM(D80)="Desarrollo",
   _xlfn.XLOOKUP(C80,Cartera1017[ID Mantenimiento],Cartera1017[Fin Desarrollo]),
IF(TRIM(D80)="Calidad",
   _xlfn.XLOOKUP(C80,Cartera1017[ID Mantenimiento],Cartera1017[Fin Calidad]),
IF(TRIM(D80)="Producción",
   _xlfn.XLOOKUP(C80,Cartera1017[ID Mantenimiento],Cartera1017[Fin Producción]),
""))))</f>
        <v>46112</v>
      </c>
    </row>
    <row r="81" spans="1:8" hidden="1" outlineLevel="1">
      <c r="A81" t="str">
        <f ca="1"/>
        <v>Banca Digital</v>
      </c>
      <c r="B81" t="str">
        <f ca="1"/>
        <v>06. Calidad Finalizado</v>
      </c>
      <c r="C81" t="str">
        <f ca="1"/>
        <v>2024-M0146</v>
      </c>
      <c r="D81" t="str">
        <f ca="1"/>
        <v xml:space="preserve">   Desarrollo</v>
      </c>
      <c r="E81" s="255">
        <f ca="1"/>
        <v>0.85</v>
      </c>
      <c r="F81" s="255">
        <f ca="1"/>
        <v>1</v>
      </c>
      <c r="G81" s="356">
        <f ca="1">IF(TRIM(D81)=C81,
   _xlfn.XLOOKUP(C81, Cartera1017[ID Mantenimiento],Cartera1017[Comienzo Desarrollo]),
IF(TRIM(D81)="Desarrollo",
   _xlfn.XLOOKUP(C81,Cartera1017[ID Mantenimiento],Cartera1017[Comienzo Desarrollo]),
IF(TRIM(D81)="Calidad",
   _xlfn.XLOOKUP(C81,Cartera1017[ID Mantenimiento],Cartera1017[Comienzo Calidad]),
IF(TRIM(D81)="Producción",
   _xlfn.XLOOKUP(C81,Cartera1017[ID Mantenimiento],Cartera1017[Comienzo Producción]),
""))))</f>
        <v>46014</v>
      </c>
      <c r="H81" s="160">
        <f ca="1">IF(TRIM(D81)=C81,
   _xlfn.XLOOKUP(C81, Cartera1017[ID Mantenimiento],Cartera1017[Fin Producción]),
IF(TRIM(D81)="Desarrollo",
   _xlfn.XLOOKUP(C81,Cartera1017[ID Mantenimiento],Cartera1017[Fin Desarrollo]),
IF(TRIM(D81)="Calidad",
   _xlfn.XLOOKUP(C81,Cartera1017[ID Mantenimiento],Cartera1017[Fin Calidad]),
IF(TRIM(D81)="Producción",
   _xlfn.XLOOKUP(C81,Cartera1017[ID Mantenimiento],Cartera1017[Fin Producción]),
""))))</f>
        <v>46014</v>
      </c>
    </row>
    <row r="82" spans="1:8" hidden="1" outlineLevel="1">
      <c r="A82" t="str">
        <f ca="1"/>
        <v>Banca Digital</v>
      </c>
      <c r="B82" t="str">
        <f ca="1"/>
        <v>06. Calidad Finalizado</v>
      </c>
      <c r="C82" t="str">
        <f ca="1"/>
        <v>2024-M0146</v>
      </c>
      <c r="D82" t="str">
        <f ca="1"/>
        <v xml:space="preserve">   Calidad</v>
      </c>
      <c r="E82" s="255">
        <f ca="1"/>
        <v>0.85</v>
      </c>
      <c r="F82" s="255">
        <f ca="1"/>
        <v>1</v>
      </c>
      <c r="G82" s="356">
        <f ca="1">IF(TRIM(D82)=C82,
   _xlfn.XLOOKUP(C82, Cartera1017[ID Mantenimiento],Cartera1017[Comienzo Desarrollo]),
IF(TRIM(D82)="Desarrollo",
   _xlfn.XLOOKUP(C82,Cartera1017[ID Mantenimiento],Cartera1017[Comienzo Desarrollo]),
IF(TRIM(D82)="Calidad",
   _xlfn.XLOOKUP(C82,Cartera1017[ID Mantenimiento],Cartera1017[Comienzo Calidad]),
IF(TRIM(D82)="Producción",
   _xlfn.XLOOKUP(C82,Cartera1017[ID Mantenimiento],Cartera1017[Comienzo Producción]),
""))))</f>
        <v>46029</v>
      </c>
      <c r="H82" s="160">
        <f ca="1">IF(TRIM(D82)=C82,
   _xlfn.XLOOKUP(C82, Cartera1017[ID Mantenimiento],Cartera1017[Fin Producción]),
IF(TRIM(D82)="Desarrollo",
   _xlfn.XLOOKUP(C82,Cartera1017[ID Mantenimiento],Cartera1017[Fin Desarrollo]),
IF(TRIM(D82)="Calidad",
   _xlfn.XLOOKUP(C82,Cartera1017[ID Mantenimiento],Cartera1017[Fin Calidad]),
IF(TRIM(D82)="Producción",
   _xlfn.XLOOKUP(C82,Cartera1017[ID Mantenimiento],Cartera1017[Fin Producción]),
""))))</f>
        <v>46100</v>
      </c>
    </row>
    <row r="83" spans="1:8" hidden="1" outlineLevel="1">
      <c r="A83" t="str">
        <f ca="1"/>
        <v>Banca Digital</v>
      </c>
      <c r="B83" t="str">
        <f ca="1"/>
        <v>06. Calidad Finalizado</v>
      </c>
      <c r="C83" t="str">
        <f ca="1"/>
        <v>2024-M0146</v>
      </c>
      <c r="D83" t="str">
        <f ca="1"/>
        <v xml:space="preserve">   Producción</v>
      </c>
      <c r="E83" s="255">
        <f ca="1"/>
        <v>0.85</v>
      </c>
      <c r="F83" s="255">
        <f ca="1"/>
        <v>1</v>
      </c>
      <c r="G83" s="356">
        <f ca="1">IF(TRIM(D83)=C83,
   _xlfn.XLOOKUP(C83, Cartera1017[ID Mantenimiento],Cartera1017[Comienzo Desarrollo]),
IF(TRIM(D83)="Desarrollo",
   _xlfn.XLOOKUP(C83,Cartera1017[ID Mantenimiento],Cartera1017[Comienzo Desarrollo]),
IF(TRIM(D83)="Calidad",
   _xlfn.XLOOKUP(C83,Cartera1017[ID Mantenimiento],Cartera1017[Comienzo Calidad]),
IF(TRIM(D83)="Producción",
   _xlfn.XLOOKUP(C83,Cartera1017[ID Mantenimiento],Cartera1017[Comienzo Producción]),
""))))</f>
        <v>46101</v>
      </c>
      <c r="H83" s="160">
        <f ca="1">IF(TRIM(D83)=C83,
   _xlfn.XLOOKUP(C83, Cartera1017[ID Mantenimiento],Cartera1017[Fin Producción]),
IF(TRIM(D83)="Desarrollo",
   _xlfn.XLOOKUP(C83,Cartera1017[ID Mantenimiento],Cartera1017[Fin Desarrollo]),
IF(TRIM(D83)="Calidad",
   _xlfn.XLOOKUP(C83,Cartera1017[ID Mantenimiento],Cartera1017[Fin Calidad]),
IF(TRIM(D83)="Producción",
   _xlfn.XLOOKUP(C83,Cartera1017[ID Mantenimiento],Cartera1017[Fin Producción]),
""))))</f>
        <v>46112</v>
      </c>
    </row>
    <row r="84" spans="1:8" hidden="1" collapsed="1">
      <c r="A84" t="str">
        <f ca="1"/>
        <v>Banca Digital</v>
      </c>
      <c r="B84" t="str">
        <f ca="1"/>
        <v>06. Calidad Finalizado</v>
      </c>
      <c r="C84" t="str">
        <f ca="1"/>
        <v>2024-M0146</v>
      </c>
      <c r="D84" t="str">
        <f ca="1"/>
        <v>2024-M0146</v>
      </c>
      <c r="E84" s="255">
        <f ca="1"/>
        <v>0.85</v>
      </c>
      <c r="F84" s="255">
        <f ca="1"/>
        <v>1</v>
      </c>
      <c r="G84" s="356">
        <f ca="1">IF(TRIM(D84)=C84,
   _xlfn.XLOOKUP(C84, Cartera1017[ID Mantenimiento],Cartera1017[Comienzo Desarrollo]),
IF(TRIM(D84)="Desarrollo",
   _xlfn.XLOOKUP(C84,Cartera1017[ID Mantenimiento],Cartera1017[Comienzo Desarrollo]),
IF(TRIM(D84)="Calidad",
   _xlfn.XLOOKUP(C84,Cartera1017[ID Mantenimiento],Cartera1017[Comienzo Calidad]),
IF(TRIM(D84)="Producción",
   _xlfn.XLOOKUP(C84,Cartera1017[ID Mantenimiento],Cartera1017[Comienzo Producción]),
""))))</f>
        <v>46014</v>
      </c>
      <c r="H84" s="160">
        <f ca="1">IF(TRIM(D84)=C84,
   _xlfn.XLOOKUP(C84, Cartera1017[ID Mantenimiento],Cartera1017[Fin Producción]),
IF(TRIM(D84)="Desarrollo",
   _xlfn.XLOOKUP(C84,Cartera1017[ID Mantenimiento],Cartera1017[Fin Desarrollo]),
IF(TRIM(D84)="Calidad",
   _xlfn.XLOOKUP(C84,Cartera1017[ID Mantenimiento],Cartera1017[Fin Calidad]),
IF(TRIM(D84)="Producción",
   _xlfn.XLOOKUP(C84,Cartera1017[ID Mantenimiento],Cartera1017[Fin Producción]),
""))))</f>
        <v>46112</v>
      </c>
    </row>
    <row r="85" spans="1:8" hidden="1" outlineLevel="1">
      <c r="A85" t="str">
        <f ca="1"/>
        <v>Banca Digital</v>
      </c>
      <c r="B85" t="str">
        <f ca="1"/>
        <v>06. Calidad Finalizado</v>
      </c>
      <c r="C85" t="str">
        <f ca="1"/>
        <v>2024-M0146</v>
      </c>
      <c r="D85" t="str">
        <f ca="1"/>
        <v xml:space="preserve">   Desarrollo</v>
      </c>
      <c r="E85" s="255">
        <f ca="1"/>
        <v>0.85</v>
      </c>
      <c r="F85" s="255">
        <f ca="1"/>
        <v>1</v>
      </c>
      <c r="G85" s="356">
        <f ca="1">IF(TRIM(D85)=C85,
   _xlfn.XLOOKUP(C85, Cartera1017[ID Mantenimiento],Cartera1017[Comienzo Desarrollo]),
IF(TRIM(D85)="Desarrollo",
   _xlfn.XLOOKUP(C85,Cartera1017[ID Mantenimiento],Cartera1017[Comienzo Desarrollo]),
IF(TRIM(D85)="Calidad",
   _xlfn.XLOOKUP(C85,Cartera1017[ID Mantenimiento],Cartera1017[Comienzo Calidad]),
IF(TRIM(D85)="Producción",
   _xlfn.XLOOKUP(C85,Cartera1017[ID Mantenimiento],Cartera1017[Comienzo Producción]),
""))))</f>
        <v>46014</v>
      </c>
      <c r="H85" s="160">
        <f ca="1">IF(TRIM(D85)=C85,
   _xlfn.XLOOKUP(C85, Cartera1017[ID Mantenimiento],Cartera1017[Fin Producción]),
IF(TRIM(D85)="Desarrollo",
   _xlfn.XLOOKUP(C85,Cartera1017[ID Mantenimiento],Cartera1017[Fin Desarrollo]),
IF(TRIM(D85)="Calidad",
   _xlfn.XLOOKUP(C85,Cartera1017[ID Mantenimiento],Cartera1017[Fin Calidad]),
IF(TRIM(D85)="Producción",
   _xlfn.XLOOKUP(C85,Cartera1017[ID Mantenimiento],Cartera1017[Fin Producción]),
""))))</f>
        <v>46014</v>
      </c>
    </row>
    <row r="86" spans="1:8" hidden="1" outlineLevel="1">
      <c r="A86" t="str">
        <f ca="1"/>
        <v>Banca Digital</v>
      </c>
      <c r="B86" t="str">
        <f ca="1"/>
        <v>06. Calidad Finalizado</v>
      </c>
      <c r="C86" t="str">
        <f ca="1"/>
        <v>2024-M0146</v>
      </c>
      <c r="D86" t="str">
        <f ca="1"/>
        <v xml:space="preserve">   Calidad</v>
      </c>
      <c r="E86" s="255">
        <f ca="1"/>
        <v>0.85</v>
      </c>
      <c r="F86" s="255">
        <f ca="1"/>
        <v>1</v>
      </c>
      <c r="G86" s="356">
        <f ca="1">IF(TRIM(D86)=C86,
   _xlfn.XLOOKUP(C86, Cartera1017[ID Mantenimiento],Cartera1017[Comienzo Desarrollo]),
IF(TRIM(D86)="Desarrollo",
   _xlfn.XLOOKUP(C86,Cartera1017[ID Mantenimiento],Cartera1017[Comienzo Desarrollo]),
IF(TRIM(D86)="Calidad",
   _xlfn.XLOOKUP(C86,Cartera1017[ID Mantenimiento],Cartera1017[Comienzo Calidad]),
IF(TRIM(D86)="Producción",
   _xlfn.XLOOKUP(C86,Cartera1017[ID Mantenimiento],Cartera1017[Comienzo Producción]),
""))))</f>
        <v>46029</v>
      </c>
      <c r="H86" s="160">
        <f ca="1">IF(TRIM(D86)=C86,
   _xlfn.XLOOKUP(C86, Cartera1017[ID Mantenimiento],Cartera1017[Fin Producción]),
IF(TRIM(D86)="Desarrollo",
   _xlfn.XLOOKUP(C86,Cartera1017[ID Mantenimiento],Cartera1017[Fin Desarrollo]),
IF(TRIM(D86)="Calidad",
   _xlfn.XLOOKUP(C86,Cartera1017[ID Mantenimiento],Cartera1017[Fin Calidad]),
IF(TRIM(D86)="Producción",
   _xlfn.XLOOKUP(C86,Cartera1017[ID Mantenimiento],Cartera1017[Fin Producción]),
""))))</f>
        <v>46100</v>
      </c>
    </row>
    <row r="87" spans="1:8" hidden="1" outlineLevel="1">
      <c r="A87" t="str">
        <f ca="1"/>
        <v>Banca Digital</v>
      </c>
      <c r="B87" t="str">
        <f ca="1"/>
        <v>06. Calidad Finalizado</v>
      </c>
      <c r="C87" t="str">
        <f ca="1"/>
        <v>2024-M0146</v>
      </c>
      <c r="D87" t="str">
        <f ca="1"/>
        <v xml:space="preserve">   Producción</v>
      </c>
      <c r="E87" s="255">
        <f ca="1"/>
        <v>0.85</v>
      </c>
      <c r="F87" s="255">
        <f ca="1"/>
        <v>1</v>
      </c>
      <c r="G87" s="356">
        <f ca="1">IF(TRIM(D87)=C87,
   _xlfn.XLOOKUP(C87, Cartera1017[ID Mantenimiento],Cartera1017[Comienzo Desarrollo]),
IF(TRIM(D87)="Desarrollo",
   _xlfn.XLOOKUP(C87,Cartera1017[ID Mantenimiento],Cartera1017[Comienzo Desarrollo]),
IF(TRIM(D87)="Calidad",
   _xlfn.XLOOKUP(C87,Cartera1017[ID Mantenimiento],Cartera1017[Comienzo Calidad]),
IF(TRIM(D87)="Producción",
   _xlfn.XLOOKUP(C87,Cartera1017[ID Mantenimiento],Cartera1017[Comienzo Producción]),
""))))</f>
        <v>46101</v>
      </c>
      <c r="H87" s="160">
        <f ca="1">IF(TRIM(D87)=C87,
   _xlfn.XLOOKUP(C87, Cartera1017[ID Mantenimiento],Cartera1017[Fin Producción]),
IF(TRIM(D87)="Desarrollo",
   _xlfn.XLOOKUP(C87,Cartera1017[ID Mantenimiento],Cartera1017[Fin Desarrollo]),
IF(TRIM(D87)="Calidad",
   _xlfn.XLOOKUP(C87,Cartera1017[ID Mantenimiento],Cartera1017[Fin Calidad]),
IF(TRIM(D87)="Producción",
   _xlfn.XLOOKUP(C87,Cartera1017[ID Mantenimiento],Cartera1017[Fin Producción]),
""))))</f>
        <v>46112</v>
      </c>
    </row>
    <row r="88" spans="1:8" hidden="1" collapsed="1">
      <c r="A88" t="str">
        <f ca="1"/>
        <v>Productos e Inclusión Financiera</v>
      </c>
      <c r="B88" t="str">
        <f ca="1"/>
        <v>07. En Despliegue</v>
      </c>
      <c r="C88" t="str">
        <f ca="1"/>
        <v>2024-M0494</v>
      </c>
      <c r="D88" t="str">
        <f ca="1"/>
        <v>2024-M0494</v>
      </c>
      <c r="E88" s="255">
        <f ca="1"/>
        <v>0.9</v>
      </c>
      <c r="F88" s="255">
        <f ca="1"/>
        <v>1</v>
      </c>
      <c r="G88" s="356">
        <f ca="1">IF(TRIM(D88)=C88,
   _xlfn.XLOOKUP(C88, Cartera1017[ID Mantenimiento],Cartera1017[Comienzo Desarrollo]),
IF(TRIM(D88)="Desarrollo",
   _xlfn.XLOOKUP(C88,Cartera1017[ID Mantenimiento],Cartera1017[Comienzo Desarrollo]),
IF(TRIM(D88)="Calidad",
   _xlfn.XLOOKUP(C88,Cartera1017[ID Mantenimiento],Cartera1017[Comienzo Calidad]),
IF(TRIM(D88)="Producción",
   _xlfn.XLOOKUP(C88,Cartera1017[ID Mantenimiento],Cartera1017[Comienzo Producción]),
""))))</f>
        <v>45371</v>
      </c>
      <c r="H88" s="160">
        <f ca="1">IF(TRIM(D88)=C88,
   _xlfn.XLOOKUP(C88, Cartera1017[ID Mantenimiento],Cartera1017[Fin Producción]),
IF(TRIM(D88)="Desarrollo",
   _xlfn.XLOOKUP(C88,Cartera1017[ID Mantenimiento],Cartera1017[Fin Desarrollo]),
IF(TRIM(D88)="Calidad",
   _xlfn.XLOOKUP(C88,Cartera1017[ID Mantenimiento],Cartera1017[Fin Calidad]),
IF(TRIM(D88)="Producción",
   _xlfn.XLOOKUP(C88,Cartera1017[ID Mantenimiento],Cartera1017[Fin Producción]),
""))))</f>
        <v>46108</v>
      </c>
    </row>
    <row r="89" spans="1:8" hidden="1" outlineLevel="1">
      <c r="A89" t="str">
        <f ca="1"/>
        <v>Productos e Inclusión Financiera</v>
      </c>
      <c r="B89" t="str">
        <f ca="1"/>
        <v>07. En Despliegue</v>
      </c>
      <c r="C89" t="str">
        <f ca="1"/>
        <v>2024-M0494</v>
      </c>
      <c r="D89" t="str">
        <f ca="1"/>
        <v xml:space="preserve">   Desarrollo</v>
      </c>
      <c r="E89" s="255">
        <f ca="1"/>
        <v>0.9</v>
      </c>
      <c r="F89" s="255">
        <f ca="1"/>
        <v>1</v>
      </c>
      <c r="G89" s="356">
        <f ca="1">IF(TRIM(D89)=C89,
   _xlfn.XLOOKUP(C89, Cartera1017[ID Mantenimiento],Cartera1017[Comienzo Desarrollo]),
IF(TRIM(D89)="Desarrollo",
   _xlfn.XLOOKUP(C89,Cartera1017[ID Mantenimiento],Cartera1017[Comienzo Desarrollo]),
IF(TRIM(D89)="Calidad",
   _xlfn.XLOOKUP(C89,Cartera1017[ID Mantenimiento],Cartera1017[Comienzo Calidad]),
IF(TRIM(D89)="Producción",
   _xlfn.XLOOKUP(C89,Cartera1017[ID Mantenimiento],Cartera1017[Comienzo Producción]),
""))))</f>
        <v>45371</v>
      </c>
      <c r="H89" s="160">
        <f ca="1">IF(TRIM(D89)=C89,
   _xlfn.XLOOKUP(C89, Cartera1017[ID Mantenimiento],Cartera1017[Fin Producción]),
IF(TRIM(D89)="Desarrollo",
   _xlfn.XLOOKUP(C89,Cartera1017[ID Mantenimiento],Cartera1017[Fin Desarrollo]),
IF(TRIM(D89)="Calidad",
   _xlfn.XLOOKUP(C89,Cartera1017[ID Mantenimiento],Cartera1017[Fin Calidad]),
IF(TRIM(D89)="Producción",
   _xlfn.XLOOKUP(C89,Cartera1017[ID Mantenimiento],Cartera1017[Fin Producción]),
""))))</f>
        <v>45471</v>
      </c>
    </row>
    <row r="90" spans="1:8" hidden="1" outlineLevel="1">
      <c r="A90" t="str">
        <f ca="1"/>
        <v>Productos e Inclusión Financiera</v>
      </c>
      <c r="B90" t="str">
        <f ca="1"/>
        <v>07. En Despliegue</v>
      </c>
      <c r="C90" t="str">
        <f ca="1"/>
        <v>2024-M0494</v>
      </c>
      <c r="D90" t="str">
        <f ca="1"/>
        <v xml:space="preserve">   Calidad</v>
      </c>
      <c r="E90" s="255">
        <f ca="1"/>
        <v>0.9</v>
      </c>
      <c r="F90" s="255">
        <f ca="1"/>
        <v>1</v>
      </c>
      <c r="G90" s="356">
        <f ca="1">IF(TRIM(D90)=C90,
   _xlfn.XLOOKUP(C90, Cartera1017[ID Mantenimiento],Cartera1017[Comienzo Desarrollo]),
IF(TRIM(D90)="Desarrollo",
   _xlfn.XLOOKUP(C90,Cartera1017[ID Mantenimiento],Cartera1017[Comienzo Desarrollo]),
IF(TRIM(D90)="Calidad",
   _xlfn.XLOOKUP(C90,Cartera1017[ID Mantenimiento],Cartera1017[Comienzo Calidad]),
IF(TRIM(D90)="Producción",
   _xlfn.XLOOKUP(C90,Cartera1017[ID Mantenimiento],Cartera1017[Comienzo Producción]),
""))))</f>
        <v>45553</v>
      </c>
      <c r="H90" s="160">
        <f ca="1">IF(TRIM(D90)=C90,
   _xlfn.XLOOKUP(C90, Cartera1017[ID Mantenimiento],Cartera1017[Fin Producción]),
IF(TRIM(D90)="Desarrollo",
   _xlfn.XLOOKUP(C90,Cartera1017[ID Mantenimiento],Cartera1017[Fin Desarrollo]),
IF(TRIM(D90)="Calidad",
   _xlfn.XLOOKUP(C90,Cartera1017[ID Mantenimiento],Cartera1017[Fin Calidad]),
IF(TRIM(D90)="Producción",
   _xlfn.XLOOKUP(C90,Cartera1017[ID Mantenimiento],Cartera1017[Fin Producción]),
""))))</f>
        <v>45699</v>
      </c>
    </row>
    <row r="91" spans="1:8" hidden="1" outlineLevel="1">
      <c r="A91" t="str">
        <f ca="1"/>
        <v>Productos e Inclusión Financiera</v>
      </c>
      <c r="B91" t="str">
        <f ca="1"/>
        <v>07. En Despliegue</v>
      </c>
      <c r="C91" t="str">
        <f ca="1"/>
        <v>2024-M0494</v>
      </c>
      <c r="D91" t="str">
        <f ca="1"/>
        <v xml:space="preserve">   Producción</v>
      </c>
      <c r="E91" s="255">
        <f ca="1"/>
        <v>0.9</v>
      </c>
      <c r="F91" s="255">
        <f ca="1"/>
        <v>1</v>
      </c>
      <c r="G91" s="356">
        <f ca="1">IF(TRIM(D91)=C91,
   _xlfn.XLOOKUP(C91, Cartera1017[ID Mantenimiento],Cartera1017[Comienzo Desarrollo]),
IF(TRIM(D91)="Desarrollo",
   _xlfn.XLOOKUP(C91,Cartera1017[ID Mantenimiento],Cartera1017[Comienzo Desarrollo]),
IF(TRIM(D91)="Calidad",
   _xlfn.XLOOKUP(C91,Cartera1017[ID Mantenimiento],Cartera1017[Comienzo Calidad]),
IF(TRIM(D91)="Producción",
   _xlfn.XLOOKUP(C91,Cartera1017[ID Mantenimiento],Cartera1017[Comienzo Producción]),
""))))</f>
        <v>45972</v>
      </c>
      <c r="H91" s="160">
        <f ca="1">IF(TRIM(D91)=C91,
   _xlfn.XLOOKUP(C91, Cartera1017[ID Mantenimiento],Cartera1017[Fin Producción]),
IF(TRIM(D91)="Desarrollo",
   _xlfn.XLOOKUP(C91,Cartera1017[ID Mantenimiento],Cartera1017[Fin Desarrollo]),
IF(TRIM(D91)="Calidad",
   _xlfn.XLOOKUP(C91,Cartera1017[ID Mantenimiento],Cartera1017[Fin Calidad]),
IF(TRIM(D91)="Producción",
   _xlfn.XLOOKUP(C91,Cartera1017[ID Mantenimiento],Cartera1017[Fin Producción]),
""))))</f>
        <v>46108</v>
      </c>
    </row>
    <row r="92" spans="1:8" hidden="1" collapsed="1">
      <c r="A92" t="str">
        <f ca="1"/>
        <v>Operaciones</v>
      </c>
      <c r="B92" t="str">
        <f ca="1"/>
        <v>03. En Desarrollo</v>
      </c>
      <c r="C92" t="str">
        <f ca="1"/>
        <v>2024-M0175</v>
      </c>
      <c r="D92" t="str">
        <f ca="1"/>
        <v>2024-M0175</v>
      </c>
      <c r="E92" s="255">
        <f ca="1"/>
        <v>0.45</v>
      </c>
      <c r="F92" s="255">
        <f ca="1"/>
        <v>0.99617590822179736</v>
      </c>
      <c r="G92" s="356">
        <f ca="1">IF(TRIM(D92)=C92,
   _xlfn.XLOOKUP(C92, Cartera1017[ID Mantenimiento],Cartera1017[Comienzo Desarrollo]),
IF(TRIM(D92)="Desarrollo",
   _xlfn.XLOOKUP(C92,Cartera1017[ID Mantenimiento],Cartera1017[Comienzo Desarrollo]),
IF(TRIM(D92)="Calidad",
   _xlfn.XLOOKUP(C92,Cartera1017[ID Mantenimiento],Cartera1017[Comienzo Calidad]),
IF(TRIM(D92)="Producción",
   _xlfn.XLOOKUP(C92,Cartera1017[ID Mantenimiento],Cartera1017[Comienzo Producción]),
""))))</f>
        <v>45399</v>
      </c>
      <c r="H92" s="160">
        <f ca="1">IF(TRIM(D92)=C92,
   _xlfn.XLOOKUP(C92, Cartera1017[ID Mantenimiento],Cartera1017[Fin Producción]),
IF(TRIM(D92)="Desarrollo",
   _xlfn.XLOOKUP(C92,Cartera1017[ID Mantenimiento],Cartera1017[Fin Desarrollo]),
IF(TRIM(D92)="Calidad",
   _xlfn.XLOOKUP(C92,Cartera1017[ID Mantenimiento],Cartera1017[Fin Calidad]),
IF(TRIM(D92)="Producción",
   _xlfn.XLOOKUP(C92,Cartera1017[ID Mantenimiento],Cartera1017[Fin Producción]),
""))))</f>
        <v>46164</v>
      </c>
    </row>
    <row r="93" spans="1:8" hidden="1" outlineLevel="1">
      <c r="A93" t="str">
        <f ca="1"/>
        <v>Operaciones</v>
      </c>
      <c r="B93" t="str">
        <f ca="1"/>
        <v>03. En Desarrollo</v>
      </c>
      <c r="C93" t="str">
        <f ca="1"/>
        <v>2024-M0175</v>
      </c>
      <c r="D93" t="str">
        <f ca="1"/>
        <v xml:space="preserve">   Desarrollo</v>
      </c>
      <c r="E93" s="255">
        <f ca="1"/>
        <v>0.45</v>
      </c>
      <c r="F93" s="255">
        <f ca="1"/>
        <v>0.99617590822179736</v>
      </c>
      <c r="G93" s="356">
        <f ca="1">IF(TRIM(D93)=C93,
   _xlfn.XLOOKUP(C93, Cartera1017[ID Mantenimiento],Cartera1017[Comienzo Desarrollo]),
IF(TRIM(D93)="Desarrollo",
   _xlfn.XLOOKUP(C93,Cartera1017[ID Mantenimiento],Cartera1017[Comienzo Desarrollo]),
IF(TRIM(D93)="Calidad",
   _xlfn.XLOOKUP(C93,Cartera1017[ID Mantenimiento],Cartera1017[Comienzo Calidad]),
IF(TRIM(D93)="Producción",
   _xlfn.XLOOKUP(C93,Cartera1017[ID Mantenimiento],Cartera1017[Comienzo Producción]),
""))))</f>
        <v>45399</v>
      </c>
      <c r="H93" s="160">
        <f ca="1">IF(TRIM(D93)=C93,
   _xlfn.XLOOKUP(C93, Cartera1017[ID Mantenimiento],Cartera1017[Fin Producción]),
IF(TRIM(D93)="Desarrollo",
   _xlfn.XLOOKUP(C93,Cartera1017[ID Mantenimiento],Cartera1017[Fin Desarrollo]),
IF(TRIM(D93)="Calidad",
   _xlfn.XLOOKUP(C93,Cartera1017[ID Mantenimiento],Cartera1017[Fin Calidad]),
IF(TRIM(D93)="Producción",
   _xlfn.XLOOKUP(C93,Cartera1017[ID Mantenimiento],Cartera1017[Fin Producción]),
""))))</f>
        <v>45771</v>
      </c>
    </row>
    <row r="94" spans="1:8" hidden="1" outlineLevel="1">
      <c r="A94" t="str">
        <f ca="1"/>
        <v>Operaciones</v>
      </c>
      <c r="B94" t="str">
        <f ca="1"/>
        <v>03. En Desarrollo</v>
      </c>
      <c r="C94" t="str">
        <f ca="1"/>
        <v>2024-M0175</v>
      </c>
      <c r="D94" t="str">
        <f ca="1"/>
        <v xml:space="preserve">   Calidad</v>
      </c>
      <c r="E94" s="255">
        <f ca="1"/>
        <v>0.45</v>
      </c>
      <c r="F94" s="255">
        <f ca="1"/>
        <v>0.99617590822179736</v>
      </c>
      <c r="G94" s="356">
        <f ca="1">IF(TRIM(D94)=C94,
   _xlfn.XLOOKUP(C94, Cartera1017[ID Mantenimiento],Cartera1017[Comienzo Desarrollo]),
IF(TRIM(D94)="Desarrollo",
   _xlfn.XLOOKUP(C94,Cartera1017[ID Mantenimiento],Cartera1017[Comienzo Desarrollo]),
IF(TRIM(D94)="Calidad",
   _xlfn.XLOOKUP(C94,Cartera1017[ID Mantenimiento],Cartera1017[Comienzo Calidad]),
IF(TRIM(D94)="Producción",
   _xlfn.XLOOKUP(C94,Cartera1017[ID Mantenimiento],Cartera1017[Comienzo Producción]),
""))))</f>
        <v>45774</v>
      </c>
      <c r="H94" s="160">
        <f ca="1">IF(TRIM(D94)=C94,
   _xlfn.XLOOKUP(C94, Cartera1017[ID Mantenimiento],Cartera1017[Fin Producción]),
IF(TRIM(D94)="Desarrollo",
   _xlfn.XLOOKUP(C94,Cartera1017[ID Mantenimiento],Cartera1017[Fin Desarrollo]),
IF(TRIM(D94)="Calidad",
   _xlfn.XLOOKUP(C94,Cartera1017[ID Mantenimiento],Cartera1017[Fin Calidad]),
IF(TRIM(D94)="Producción",
   _xlfn.XLOOKUP(C94,Cartera1017[ID Mantenimiento],Cartera1017[Fin Producción]),
""))))</f>
        <v>45793</v>
      </c>
    </row>
    <row r="95" spans="1:8" hidden="1" outlineLevel="1">
      <c r="A95" t="str">
        <f ca="1"/>
        <v>Operaciones</v>
      </c>
      <c r="B95" t="str">
        <f ca="1"/>
        <v>03. En Desarrollo</v>
      </c>
      <c r="C95" t="str">
        <f ca="1"/>
        <v>2024-M0175</v>
      </c>
      <c r="D95" t="str">
        <f ca="1"/>
        <v xml:space="preserve">   Producción</v>
      </c>
      <c r="E95" s="255">
        <f ca="1"/>
        <v>0.45</v>
      </c>
      <c r="F95" s="255">
        <f ca="1"/>
        <v>0.99617590822179736</v>
      </c>
      <c r="G95" s="356">
        <f ca="1">IF(TRIM(D95)=C95,
   _xlfn.XLOOKUP(C95, Cartera1017[ID Mantenimiento],Cartera1017[Comienzo Desarrollo]),
IF(TRIM(D95)="Desarrollo",
   _xlfn.XLOOKUP(C95,Cartera1017[ID Mantenimiento],Cartera1017[Comienzo Desarrollo]),
IF(TRIM(D95)="Calidad",
   _xlfn.XLOOKUP(C95,Cartera1017[ID Mantenimiento],Cartera1017[Comienzo Calidad]),
IF(TRIM(D95)="Producción",
   _xlfn.XLOOKUP(C95,Cartera1017[ID Mantenimiento],Cartera1017[Comienzo Producción]),
""))))</f>
        <v>46160</v>
      </c>
      <c r="H95" s="160">
        <f ca="1">IF(TRIM(D95)=C95,
   _xlfn.XLOOKUP(C95, Cartera1017[ID Mantenimiento],Cartera1017[Fin Producción]),
IF(TRIM(D95)="Desarrollo",
   _xlfn.XLOOKUP(C95,Cartera1017[ID Mantenimiento],Cartera1017[Fin Desarrollo]),
IF(TRIM(D95)="Calidad",
   _xlfn.XLOOKUP(C95,Cartera1017[ID Mantenimiento],Cartera1017[Fin Calidad]),
IF(TRIM(D95)="Producción",
   _xlfn.XLOOKUP(C95,Cartera1017[ID Mantenimiento],Cartera1017[Fin Producción]),
""))))</f>
        <v>46164</v>
      </c>
    </row>
    <row r="96" spans="1:8" hidden="1" collapsed="1">
      <c r="A96" t="str">
        <f ca="1"/>
        <v>Banca Digital</v>
      </c>
      <c r="B96" t="str">
        <f ca="1"/>
        <v>10. Paralizado</v>
      </c>
      <c r="C96" t="str">
        <f ca="1"/>
        <v>2024-M0255</v>
      </c>
      <c r="D96" t="str">
        <f ca="1"/>
        <v>2024-M0255</v>
      </c>
      <c r="E96" s="255">
        <f ca="1"/>
        <v>0.12</v>
      </c>
      <c r="F96" s="255" t="str">
        <f ca="1"/>
        <v/>
      </c>
      <c r="G96" s="356">
        <f ca="1">IF(TRIM(D96)=C96,
   _xlfn.XLOOKUP(C96, Cartera1017[ID Mantenimiento],Cartera1017[Comienzo Desarrollo]),
IF(TRIM(D96)="Desarrollo",
   _xlfn.XLOOKUP(C96,Cartera1017[ID Mantenimiento],Cartera1017[Comienzo Desarrollo]),
IF(TRIM(D96)="Calidad",
   _xlfn.XLOOKUP(C96,Cartera1017[ID Mantenimiento],Cartera1017[Comienzo Calidad]),
IF(TRIM(D96)="Producción",
   _xlfn.XLOOKUP(C96,Cartera1017[ID Mantenimiento],Cartera1017[Comienzo Producción]),
""))))</f>
        <v>0</v>
      </c>
      <c r="H96" s="160">
        <f ca="1">IF(TRIM(D96)=C96,
   _xlfn.XLOOKUP(C96, Cartera1017[ID Mantenimiento],Cartera1017[Fin Producción]),
IF(TRIM(D96)="Desarrollo",
   _xlfn.XLOOKUP(C96,Cartera1017[ID Mantenimiento],Cartera1017[Fin Desarrollo]),
IF(TRIM(D96)="Calidad",
   _xlfn.XLOOKUP(C96,Cartera1017[ID Mantenimiento],Cartera1017[Fin Calidad]),
IF(TRIM(D96)="Producción",
   _xlfn.XLOOKUP(C96,Cartera1017[ID Mantenimiento],Cartera1017[Fin Producción]),
""))))</f>
        <v>46265</v>
      </c>
    </row>
    <row r="97" spans="1:8" hidden="1" outlineLevel="1">
      <c r="A97" t="str">
        <f ca="1"/>
        <v>Banca Digital</v>
      </c>
      <c r="B97" t="str">
        <f ca="1"/>
        <v>10. Paralizado</v>
      </c>
      <c r="C97" t="str">
        <f ca="1"/>
        <v>2024-M0255</v>
      </c>
      <c r="D97" t="str">
        <f ca="1"/>
        <v xml:space="preserve">   Desarrollo</v>
      </c>
      <c r="E97" s="255">
        <f ca="1"/>
        <v>0.12</v>
      </c>
      <c r="F97" s="255" t="str">
        <f ca="1"/>
        <v/>
      </c>
      <c r="G97" s="356">
        <f ca="1">IF(TRIM(D97)=C97,
   _xlfn.XLOOKUP(C97, Cartera1017[ID Mantenimiento],Cartera1017[Comienzo Desarrollo]),
IF(TRIM(D97)="Desarrollo",
   _xlfn.XLOOKUP(C97,Cartera1017[ID Mantenimiento],Cartera1017[Comienzo Desarrollo]),
IF(TRIM(D97)="Calidad",
   _xlfn.XLOOKUP(C97,Cartera1017[ID Mantenimiento],Cartera1017[Comienzo Calidad]),
IF(TRIM(D97)="Producción",
   _xlfn.XLOOKUP(C97,Cartera1017[ID Mantenimiento],Cartera1017[Comienzo Producción]),
""))))</f>
        <v>0</v>
      </c>
      <c r="H97" s="160">
        <f ca="1">IF(TRIM(D97)=C97,
   _xlfn.XLOOKUP(C97, Cartera1017[ID Mantenimiento],Cartera1017[Fin Producción]),
IF(TRIM(D97)="Desarrollo",
   _xlfn.XLOOKUP(C97,Cartera1017[ID Mantenimiento],Cartera1017[Fin Desarrollo]),
IF(TRIM(D97)="Calidad",
   _xlfn.XLOOKUP(C97,Cartera1017[ID Mantenimiento],Cartera1017[Fin Calidad]),
IF(TRIM(D97)="Producción",
   _xlfn.XLOOKUP(C97,Cartera1017[ID Mantenimiento],Cartera1017[Fin Producción]),
""))))</f>
        <v>0</v>
      </c>
    </row>
    <row r="98" spans="1:8" hidden="1" outlineLevel="1">
      <c r="A98" t="str">
        <f ca="1"/>
        <v>Banca Digital</v>
      </c>
      <c r="B98" t="str">
        <f ca="1"/>
        <v>10. Paralizado</v>
      </c>
      <c r="C98" t="str">
        <f ca="1"/>
        <v>2024-M0255</v>
      </c>
      <c r="D98" t="str">
        <f ca="1"/>
        <v xml:space="preserve">   Calidad</v>
      </c>
      <c r="E98" s="255">
        <f ca="1"/>
        <v>0.12</v>
      </c>
      <c r="F98" s="255" t="str">
        <f ca="1"/>
        <v/>
      </c>
      <c r="G98" s="356">
        <f ca="1">IF(TRIM(D98)=C98,
   _xlfn.XLOOKUP(C98, Cartera1017[ID Mantenimiento],Cartera1017[Comienzo Desarrollo]),
IF(TRIM(D98)="Desarrollo",
   _xlfn.XLOOKUP(C98,Cartera1017[ID Mantenimiento],Cartera1017[Comienzo Desarrollo]),
IF(TRIM(D98)="Calidad",
   _xlfn.XLOOKUP(C98,Cartera1017[ID Mantenimiento],Cartera1017[Comienzo Calidad]),
IF(TRIM(D98)="Producción",
   _xlfn.XLOOKUP(C98,Cartera1017[ID Mantenimiento],Cartera1017[Comienzo Producción]),
""))))</f>
        <v>0</v>
      </c>
      <c r="H98" s="160">
        <f ca="1">IF(TRIM(D98)=C98,
   _xlfn.XLOOKUP(C98, Cartera1017[ID Mantenimiento],Cartera1017[Fin Producción]),
IF(TRIM(D98)="Desarrollo",
   _xlfn.XLOOKUP(C98,Cartera1017[ID Mantenimiento],Cartera1017[Fin Desarrollo]),
IF(TRIM(D98)="Calidad",
   _xlfn.XLOOKUP(C98,Cartera1017[ID Mantenimiento],Cartera1017[Fin Calidad]),
IF(TRIM(D98)="Producción",
   _xlfn.XLOOKUP(C98,Cartera1017[ID Mantenimiento],Cartera1017[Fin Producción]),
""))))</f>
        <v>0</v>
      </c>
    </row>
    <row r="99" spans="1:8" hidden="1" outlineLevel="1">
      <c r="A99" t="str">
        <f ca="1"/>
        <v>Banca Digital</v>
      </c>
      <c r="B99" t="str">
        <f ca="1"/>
        <v>10. Paralizado</v>
      </c>
      <c r="C99" t="str">
        <f ca="1"/>
        <v>2024-M0255</v>
      </c>
      <c r="D99" t="str">
        <f ca="1"/>
        <v xml:space="preserve">   Producción</v>
      </c>
      <c r="E99" s="255">
        <f ca="1"/>
        <v>0.12</v>
      </c>
      <c r="F99" s="255" t="str">
        <f ca="1"/>
        <v/>
      </c>
      <c r="G99" s="356">
        <f ca="1">IF(TRIM(D99)=C99,
   _xlfn.XLOOKUP(C99, Cartera1017[ID Mantenimiento],Cartera1017[Comienzo Desarrollo]),
IF(TRIM(D99)="Desarrollo",
   _xlfn.XLOOKUP(C99,Cartera1017[ID Mantenimiento],Cartera1017[Comienzo Desarrollo]),
IF(TRIM(D99)="Calidad",
   _xlfn.XLOOKUP(C99,Cartera1017[ID Mantenimiento],Cartera1017[Comienzo Calidad]),
IF(TRIM(D99)="Producción",
   _xlfn.XLOOKUP(C99,Cartera1017[ID Mantenimiento],Cartera1017[Comienzo Producción]),
""))))</f>
        <v>0</v>
      </c>
      <c r="H99" s="160">
        <f ca="1">IF(TRIM(D99)=C99,
   _xlfn.XLOOKUP(C99, Cartera1017[ID Mantenimiento],Cartera1017[Fin Producción]),
IF(TRIM(D99)="Desarrollo",
   _xlfn.XLOOKUP(C99,Cartera1017[ID Mantenimiento],Cartera1017[Fin Desarrollo]),
IF(TRIM(D99)="Calidad",
   _xlfn.XLOOKUP(C99,Cartera1017[ID Mantenimiento],Cartera1017[Fin Calidad]),
IF(TRIM(D99)="Producción",
   _xlfn.XLOOKUP(C99,Cartera1017[ID Mantenimiento],Cartera1017[Fin Producción]),
""))))</f>
        <v>46265</v>
      </c>
    </row>
    <row r="100" spans="1:8" hidden="1" collapsed="1">
      <c r="A100" t="str">
        <f ca="1"/>
        <v>Recursos Humanos y Cultura</v>
      </c>
      <c r="B100" t="str">
        <f ca="1"/>
        <v>03. En Desarrollo</v>
      </c>
      <c r="C100" t="str">
        <f ca="1"/>
        <v>2024-M0252</v>
      </c>
      <c r="D100" t="str">
        <f ca="1"/>
        <v>2024-M0252</v>
      </c>
      <c r="E100" s="255">
        <f ca="1"/>
        <v>0.15</v>
      </c>
      <c r="F100" s="255">
        <f ca="1"/>
        <v>0</v>
      </c>
      <c r="G100" s="356">
        <f ca="1">IF(TRIM(D100)=C100,
   _xlfn.XLOOKUP(C100, Cartera1017[ID Mantenimiento],Cartera1017[Comienzo Desarrollo]),
IF(TRIM(D100)="Desarrollo",
   _xlfn.XLOOKUP(C100,Cartera1017[ID Mantenimiento],Cartera1017[Comienzo Desarrollo]),
IF(TRIM(D100)="Calidad",
   _xlfn.XLOOKUP(C100,Cartera1017[ID Mantenimiento],Cartera1017[Comienzo Calidad]),
IF(TRIM(D100)="Producción",
   _xlfn.XLOOKUP(C100,Cartera1017[ID Mantenimiento],Cartera1017[Comienzo Producción]),
""))))</f>
        <v>46174</v>
      </c>
      <c r="H100" s="160">
        <f ca="1">IF(TRIM(D100)=C100,
   _xlfn.XLOOKUP(C100, Cartera1017[ID Mantenimiento],Cartera1017[Fin Producción]),
IF(TRIM(D100)="Desarrollo",
   _xlfn.XLOOKUP(C100,Cartera1017[ID Mantenimiento],Cartera1017[Fin Desarrollo]),
IF(TRIM(D100)="Calidad",
   _xlfn.XLOOKUP(C100,Cartera1017[ID Mantenimiento],Cartera1017[Fin Calidad]),
IF(TRIM(D100)="Producción",
   _xlfn.XLOOKUP(C100,Cartera1017[ID Mantenimiento],Cartera1017[Fin Producción]),
""))))</f>
        <v>46272</v>
      </c>
    </row>
    <row r="101" spans="1:8" hidden="1" outlineLevel="1">
      <c r="A101" t="str">
        <f ca="1"/>
        <v>Recursos Humanos y Cultura</v>
      </c>
      <c r="B101" t="str">
        <f ca="1"/>
        <v>03. En Desarrollo</v>
      </c>
      <c r="C101" t="str">
        <f ca="1"/>
        <v>2024-M0252</v>
      </c>
      <c r="D101" t="str">
        <f ca="1"/>
        <v xml:space="preserve">   Desarrollo</v>
      </c>
      <c r="E101" s="255">
        <f ca="1"/>
        <v>0.15</v>
      </c>
      <c r="F101" s="255">
        <f ca="1"/>
        <v>0</v>
      </c>
      <c r="G101" s="356">
        <f ca="1">IF(TRIM(D101)=C101,
   _xlfn.XLOOKUP(C101, Cartera1017[ID Mantenimiento],Cartera1017[Comienzo Desarrollo]),
IF(TRIM(D101)="Desarrollo",
   _xlfn.XLOOKUP(C101,Cartera1017[ID Mantenimiento],Cartera1017[Comienzo Desarrollo]),
IF(TRIM(D101)="Calidad",
   _xlfn.XLOOKUP(C101,Cartera1017[ID Mantenimiento],Cartera1017[Comienzo Calidad]),
IF(TRIM(D101)="Producción",
   _xlfn.XLOOKUP(C101,Cartera1017[ID Mantenimiento],Cartera1017[Comienzo Producción]),
""))))</f>
        <v>46174</v>
      </c>
      <c r="H101" s="160">
        <f ca="1">IF(TRIM(D101)=C101,
   _xlfn.XLOOKUP(C101, Cartera1017[ID Mantenimiento],Cartera1017[Fin Producción]),
IF(TRIM(D101)="Desarrollo",
   _xlfn.XLOOKUP(C101,Cartera1017[ID Mantenimiento],Cartera1017[Fin Desarrollo]),
IF(TRIM(D101)="Calidad",
   _xlfn.XLOOKUP(C101,Cartera1017[ID Mantenimiento],Cartera1017[Fin Calidad]),
IF(TRIM(D101)="Producción",
   _xlfn.XLOOKUP(C101,Cartera1017[ID Mantenimiento],Cartera1017[Fin Producción]),
""))))</f>
        <v>46234</v>
      </c>
    </row>
    <row r="102" spans="1:8" hidden="1" outlineLevel="1">
      <c r="A102" t="str">
        <f ca="1"/>
        <v>Recursos Humanos y Cultura</v>
      </c>
      <c r="B102" t="str">
        <f ca="1"/>
        <v>03. En Desarrollo</v>
      </c>
      <c r="C102" t="str">
        <f ca="1"/>
        <v>2024-M0252</v>
      </c>
      <c r="D102" t="str">
        <f ca="1"/>
        <v xml:space="preserve">   Calidad</v>
      </c>
      <c r="E102" s="255">
        <f ca="1"/>
        <v>0.15</v>
      </c>
      <c r="F102" s="255">
        <f ca="1"/>
        <v>0</v>
      </c>
      <c r="G102" s="356">
        <f ca="1">IF(TRIM(D102)=C102,
   _xlfn.XLOOKUP(C102, Cartera1017[ID Mantenimiento],Cartera1017[Comienzo Desarrollo]),
IF(TRIM(D102)="Desarrollo",
   _xlfn.XLOOKUP(C102,Cartera1017[ID Mantenimiento],Cartera1017[Comienzo Desarrollo]),
IF(TRIM(D102)="Calidad",
   _xlfn.XLOOKUP(C102,Cartera1017[ID Mantenimiento],Cartera1017[Comienzo Calidad]),
IF(TRIM(D102)="Producción",
   _xlfn.XLOOKUP(C102,Cartera1017[ID Mantenimiento],Cartera1017[Comienzo Producción]),
""))))</f>
        <v>46235</v>
      </c>
      <c r="H102" s="160">
        <f ca="1">IF(TRIM(D102)=C102,
   _xlfn.XLOOKUP(C102, Cartera1017[ID Mantenimiento],Cartera1017[Fin Producción]),
IF(TRIM(D102)="Desarrollo",
   _xlfn.XLOOKUP(C102,Cartera1017[ID Mantenimiento],Cartera1017[Fin Desarrollo]),
IF(TRIM(D102)="Calidad",
   _xlfn.XLOOKUP(C102,Cartera1017[ID Mantenimiento],Cartera1017[Fin Calidad]),
IF(TRIM(D102)="Producción",
   _xlfn.XLOOKUP(C102,Cartera1017[ID Mantenimiento],Cartera1017[Fin Producción]),
""))))</f>
        <v>46254</v>
      </c>
    </row>
    <row r="103" spans="1:8" hidden="1" outlineLevel="1">
      <c r="A103" t="str">
        <f ca="1"/>
        <v>Recursos Humanos y Cultura</v>
      </c>
      <c r="B103" t="str">
        <f ca="1"/>
        <v>03. En Desarrollo</v>
      </c>
      <c r="C103" t="str">
        <f ca="1"/>
        <v>2024-M0252</v>
      </c>
      <c r="D103" t="str">
        <f ca="1"/>
        <v xml:space="preserve">   Producción</v>
      </c>
      <c r="E103" s="255">
        <f ca="1"/>
        <v>0.15</v>
      </c>
      <c r="F103" s="255">
        <f ca="1"/>
        <v>0</v>
      </c>
      <c r="G103" s="356">
        <f ca="1">IF(TRIM(D103)=C103,
   _xlfn.XLOOKUP(C103, Cartera1017[ID Mantenimiento],Cartera1017[Comienzo Desarrollo]),
IF(TRIM(D103)="Desarrollo",
   _xlfn.XLOOKUP(C103,Cartera1017[ID Mantenimiento],Cartera1017[Comienzo Desarrollo]),
IF(TRIM(D103)="Calidad",
   _xlfn.XLOOKUP(C103,Cartera1017[ID Mantenimiento],Cartera1017[Comienzo Calidad]),
IF(TRIM(D103)="Producción",
   _xlfn.XLOOKUP(C103,Cartera1017[ID Mantenimiento],Cartera1017[Comienzo Producción]),
""))))</f>
        <v>46266</v>
      </c>
      <c r="H103" s="160">
        <f ca="1">IF(TRIM(D103)=C103,
   _xlfn.XLOOKUP(C103, Cartera1017[ID Mantenimiento],Cartera1017[Fin Producción]),
IF(TRIM(D103)="Desarrollo",
   _xlfn.XLOOKUP(C103,Cartera1017[ID Mantenimiento],Cartera1017[Fin Desarrollo]),
IF(TRIM(D103)="Calidad",
   _xlfn.XLOOKUP(C103,Cartera1017[ID Mantenimiento],Cartera1017[Fin Calidad]),
IF(TRIM(D103)="Producción",
   _xlfn.XLOOKUP(C103,Cartera1017[ID Mantenimiento],Cartera1017[Fin Producción]),
""))))</f>
        <v>46272</v>
      </c>
    </row>
    <row r="104" spans="1:8" hidden="1" collapsed="1">
      <c r="A104" t="str">
        <f ca="1"/>
        <v>Banca Digital</v>
      </c>
      <c r="B104" t="str">
        <f ca="1"/>
        <v>06. Calidad Finalizado</v>
      </c>
      <c r="C104" t="str">
        <f ca="1"/>
        <v>2024-M0409</v>
      </c>
      <c r="D104" t="str">
        <f ca="1"/>
        <v>2024-M0409</v>
      </c>
      <c r="E104" s="255">
        <f ca="1"/>
        <v>0.85</v>
      </c>
      <c r="F104" s="255">
        <f ca="1"/>
        <v>1</v>
      </c>
      <c r="G104" s="356">
        <f ca="1">IF(TRIM(D104)=C104,
   _xlfn.XLOOKUP(C104, Cartera1017[ID Mantenimiento],Cartera1017[Comienzo Desarrollo]),
IF(TRIM(D104)="Desarrollo",
   _xlfn.XLOOKUP(C104,Cartera1017[ID Mantenimiento],Cartera1017[Comienzo Desarrollo]),
IF(TRIM(D104)="Calidad",
   _xlfn.XLOOKUP(C104,Cartera1017[ID Mantenimiento],Cartera1017[Comienzo Calidad]),
IF(TRIM(D104)="Producción",
   _xlfn.XLOOKUP(C104,Cartera1017[ID Mantenimiento],Cartera1017[Comienzo Producción]),
""))))</f>
        <v>45884</v>
      </c>
      <c r="H104" s="160">
        <f ca="1">IF(TRIM(D104)=C104,
   _xlfn.XLOOKUP(C104, Cartera1017[ID Mantenimiento],Cartera1017[Fin Producción]),
IF(TRIM(D104)="Desarrollo",
   _xlfn.XLOOKUP(C104,Cartera1017[ID Mantenimiento],Cartera1017[Fin Desarrollo]),
IF(TRIM(D104)="Calidad",
   _xlfn.XLOOKUP(C104,Cartera1017[ID Mantenimiento],Cartera1017[Fin Calidad]),
IF(TRIM(D104)="Producción",
   _xlfn.XLOOKUP(C104,Cartera1017[ID Mantenimiento],Cartera1017[Fin Producción]),
""))))</f>
        <v>46108</v>
      </c>
    </row>
    <row r="105" spans="1:8" hidden="1" outlineLevel="1">
      <c r="A105" t="str">
        <f ca="1"/>
        <v>Banca Digital</v>
      </c>
      <c r="B105" t="str">
        <f ca="1"/>
        <v>06. Calidad Finalizado</v>
      </c>
      <c r="C105" t="str">
        <f ca="1"/>
        <v>2024-M0409</v>
      </c>
      <c r="D105" t="str">
        <f ca="1"/>
        <v xml:space="preserve">   Desarrollo</v>
      </c>
      <c r="E105" s="255">
        <f ca="1"/>
        <v>0.85</v>
      </c>
      <c r="F105" s="255">
        <f ca="1"/>
        <v>1</v>
      </c>
      <c r="G105" s="356">
        <f ca="1">IF(TRIM(D105)=C105,
   _xlfn.XLOOKUP(C105, Cartera1017[ID Mantenimiento],Cartera1017[Comienzo Desarrollo]),
IF(TRIM(D105)="Desarrollo",
   _xlfn.XLOOKUP(C105,Cartera1017[ID Mantenimiento],Cartera1017[Comienzo Desarrollo]),
IF(TRIM(D105)="Calidad",
   _xlfn.XLOOKUP(C105,Cartera1017[ID Mantenimiento],Cartera1017[Comienzo Calidad]),
IF(TRIM(D105)="Producción",
   _xlfn.XLOOKUP(C105,Cartera1017[ID Mantenimiento],Cartera1017[Comienzo Producción]),
""))))</f>
        <v>45884</v>
      </c>
      <c r="H105" s="160">
        <f ca="1">IF(TRIM(D105)=C105,
   _xlfn.XLOOKUP(C105, Cartera1017[ID Mantenimiento],Cartera1017[Fin Producción]),
IF(TRIM(D105)="Desarrollo",
   _xlfn.XLOOKUP(C105,Cartera1017[ID Mantenimiento],Cartera1017[Fin Desarrollo]),
IF(TRIM(D105)="Calidad",
   _xlfn.XLOOKUP(C105,Cartera1017[ID Mantenimiento],Cartera1017[Fin Calidad]),
IF(TRIM(D105)="Producción",
   _xlfn.XLOOKUP(C105,Cartera1017[ID Mantenimiento],Cartera1017[Fin Producción]),
""))))</f>
        <v>46038</v>
      </c>
    </row>
    <row r="106" spans="1:8" hidden="1" outlineLevel="1">
      <c r="A106" t="str">
        <f ca="1"/>
        <v>Banca Digital</v>
      </c>
      <c r="B106" t="str">
        <f ca="1"/>
        <v>06. Calidad Finalizado</v>
      </c>
      <c r="C106" t="str">
        <f ca="1"/>
        <v>2024-M0409</v>
      </c>
      <c r="D106" t="str">
        <f ca="1"/>
        <v xml:space="preserve">   Calidad</v>
      </c>
      <c r="E106" s="255">
        <f ca="1"/>
        <v>0.85</v>
      </c>
      <c r="F106" s="255">
        <f ca="1"/>
        <v>1</v>
      </c>
      <c r="G106" s="356">
        <f ca="1">IF(TRIM(D106)=C106,
   _xlfn.XLOOKUP(C106, Cartera1017[ID Mantenimiento],Cartera1017[Comienzo Desarrollo]),
IF(TRIM(D106)="Desarrollo",
   _xlfn.XLOOKUP(C106,Cartera1017[ID Mantenimiento],Cartera1017[Comienzo Desarrollo]),
IF(TRIM(D106)="Calidad",
   _xlfn.XLOOKUP(C106,Cartera1017[ID Mantenimiento],Cartera1017[Comienzo Calidad]),
IF(TRIM(D106)="Producción",
   _xlfn.XLOOKUP(C106,Cartera1017[ID Mantenimiento],Cartera1017[Comienzo Producción]),
""))))</f>
        <v>46041</v>
      </c>
      <c r="H106" s="160">
        <f ca="1">IF(TRIM(D106)=C106,
   _xlfn.XLOOKUP(C106, Cartera1017[ID Mantenimiento],Cartera1017[Fin Producción]),
IF(TRIM(D106)="Desarrollo",
   _xlfn.XLOOKUP(C106,Cartera1017[ID Mantenimiento],Cartera1017[Fin Desarrollo]),
IF(TRIM(D106)="Calidad",
   _xlfn.XLOOKUP(C106,Cartera1017[ID Mantenimiento],Cartera1017[Fin Calidad]),
IF(TRIM(D106)="Producción",
   _xlfn.XLOOKUP(C106,Cartera1017[ID Mantenimiento],Cartera1017[Fin Producción]),
""))))</f>
        <v>46045</v>
      </c>
    </row>
    <row r="107" spans="1:8" hidden="1" outlineLevel="1">
      <c r="A107" t="str">
        <f ca="1"/>
        <v>Banca Digital</v>
      </c>
      <c r="B107" t="str">
        <f ca="1"/>
        <v>06. Calidad Finalizado</v>
      </c>
      <c r="C107" t="str">
        <f ca="1"/>
        <v>2024-M0409</v>
      </c>
      <c r="D107" t="str">
        <f ca="1"/>
        <v xml:space="preserve">   Producción</v>
      </c>
      <c r="E107" s="255">
        <f ca="1"/>
        <v>0.85</v>
      </c>
      <c r="F107" s="255">
        <f ca="1"/>
        <v>1</v>
      </c>
      <c r="G107" s="356">
        <f ca="1">IF(TRIM(D107)=C107,
   _xlfn.XLOOKUP(C107, Cartera1017[ID Mantenimiento],Cartera1017[Comienzo Desarrollo]),
IF(TRIM(D107)="Desarrollo",
   _xlfn.XLOOKUP(C107,Cartera1017[ID Mantenimiento],Cartera1017[Comienzo Desarrollo]),
IF(TRIM(D107)="Calidad",
   _xlfn.XLOOKUP(C107,Cartera1017[ID Mantenimiento],Cartera1017[Comienzo Calidad]),
IF(TRIM(D107)="Producción",
   _xlfn.XLOOKUP(C107,Cartera1017[ID Mantenimiento],Cartera1017[Comienzo Producción]),
""))))</f>
        <v>46084</v>
      </c>
      <c r="H107" s="160">
        <f ca="1">IF(TRIM(D107)=C107,
   _xlfn.XLOOKUP(C107, Cartera1017[ID Mantenimiento],Cartera1017[Fin Producción]),
IF(TRIM(D107)="Desarrollo",
   _xlfn.XLOOKUP(C107,Cartera1017[ID Mantenimiento],Cartera1017[Fin Desarrollo]),
IF(TRIM(D107)="Calidad",
   _xlfn.XLOOKUP(C107,Cartera1017[ID Mantenimiento],Cartera1017[Fin Calidad]),
IF(TRIM(D107)="Producción",
   _xlfn.XLOOKUP(C107,Cartera1017[ID Mantenimiento],Cartera1017[Fin Producción]),
""))))</f>
        <v>46108</v>
      </c>
    </row>
    <row r="108" spans="1:8" hidden="1" collapsed="1">
      <c r="A108" t="str">
        <f ca="1"/>
        <v>Banca Digital</v>
      </c>
      <c r="B108" t="str">
        <f ca="1"/>
        <v>10. Paralizado</v>
      </c>
      <c r="C108" t="str">
        <f ca="1"/>
        <v>2024-M0317</v>
      </c>
      <c r="D108" t="str">
        <f ca="1"/>
        <v>2024-M0317</v>
      </c>
      <c r="E108" s="255">
        <f ca="1"/>
        <v>0.12</v>
      </c>
      <c r="F108" s="255">
        <f ca="1"/>
        <v>0</v>
      </c>
      <c r="G108" s="356">
        <f ca="1">IF(TRIM(D108)=C108,
   _xlfn.XLOOKUP(C108, Cartera1017[ID Mantenimiento],Cartera1017[Comienzo Desarrollo]),
IF(TRIM(D108)="Desarrollo",
   _xlfn.XLOOKUP(C108,Cartera1017[ID Mantenimiento],Cartera1017[Comienzo Desarrollo]),
IF(TRIM(D108)="Calidad",
   _xlfn.XLOOKUP(C108,Cartera1017[ID Mantenimiento],Cartera1017[Comienzo Calidad]),
IF(TRIM(D108)="Producción",
   _xlfn.XLOOKUP(C108,Cartera1017[ID Mantenimiento],Cartera1017[Comienzo Producción]),
""))))</f>
        <v>46204</v>
      </c>
      <c r="H108" s="160">
        <f ca="1">IF(TRIM(D108)=C108,
   _xlfn.XLOOKUP(C108, Cartera1017[ID Mantenimiento],Cartera1017[Fin Producción]),
IF(TRIM(D108)="Desarrollo",
   _xlfn.XLOOKUP(C108,Cartera1017[ID Mantenimiento],Cartera1017[Fin Desarrollo]),
IF(TRIM(D108)="Calidad",
   _xlfn.XLOOKUP(C108,Cartera1017[ID Mantenimiento],Cartera1017[Fin Calidad]),
IF(TRIM(D108)="Producción",
   _xlfn.XLOOKUP(C108,Cartera1017[ID Mantenimiento],Cartera1017[Fin Producción]),
""))))</f>
        <v>46300</v>
      </c>
    </row>
    <row r="109" spans="1:8" hidden="1" outlineLevel="1">
      <c r="A109" t="str">
        <f ca="1"/>
        <v>Banca Digital</v>
      </c>
      <c r="B109" t="str">
        <f ca="1"/>
        <v>10. Paralizado</v>
      </c>
      <c r="C109" t="str">
        <f ca="1"/>
        <v>2024-M0317</v>
      </c>
      <c r="D109" t="str">
        <f ca="1"/>
        <v xml:space="preserve">   Desarrollo</v>
      </c>
      <c r="E109" s="255">
        <f ca="1"/>
        <v>0.12</v>
      </c>
      <c r="F109" s="255">
        <f ca="1"/>
        <v>0</v>
      </c>
      <c r="G109" s="356">
        <f ca="1">IF(TRIM(D109)=C109,
   _xlfn.XLOOKUP(C109, Cartera1017[ID Mantenimiento],Cartera1017[Comienzo Desarrollo]),
IF(TRIM(D109)="Desarrollo",
   _xlfn.XLOOKUP(C109,Cartera1017[ID Mantenimiento],Cartera1017[Comienzo Desarrollo]),
IF(TRIM(D109)="Calidad",
   _xlfn.XLOOKUP(C109,Cartera1017[ID Mantenimiento],Cartera1017[Comienzo Calidad]),
IF(TRIM(D109)="Producción",
   _xlfn.XLOOKUP(C109,Cartera1017[ID Mantenimiento],Cartera1017[Comienzo Producción]),
""))))</f>
        <v>46204</v>
      </c>
      <c r="H109" s="160">
        <f ca="1">IF(TRIM(D109)=C109,
   _xlfn.XLOOKUP(C109, Cartera1017[ID Mantenimiento],Cartera1017[Fin Producción]),
IF(TRIM(D109)="Desarrollo",
   _xlfn.XLOOKUP(C109,Cartera1017[ID Mantenimiento],Cartera1017[Fin Desarrollo]),
IF(TRIM(D109)="Calidad",
   _xlfn.XLOOKUP(C109,Cartera1017[ID Mantenimiento],Cartera1017[Fin Calidad]),
IF(TRIM(D109)="Producción",
   _xlfn.XLOOKUP(C109,Cartera1017[ID Mantenimiento],Cartera1017[Fin Producción]),
""))))</f>
        <v>46264</v>
      </c>
    </row>
    <row r="110" spans="1:8" hidden="1" outlineLevel="1">
      <c r="A110" t="str">
        <f ca="1"/>
        <v>Banca Digital</v>
      </c>
      <c r="B110" t="str">
        <f ca="1"/>
        <v>10. Paralizado</v>
      </c>
      <c r="C110" t="str">
        <f ca="1"/>
        <v>2024-M0317</v>
      </c>
      <c r="D110" t="str">
        <f ca="1"/>
        <v xml:space="preserve">   Calidad</v>
      </c>
      <c r="E110" s="255">
        <f ca="1"/>
        <v>0.12</v>
      </c>
      <c r="F110" s="255">
        <f ca="1"/>
        <v>0</v>
      </c>
      <c r="G110" s="356">
        <f ca="1">IF(TRIM(D110)=C110,
   _xlfn.XLOOKUP(C110, Cartera1017[ID Mantenimiento],Cartera1017[Comienzo Desarrollo]),
IF(TRIM(D110)="Desarrollo",
   _xlfn.XLOOKUP(C110,Cartera1017[ID Mantenimiento],Cartera1017[Comienzo Desarrollo]),
IF(TRIM(D110)="Calidad",
   _xlfn.XLOOKUP(C110,Cartera1017[ID Mantenimiento],Cartera1017[Comienzo Calidad]),
IF(TRIM(D110)="Producción",
   _xlfn.XLOOKUP(C110,Cartera1017[ID Mantenimiento],Cartera1017[Comienzo Producción]),
""))))</f>
        <v>46266</v>
      </c>
      <c r="H110" s="160">
        <f ca="1">IF(TRIM(D110)=C110,
   _xlfn.XLOOKUP(C110, Cartera1017[ID Mantenimiento],Cartera1017[Fin Producción]),
IF(TRIM(D110)="Desarrollo",
   _xlfn.XLOOKUP(C110,Cartera1017[ID Mantenimiento],Cartera1017[Fin Desarrollo]),
IF(TRIM(D110)="Calidad",
   _xlfn.XLOOKUP(C110,Cartera1017[ID Mantenimiento],Cartera1017[Fin Calidad]),
IF(TRIM(D110)="Producción",
   _xlfn.XLOOKUP(C110,Cartera1017[ID Mantenimiento],Cartera1017[Fin Producción]),
""))))</f>
        <v>46295</v>
      </c>
    </row>
    <row r="111" spans="1:8" hidden="1" outlineLevel="1">
      <c r="A111" t="str">
        <f ca="1"/>
        <v>Banca Digital</v>
      </c>
      <c r="B111" t="str">
        <f ca="1"/>
        <v>10. Paralizado</v>
      </c>
      <c r="C111" t="str">
        <f ca="1"/>
        <v>2024-M0317</v>
      </c>
      <c r="D111" t="str">
        <f ca="1"/>
        <v xml:space="preserve">   Producción</v>
      </c>
      <c r="E111" s="255">
        <f ca="1"/>
        <v>0.12</v>
      </c>
      <c r="F111" s="255">
        <f ca="1"/>
        <v>0</v>
      </c>
      <c r="G111" s="356">
        <f ca="1">IF(TRIM(D111)=C111,
   _xlfn.XLOOKUP(C111, Cartera1017[ID Mantenimiento],Cartera1017[Comienzo Desarrollo]),
IF(TRIM(D111)="Desarrollo",
   _xlfn.XLOOKUP(C111,Cartera1017[ID Mantenimiento],Cartera1017[Comienzo Desarrollo]),
IF(TRIM(D111)="Calidad",
   _xlfn.XLOOKUP(C111,Cartera1017[ID Mantenimiento],Cartera1017[Comienzo Calidad]),
IF(TRIM(D111)="Producción",
   _xlfn.XLOOKUP(C111,Cartera1017[ID Mantenimiento],Cartera1017[Comienzo Producción]),
""))))</f>
        <v>46296</v>
      </c>
      <c r="H111" s="160">
        <f ca="1">IF(TRIM(D111)=C111,
   _xlfn.XLOOKUP(C111, Cartera1017[ID Mantenimiento],Cartera1017[Fin Producción]),
IF(TRIM(D111)="Desarrollo",
   _xlfn.XLOOKUP(C111,Cartera1017[ID Mantenimiento],Cartera1017[Fin Desarrollo]),
IF(TRIM(D111)="Calidad",
   _xlfn.XLOOKUP(C111,Cartera1017[ID Mantenimiento],Cartera1017[Fin Calidad]),
IF(TRIM(D111)="Producción",
   _xlfn.XLOOKUP(C111,Cartera1017[ID Mantenimiento],Cartera1017[Fin Producción]),
""))))</f>
        <v>46300</v>
      </c>
    </row>
    <row r="112" spans="1:8" hidden="1" collapsed="1">
      <c r="A112" t="str">
        <f ca="1"/>
        <v>Operaciones</v>
      </c>
      <c r="B112" t="str">
        <f ca="1"/>
        <v>08. Producción Finalizada</v>
      </c>
      <c r="C112" t="str">
        <f ca="1"/>
        <v>2024-M0201</v>
      </c>
      <c r="D112" t="str">
        <f ca="1"/>
        <v>2024-M0201</v>
      </c>
      <c r="E112" s="255">
        <f ca="1"/>
        <v>1</v>
      </c>
      <c r="F112" s="255">
        <f ca="1"/>
        <v>1</v>
      </c>
      <c r="G112" s="356">
        <f ca="1">IF(TRIM(D112)=C112,
   _xlfn.XLOOKUP(C112, Cartera1017[ID Mantenimiento],Cartera1017[Comienzo Desarrollo]),
IF(TRIM(D112)="Desarrollo",
   _xlfn.XLOOKUP(C112,Cartera1017[ID Mantenimiento],Cartera1017[Comienzo Desarrollo]),
IF(TRIM(D112)="Calidad",
   _xlfn.XLOOKUP(C112,Cartera1017[ID Mantenimiento],Cartera1017[Comienzo Calidad]),
IF(TRIM(D112)="Producción",
   _xlfn.XLOOKUP(C112,Cartera1017[ID Mantenimiento],Cartera1017[Comienzo Producción]),
""))))</f>
        <v>45964</v>
      </c>
      <c r="H112" s="160">
        <f ca="1">IF(TRIM(D112)=C112,
   _xlfn.XLOOKUP(C112, Cartera1017[ID Mantenimiento],Cartera1017[Fin Producción]),
IF(TRIM(D112)="Desarrollo",
   _xlfn.XLOOKUP(C112,Cartera1017[ID Mantenimiento],Cartera1017[Fin Desarrollo]),
IF(TRIM(D112)="Calidad",
   _xlfn.XLOOKUP(C112,Cartera1017[ID Mantenimiento],Cartera1017[Fin Calidad]),
IF(TRIM(D112)="Producción",
   _xlfn.XLOOKUP(C112,Cartera1017[ID Mantenimiento],Cartera1017[Fin Producción]),
""))))</f>
        <v>46038</v>
      </c>
    </row>
    <row r="113" spans="1:8" hidden="1" outlineLevel="1">
      <c r="A113" t="str">
        <f ca="1"/>
        <v>Operaciones</v>
      </c>
      <c r="B113" t="str">
        <f ca="1"/>
        <v>08. Producción Finalizada</v>
      </c>
      <c r="C113" t="str">
        <f ca="1"/>
        <v>2024-M0201</v>
      </c>
      <c r="D113" t="str">
        <f ca="1"/>
        <v xml:space="preserve">   Desarrollo</v>
      </c>
      <c r="E113" s="255">
        <f ca="1"/>
        <v>1</v>
      </c>
      <c r="F113" s="255">
        <f ca="1"/>
        <v>1</v>
      </c>
      <c r="G113" s="356">
        <f ca="1">IF(TRIM(D113)=C113,
   _xlfn.XLOOKUP(C113, Cartera1017[ID Mantenimiento],Cartera1017[Comienzo Desarrollo]),
IF(TRIM(D113)="Desarrollo",
   _xlfn.XLOOKUP(C113,Cartera1017[ID Mantenimiento],Cartera1017[Comienzo Desarrollo]),
IF(TRIM(D113)="Calidad",
   _xlfn.XLOOKUP(C113,Cartera1017[ID Mantenimiento],Cartera1017[Comienzo Calidad]),
IF(TRIM(D113)="Producción",
   _xlfn.XLOOKUP(C113,Cartera1017[ID Mantenimiento],Cartera1017[Comienzo Producción]),
""))))</f>
        <v>45964</v>
      </c>
      <c r="H113" s="160">
        <f ca="1">IF(TRIM(D113)=C113,
   _xlfn.XLOOKUP(C113, Cartera1017[ID Mantenimiento],Cartera1017[Fin Producción]),
IF(TRIM(D113)="Desarrollo",
   _xlfn.XLOOKUP(C113,Cartera1017[ID Mantenimiento],Cartera1017[Fin Desarrollo]),
IF(TRIM(D113)="Calidad",
   _xlfn.XLOOKUP(C113,Cartera1017[ID Mantenimiento],Cartera1017[Fin Calidad]),
IF(TRIM(D113)="Producción",
   _xlfn.XLOOKUP(C113,Cartera1017[ID Mantenimiento],Cartera1017[Fin Producción]),
""))))</f>
        <v>45964</v>
      </c>
    </row>
    <row r="114" spans="1:8" hidden="1" outlineLevel="1">
      <c r="A114" t="str">
        <f ca="1"/>
        <v>Operaciones</v>
      </c>
      <c r="B114" t="str">
        <f ca="1"/>
        <v>08. Producción Finalizada</v>
      </c>
      <c r="C114" t="str">
        <f ca="1"/>
        <v>2024-M0201</v>
      </c>
      <c r="D114" t="str">
        <f ca="1"/>
        <v xml:space="preserve">   Calidad</v>
      </c>
      <c r="E114" s="255">
        <f ca="1"/>
        <v>1</v>
      </c>
      <c r="F114" s="255">
        <f ca="1"/>
        <v>1</v>
      </c>
      <c r="G114" s="356">
        <f ca="1">IF(TRIM(D114)=C114,
   _xlfn.XLOOKUP(C114, Cartera1017[ID Mantenimiento],Cartera1017[Comienzo Desarrollo]),
IF(TRIM(D114)="Desarrollo",
   _xlfn.XLOOKUP(C114,Cartera1017[ID Mantenimiento],Cartera1017[Comienzo Desarrollo]),
IF(TRIM(D114)="Calidad",
   _xlfn.XLOOKUP(C114,Cartera1017[ID Mantenimiento],Cartera1017[Comienzo Calidad]),
IF(TRIM(D114)="Producción",
   _xlfn.XLOOKUP(C114,Cartera1017[ID Mantenimiento],Cartera1017[Comienzo Producción]),
""))))</f>
        <v>45965</v>
      </c>
      <c r="H114" s="160">
        <f ca="1">IF(TRIM(D114)=C114,
   _xlfn.XLOOKUP(C114, Cartera1017[ID Mantenimiento],Cartera1017[Fin Producción]),
IF(TRIM(D114)="Desarrollo",
   _xlfn.XLOOKUP(C114,Cartera1017[ID Mantenimiento],Cartera1017[Fin Desarrollo]),
IF(TRIM(D114)="Calidad",
   _xlfn.XLOOKUP(C114,Cartera1017[ID Mantenimiento],Cartera1017[Fin Calidad]),
IF(TRIM(D114)="Producción",
   _xlfn.XLOOKUP(C114,Cartera1017[ID Mantenimiento],Cartera1017[Fin Producción]),
""))))</f>
        <v>45981</v>
      </c>
    </row>
    <row r="115" spans="1:8" hidden="1" outlineLevel="1">
      <c r="A115" t="str">
        <f ca="1"/>
        <v>Operaciones</v>
      </c>
      <c r="B115" t="str">
        <f ca="1"/>
        <v>08. Producción Finalizada</v>
      </c>
      <c r="C115" t="str">
        <f ca="1"/>
        <v>2024-M0201</v>
      </c>
      <c r="D115" t="str">
        <f ca="1"/>
        <v xml:space="preserve">   Producción</v>
      </c>
      <c r="E115" s="255">
        <f ca="1"/>
        <v>1</v>
      </c>
      <c r="F115" s="255">
        <f ca="1"/>
        <v>1</v>
      </c>
      <c r="G115" s="356">
        <f ca="1">IF(TRIM(D115)=C115,
   _xlfn.XLOOKUP(C115, Cartera1017[ID Mantenimiento],Cartera1017[Comienzo Desarrollo]),
IF(TRIM(D115)="Desarrollo",
   _xlfn.XLOOKUP(C115,Cartera1017[ID Mantenimiento],Cartera1017[Comienzo Desarrollo]),
IF(TRIM(D115)="Calidad",
   _xlfn.XLOOKUP(C115,Cartera1017[ID Mantenimiento],Cartera1017[Comienzo Calidad]),
IF(TRIM(D115)="Producción",
   _xlfn.XLOOKUP(C115,Cartera1017[ID Mantenimiento],Cartera1017[Comienzo Producción]),
""))))</f>
        <v>46029</v>
      </c>
      <c r="H115" s="160">
        <f ca="1">IF(TRIM(D115)=C115,
   _xlfn.XLOOKUP(C115, Cartera1017[ID Mantenimiento],Cartera1017[Fin Producción]),
IF(TRIM(D115)="Desarrollo",
   _xlfn.XLOOKUP(C115,Cartera1017[ID Mantenimiento],Cartera1017[Fin Desarrollo]),
IF(TRIM(D115)="Calidad",
   _xlfn.XLOOKUP(C115,Cartera1017[ID Mantenimiento],Cartera1017[Fin Calidad]),
IF(TRIM(D115)="Producción",
   _xlfn.XLOOKUP(C115,Cartera1017[ID Mantenimiento],Cartera1017[Fin Producción]),
""))))</f>
        <v>46038</v>
      </c>
    </row>
    <row r="116" spans="1:8" hidden="1" collapsed="1">
      <c r="A116" t="str">
        <f ca="1"/>
        <v>Banca Digital</v>
      </c>
      <c r="B116" t="str">
        <f ca="1"/>
        <v>03. En Desarrollo</v>
      </c>
      <c r="C116" t="str">
        <f ca="1"/>
        <v>2024-M0518</v>
      </c>
      <c r="D116" t="str">
        <f ca="1"/>
        <v>2024-M0518</v>
      </c>
      <c r="E116" s="255">
        <f ca="1"/>
        <v>0.45</v>
      </c>
      <c r="F116" s="255">
        <f ca="1"/>
        <v>0.53773584905660377</v>
      </c>
      <c r="G116" s="356">
        <f ca="1">IF(TRIM(D116)=C116,
   _xlfn.XLOOKUP(C116, Cartera1017[ID Mantenimiento],Cartera1017[Comienzo Desarrollo]),
IF(TRIM(D116)="Desarrollo",
   _xlfn.XLOOKUP(C116,Cartera1017[ID Mantenimiento],Cartera1017[Comienzo Desarrollo]),
IF(TRIM(D116)="Calidad",
   _xlfn.XLOOKUP(C116,Cartera1017[ID Mantenimiento],Cartera1017[Comienzo Calidad]),
IF(TRIM(D116)="Producción",
   _xlfn.XLOOKUP(C116,Cartera1017[ID Mantenimiento],Cartera1017[Comienzo Producción]),
""))))</f>
        <v>46083</v>
      </c>
      <c r="H116" s="160">
        <f ca="1">IF(TRIM(D116)=C116,
   _xlfn.XLOOKUP(C116, Cartera1017[ID Mantenimiento],Cartera1017[Fin Producción]),
IF(TRIM(D116)="Desarrollo",
   _xlfn.XLOOKUP(C116,Cartera1017[ID Mantenimiento],Cartera1017[Fin Desarrollo]),
IF(TRIM(D116)="Calidad",
   _xlfn.XLOOKUP(C116,Cartera1017[ID Mantenimiento],Cartera1017[Fin Calidad]),
IF(TRIM(D116)="Producción",
   _xlfn.XLOOKUP(C116,Cartera1017[ID Mantenimiento],Cartera1017[Fin Producción]),
""))))</f>
        <v>46234</v>
      </c>
    </row>
    <row r="117" spans="1:8" hidden="1" outlineLevel="1">
      <c r="A117" t="str">
        <f ca="1"/>
        <v>Banca Digital</v>
      </c>
      <c r="B117" t="str">
        <f ca="1"/>
        <v>03. En Desarrollo</v>
      </c>
      <c r="C117" t="str">
        <f ca="1"/>
        <v>2024-M0518</v>
      </c>
      <c r="D117" t="str">
        <f ca="1"/>
        <v xml:space="preserve">   Desarrollo</v>
      </c>
      <c r="E117" s="255">
        <f ca="1"/>
        <v>0.45</v>
      </c>
      <c r="F117" s="255">
        <f ca="1"/>
        <v>0.53773584905660377</v>
      </c>
      <c r="G117" s="356">
        <f ca="1">IF(TRIM(D117)=C117,
   _xlfn.XLOOKUP(C117, Cartera1017[ID Mantenimiento],Cartera1017[Comienzo Desarrollo]),
IF(TRIM(D117)="Desarrollo",
   _xlfn.XLOOKUP(C117,Cartera1017[ID Mantenimiento],Cartera1017[Comienzo Desarrollo]),
IF(TRIM(D117)="Calidad",
   _xlfn.XLOOKUP(C117,Cartera1017[ID Mantenimiento],Cartera1017[Comienzo Calidad]),
IF(TRIM(D117)="Producción",
   _xlfn.XLOOKUP(C117,Cartera1017[ID Mantenimiento],Cartera1017[Comienzo Producción]),
""))))</f>
        <v>46083</v>
      </c>
      <c r="H117" s="160">
        <f ca="1">IF(TRIM(D117)=C117,
   _xlfn.XLOOKUP(C117, Cartera1017[ID Mantenimiento],Cartera1017[Fin Producción]),
IF(TRIM(D117)="Desarrollo",
   _xlfn.XLOOKUP(C117,Cartera1017[ID Mantenimiento],Cartera1017[Fin Desarrollo]),
IF(TRIM(D117)="Calidad",
   _xlfn.XLOOKUP(C117,Cartera1017[ID Mantenimiento],Cartera1017[Fin Calidad]),
IF(TRIM(D117)="Producción",
   _xlfn.XLOOKUP(C117,Cartera1017[ID Mantenimiento],Cartera1017[Fin Producción]),
""))))</f>
        <v>46199</v>
      </c>
    </row>
    <row r="118" spans="1:8" hidden="1" outlineLevel="1">
      <c r="A118" t="str">
        <f ca="1"/>
        <v>Banca Digital</v>
      </c>
      <c r="B118" t="str">
        <f ca="1"/>
        <v>03. En Desarrollo</v>
      </c>
      <c r="C118" t="str">
        <f ca="1"/>
        <v>2024-M0518</v>
      </c>
      <c r="D118" t="str">
        <f ca="1"/>
        <v xml:space="preserve">   Calidad</v>
      </c>
      <c r="E118" s="255">
        <f ca="1"/>
        <v>0.45</v>
      </c>
      <c r="F118" s="255">
        <f ca="1"/>
        <v>0.53773584905660377</v>
      </c>
      <c r="G118" s="356">
        <f ca="1">IF(TRIM(D118)=C118,
   _xlfn.XLOOKUP(C118, Cartera1017[ID Mantenimiento],Cartera1017[Comienzo Desarrollo]),
IF(TRIM(D118)="Desarrollo",
   _xlfn.XLOOKUP(C118,Cartera1017[ID Mantenimiento],Cartera1017[Comienzo Desarrollo]),
IF(TRIM(D118)="Calidad",
   _xlfn.XLOOKUP(C118,Cartera1017[ID Mantenimiento],Cartera1017[Comienzo Calidad]),
IF(TRIM(D118)="Producción",
   _xlfn.XLOOKUP(C118,Cartera1017[ID Mantenimiento],Cartera1017[Comienzo Producción]),
""))))</f>
        <v>46202</v>
      </c>
      <c r="H118" s="160">
        <f ca="1">IF(TRIM(D118)=C118,
   _xlfn.XLOOKUP(C118, Cartera1017[ID Mantenimiento],Cartera1017[Fin Producción]),
IF(TRIM(D118)="Desarrollo",
   _xlfn.XLOOKUP(C118,Cartera1017[ID Mantenimiento],Cartera1017[Fin Desarrollo]),
IF(TRIM(D118)="Calidad",
   _xlfn.XLOOKUP(C118,Cartera1017[ID Mantenimiento],Cartera1017[Fin Calidad]),
IF(TRIM(D118)="Producción",
   _xlfn.XLOOKUP(C118,Cartera1017[ID Mantenimiento],Cartera1017[Fin Producción]),
""))))</f>
        <v>46227</v>
      </c>
    </row>
    <row r="119" spans="1:8" hidden="1" outlineLevel="1">
      <c r="A119" t="str">
        <f ca="1"/>
        <v>Banca Digital</v>
      </c>
      <c r="B119" t="str">
        <f ca="1"/>
        <v>03. En Desarrollo</v>
      </c>
      <c r="C119" t="str">
        <f ca="1"/>
        <v>2024-M0518</v>
      </c>
      <c r="D119" t="str">
        <f ca="1"/>
        <v xml:space="preserve">   Producción</v>
      </c>
      <c r="E119" s="255">
        <f ca="1"/>
        <v>0.45</v>
      </c>
      <c r="F119" s="255">
        <f ca="1"/>
        <v>0.53773584905660377</v>
      </c>
      <c r="G119" s="356">
        <f ca="1">IF(TRIM(D119)=C119,
   _xlfn.XLOOKUP(C119, Cartera1017[ID Mantenimiento],Cartera1017[Comienzo Desarrollo]),
IF(TRIM(D119)="Desarrollo",
   _xlfn.XLOOKUP(C119,Cartera1017[ID Mantenimiento],Cartera1017[Comienzo Desarrollo]),
IF(TRIM(D119)="Calidad",
   _xlfn.XLOOKUP(C119,Cartera1017[ID Mantenimiento],Cartera1017[Comienzo Calidad]),
IF(TRIM(D119)="Producción",
   _xlfn.XLOOKUP(C119,Cartera1017[ID Mantenimiento],Cartera1017[Comienzo Producción]),
""))))</f>
        <v>46230</v>
      </c>
      <c r="H119" s="160">
        <f ca="1">IF(TRIM(D119)=C119,
   _xlfn.XLOOKUP(C119, Cartera1017[ID Mantenimiento],Cartera1017[Fin Producción]),
IF(TRIM(D119)="Desarrollo",
   _xlfn.XLOOKUP(C119,Cartera1017[ID Mantenimiento],Cartera1017[Fin Desarrollo]),
IF(TRIM(D119)="Calidad",
   _xlfn.XLOOKUP(C119,Cartera1017[ID Mantenimiento],Cartera1017[Fin Calidad]),
IF(TRIM(D119)="Producción",
   _xlfn.XLOOKUP(C119,Cartera1017[ID Mantenimiento],Cartera1017[Fin Producción]),
""))))</f>
        <v>46234</v>
      </c>
    </row>
    <row r="120" spans="1:8" hidden="1" collapsed="1">
      <c r="A120" t="str">
        <f ca="1"/>
        <v>Tecnologías de Información</v>
      </c>
      <c r="B120" t="str">
        <f ca="1"/>
        <v>10. Paralizado</v>
      </c>
      <c r="C120" t="str">
        <f ca="1"/>
        <v>2024-M0223</v>
      </c>
      <c r="D120" t="str">
        <f ca="1"/>
        <v>2024-M0223</v>
      </c>
      <c r="E120" s="255">
        <f ca="1"/>
        <v>0.12</v>
      </c>
      <c r="F120" s="255" t="str">
        <f ca="1"/>
        <v/>
      </c>
      <c r="G120" s="356">
        <f ca="1">IF(TRIM(D120)=C120,
   _xlfn.XLOOKUP(C120, Cartera1017[ID Mantenimiento],Cartera1017[Comienzo Desarrollo]),
IF(TRIM(D120)="Desarrollo",
   _xlfn.XLOOKUP(C120,Cartera1017[ID Mantenimiento],Cartera1017[Comienzo Desarrollo]),
IF(TRIM(D120)="Calidad",
   _xlfn.XLOOKUP(C120,Cartera1017[ID Mantenimiento],Cartera1017[Comienzo Calidad]),
IF(TRIM(D120)="Producción",
   _xlfn.XLOOKUP(C120,Cartera1017[ID Mantenimiento],Cartera1017[Comienzo Producción]),
""))))</f>
        <v>0</v>
      </c>
      <c r="H120" s="160">
        <f ca="1">IF(TRIM(D120)=C120,
   _xlfn.XLOOKUP(C120, Cartera1017[ID Mantenimiento],Cartera1017[Fin Producción]),
IF(TRIM(D120)="Desarrollo",
   _xlfn.XLOOKUP(C120,Cartera1017[ID Mantenimiento],Cartera1017[Fin Desarrollo]),
IF(TRIM(D120)="Calidad",
   _xlfn.XLOOKUP(C120,Cartera1017[ID Mantenimiento],Cartera1017[Fin Calidad]),
IF(TRIM(D120)="Producción",
   _xlfn.XLOOKUP(C120,Cartera1017[ID Mantenimiento],Cartera1017[Fin Producción]),
""))))</f>
        <v>46477</v>
      </c>
    </row>
    <row r="121" spans="1:8" hidden="1" outlineLevel="1">
      <c r="A121" t="str">
        <f ca="1"/>
        <v>Tecnologías de Información</v>
      </c>
      <c r="B121" t="str">
        <f ca="1"/>
        <v>10. Paralizado</v>
      </c>
      <c r="C121" t="str">
        <f ca="1"/>
        <v>2024-M0223</v>
      </c>
      <c r="D121" t="str">
        <f ca="1"/>
        <v xml:space="preserve">   Desarrollo</v>
      </c>
      <c r="E121" s="255">
        <f ca="1"/>
        <v>0.12</v>
      </c>
      <c r="F121" s="255" t="str">
        <f ca="1"/>
        <v/>
      </c>
      <c r="G121" s="356">
        <f ca="1">IF(TRIM(D121)=C121,
   _xlfn.XLOOKUP(C121, Cartera1017[ID Mantenimiento],Cartera1017[Comienzo Desarrollo]),
IF(TRIM(D121)="Desarrollo",
   _xlfn.XLOOKUP(C121,Cartera1017[ID Mantenimiento],Cartera1017[Comienzo Desarrollo]),
IF(TRIM(D121)="Calidad",
   _xlfn.XLOOKUP(C121,Cartera1017[ID Mantenimiento],Cartera1017[Comienzo Calidad]),
IF(TRIM(D121)="Producción",
   _xlfn.XLOOKUP(C121,Cartera1017[ID Mantenimiento],Cartera1017[Comienzo Producción]),
""))))</f>
        <v>0</v>
      </c>
      <c r="H121" s="160">
        <f ca="1">IF(TRIM(D121)=C121,
   _xlfn.XLOOKUP(C121, Cartera1017[ID Mantenimiento],Cartera1017[Fin Producción]),
IF(TRIM(D121)="Desarrollo",
   _xlfn.XLOOKUP(C121,Cartera1017[ID Mantenimiento],Cartera1017[Fin Desarrollo]),
IF(TRIM(D121)="Calidad",
   _xlfn.XLOOKUP(C121,Cartera1017[ID Mantenimiento],Cartera1017[Fin Calidad]),
IF(TRIM(D121)="Producción",
   _xlfn.XLOOKUP(C121,Cartera1017[ID Mantenimiento],Cartera1017[Fin Producción]),
""))))</f>
        <v>0</v>
      </c>
    </row>
    <row r="122" spans="1:8" hidden="1" outlineLevel="1">
      <c r="A122" t="str">
        <f ca="1"/>
        <v>Tecnologías de Información</v>
      </c>
      <c r="B122" t="str">
        <f ca="1"/>
        <v>10. Paralizado</v>
      </c>
      <c r="C122" t="str">
        <f ca="1"/>
        <v>2024-M0223</v>
      </c>
      <c r="D122" t="str">
        <f ca="1"/>
        <v xml:space="preserve">   Calidad</v>
      </c>
      <c r="E122" s="255">
        <f ca="1"/>
        <v>0.12</v>
      </c>
      <c r="F122" s="255" t="str">
        <f ca="1"/>
        <v/>
      </c>
      <c r="G122" s="356">
        <f ca="1">IF(TRIM(D122)=C122,
   _xlfn.XLOOKUP(C122, Cartera1017[ID Mantenimiento],Cartera1017[Comienzo Desarrollo]),
IF(TRIM(D122)="Desarrollo",
   _xlfn.XLOOKUP(C122,Cartera1017[ID Mantenimiento],Cartera1017[Comienzo Desarrollo]),
IF(TRIM(D122)="Calidad",
   _xlfn.XLOOKUP(C122,Cartera1017[ID Mantenimiento],Cartera1017[Comienzo Calidad]),
IF(TRIM(D122)="Producción",
   _xlfn.XLOOKUP(C122,Cartera1017[ID Mantenimiento],Cartera1017[Comienzo Producción]),
""))))</f>
        <v>0</v>
      </c>
      <c r="H122" s="160">
        <f ca="1">IF(TRIM(D122)=C122,
   _xlfn.XLOOKUP(C122, Cartera1017[ID Mantenimiento],Cartera1017[Fin Producción]),
IF(TRIM(D122)="Desarrollo",
   _xlfn.XLOOKUP(C122,Cartera1017[ID Mantenimiento],Cartera1017[Fin Desarrollo]),
IF(TRIM(D122)="Calidad",
   _xlfn.XLOOKUP(C122,Cartera1017[ID Mantenimiento],Cartera1017[Fin Calidad]),
IF(TRIM(D122)="Producción",
   _xlfn.XLOOKUP(C122,Cartera1017[ID Mantenimiento],Cartera1017[Fin Producción]),
""))))</f>
        <v>0</v>
      </c>
    </row>
    <row r="123" spans="1:8" hidden="1" outlineLevel="1">
      <c r="A123" t="str">
        <f ca="1"/>
        <v>Tecnologías de Información</v>
      </c>
      <c r="B123" t="str">
        <f ca="1"/>
        <v>10. Paralizado</v>
      </c>
      <c r="C123" t="str">
        <f ca="1"/>
        <v>2024-M0223</v>
      </c>
      <c r="D123" t="str">
        <f ca="1"/>
        <v xml:space="preserve">   Producción</v>
      </c>
      <c r="E123" s="255">
        <f ca="1"/>
        <v>0.12</v>
      </c>
      <c r="F123" s="255" t="str">
        <f ca="1"/>
        <v/>
      </c>
      <c r="G123" s="356">
        <f ca="1">IF(TRIM(D123)=C123,
   _xlfn.XLOOKUP(C123, Cartera1017[ID Mantenimiento],Cartera1017[Comienzo Desarrollo]),
IF(TRIM(D123)="Desarrollo",
   _xlfn.XLOOKUP(C123,Cartera1017[ID Mantenimiento],Cartera1017[Comienzo Desarrollo]),
IF(TRIM(D123)="Calidad",
   _xlfn.XLOOKUP(C123,Cartera1017[ID Mantenimiento],Cartera1017[Comienzo Calidad]),
IF(TRIM(D123)="Producción",
   _xlfn.XLOOKUP(C123,Cartera1017[ID Mantenimiento],Cartera1017[Comienzo Producción]),
""))))</f>
        <v>0</v>
      </c>
      <c r="H123" s="160">
        <f ca="1">IF(TRIM(D123)=C123,
   _xlfn.XLOOKUP(C123, Cartera1017[ID Mantenimiento],Cartera1017[Fin Producción]),
IF(TRIM(D123)="Desarrollo",
   _xlfn.XLOOKUP(C123,Cartera1017[ID Mantenimiento],Cartera1017[Fin Desarrollo]),
IF(TRIM(D123)="Calidad",
   _xlfn.XLOOKUP(C123,Cartera1017[ID Mantenimiento],Cartera1017[Fin Calidad]),
IF(TRIM(D123)="Producción",
   _xlfn.XLOOKUP(C123,Cartera1017[ID Mantenimiento],Cartera1017[Fin Producción]),
""))))</f>
        <v>46477</v>
      </c>
    </row>
    <row r="124" spans="1:8" hidden="1" collapsed="1">
      <c r="A124" t="str">
        <f ca="1"/>
        <v>Operaciones</v>
      </c>
      <c r="B124" t="str">
        <f ca="1"/>
        <v>08. Producción Finalizada</v>
      </c>
      <c r="C124" t="str">
        <f ca="1"/>
        <v>2024-M0238</v>
      </c>
      <c r="D124" t="str">
        <f ca="1"/>
        <v>2024-M0238</v>
      </c>
      <c r="E124" s="255">
        <f ca="1"/>
        <v>1</v>
      </c>
      <c r="F124" s="255">
        <f ca="1"/>
        <v>1</v>
      </c>
      <c r="G124" s="356">
        <f ca="1">IF(TRIM(D124)=C124,
   _xlfn.XLOOKUP(C124, Cartera1017[ID Mantenimiento],Cartera1017[Comienzo Desarrollo]),
IF(TRIM(D124)="Desarrollo",
   _xlfn.XLOOKUP(C124,Cartera1017[ID Mantenimiento],Cartera1017[Comienzo Desarrollo]),
IF(TRIM(D124)="Calidad",
   _xlfn.XLOOKUP(C124,Cartera1017[ID Mantenimiento],Cartera1017[Comienzo Calidad]),
IF(TRIM(D124)="Producción",
   _xlfn.XLOOKUP(C124,Cartera1017[ID Mantenimiento],Cartera1017[Comienzo Producción]),
""))))</f>
        <v>45405</v>
      </c>
      <c r="H124" s="160">
        <f ca="1">IF(TRIM(D124)=C124,
   _xlfn.XLOOKUP(C124, Cartera1017[ID Mantenimiento],Cartera1017[Fin Producción]),
IF(TRIM(D124)="Desarrollo",
   _xlfn.XLOOKUP(C124,Cartera1017[ID Mantenimiento],Cartera1017[Fin Desarrollo]),
IF(TRIM(D124)="Calidad",
   _xlfn.XLOOKUP(C124,Cartera1017[ID Mantenimiento],Cartera1017[Fin Calidad]),
IF(TRIM(D124)="Producción",
   _xlfn.XLOOKUP(C124,Cartera1017[ID Mantenimiento],Cartera1017[Fin Producción]),
""))))</f>
        <v>46108</v>
      </c>
    </row>
    <row r="125" spans="1:8" hidden="1" outlineLevel="1">
      <c r="A125" t="str">
        <f ca="1"/>
        <v>Operaciones</v>
      </c>
      <c r="B125" t="str">
        <f ca="1"/>
        <v>08. Producción Finalizada</v>
      </c>
      <c r="C125" t="str">
        <f ca="1"/>
        <v>2024-M0238</v>
      </c>
      <c r="D125" t="str">
        <f ca="1"/>
        <v xml:space="preserve">   Desarrollo</v>
      </c>
      <c r="E125" s="255">
        <f ca="1"/>
        <v>1</v>
      </c>
      <c r="F125" s="255">
        <f ca="1"/>
        <v>1</v>
      </c>
      <c r="G125" s="356">
        <f ca="1">IF(TRIM(D125)=C125,
   _xlfn.XLOOKUP(C125, Cartera1017[ID Mantenimiento],Cartera1017[Comienzo Desarrollo]),
IF(TRIM(D125)="Desarrollo",
   _xlfn.XLOOKUP(C125,Cartera1017[ID Mantenimiento],Cartera1017[Comienzo Desarrollo]),
IF(TRIM(D125)="Calidad",
   _xlfn.XLOOKUP(C125,Cartera1017[ID Mantenimiento],Cartera1017[Comienzo Calidad]),
IF(TRIM(D125)="Producción",
   _xlfn.XLOOKUP(C125,Cartera1017[ID Mantenimiento],Cartera1017[Comienzo Producción]),
""))))</f>
        <v>45405</v>
      </c>
      <c r="H125" s="160">
        <f ca="1">IF(TRIM(D125)=C125,
   _xlfn.XLOOKUP(C125, Cartera1017[ID Mantenimiento],Cartera1017[Fin Producción]),
IF(TRIM(D125)="Desarrollo",
   _xlfn.XLOOKUP(C125,Cartera1017[ID Mantenimiento],Cartera1017[Fin Desarrollo]),
IF(TRIM(D125)="Calidad",
   _xlfn.XLOOKUP(C125,Cartera1017[ID Mantenimiento],Cartera1017[Fin Calidad]),
IF(TRIM(D125)="Producción",
   _xlfn.XLOOKUP(C125,Cartera1017[ID Mantenimiento],Cartera1017[Fin Producción]),
""))))</f>
        <v>45554</v>
      </c>
    </row>
    <row r="126" spans="1:8" hidden="1" outlineLevel="1">
      <c r="A126" t="str">
        <f ca="1"/>
        <v>Operaciones</v>
      </c>
      <c r="B126" t="str">
        <f ca="1"/>
        <v>08. Producción Finalizada</v>
      </c>
      <c r="C126" t="str">
        <f ca="1"/>
        <v>2024-M0238</v>
      </c>
      <c r="D126" t="str">
        <f ca="1"/>
        <v xml:space="preserve">   Calidad</v>
      </c>
      <c r="E126" s="255">
        <f ca="1"/>
        <v>1</v>
      </c>
      <c r="F126" s="255">
        <f ca="1"/>
        <v>1</v>
      </c>
      <c r="G126" s="356">
        <f ca="1">IF(TRIM(D126)=C126,
   _xlfn.XLOOKUP(C126, Cartera1017[ID Mantenimiento],Cartera1017[Comienzo Desarrollo]),
IF(TRIM(D126)="Desarrollo",
   _xlfn.XLOOKUP(C126,Cartera1017[ID Mantenimiento],Cartera1017[Comienzo Desarrollo]),
IF(TRIM(D126)="Calidad",
   _xlfn.XLOOKUP(C126,Cartera1017[ID Mantenimiento],Cartera1017[Comienzo Calidad]),
IF(TRIM(D126)="Producción",
   _xlfn.XLOOKUP(C126,Cartera1017[ID Mantenimiento],Cartera1017[Comienzo Producción]),
""))))</f>
        <v>45566</v>
      </c>
      <c r="H126" s="160">
        <f ca="1">IF(TRIM(D126)=C126,
   _xlfn.XLOOKUP(C126, Cartera1017[ID Mantenimiento],Cartera1017[Fin Producción]),
IF(TRIM(D126)="Desarrollo",
   _xlfn.XLOOKUP(C126,Cartera1017[ID Mantenimiento],Cartera1017[Fin Desarrollo]),
IF(TRIM(D126)="Calidad",
   _xlfn.XLOOKUP(C126,Cartera1017[ID Mantenimiento],Cartera1017[Fin Calidad]),
IF(TRIM(D126)="Producción",
   _xlfn.XLOOKUP(C126,Cartera1017[ID Mantenimiento],Cartera1017[Fin Producción]),
""))))</f>
        <v>45890</v>
      </c>
    </row>
    <row r="127" spans="1:8" hidden="1" outlineLevel="1">
      <c r="A127" t="str">
        <f ca="1"/>
        <v>Operaciones</v>
      </c>
      <c r="B127" t="str">
        <f ca="1"/>
        <v>08. Producción Finalizada</v>
      </c>
      <c r="C127" t="str">
        <f ca="1"/>
        <v>2024-M0238</v>
      </c>
      <c r="D127" t="str">
        <f ca="1"/>
        <v xml:space="preserve">   Producción</v>
      </c>
      <c r="E127" s="255">
        <f ca="1"/>
        <v>1</v>
      </c>
      <c r="F127" s="255">
        <f ca="1"/>
        <v>1</v>
      </c>
      <c r="G127" s="356">
        <f ca="1">IF(TRIM(D127)=C127,
   _xlfn.XLOOKUP(C127, Cartera1017[ID Mantenimiento],Cartera1017[Comienzo Desarrollo]),
IF(TRIM(D127)="Desarrollo",
   _xlfn.XLOOKUP(C127,Cartera1017[ID Mantenimiento],Cartera1017[Comienzo Desarrollo]),
IF(TRIM(D127)="Calidad",
   _xlfn.XLOOKUP(C127,Cartera1017[ID Mantenimiento],Cartera1017[Comienzo Calidad]),
IF(TRIM(D127)="Producción",
   _xlfn.XLOOKUP(C127,Cartera1017[ID Mantenimiento],Cartera1017[Comienzo Producción]),
""))))</f>
        <v>46072</v>
      </c>
      <c r="H127" s="160">
        <f ca="1">IF(TRIM(D127)=C127,
   _xlfn.XLOOKUP(C127, Cartera1017[ID Mantenimiento],Cartera1017[Fin Producción]),
IF(TRIM(D127)="Desarrollo",
   _xlfn.XLOOKUP(C127,Cartera1017[ID Mantenimiento],Cartera1017[Fin Desarrollo]),
IF(TRIM(D127)="Calidad",
   _xlfn.XLOOKUP(C127,Cartera1017[ID Mantenimiento],Cartera1017[Fin Calidad]),
IF(TRIM(D127)="Producción",
   _xlfn.XLOOKUP(C127,Cartera1017[ID Mantenimiento],Cartera1017[Fin Producción]),
""))))</f>
        <v>46108</v>
      </c>
    </row>
    <row r="128" spans="1:8" hidden="1" collapsed="1">
      <c r="A128" t="str">
        <f ca="1"/>
        <v>Operaciones</v>
      </c>
      <c r="B128" t="str">
        <f ca="1"/>
        <v>08. Producción Finalizada</v>
      </c>
      <c r="C128" t="str">
        <f ca="1"/>
        <v>2024-M0237</v>
      </c>
      <c r="D128" t="str">
        <f ca="1"/>
        <v>2024-M0237</v>
      </c>
      <c r="E128" s="255">
        <f ca="1"/>
        <v>1</v>
      </c>
      <c r="F128" s="255">
        <f ca="1"/>
        <v>1</v>
      </c>
      <c r="G128" s="356">
        <f ca="1">IF(TRIM(D128)=C128,
   _xlfn.XLOOKUP(C128, Cartera1017[ID Mantenimiento],Cartera1017[Comienzo Desarrollo]),
IF(TRIM(D128)="Desarrollo",
   _xlfn.XLOOKUP(C128,Cartera1017[ID Mantenimiento],Cartera1017[Comienzo Desarrollo]),
IF(TRIM(D128)="Calidad",
   _xlfn.XLOOKUP(C128,Cartera1017[ID Mantenimiento],Cartera1017[Comienzo Calidad]),
IF(TRIM(D128)="Producción",
   _xlfn.XLOOKUP(C128,Cartera1017[ID Mantenimiento],Cartera1017[Comienzo Producción]),
""))))</f>
        <v>45405</v>
      </c>
      <c r="H128" s="160">
        <f ca="1">IF(TRIM(D128)=C128,
   _xlfn.XLOOKUP(C128, Cartera1017[ID Mantenimiento],Cartera1017[Fin Producción]),
IF(TRIM(D128)="Desarrollo",
   _xlfn.XLOOKUP(C128,Cartera1017[ID Mantenimiento],Cartera1017[Fin Desarrollo]),
IF(TRIM(D128)="Calidad",
   _xlfn.XLOOKUP(C128,Cartera1017[ID Mantenimiento],Cartera1017[Fin Calidad]),
IF(TRIM(D128)="Producción",
   _xlfn.XLOOKUP(C128,Cartera1017[ID Mantenimiento],Cartera1017[Fin Producción]),
""))))</f>
        <v>46108</v>
      </c>
    </row>
    <row r="129" spans="1:8" hidden="1" outlineLevel="1">
      <c r="A129" t="str">
        <f ca="1"/>
        <v>Operaciones</v>
      </c>
      <c r="B129" t="str">
        <f ca="1"/>
        <v>08. Producción Finalizada</v>
      </c>
      <c r="C129" t="str">
        <f ca="1"/>
        <v>2024-M0237</v>
      </c>
      <c r="D129" t="str">
        <f ca="1"/>
        <v xml:space="preserve">   Desarrollo</v>
      </c>
      <c r="E129" s="255">
        <f ca="1"/>
        <v>1</v>
      </c>
      <c r="F129" s="255">
        <f ca="1"/>
        <v>1</v>
      </c>
      <c r="G129" s="356">
        <f ca="1">IF(TRIM(D129)=C129,
   _xlfn.XLOOKUP(C129, Cartera1017[ID Mantenimiento],Cartera1017[Comienzo Desarrollo]),
IF(TRIM(D129)="Desarrollo",
   _xlfn.XLOOKUP(C129,Cartera1017[ID Mantenimiento],Cartera1017[Comienzo Desarrollo]),
IF(TRIM(D129)="Calidad",
   _xlfn.XLOOKUP(C129,Cartera1017[ID Mantenimiento],Cartera1017[Comienzo Calidad]),
IF(TRIM(D129)="Producción",
   _xlfn.XLOOKUP(C129,Cartera1017[ID Mantenimiento],Cartera1017[Comienzo Producción]),
""))))</f>
        <v>45405</v>
      </c>
      <c r="H129" s="160">
        <f ca="1">IF(TRIM(D129)=C129,
   _xlfn.XLOOKUP(C129, Cartera1017[ID Mantenimiento],Cartera1017[Fin Producción]),
IF(TRIM(D129)="Desarrollo",
   _xlfn.XLOOKUP(C129,Cartera1017[ID Mantenimiento],Cartera1017[Fin Desarrollo]),
IF(TRIM(D129)="Calidad",
   _xlfn.XLOOKUP(C129,Cartera1017[ID Mantenimiento],Cartera1017[Fin Calidad]),
IF(TRIM(D129)="Producción",
   _xlfn.XLOOKUP(C129,Cartera1017[ID Mantenimiento],Cartera1017[Fin Producción]),
""))))</f>
        <v>45824</v>
      </c>
    </row>
    <row r="130" spans="1:8" hidden="1" outlineLevel="1">
      <c r="A130" t="str">
        <f ca="1"/>
        <v>Operaciones</v>
      </c>
      <c r="B130" t="str">
        <f ca="1"/>
        <v>08. Producción Finalizada</v>
      </c>
      <c r="C130" t="str">
        <f ca="1"/>
        <v>2024-M0237</v>
      </c>
      <c r="D130" t="str">
        <f ca="1"/>
        <v xml:space="preserve">   Calidad</v>
      </c>
      <c r="E130" s="255">
        <f ca="1"/>
        <v>1</v>
      </c>
      <c r="F130" s="255">
        <f ca="1"/>
        <v>1</v>
      </c>
      <c r="G130" s="356">
        <f ca="1">IF(TRIM(D130)=C130,
   _xlfn.XLOOKUP(C130, Cartera1017[ID Mantenimiento],Cartera1017[Comienzo Desarrollo]),
IF(TRIM(D130)="Desarrollo",
   _xlfn.XLOOKUP(C130,Cartera1017[ID Mantenimiento],Cartera1017[Comienzo Desarrollo]),
IF(TRIM(D130)="Calidad",
   _xlfn.XLOOKUP(C130,Cartera1017[ID Mantenimiento],Cartera1017[Comienzo Calidad]),
IF(TRIM(D130)="Producción",
   _xlfn.XLOOKUP(C130,Cartera1017[ID Mantenimiento],Cartera1017[Comienzo Producción]),
""))))</f>
        <v>45838</v>
      </c>
      <c r="H130" s="160">
        <f ca="1">IF(TRIM(D130)=C130,
   _xlfn.XLOOKUP(C130, Cartera1017[ID Mantenimiento],Cartera1017[Fin Producción]),
IF(TRIM(D130)="Desarrollo",
   _xlfn.XLOOKUP(C130,Cartera1017[ID Mantenimiento],Cartera1017[Fin Desarrollo]),
IF(TRIM(D130)="Calidad",
   _xlfn.XLOOKUP(C130,Cartera1017[ID Mantenimiento],Cartera1017[Fin Calidad]),
IF(TRIM(D130)="Producción",
   _xlfn.XLOOKUP(C130,Cartera1017[ID Mantenimiento],Cartera1017[Fin Producción]),
""))))</f>
        <v>45838</v>
      </c>
    </row>
    <row r="131" spans="1:8" hidden="1" outlineLevel="1">
      <c r="A131" t="str">
        <f ca="1"/>
        <v>Operaciones</v>
      </c>
      <c r="B131" t="str">
        <f ca="1"/>
        <v>08. Producción Finalizada</v>
      </c>
      <c r="C131" t="str">
        <f ca="1"/>
        <v>2024-M0237</v>
      </c>
      <c r="D131" t="str">
        <f ca="1"/>
        <v xml:space="preserve">   Producción</v>
      </c>
      <c r="E131" s="255">
        <f ca="1"/>
        <v>1</v>
      </c>
      <c r="F131" s="255">
        <f ca="1"/>
        <v>1</v>
      </c>
      <c r="G131" s="356">
        <f ca="1">IF(TRIM(D131)=C131,
   _xlfn.XLOOKUP(C131, Cartera1017[ID Mantenimiento],Cartera1017[Comienzo Desarrollo]),
IF(TRIM(D131)="Desarrollo",
   _xlfn.XLOOKUP(C131,Cartera1017[ID Mantenimiento],Cartera1017[Comienzo Desarrollo]),
IF(TRIM(D131)="Calidad",
   _xlfn.XLOOKUP(C131,Cartera1017[ID Mantenimiento],Cartera1017[Comienzo Calidad]),
IF(TRIM(D131)="Producción",
   _xlfn.XLOOKUP(C131,Cartera1017[ID Mantenimiento],Cartera1017[Comienzo Producción]),
""))))</f>
        <v>45839</v>
      </c>
      <c r="H131" s="160">
        <f ca="1">IF(TRIM(D131)=C131,
   _xlfn.XLOOKUP(C131, Cartera1017[ID Mantenimiento],Cartera1017[Fin Producción]),
IF(TRIM(D131)="Desarrollo",
   _xlfn.XLOOKUP(C131,Cartera1017[ID Mantenimiento],Cartera1017[Fin Desarrollo]),
IF(TRIM(D131)="Calidad",
   _xlfn.XLOOKUP(C131,Cartera1017[ID Mantenimiento],Cartera1017[Fin Calidad]),
IF(TRIM(D131)="Producción",
   _xlfn.XLOOKUP(C131,Cartera1017[ID Mantenimiento],Cartera1017[Fin Producción]),
""))))</f>
        <v>46108</v>
      </c>
    </row>
    <row r="132" spans="1:8" hidden="1" collapsed="1">
      <c r="A132" t="str">
        <f ca="1"/>
        <v>Tecnologías de Información</v>
      </c>
      <c r="B132" t="str">
        <f ca="1"/>
        <v>10. Paralizado</v>
      </c>
      <c r="C132" t="str">
        <f ca="1"/>
        <v>2024-M0298</v>
      </c>
      <c r="D132" t="str">
        <f ca="1"/>
        <v>2024-M0298</v>
      </c>
      <c r="E132" s="255">
        <f ca="1"/>
        <v>0.12</v>
      </c>
      <c r="F132" s="255" t="str">
        <f ca="1"/>
        <v/>
      </c>
      <c r="G132" s="356">
        <f ca="1">IF(TRIM(D132)=C132,
   _xlfn.XLOOKUP(C132, Cartera1017[ID Mantenimiento],Cartera1017[Comienzo Desarrollo]),
IF(TRIM(D132)="Desarrollo",
   _xlfn.XLOOKUP(C132,Cartera1017[ID Mantenimiento],Cartera1017[Comienzo Desarrollo]),
IF(TRIM(D132)="Calidad",
   _xlfn.XLOOKUP(C132,Cartera1017[ID Mantenimiento],Cartera1017[Comienzo Calidad]),
IF(TRIM(D132)="Producción",
   _xlfn.XLOOKUP(C132,Cartera1017[ID Mantenimiento],Cartera1017[Comienzo Producción]),
""))))</f>
        <v>0</v>
      </c>
      <c r="H132" s="160">
        <f ca="1">IF(TRIM(D132)=C132,
   _xlfn.XLOOKUP(C132, Cartera1017[ID Mantenimiento],Cartera1017[Fin Producción]),
IF(TRIM(D132)="Desarrollo",
   _xlfn.XLOOKUP(C132,Cartera1017[ID Mantenimiento],Cartera1017[Fin Desarrollo]),
IF(TRIM(D132)="Calidad",
   _xlfn.XLOOKUP(C132,Cartera1017[ID Mantenimiento],Cartera1017[Fin Calidad]),
IF(TRIM(D132)="Producción",
   _xlfn.XLOOKUP(C132,Cartera1017[ID Mantenimiento],Cartera1017[Fin Producción]),
""))))</f>
        <v>46477</v>
      </c>
    </row>
    <row r="133" spans="1:8" hidden="1" outlineLevel="1">
      <c r="A133" t="str">
        <f ca="1"/>
        <v>Tecnologías de Información</v>
      </c>
      <c r="B133" t="str">
        <f ca="1"/>
        <v>10. Paralizado</v>
      </c>
      <c r="C133" t="str">
        <f ca="1"/>
        <v>2024-M0298</v>
      </c>
      <c r="D133" t="str">
        <f ca="1"/>
        <v xml:space="preserve">   Desarrollo</v>
      </c>
      <c r="E133" s="255">
        <f ca="1"/>
        <v>0.12</v>
      </c>
      <c r="F133" s="255" t="str">
        <f ca="1"/>
        <v/>
      </c>
      <c r="G133" s="356">
        <f ca="1">IF(TRIM(D133)=C133,
   _xlfn.XLOOKUP(C133, Cartera1017[ID Mantenimiento],Cartera1017[Comienzo Desarrollo]),
IF(TRIM(D133)="Desarrollo",
   _xlfn.XLOOKUP(C133,Cartera1017[ID Mantenimiento],Cartera1017[Comienzo Desarrollo]),
IF(TRIM(D133)="Calidad",
   _xlfn.XLOOKUP(C133,Cartera1017[ID Mantenimiento],Cartera1017[Comienzo Calidad]),
IF(TRIM(D133)="Producción",
   _xlfn.XLOOKUP(C133,Cartera1017[ID Mantenimiento],Cartera1017[Comienzo Producción]),
""))))</f>
        <v>0</v>
      </c>
      <c r="H133" s="160">
        <f ca="1">IF(TRIM(D133)=C133,
   _xlfn.XLOOKUP(C133, Cartera1017[ID Mantenimiento],Cartera1017[Fin Producción]),
IF(TRIM(D133)="Desarrollo",
   _xlfn.XLOOKUP(C133,Cartera1017[ID Mantenimiento],Cartera1017[Fin Desarrollo]),
IF(TRIM(D133)="Calidad",
   _xlfn.XLOOKUP(C133,Cartera1017[ID Mantenimiento],Cartera1017[Fin Calidad]),
IF(TRIM(D133)="Producción",
   _xlfn.XLOOKUP(C133,Cartera1017[ID Mantenimiento],Cartera1017[Fin Producción]),
""))))</f>
        <v>0</v>
      </c>
    </row>
    <row r="134" spans="1:8" hidden="1" outlineLevel="1">
      <c r="A134" t="str">
        <f ca="1"/>
        <v>Tecnologías de Información</v>
      </c>
      <c r="B134" t="str">
        <f ca="1"/>
        <v>10. Paralizado</v>
      </c>
      <c r="C134" t="str">
        <f ca="1"/>
        <v>2024-M0298</v>
      </c>
      <c r="D134" t="str">
        <f ca="1"/>
        <v xml:space="preserve">   Calidad</v>
      </c>
      <c r="E134" s="255">
        <f ca="1"/>
        <v>0.12</v>
      </c>
      <c r="F134" s="255" t="str">
        <f ca="1"/>
        <v/>
      </c>
      <c r="G134" s="356">
        <f ca="1">IF(TRIM(D134)=C134,
   _xlfn.XLOOKUP(C134, Cartera1017[ID Mantenimiento],Cartera1017[Comienzo Desarrollo]),
IF(TRIM(D134)="Desarrollo",
   _xlfn.XLOOKUP(C134,Cartera1017[ID Mantenimiento],Cartera1017[Comienzo Desarrollo]),
IF(TRIM(D134)="Calidad",
   _xlfn.XLOOKUP(C134,Cartera1017[ID Mantenimiento],Cartera1017[Comienzo Calidad]),
IF(TRIM(D134)="Producción",
   _xlfn.XLOOKUP(C134,Cartera1017[ID Mantenimiento],Cartera1017[Comienzo Producción]),
""))))</f>
        <v>0</v>
      </c>
      <c r="H134" s="160">
        <f ca="1">IF(TRIM(D134)=C134,
   _xlfn.XLOOKUP(C134, Cartera1017[ID Mantenimiento],Cartera1017[Fin Producción]),
IF(TRIM(D134)="Desarrollo",
   _xlfn.XLOOKUP(C134,Cartera1017[ID Mantenimiento],Cartera1017[Fin Desarrollo]),
IF(TRIM(D134)="Calidad",
   _xlfn.XLOOKUP(C134,Cartera1017[ID Mantenimiento],Cartera1017[Fin Calidad]),
IF(TRIM(D134)="Producción",
   _xlfn.XLOOKUP(C134,Cartera1017[ID Mantenimiento],Cartera1017[Fin Producción]),
""))))</f>
        <v>0</v>
      </c>
    </row>
    <row r="135" spans="1:8" hidden="1" outlineLevel="1">
      <c r="A135" t="str">
        <f ca="1"/>
        <v>Tecnologías de Información</v>
      </c>
      <c r="B135" t="str">
        <f ca="1"/>
        <v>10. Paralizado</v>
      </c>
      <c r="C135" t="str">
        <f ca="1"/>
        <v>2024-M0298</v>
      </c>
      <c r="D135" t="str">
        <f ca="1"/>
        <v xml:space="preserve">   Producción</v>
      </c>
      <c r="E135" s="255">
        <f ca="1"/>
        <v>0.12</v>
      </c>
      <c r="F135" s="255" t="str">
        <f ca="1"/>
        <v/>
      </c>
      <c r="G135" s="356">
        <f ca="1">IF(TRIM(D135)=C135,
   _xlfn.XLOOKUP(C135, Cartera1017[ID Mantenimiento],Cartera1017[Comienzo Desarrollo]),
IF(TRIM(D135)="Desarrollo",
   _xlfn.XLOOKUP(C135,Cartera1017[ID Mantenimiento],Cartera1017[Comienzo Desarrollo]),
IF(TRIM(D135)="Calidad",
   _xlfn.XLOOKUP(C135,Cartera1017[ID Mantenimiento],Cartera1017[Comienzo Calidad]),
IF(TRIM(D135)="Producción",
   _xlfn.XLOOKUP(C135,Cartera1017[ID Mantenimiento],Cartera1017[Comienzo Producción]),
""))))</f>
        <v>0</v>
      </c>
      <c r="H135" s="160">
        <f ca="1">IF(TRIM(D135)=C135,
   _xlfn.XLOOKUP(C135, Cartera1017[ID Mantenimiento],Cartera1017[Fin Producción]),
IF(TRIM(D135)="Desarrollo",
   _xlfn.XLOOKUP(C135,Cartera1017[ID Mantenimiento],Cartera1017[Fin Desarrollo]),
IF(TRIM(D135)="Calidad",
   _xlfn.XLOOKUP(C135,Cartera1017[ID Mantenimiento],Cartera1017[Fin Calidad]),
IF(TRIM(D135)="Producción",
   _xlfn.XLOOKUP(C135,Cartera1017[ID Mantenimiento],Cartera1017[Fin Producción]),
""))))</f>
        <v>46477</v>
      </c>
    </row>
    <row r="136" spans="1:8" hidden="1" collapsed="1">
      <c r="A136" t="str">
        <f ca="1"/>
        <v>Operaciones</v>
      </c>
      <c r="B136" t="str">
        <f ca="1"/>
        <v>08. Producción Finalizada</v>
      </c>
      <c r="C136" t="str">
        <f ca="1"/>
        <v>2024-M0320</v>
      </c>
      <c r="D136" t="str">
        <f ca="1"/>
        <v>2024-M0320</v>
      </c>
      <c r="E136" s="255">
        <f ca="1"/>
        <v>1</v>
      </c>
      <c r="F136" s="255">
        <f ca="1"/>
        <v>1</v>
      </c>
      <c r="G136" s="356">
        <f ca="1">IF(TRIM(D136)=C136,
   _xlfn.XLOOKUP(C136, Cartera1017[ID Mantenimiento],Cartera1017[Comienzo Desarrollo]),
IF(TRIM(D136)="Desarrollo",
   _xlfn.XLOOKUP(C136,Cartera1017[ID Mantenimiento],Cartera1017[Comienzo Desarrollo]),
IF(TRIM(D136)="Calidad",
   _xlfn.XLOOKUP(C136,Cartera1017[ID Mantenimiento],Cartera1017[Comienzo Calidad]),
IF(TRIM(D136)="Producción",
   _xlfn.XLOOKUP(C136,Cartera1017[ID Mantenimiento],Cartera1017[Comienzo Producción]),
""))))</f>
        <v>46037</v>
      </c>
      <c r="H136" s="160">
        <f ca="1">IF(TRIM(D136)=C136,
   _xlfn.XLOOKUP(C136, Cartera1017[ID Mantenimiento],Cartera1017[Fin Producción]),
IF(TRIM(D136)="Desarrollo",
   _xlfn.XLOOKUP(C136,Cartera1017[ID Mantenimiento],Cartera1017[Fin Desarrollo]),
IF(TRIM(D136)="Calidad",
   _xlfn.XLOOKUP(C136,Cartera1017[ID Mantenimiento],Cartera1017[Fin Calidad]),
IF(TRIM(D136)="Producción",
   _xlfn.XLOOKUP(C136,Cartera1017[ID Mantenimiento],Cartera1017[Fin Producción]),
""))))</f>
        <v>46125</v>
      </c>
    </row>
    <row r="137" spans="1:8" hidden="1" outlineLevel="1">
      <c r="A137" t="str">
        <f ca="1"/>
        <v>Operaciones</v>
      </c>
      <c r="B137" t="str">
        <f ca="1"/>
        <v>08. Producción Finalizada</v>
      </c>
      <c r="C137" t="str">
        <f ca="1"/>
        <v>2024-M0320</v>
      </c>
      <c r="D137" t="str">
        <f ca="1"/>
        <v xml:space="preserve">   Desarrollo</v>
      </c>
      <c r="E137" s="255">
        <f ca="1"/>
        <v>1</v>
      </c>
      <c r="F137" s="255">
        <f ca="1"/>
        <v>1</v>
      </c>
      <c r="G137" s="356">
        <f ca="1">IF(TRIM(D137)=C137,
   _xlfn.XLOOKUP(C137, Cartera1017[ID Mantenimiento],Cartera1017[Comienzo Desarrollo]),
IF(TRIM(D137)="Desarrollo",
   _xlfn.XLOOKUP(C137,Cartera1017[ID Mantenimiento],Cartera1017[Comienzo Desarrollo]),
IF(TRIM(D137)="Calidad",
   _xlfn.XLOOKUP(C137,Cartera1017[ID Mantenimiento],Cartera1017[Comienzo Calidad]),
IF(TRIM(D137)="Producción",
   _xlfn.XLOOKUP(C137,Cartera1017[ID Mantenimiento],Cartera1017[Comienzo Producción]),
""))))</f>
        <v>46037</v>
      </c>
      <c r="H137" s="160">
        <f ca="1">IF(TRIM(D137)=C137,
   _xlfn.XLOOKUP(C137, Cartera1017[ID Mantenimiento],Cartera1017[Fin Producción]),
IF(TRIM(D137)="Desarrollo",
   _xlfn.XLOOKUP(C137,Cartera1017[ID Mantenimiento],Cartera1017[Fin Desarrollo]),
IF(TRIM(D137)="Calidad",
   _xlfn.XLOOKUP(C137,Cartera1017[ID Mantenimiento],Cartera1017[Fin Calidad]),
IF(TRIM(D137)="Producción",
   _xlfn.XLOOKUP(C137,Cartera1017[ID Mantenimiento],Cartera1017[Fin Producción]),
""))))</f>
        <v>46044</v>
      </c>
    </row>
    <row r="138" spans="1:8" hidden="1" outlineLevel="1">
      <c r="A138" t="str">
        <f ca="1"/>
        <v>Operaciones</v>
      </c>
      <c r="B138" t="str">
        <f ca="1"/>
        <v>08. Producción Finalizada</v>
      </c>
      <c r="C138" t="str">
        <f ca="1"/>
        <v>2024-M0320</v>
      </c>
      <c r="D138" t="str">
        <f ca="1"/>
        <v xml:space="preserve">   Calidad</v>
      </c>
      <c r="E138" s="255">
        <f ca="1"/>
        <v>1</v>
      </c>
      <c r="F138" s="255">
        <f ca="1"/>
        <v>1</v>
      </c>
      <c r="G138" s="356">
        <f ca="1">IF(TRIM(D138)=C138,
   _xlfn.XLOOKUP(C138, Cartera1017[ID Mantenimiento],Cartera1017[Comienzo Desarrollo]),
IF(TRIM(D138)="Desarrollo",
   _xlfn.XLOOKUP(C138,Cartera1017[ID Mantenimiento],Cartera1017[Comienzo Desarrollo]),
IF(TRIM(D138)="Calidad",
   _xlfn.XLOOKUP(C138,Cartera1017[ID Mantenimiento],Cartera1017[Comienzo Calidad]),
IF(TRIM(D138)="Producción",
   _xlfn.XLOOKUP(C138,Cartera1017[ID Mantenimiento],Cartera1017[Comienzo Producción]),
""))))</f>
        <v>46045</v>
      </c>
      <c r="H138" s="160">
        <f ca="1">IF(TRIM(D138)=C138,
   _xlfn.XLOOKUP(C138, Cartera1017[ID Mantenimiento],Cartera1017[Fin Producción]),
IF(TRIM(D138)="Desarrollo",
   _xlfn.XLOOKUP(C138,Cartera1017[ID Mantenimiento],Cartera1017[Fin Desarrollo]),
IF(TRIM(D138)="Calidad",
   _xlfn.XLOOKUP(C138,Cartera1017[ID Mantenimiento],Cartera1017[Fin Calidad]),
IF(TRIM(D138)="Producción",
   _xlfn.XLOOKUP(C138,Cartera1017[ID Mantenimiento],Cartera1017[Fin Producción]),
""))))</f>
        <v>46050</v>
      </c>
    </row>
    <row r="139" spans="1:8" hidden="1" outlineLevel="1">
      <c r="A139" t="str">
        <f ca="1"/>
        <v>Operaciones</v>
      </c>
      <c r="B139" t="str">
        <f ca="1"/>
        <v>08. Producción Finalizada</v>
      </c>
      <c r="C139" t="str">
        <f ca="1"/>
        <v>2024-M0320</v>
      </c>
      <c r="D139" t="str">
        <f ca="1"/>
        <v xml:space="preserve">   Producción</v>
      </c>
      <c r="E139" s="255">
        <f ca="1"/>
        <v>1</v>
      </c>
      <c r="F139" s="255">
        <f ca="1"/>
        <v>1</v>
      </c>
      <c r="G139" s="356">
        <f ca="1">IF(TRIM(D139)=C139,
   _xlfn.XLOOKUP(C139, Cartera1017[ID Mantenimiento],Cartera1017[Comienzo Desarrollo]),
IF(TRIM(D139)="Desarrollo",
   _xlfn.XLOOKUP(C139,Cartera1017[ID Mantenimiento],Cartera1017[Comienzo Desarrollo]),
IF(TRIM(D139)="Calidad",
   _xlfn.XLOOKUP(C139,Cartera1017[ID Mantenimiento],Cartera1017[Comienzo Calidad]),
IF(TRIM(D139)="Producción",
   _xlfn.XLOOKUP(C139,Cartera1017[ID Mantenimiento],Cartera1017[Comienzo Producción]),
""))))</f>
        <v>46051</v>
      </c>
      <c r="H139" s="160">
        <f ca="1">IF(TRIM(D139)=C139,
   _xlfn.XLOOKUP(C139, Cartera1017[ID Mantenimiento],Cartera1017[Fin Producción]),
IF(TRIM(D139)="Desarrollo",
   _xlfn.XLOOKUP(C139,Cartera1017[ID Mantenimiento],Cartera1017[Fin Desarrollo]),
IF(TRIM(D139)="Calidad",
   _xlfn.XLOOKUP(C139,Cartera1017[ID Mantenimiento],Cartera1017[Fin Calidad]),
IF(TRIM(D139)="Producción",
   _xlfn.XLOOKUP(C139,Cartera1017[ID Mantenimiento],Cartera1017[Fin Producción]),
""))))</f>
        <v>46125</v>
      </c>
    </row>
    <row r="140" spans="1:8" hidden="1" collapsed="1">
      <c r="A140" t="str">
        <f ca="1"/>
        <v>Recursos Humanos y Cultura</v>
      </c>
      <c r="B140" t="str">
        <f ca="1"/>
        <v>08. Producción Finalizada</v>
      </c>
      <c r="C140" t="str">
        <f ca="1"/>
        <v>2024-M0345</v>
      </c>
      <c r="D140" t="str">
        <f ca="1"/>
        <v>2024-M0345</v>
      </c>
      <c r="E140" s="255">
        <f ca="1"/>
        <v>1</v>
      </c>
      <c r="F140" s="255">
        <f ca="1"/>
        <v>1</v>
      </c>
      <c r="G140" s="356">
        <f ca="1">IF(TRIM(D140)=C140,
   _xlfn.XLOOKUP(C140, Cartera1017[ID Mantenimiento],Cartera1017[Comienzo Desarrollo]),
IF(TRIM(D140)="Desarrollo",
   _xlfn.XLOOKUP(C140,Cartera1017[ID Mantenimiento],Cartera1017[Comienzo Desarrollo]),
IF(TRIM(D140)="Calidad",
   _xlfn.XLOOKUP(C140,Cartera1017[ID Mantenimiento],Cartera1017[Comienzo Calidad]),
IF(TRIM(D140)="Producción",
   _xlfn.XLOOKUP(C140,Cartera1017[ID Mantenimiento],Cartera1017[Comienzo Producción]),
""))))</f>
        <v>45484</v>
      </c>
      <c r="H140" s="160">
        <f ca="1">IF(TRIM(D140)=C140,
   _xlfn.XLOOKUP(C140, Cartera1017[ID Mantenimiento],Cartera1017[Fin Producción]),
IF(TRIM(D140)="Desarrollo",
   _xlfn.XLOOKUP(C140,Cartera1017[ID Mantenimiento],Cartera1017[Fin Desarrollo]),
IF(TRIM(D140)="Calidad",
   _xlfn.XLOOKUP(C140,Cartera1017[ID Mantenimiento],Cartera1017[Fin Calidad]),
IF(TRIM(D140)="Producción",
   _xlfn.XLOOKUP(C140,Cartera1017[ID Mantenimiento],Cartera1017[Fin Producción]),
""))))</f>
        <v>46045</v>
      </c>
    </row>
    <row r="141" spans="1:8" hidden="1" outlineLevel="1">
      <c r="A141" t="str">
        <f ca="1"/>
        <v>Recursos Humanos y Cultura</v>
      </c>
      <c r="B141" t="str">
        <f ca="1"/>
        <v>08. Producción Finalizada</v>
      </c>
      <c r="C141" t="str">
        <f ca="1"/>
        <v>2024-M0345</v>
      </c>
      <c r="D141" t="str">
        <f ca="1"/>
        <v xml:space="preserve">   Desarrollo</v>
      </c>
      <c r="E141" s="255">
        <f ca="1"/>
        <v>1</v>
      </c>
      <c r="F141" s="255">
        <f ca="1"/>
        <v>1</v>
      </c>
      <c r="G141" s="356">
        <f ca="1">IF(TRIM(D141)=C141,
   _xlfn.XLOOKUP(C141, Cartera1017[ID Mantenimiento],Cartera1017[Comienzo Desarrollo]),
IF(TRIM(D141)="Desarrollo",
   _xlfn.XLOOKUP(C141,Cartera1017[ID Mantenimiento],Cartera1017[Comienzo Desarrollo]),
IF(TRIM(D141)="Calidad",
   _xlfn.XLOOKUP(C141,Cartera1017[ID Mantenimiento],Cartera1017[Comienzo Calidad]),
IF(TRIM(D141)="Producción",
   _xlfn.XLOOKUP(C141,Cartera1017[ID Mantenimiento],Cartera1017[Comienzo Producción]),
""))))</f>
        <v>45484</v>
      </c>
      <c r="H141" s="160">
        <f ca="1">IF(TRIM(D141)=C141,
   _xlfn.XLOOKUP(C141, Cartera1017[ID Mantenimiento],Cartera1017[Fin Producción]),
IF(TRIM(D141)="Desarrollo",
   _xlfn.XLOOKUP(C141,Cartera1017[ID Mantenimiento],Cartera1017[Fin Desarrollo]),
IF(TRIM(D141)="Calidad",
   _xlfn.XLOOKUP(C141,Cartera1017[ID Mantenimiento],Cartera1017[Fin Calidad]),
IF(TRIM(D141)="Producción",
   _xlfn.XLOOKUP(C141,Cartera1017[ID Mantenimiento],Cartera1017[Fin Producción]),
""))))</f>
        <v>45992</v>
      </c>
    </row>
    <row r="142" spans="1:8" hidden="1" outlineLevel="1">
      <c r="A142" t="str">
        <f ca="1"/>
        <v>Recursos Humanos y Cultura</v>
      </c>
      <c r="B142" t="str">
        <f ca="1"/>
        <v>08. Producción Finalizada</v>
      </c>
      <c r="C142" t="str">
        <f ca="1"/>
        <v>2024-M0345</v>
      </c>
      <c r="D142" t="str">
        <f ca="1"/>
        <v xml:space="preserve">   Calidad</v>
      </c>
      <c r="E142" s="255">
        <f ca="1"/>
        <v>1</v>
      </c>
      <c r="F142" s="255">
        <f ca="1"/>
        <v>1</v>
      </c>
      <c r="G142" s="356">
        <f ca="1">IF(TRIM(D142)=C142,
   _xlfn.XLOOKUP(C142, Cartera1017[ID Mantenimiento],Cartera1017[Comienzo Desarrollo]),
IF(TRIM(D142)="Desarrollo",
   _xlfn.XLOOKUP(C142,Cartera1017[ID Mantenimiento],Cartera1017[Comienzo Desarrollo]),
IF(TRIM(D142)="Calidad",
   _xlfn.XLOOKUP(C142,Cartera1017[ID Mantenimiento],Cartera1017[Comienzo Calidad]),
IF(TRIM(D142)="Producción",
   _xlfn.XLOOKUP(C142,Cartera1017[ID Mantenimiento],Cartera1017[Comienzo Producción]),
""))))</f>
        <v>46007</v>
      </c>
      <c r="H142" s="160">
        <f ca="1">IF(TRIM(D142)=C142,
   _xlfn.XLOOKUP(C142, Cartera1017[ID Mantenimiento],Cartera1017[Fin Producción]),
IF(TRIM(D142)="Desarrollo",
   _xlfn.XLOOKUP(C142,Cartera1017[ID Mantenimiento],Cartera1017[Fin Desarrollo]),
IF(TRIM(D142)="Calidad",
   _xlfn.XLOOKUP(C142,Cartera1017[ID Mantenimiento],Cartera1017[Fin Calidad]),
IF(TRIM(D142)="Producción",
   _xlfn.XLOOKUP(C142,Cartera1017[ID Mantenimiento],Cartera1017[Fin Producción]),
""))))</f>
        <v>46021</v>
      </c>
    </row>
    <row r="143" spans="1:8" hidden="1" outlineLevel="1">
      <c r="A143" t="str">
        <f ca="1"/>
        <v>Recursos Humanos y Cultura</v>
      </c>
      <c r="B143" t="str">
        <f ca="1"/>
        <v>08. Producción Finalizada</v>
      </c>
      <c r="C143" t="str">
        <f ca="1"/>
        <v>2024-M0345</v>
      </c>
      <c r="D143" t="str">
        <f ca="1"/>
        <v xml:space="preserve">   Producción</v>
      </c>
      <c r="E143" s="255">
        <f ca="1"/>
        <v>1</v>
      </c>
      <c r="F143" s="255">
        <f ca="1"/>
        <v>1</v>
      </c>
      <c r="G143" s="356">
        <f ca="1">IF(TRIM(D143)=C143,
   _xlfn.XLOOKUP(C143, Cartera1017[ID Mantenimiento],Cartera1017[Comienzo Desarrollo]),
IF(TRIM(D143)="Desarrollo",
   _xlfn.XLOOKUP(C143,Cartera1017[ID Mantenimiento],Cartera1017[Comienzo Desarrollo]),
IF(TRIM(D143)="Calidad",
   _xlfn.XLOOKUP(C143,Cartera1017[ID Mantenimiento],Cartera1017[Comienzo Calidad]),
IF(TRIM(D143)="Producción",
   _xlfn.XLOOKUP(C143,Cartera1017[ID Mantenimiento],Cartera1017[Comienzo Producción]),
""))))</f>
        <v>46029</v>
      </c>
      <c r="H143" s="160">
        <f ca="1">IF(TRIM(D143)=C143,
   _xlfn.XLOOKUP(C143, Cartera1017[ID Mantenimiento],Cartera1017[Fin Producción]),
IF(TRIM(D143)="Desarrollo",
   _xlfn.XLOOKUP(C143,Cartera1017[ID Mantenimiento],Cartera1017[Fin Desarrollo]),
IF(TRIM(D143)="Calidad",
   _xlfn.XLOOKUP(C143,Cartera1017[ID Mantenimiento],Cartera1017[Fin Calidad]),
IF(TRIM(D143)="Producción",
   _xlfn.XLOOKUP(C143,Cartera1017[ID Mantenimiento],Cartera1017[Fin Producción]),
""))))</f>
        <v>46045</v>
      </c>
    </row>
    <row r="144" spans="1:8" hidden="1" collapsed="1">
      <c r="A144" t="str">
        <f ca="1"/>
        <v>Administración y Logística</v>
      </c>
      <c r="B144" t="str">
        <f ca="1"/>
        <v>08. Producción Finalizada</v>
      </c>
      <c r="C144" t="str">
        <f ca="1"/>
        <v>2024-M0295</v>
      </c>
      <c r="D144" t="str">
        <f ca="1"/>
        <v>2024-M0295</v>
      </c>
      <c r="E144" s="255">
        <f ca="1"/>
        <v>1</v>
      </c>
      <c r="F144" s="255">
        <f ca="1"/>
        <v>1</v>
      </c>
      <c r="G144" s="356">
        <f ca="1">IF(TRIM(D144)=C144,
   _xlfn.XLOOKUP(C144, Cartera1017[ID Mantenimiento],Cartera1017[Comienzo Desarrollo]),
IF(TRIM(D144)="Desarrollo",
   _xlfn.XLOOKUP(C144,Cartera1017[ID Mantenimiento],Cartera1017[Comienzo Desarrollo]),
IF(TRIM(D144)="Calidad",
   _xlfn.XLOOKUP(C144,Cartera1017[ID Mantenimiento],Cartera1017[Comienzo Calidad]),
IF(TRIM(D144)="Producción",
   _xlfn.XLOOKUP(C144,Cartera1017[ID Mantenimiento],Cartera1017[Comienzo Producción]),
""))))</f>
        <v>45483</v>
      </c>
      <c r="H144" s="160">
        <f ca="1">IF(TRIM(D144)=C144,
   _xlfn.XLOOKUP(C144, Cartera1017[ID Mantenimiento],Cartera1017[Fin Producción]),
IF(TRIM(D144)="Desarrollo",
   _xlfn.XLOOKUP(C144,Cartera1017[ID Mantenimiento],Cartera1017[Fin Desarrollo]),
IF(TRIM(D144)="Calidad",
   _xlfn.XLOOKUP(C144,Cartera1017[ID Mantenimiento],Cartera1017[Fin Calidad]),
IF(TRIM(D144)="Producción",
   _xlfn.XLOOKUP(C144,Cartera1017[ID Mantenimiento],Cartera1017[Fin Producción]),
""))))</f>
        <v>46034</v>
      </c>
    </row>
    <row r="145" spans="1:8" hidden="1" outlineLevel="1">
      <c r="A145" t="str">
        <f ca="1"/>
        <v>Administración y Logística</v>
      </c>
      <c r="B145" t="str">
        <f ca="1"/>
        <v>08. Producción Finalizada</v>
      </c>
      <c r="C145" t="str">
        <f ca="1"/>
        <v>2024-M0295</v>
      </c>
      <c r="D145" t="str">
        <f ca="1"/>
        <v xml:space="preserve">   Desarrollo</v>
      </c>
      <c r="E145" s="255">
        <f ca="1"/>
        <v>1</v>
      </c>
      <c r="F145" s="255">
        <f ca="1"/>
        <v>1</v>
      </c>
      <c r="G145" s="356">
        <f ca="1">IF(TRIM(D145)=C145,
   _xlfn.XLOOKUP(C145, Cartera1017[ID Mantenimiento],Cartera1017[Comienzo Desarrollo]),
IF(TRIM(D145)="Desarrollo",
   _xlfn.XLOOKUP(C145,Cartera1017[ID Mantenimiento],Cartera1017[Comienzo Desarrollo]),
IF(TRIM(D145)="Calidad",
   _xlfn.XLOOKUP(C145,Cartera1017[ID Mantenimiento],Cartera1017[Comienzo Calidad]),
IF(TRIM(D145)="Producción",
   _xlfn.XLOOKUP(C145,Cartera1017[ID Mantenimiento],Cartera1017[Comienzo Producción]),
""))))</f>
        <v>45483</v>
      </c>
      <c r="H145" s="160">
        <f ca="1">IF(TRIM(D145)=C145,
   _xlfn.XLOOKUP(C145, Cartera1017[ID Mantenimiento],Cartera1017[Fin Producción]),
IF(TRIM(D145)="Desarrollo",
   _xlfn.XLOOKUP(C145,Cartera1017[ID Mantenimiento],Cartera1017[Fin Desarrollo]),
IF(TRIM(D145)="Calidad",
   _xlfn.XLOOKUP(C145,Cartera1017[ID Mantenimiento],Cartera1017[Fin Calidad]),
IF(TRIM(D145)="Producción",
   _xlfn.XLOOKUP(C145,Cartera1017[ID Mantenimiento],Cartera1017[Fin Producción]),
""))))</f>
        <v>45782</v>
      </c>
    </row>
    <row r="146" spans="1:8" hidden="1" outlineLevel="1">
      <c r="A146" t="str">
        <f ca="1"/>
        <v>Administración y Logística</v>
      </c>
      <c r="B146" t="str">
        <f ca="1"/>
        <v>08. Producción Finalizada</v>
      </c>
      <c r="C146" t="str">
        <f ca="1"/>
        <v>2024-M0295</v>
      </c>
      <c r="D146" t="str">
        <f ca="1"/>
        <v xml:space="preserve">   Calidad</v>
      </c>
      <c r="E146" s="255">
        <f ca="1"/>
        <v>1</v>
      </c>
      <c r="F146" s="255">
        <f ca="1"/>
        <v>1</v>
      </c>
      <c r="G146" s="356">
        <f ca="1">IF(TRIM(D146)=C146,
   _xlfn.XLOOKUP(C146, Cartera1017[ID Mantenimiento],Cartera1017[Comienzo Desarrollo]),
IF(TRIM(D146)="Desarrollo",
   _xlfn.XLOOKUP(C146,Cartera1017[ID Mantenimiento],Cartera1017[Comienzo Desarrollo]),
IF(TRIM(D146)="Calidad",
   _xlfn.XLOOKUP(C146,Cartera1017[ID Mantenimiento],Cartera1017[Comienzo Calidad]),
IF(TRIM(D146)="Producción",
   _xlfn.XLOOKUP(C146,Cartera1017[ID Mantenimiento],Cartera1017[Comienzo Producción]),
""))))</f>
        <v>45798</v>
      </c>
      <c r="H146" s="160">
        <f ca="1">IF(TRIM(D146)=C146,
   _xlfn.XLOOKUP(C146, Cartera1017[ID Mantenimiento],Cartera1017[Fin Producción]),
IF(TRIM(D146)="Desarrollo",
   _xlfn.XLOOKUP(C146,Cartera1017[ID Mantenimiento],Cartera1017[Fin Desarrollo]),
IF(TRIM(D146)="Calidad",
   _xlfn.XLOOKUP(C146,Cartera1017[ID Mantenimiento],Cartera1017[Fin Calidad]),
IF(TRIM(D146)="Producción",
   _xlfn.XLOOKUP(C146,Cartera1017[ID Mantenimiento],Cartera1017[Fin Producción]),
""))))</f>
        <v>45842</v>
      </c>
    </row>
    <row r="147" spans="1:8" hidden="1" outlineLevel="1">
      <c r="A147" t="str">
        <f ca="1"/>
        <v>Administración y Logística</v>
      </c>
      <c r="B147" t="str">
        <f ca="1"/>
        <v>08. Producción Finalizada</v>
      </c>
      <c r="C147" t="str">
        <f ca="1"/>
        <v>2024-M0295</v>
      </c>
      <c r="D147" t="str">
        <f ca="1"/>
        <v xml:space="preserve">   Producción</v>
      </c>
      <c r="E147" s="255">
        <f ca="1"/>
        <v>1</v>
      </c>
      <c r="F147" s="255">
        <f ca="1"/>
        <v>1</v>
      </c>
      <c r="G147" s="356">
        <f ca="1">IF(TRIM(D147)=C147,
   _xlfn.XLOOKUP(C147, Cartera1017[ID Mantenimiento],Cartera1017[Comienzo Desarrollo]),
IF(TRIM(D147)="Desarrollo",
   _xlfn.XLOOKUP(C147,Cartera1017[ID Mantenimiento],Cartera1017[Comienzo Desarrollo]),
IF(TRIM(D147)="Calidad",
   _xlfn.XLOOKUP(C147,Cartera1017[ID Mantenimiento],Cartera1017[Comienzo Calidad]),
IF(TRIM(D147)="Producción",
   _xlfn.XLOOKUP(C147,Cartera1017[ID Mantenimiento],Cartera1017[Comienzo Producción]),
""))))</f>
        <v>45887</v>
      </c>
      <c r="H147" s="160">
        <f ca="1">IF(TRIM(D147)=C147,
   _xlfn.XLOOKUP(C147, Cartera1017[ID Mantenimiento],Cartera1017[Fin Producción]),
IF(TRIM(D147)="Desarrollo",
   _xlfn.XLOOKUP(C147,Cartera1017[ID Mantenimiento],Cartera1017[Fin Desarrollo]),
IF(TRIM(D147)="Calidad",
   _xlfn.XLOOKUP(C147,Cartera1017[ID Mantenimiento],Cartera1017[Fin Calidad]),
IF(TRIM(D147)="Producción",
   _xlfn.XLOOKUP(C147,Cartera1017[ID Mantenimiento],Cartera1017[Fin Producción]),
""))))</f>
        <v>46034</v>
      </c>
    </row>
    <row r="148" spans="1:8" hidden="1" collapsed="1">
      <c r="A148" t="str">
        <f ca="1"/>
        <v>Operaciones</v>
      </c>
      <c r="B148" t="str">
        <f ca="1"/>
        <v>03. En Desarrollo</v>
      </c>
      <c r="C148" t="str">
        <f ca="1"/>
        <v>2024-M0308</v>
      </c>
      <c r="D148" t="str">
        <f ca="1"/>
        <v>2024-M0308</v>
      </c>
      <c r="E148" s="255">
        <f ca="1"/>
        <v>0.45</v>
      </c>
      <c r="F148" s="255">
        <f ca="1"/>
        <v>0.45</v>
      </c>
      <c r="G148" s="356">
        <f ca="1">IF(TRIM(D148)=C148,
   _xlfn.XLOOKUP(C148, Cartera1017[ID Mantenimiento],Cartera1017[Comienzo Desarrollo]),
IF(TRIM(D148)="Desarrollo",
   _xlfn.XLOOKUP(C148,Cartera1017[ID Mantenimiento],Cartera1017[Comienzo Desarrollo]),
IF(TRIM(D148)="Calidad",
   _xlfn.XLOOKUP(C148,Cartera1017[ID Mantenimiento],Cartera1017[Comienzo Calidad]),
IF(TRIM(D148)="Producción",
   _xlfn.XLOOKUP(C148,Cartera1017[ID Mantenimiento],Cartera1017[Comienzo Producción]),
""))))</f>
        <v>46083</v>
      </c>
      <c r="H148" s="160">
        <f ca="1">IF(TRIM(D148)=C148,
   _xlfn.XLOOKUP(C148, Cartera1017[ID Mantenimiento],Cartera1017[Fin Producción]),
IF(TRIM(D148)="Desarrollo",
   _xlfn.XLOOKUP(C148,Cartera1017[ID Mantenimiento],Cartera1017[Fin Desarrollo]),
IF(TRIM(D148)="Calidad",
   _xlfn.XLOOKUP(C148,Cartera1017[ID Mantenimiento],Cartera1017[Fin Calidad]),
IF(TRIM(D148)="Producción",
   _xlfn.XLOOKUP(C148,Cartera1017[ID Mantenimiento],Cartera1017[Fin Producción]),
""))))</f>
        <v>46199</v>
      </c>
    </row>
    <row r="149" spans="1:8" hidden="1" outlineLevel="1">
      <c r="A149" t="str">
        <f ca="1"/>
        <v>Operaciones</v>
      </c>
      <c r="B149" t="str">
        <f ca="1"/>
        <v>03. En Desarrollo</v>
      </c>
      <c r="C149" t="str">
        <f ca="1"/>
        <v>2024-M0308</v>
      </c>
      <c r="D149" t="str">
        <f ca="1"/>
        <v xml:space="preserve">   Desarrollo</v>
      </c>
      <c r="E149" s="255">
        <f ca="1"/>
        <v>0.45</v>
      </c>
      <c r="F149" s="255">
        <f ca="1"/>
        <v>0.45</v>
      </c>
      <c r="G149" s="356">
        <f ca="1">IF(TRIM(D149)=C149,
   _xlfn.XLOOKUP(C149, Cartera1017[ID Mantenimiento],Cartera1017[Comienzo Desarrollo]),
IF(TRIM(D149)="Desarrollo",
   _xlfn.XLOOKUP(C149,Cartera1017[ID Mantenimiento],Cartera1017[Comienzo Desarrollo]),
IF(TRIM(D149)="Calidad",
   _xlfn.XLOOKUP(C149,Cartera1017[ID Mantenimiento],Cartera1017[Comienzo Calidad]),
IF(TRIM(D149)="Producción",
   _xlfn.XLOOKUP(C149,Cartera1017[ID Mantenimiento],Cartera1017[Comienzo Producción]),
""))))</f>
        <v>46083</v>
      </c>
      <c r="H149" s="160">
        <f ca="1">IF(TRIM(D149)=C149,
   _xlfn.XLOOKUP(C149, Cartera1017[ID Mantenimiento],Cartera1017[Fin Producción]),
IF(TRIM(D149)="Desarrollo",
   _xlfn.XLOOKUP(C149,Cartera1017[ID Mantenimiento],Cartera1017[Fin Desarrollo]),
IF(TRIM(D149)="Calidad",
   _xlfn.XLOOKUP(C149,Cartera1017[ID Mantenimiento],Cartera1017[Fin Calidad]),
IF(TRIM(D149)="Producción",
   _xlfn.XLOOKUP(C149,Cartera1017[ID Mantenimiento],Cartera1017[Fin Producción]),
""))))</f>
        <v>46112</v>
      </c>
    </row>
    <row r="150" spans="1:8" hidden="1" outlineLevel="1">
      <c r="A150" t="str">
        <f ca="1"/>
        <v>Operaciones</v>
      </c>
      <c r="B150" t="str">
        <f ca="1"/>
        <v>03. En Desarrollo</v>
      </c>
      <c r="C150" t="str">
        <f ca="1"/>
        <v>2024-M0308</v>
      </c>
      <c r="D150" t="str">
        <f ca="1"/>
        <v xml:space="preserve">   Calidad</v>
      </c>
      <c r="E150" s="255">
        <f ca="1"/>
        <v>0.45</v>
      </c>
      <c r="F150" s="255">
        <f ca="1"/>
        <v>0.45</v>
      </c>
      <c r="G150" s="356">
        <f ca="1">IF(TRIM(D150)=C150,
   _xlfn.XLOOKUP(C150, Cartera1017[ID Mantenimiento],Cartera1017[Comienzo Desarrollo]),
IF(TRIM(D150)="Desarrollo",
   _xlfn.XLOOKUP(C150,Cartera1017[ID Mantenimiento],Cartera1017[Comienzo Desarrollo]),
IF(TRIM(D150)="Calidad",
   _xlfn.XLOOKUP(C150,Cartera1017[ID Mantenimiento],Cartera1017[Comienzo Calidad]),
IF(TRIM(D150)="Producción",
   _xlfn.XLOOKUP(C150,Cartera1017[ID Mantenimiento],Cartera1017[Comienzo Producción]),
""))))</f>
        <v>46161</v>
      </c>
      <c r="H150" s="160">
        <f ca="1">IF(TRIM(D150)=C150,
   _xlfn.XLOOKUP(C150, Cartera1017[ID Mantenimiento],Cartera1017[Fin Producción]),
IF(TRIM(D150)="Desarrollo",
   _xlfn.XLOOKUP(C150,Cartera1017[ID Mantenimiento],Cartera1017[Fin Desarrollo]),
IF(TRIM(D150)="Calidad",
   _xlfn.XLOOKUP(C150,Cartera1017[ID Mantenimiento],Cartera1017[Fin Calidad]),
IF(TRIM(D150)="Producción",
   _xlfn.XLOOKUP(C150,Cartera1017[ID Mantenimiento],Cartera1017[Fin Producción]),
""))))</f>
        <v>46192</v>
      </c>
    </row>
    <row r="151" spans="1:8" hidden="1" outlineLevel="1">
      <c r="A151" t="str">
        <f ca="1"/>
        <v>Operaciones</v>
      </c>
      <c r="B151" t="str">
        <f ca="1"/>
        <v>03. En Desarrollo</v>
      </c>
      <c r="C151" t="str">
        <f ca="1"/>
        <v>2024-M0308</v>
      </c>
      <c r="D151" t="str">
        <f ca="1"/>
        <v xml:space="preserve">   Producción</v>
      </c>
      <c r="E151" s="255">
        <f ca="1"/>
        <v>0.45</v>
      </c>
      <c r="F151" s="255">
        <f ca="1"/>
        <v>0.45</v>
      </c>
      <c r="G151" s="356">
        <f ca="1">IF(TRIM(D151)=C151,
   _xlfn.XLOOKUP(C151, Cartera1017[ID Mantenimiento],Cartera1017[Comienzo Desarrollo]),
IF(TRIM(D151)="Desarrollo",
   _xlfn.XLOOKUP(C151,Cartera1017[ID Mantenimiento],Cartera1017[Comienzo Desarrollo]),
IF(TRIM(D151)="Calidad",
   _xlfn.XLOOKUP(C151,Cartera1017[ID Mantenimiento],Cartera1017[Comienzo Calidad]),
IF(TRIM(D151)="Producción",
   _xlfn.XLOOKUP(C151,Cartera1017[ID Mantenimiento],Cartera1017[Comienzo Producción]),
""))))</f>
        <v>46195</v>
      </c>
      <c r="H151" s="160">
        <f ca="1">IF(TRIM(D151)=C151,
   _xlfn.XLOOKUP(C151, Cartera1017[ID Mantenimiento],Cartera1017[Fin Producción]),
IF(TRIM(D151)="Desarrollo",
   _xlfn.XLOOKUP(C151,Cartera1017[ID Mantenimiento],Cartera1017[Fin Desarrollo]),
IF(TRIM(D151)="Calidad",
   _xlfn.XLOOKUP(C151,Cartera1017[ID Mantenimiento],Cartera1017[Fin Calidad]),
IF(TRIM(D151)="Producción",
   _xlfn.XLOOKUP(C151,Cartera1017[ID Mantenimiento],Cartera1017[Fin Producción]),
""))))</f>
        <v>46199</v>
      </c>
    </row>
    <row r="152" spans="1:8" hidden="1" collapsed="1">
      <c r="A152" t="str">
        <f ca="1"/>
        <v>Operaciones</v>
      </c>
      <c r="B152" t="str">
        <f ca="1"/>
        <v>08. Producción Finalizada</v>
      </c>
      <c r="C152" t="str">
        <f ca="1"/>
        <v>2024-M0341</v>
      </c>
      <c r="D152" t="str">
        <f ca="1"/>
        <v>2024-M0341</v>
      </c>
      <c r="E152" s="255">
        <f ca="1"/>
        <v>1</v>
      </c>
      <c r="F152" s="255">
        <f ca="1"/>
        <v>1</v>
      </c>
      <c r="G152" s="356">
        <f ca="1">IF(TRIM(D152)=C152,
   _xlfn.XLOOKUP(C152, Cartera1017[ID Mantenimiento],Cartera1017[Comienzo Desarrollo]),
IF(TRIM(D152)="Desarrollo",
   _xlfn.XLOOKUP(C152,Cartera1017[ID Mantenimiento],Cartera1017[Comienzo Desarrollo]),
IF(TRIM(D152)="Calidad",
   _xlfn.XLOOKUP(C152,Cartera1017[ID Mantenimiento],Cartera1017[Comienzo Calidad]),
IF(TRIM(D152)="Producción",
   _xlfn.XLOOKUP(C152,Cartera1017[ID Mantenimiento],Cartera1017[Comienzo Producción]),
""))))</f>
        <v>45468</v>
      </c>
      <c r="H152" s="160">
        <f ca="1">IF(TRIM(D152)=C152,
   _xlfn.XLOOKUP(C152, Cartera1017[ID Mantenimiento],Cartera1017[Fin Producción]),
IF(TRIM(D152)="Desarrollo",
   _xlfn.XLOOKUP(C152,Cartera1017[ID Mantenimiento],Cartera1017[Fin Desarrollo]),
IF(TRIM(D152)="Calidad",
   _xlfn.XLOOKUP(C152,Cartera1017[ID Mantenimiento],Cartera1017[Fin Calidad]),
IF(TRIM(D152)="Producción",
   _xlfn.XLOOKUP(C152,Cartera1017[ID Mantenimiento],Cartera1017[Fin Producción]),
""))))</f>
        <v>46108</v>
      </c>
    </row>
    <row r="153" spans="1:8" hidden="1" outlineLevel="1">
      <c r="A153" t="str">
        <f ca="1"/>
        <v>Operaciones</v>
      </c>
      <c r="B153" t="str">
        <f ca="1"/>
        <v>08. Producción Finalizada</v>
      </c>
      <c r="C153" t="str">
        <f ca="1"/>
        <v>2024-M0341</v>
      </c>
      <c r="D153" t="str">
        <f ca="1"/>
        <v xml:space="preserve">   Desarrollo</v>
      </c>
      <c r="E153" s="255">
        <f ca="1"/>
        <v>1</v>
      </c>
      <c r="F153" s="255">
        <f ca="1"/>
        <v>1</v>
      </c>
      <c r="G153" s="356">
        <f ca="1">IF(TRIM(D153)=C153,
   _xlfn.XLOOKUP(C153, Cartera1017[ID Mantenimiento],Cartera1017[Comienzo Desarrollo]),
IF(TRIM(D153)="Desarrollo",
   _xlfn.XLOOKUP(C153,Cartera1017[ID Mantenimiento],Cartera1017[Comienzo Desarrollo]),
IF(TRIM(D153)="Calidad",
   _xlfn.XLOOKUP(C153,Cartera1017[ID Mantenimiento],Cartera1017[Comienzo Calidad]),
IF(TRIM(D153)="Producción",
   _xlfn.XLOOKUP(C153,Cartera1017[ID Mantenimiento],Cartera1017[Comienzo Producción]),
""))))</f>
        <v>45468</v>
      </c>
      <c r="H153" s="160">
        <f ca="1">IF(TRIM(D153)=C153,
   _xlfn.XLOOKUP(C153, Cartera1017[ID Mantenimiento],Cartera1017[Fin Producción]),
IF(TRIM(D153)="Desarrollo",
   _xlfn.XLOOKUP(C153,Cartera1017[ID Mantenimiento],Cartera1017[Fin Desarrollo]),
IF(TRIM(D153)="Calidad",
   _xlfn.XLOOKUP(C153,Cartera1017[ID Mantenimiento],Cartera1017[Fin Calidad]),
IF(TRIM(D153)="Producción",
   _xlfn.XLOOKUP(C153,Cartera1017[ID Mantenimiento],Cartera1017[Fin Producción]),
""))))</f>
        <v>45708</v>
      </c>
    </row>
    <row r="154" spans="1:8" hidden="1" outlineLevel="1">
      <c r="A154" t="str">
        <f ca="1"/>
        <v>Operaciones</v>
      </c>
      <c r="B154" t="str">
        <f ca="1"/>
        <v>08. Producción Finalizada</v>
      </c>
      <c r="C154" t="str">
        <f ca="1"/>
        <v>2024-M0341</v>
      </c>
      <c r="D154" t="str">
        <f ca="1"/>
        <v xml:space="preserve">   Calidad</v>
      </c>
      <c r="E154" s="255">
        <f ca="1"/>
        <v>1</v>
      </c>
      <c r="F154" s="255">
        <f ca="1"/>
        <v>1</v>
      </c>
      <c r="G154" s="356">
        <f ca="1">IF(TRIM(D154)=C154,
   _xlfn.XLOOKUP(C154, Cartera1017[ID Mantenimiento],Cartera1017[Comienzo Desarrollo]),
IF(TRIM(D154)="Desarrollo",
   _xlfn.XLOOKUP(C154,Cartera1017[ID Mantenimiento],Cartera1017[Comienzo Desarrollo]),
IF(TRIM(D154)="Calidad",
   _xlfn.XLOOKUP(C154,Cartera1017[ID Mantenimiento],Cartera1017[Comienzo Calidad]),
IF(TRIM(D154)="Producción",
   _xlfn.XLOOKUP(C154,Cartera1017[ID Mantenimiento],Cartera1017[Comienzo Producción]),
""))))</f>
        <v>45714</v>
      </c>
      <c r="H154" s="160">
        <f ca="1">IF(TRIM(D154)=C154,
   _xlfn.XLOOKUP(C154, Cartera1017[ID Mantenimiento],Cartera1017[Fin Producción]),
IF(TRIM(D154)="Desarrollo",
   _xlfn.XLOOKUP(C154,Cartera1017[ID Mantenimiento],Cartera1017[Fin Desarrollo]),
IF(TRIM(D154)="Calidad",
   _xlfn.XLOOKUP(C154,Cartera1017[ID Mantenimiento],Cartera1017[Fin Calidad]),
IF(TRIM(D154)="Producción",
   _xlfn.XLOOKUP(C154,Cartera1017[ID Mantenimiento],Cartera1017[Fin Producción]),
""))))</f>
        <v>45763</v>
      </c>
    </row>
    <row r="155" spans="1:8" hidden="1" outlineLevel="1">
      <c r="A155" t="str">
        <f ca="1"/>
        <v>Operaciones</v>
      </c>
      <c r="B155" t="str">
        <f ca="1"/>
        <v>08. Producción Finalizada</v>
      </c>
      <c r="C155" t="str">
        <f ca="1"/>
        <v>2024-M0341</v>
      </c>
      <c r="D155" t="str">
        <f ca="1"/>
        <v xml:space="preserve">   Producción</v>
      </c>
      <c r="E155" s="255">
        <f ca="1"/>
        <v>1</v>
      </c>
      <c r="F155" s="255">
        <f ca="1"/>
        <v>1</v>
      </c>
      <c r="G155" s="356">
        <f ca="1">IF(TRIM(D155)=C155,
   _xlfn.XLOOKUP(C155, Cartera1017[ID Mantenimiento],Cartera1017[Comienzo Desarrollo]),
IF(TRIM(D155)="Desarrollo",
   _xlfn.XLOOKUP(C155,Cartera1017[ID Mantenimiento],Cartera1017[Comienzo Desarrollo]),
IF(TRIM(D155)="Calidad",
   _xlfn.XLOOKUP(C155,Cartera1017[ID Mantenimiento],Cartera1017[Comienzo Calidad]),
IF(TRIM(D155)="Producción",
   _xlfn.XLOOKUP(C155,Cartera1017[ID Mantenimiento],Cartera1017[Comienzo Producción]),
""))))</f>
        <v>46050</v>
      </c>
      <c r="H155" s="160">
        <f ca="1">IF(TRIM(D155)=C155,
   _xlfn.XLOOKUP(C155, Cartera1017[ID Mantenimiento],Cartera1017[Fin Producción]),
IF(TRIM(D155)="Desarrollo",
   _xlfn.XLOOKUP(C155,Cartera1017[ID Mantenimiento],Cartera1017[Fin Desarrollo]),
IF(TRIM(D155)="Calidad",
   _xlfn.XLOOKUP(C155,Cartera1017[ID Mantenimiento],Cartera1017[Fin Calidad]),
IF(TRIM(D155)="Producción",
   _xlfn.XLOOKUP(C155,Cartera1017[ID Mantenimiento],Cartera1017[Fin Producción]),
""))))</f>
        <v>46108</v>
      </c>
    </row>
    <row r="156" spans="1:8" hidden="1" collapsed="1">
      <c r="A156" t="str">
        <f ca="1"/>
        <v>Operaciones</v>
      </c>
      <c r="B156" t="str">
        <f ca="1"/>
        <v>03. En Desarrollo</v>
      </c>
      <c r="C156" t="str">
        <f ca="1"/>
        <v>2024-M0368</v>
      </c>
      <c r="D156" t="str">
        <f ca="1"/>
        <v>2024-M0368</v>
      </c>
      <c r="E156" s="255">
        <f ca="1"/>
        <v>0.4</v>
      </c>
      <c r="F156" s="255">
        <f ca="1"/>
        <v>0.44374999999999998</v>
      </c>
      <c r="G156" s="356">
        <f ca="1">IF(TRIM(D156)=C156,
   _xlfn.XLOOKUP(C156, Cartera1017[ID Mantenimiento],Cartera1017[Comienzo Desarrollo]),
IF(TRIM(D156)="Desarrollo",
   _xlfn.XLOOKUP(C156,Cartera1017[ID Mantenimiento],Cartera1017[Comienzo Desarrollo]),
IF(TRIM(D156)="Calidad",
   _xlfn.XLOOKUP(C156,Cartera1017[ID Mantenimiento],Cartera1017[Comienzo Calidad]),
IF(TRIM(D156)="Producción",
   _xlfn.XLOOKUP(C156,Cartera1017[ID Mantenimiento],Cartera1017[Comienzo Producción]),
""))))</f>
        <v>46063</v>
      </c>
      <c r="H156" s="160">
        <f ca="1">IF(TRIM(D156)=C156,
   _xlfn.XLOOKUP(C156, Cartera1017[ID Mantenimiento],Cartera1017[Fin Producción]),
IF(TRIM(D156)="Desarrollo",
   _xlfn.XLOOKUP(C156,Cartera1017[ID Mantenimiento],Cartera1017[Fin Desarrollo]),
IF(TRIM(D156)="Calidad",
   _xlfn.XLOOKUP(C156,Cartera1017[ID Mantenimiento],Cartera1017[Fin Calidad]),
IF(TRIM(D156)="Producción",
   _xlfn.XLOOKUP(C156,Cartera1017[ID Mantenimiento],Cartera1017[Fin Producción]),
""))))</f>
        <v>46290</v>
      </c>
    </row>
    <row r="157" spans="1:8" hidden="1" outlineLevel="1">
      <c r="A157" t="str">
        <f ca="1"/>
        <v>Operaciones</v>
      </c>
      <c r="B157" t="str">
        <f ca="1"/>
        <v>03. En Desarrollo</v>
      </c>
      <c r="C157" t="str">
        <f ca="1"/>
        <v>2024-M0368</v>
      </c>
      <c r="D157" t="str">
        <f ca="1"/>
        <v xml:space="preserve">   Desarrollo</v>
      </c>
      <c r="E157" s="255">
        <f ca="1"/>
        <v>0.4</v>
      </c>
      <c r="F157" s="255">
        <f ca="1"/>
        <v>0.44374999999999998</v>
      </c>
      <c r="G157" s="356">
        <f ca="1">IF(TRIM(D157)=C157,
   _xlfn.XLOOKUP(C157, Cartera1017[ID Mantenimiento],Cartera1017[Comienzo Desarrollo]),
IF(TRIM(D157)="Desarrollo",
   _xlfn.XLOOKUP(C157,Cartera1017[ID Mantenimiento],Cartera1017[Comienzo Desarrollo]),
IF(TRIM(D157)="Calidad",
   _xlfn.XLOOKUP(C157,Cartera1017[ID Mantenimiento],Cartera1017[Comienzo Calidad]),
IF(TRIM(D157)="Producción",
   _xlfn.XLOOKUP(C157,Cartera1017[ID Mantenimiento],Cartera1017[Comienzo Producción]),
""))))</f>
        <v>46063</v>
      </c>
      <c r="H157" s="160">
        <f ca="1">IF(TRIM(D157)=C157,
   _xlfn.XLOOKUP(C157, Cartera1017[ID Mantenimiento],Cartera1017[Fin Producción]),
IF(TRIM(D157)="Desarrollo",
   _xlfn.XLOOKUP(C157,Cartera1017[ID Mantenimiento],Cartera1017[Fin Desarrollo]),
IF(TRIM(D157)="Calidad",
   _xlfn.XLOOKUP(C157,Cartera1017[ID Mantenimiento],Cartera1017[Fin Calidad]),
IF(TRIM(D157)="Producción",
   _xlfn.XLOOKUP(C157,Cartera1017[ID Mantenimiento],Cartera1017[Fin Producción]),
""))))</f>
        <v>46251</v>
      </c>
    </row>
    <row r="158" spans="1:8" hidden="1" outlineLevel="1">
      <c r="A158" t="str">
        <f ca="1"/>
        <v>Operaciones</v>
      </c>
      <c r="B158" t="str">
        <f ca="1"/>
        <v>03. En Desarrollo</v>
      </c>
      <c r="C158" t="str">
        <f ca="1"/>
        <v>2024-M0368</v>
      </c>
      <c r="D158" t="str">
        <f ca="1"/>
        <v xml:space="preserve">   Calidad</v>
      </c>
      <c r="E158" s="255">
        <f ca="1"/>
        <v>0.4</v>
      </c>
      <c r="F158" s="255">
        <f ca="1"/>
        <v>0.44374999999999998</v>
      </c>
      <c r="G158" s="356">
        <f ca="1">IF(TRIM(D158)=C158,
   _xlfn.XLOOKUP(C158, Cartera1017[ID Mantenimiento],Cartera1017[Comienzo Desarrollo]),
IF(TRIM(D158)="Desarrollo",
   _xlfn.XLOOKUP(C158,Cartera1017[ID Mantenimiento],Cartera1017[Comienzo Desarrollo]),
IF(TRIM(D158)="Calidad",
   _xlfn.XLOOKUP(C158,Cartera1017[ID Mantenimiento],Cartera1017[Comienzo Calidad]),
IF(TRIM(D158)="Producción",
   _xlfn.XLOOKUP(C158,Cartera1017[ID Mantenimiento],Cartera1017[Comienzo Producción]),
""))))</f>
        <v>46252</v>
      </c>
      <c r="H158" s="160">
        <f ca="1">IF(TRIM(D158)=C158,
   _xlfn.XLOOKUP(C158, Cartera1017[ID Mantenimiento],Cartera1017[Fin Producción]),
IF(TRIM(D158)="Desarrollo",
   _xlfn.XLOOKUP(C158,Cartera1017[ID Mantenimiento],Cartera1017[Fin Desarrollo]),
IF(TRIM(D158)="Calidad",
   _xlfn.XLOOKUP(C158,Cartera1017[ID Mantenimiento],Cartera1017[Fin Calidad]),
IF(TRIM(D158)="Producción",
   _xlfn.XLOOKUP(C158,Cartera1017[ID Mantenimiento],Cartera1017[Fin Producción]),
""))))</f>
        <v>46283</v>
      </c>
    </row>
    <row r="159" spans="1:8" hidden="1" outlineLevel="1">
      <c r="A159" t="str">
        <f ca="1"/>
        <v>Operaciones</v>
      </c>
      <c r="B159" t="str">
        <f ca="1"/>
        <v>03. En Desarrollo</v>
      </c>
      <c r="C159" t="str">
        <f ca="1"/>
        <v>2024-M0368</v>
      </c>
      <c r="D159" t="str">
        <f ca="1"/>
        <v xml:space="preserve">   Producción</v>
      </c>
      <c r="E159" s="255">
        <f ca="1"/>
        <v>0.4</v>
      </c>
      <c r="F159" s="255">
        <f ca="1"/>
        <v>0.44374999999999998</v>
      </c>
      <c r="G159" s="356">
        <f ca="1">IF(TRIM(D159)=C159,
   _xlfn.XLOOKUP(C159, Cartera1017[ID Mantenimiento],Cartera1017[Comienzo Desarrollo]),
IF(TRIM(D159)="Desarrollo",
   _xlfn.XLOOKUP(C159,Cartera1017[ID Mantenimiento],Cartera1017[Comienzo Desarrollo]),
IF(TRIM(D159)="Calidad",
   _xlfn.XLOOKUP(C159,Cartera1017[ID Mantenimiento],Cartera1017[Comienzo Calidad]),
IF(TRIM(D159)="Producción",
   _xlfn.XLOOKUP(C159,Cartera1017[ID Mantenimiento],Cartera1017[Comienzo Producción]),
""))))</f>
        <v>46286</v>
      </c>
      <c r="H159" s="160">
        <f ca="1">IF(TRIM(D159)=C159,
   _xlfn.XLOOKUP(C159, Cartera1017[ID Mantenimiento],Cartera1017[Fin Producción]),
IF(TRIM(D159)="Desarrollo",
   _xlfn.XLOOKUP(C159,Cartera1017[ID Mantenimiento],Cartera1017[Fin Desarrollo]),
IF(TRIM(D159)="Calidad",
   _xlfn.XLOOKUP(C159,Cartera1017[ID Mantenimiento],Cartera1017[Fin Calidad]),
IF(TRIM(D159)="Producción",
   _xlfn.XLOOKUP(C159,Cartera1017[ID Mantenimiento],Cartera1017[Fin Producción]),
""))))</f>
        <v>46290</v>
      </c>
    </row>
    <row r="160" spans="1:8" hidden="1" collapsed="1">
      <c r="A160" t="str">
        <f ca="1"/>
        <v>Productos e Inclusión Financiera</v>
      </c>
      <c r="B160" t="str">
        <f ca="1"/>
        <v>08. Producción Finalizada</v>
      </c>
      <c r="C160" t="str">
        <f ca="1"/>
        <v>2024-M0431</v>
      </c>
      <c r="D160" t="str">
        <f ca="1"/>
        <v>2024-M0431</v>
      </c>
      <c r="E160" s="255">
        <f ca="1"/>
        <v>1</v>
      </c>
      <c r="F160" s="255">
        <f ca="1"/>
        <v>1</v>
      </c>
      <c r="G160" s="356">
        <f ca="1">IF(TRIM(D160)=C160,
   _xlfn.XLOOKUP(C160, Cartera1017[ID Mantenimiento],Cartera1017[Comienzo Desarrollo]),
IF(TRIM(D160)="Desarrollo",
   _xlfn.XLOOKUP(C160,Cartera1017[ID Mantenimiento],Cartera1017[Comienzo Desarrollo]),
IF(TRIM(D160)="Calidad",
   _xlfn.XLOOKUP(C160,Cartera1017[ID Mantenimiento],Cartera1017[Comienzo Calidad]),
IF(TRIM(D160)="Producción",
   _xlfn.XLOOKUP(C160,Cartera1017[ID Mantenimiento],Cartera1017[Comienzo Producción]),
""))))</f>
        <v>45523</v>
      </c>
      <c r="H160" s="160">
        <f ca="1">IF(TRIM(D160)=C160,
   _xlfn.XLOOKUP(C160, Cartera1017[ID Mantenimiento],Cartera1017[Fin Producción]),
IF(TRIM(D160)="Desarrollo",
   _xlfn.XLOOKUP(C160,Cartera1017[ID Mantenimiento],Cartera1017[Fin Desarrollo]),
IF(TRIM(D160)="Calidad",
   _xlfn.XLOOKUP(C160,Cartera1017[ID Mantenimiento],Cartera1017[Fin Calidad]),
IF(TRIM(D160)="Producción",
   _xlfn.XLOOKUP(C160,Cartera1017[ID Mantenimiento],Cartera1017[Fin Producción]),
""))))</f>
        <v>46037</v>
      </c>
    </row>
    <row r="161" spans="1:8" hidden="1" outlineLevel="1">
      <c r="A161" t="str">
        <f ca="1"/>
        <v>Productos e Inclusión Financiera</v>
      </c>
      <c r="B161" t="str">
        <f ca="1"/>
        <v>08. Producción Finalizada</v>
      </c>
      <c r="C161" t="str">
        <f ca="1"/>
        <v>2024-M0431</v>
      </c>
      <c r="D161" t="str">
        <f ca="1"/>
        <v xml:space="preserve">   Desarrollo</v>
      </c>
      <c r="E161" s="255">
        <f ca="1"/>
        <v>1</v>
      </c>
      <c r="F161" s="255">
        <f ca="1"/>
        <v>1</v>
      </c>
      <c r="G161" s="356">
        <f ca="1">IF(TRIM(D161)=C161,
   _xlfn.XLOOKUP(C161, Cartera1017[ID Mantenimiento],Cartera1017[Comienzo Desarrollo]),
IF(TRIM(D161)="Desarrollo",
   _xlfn.XLOOKUP(C161,Cartera1017[ID Mantenimiento],Cartera1017[Comienzo Desarrollo]),
IF(TRIM(D161)="Calidad",
   _xlfn.XLOOKUP(C161,Cartera1017[ID Mantenimiento],Cartera1017[Comienzo Calidad]),
IF(TRIM(D161)="Producción",
   _xlfn.XLOOKUP(C161,Cartera1017[ID Mantenimiento],Cartera1017[Comienzo Producción]),
""))))</f>
        <v>45523</v>
      </c>
      <c r="H161" s="160">
        <f ca="1">IF(TRIM(D161)=C161,
   _xlfn.XLOOKUP(C161, Cartera1017[ID Mantenimiento],Cartera1017[Fin Producción]),
IF(TRIM(D161)="Desarrollo",
   _xlfn.XLOOKUP(C161,Cartera1017[ID Mantenimiento],Cartera1017[Fin Desarrollo]),
IF(TRIM(D161)="Calidad",
   _xlfn.XLOOKUP(C161,Cartera1017[ID Mantenimiento],Cartera1017[Fin Calidad]),
IF(TRIM(D161)="Producción",
   _xlfn.XLOOKUP(C161,Cartera1017[ID Mantenimiento],Cartera1017[Fin Producción]),
""))))</f>
        <v>45854</v>
      </c>
    </row>
    <row r="162" spans="1:8" hidden="1" outlineLevel="1">
      <c r="A162" t="str">
        <f ca="1"/>
        <v>Productos e Inclusión Financiera</v>
      </c>
      <c r="B162" t="str">
        <f ca="1"/>
        <v>08. Producción Finalizada</v>
      </c>
      <c r="C162" t="str">
        <f ca="1"/>
        <v>2024-M0431</v>
      </c>
      <c r="D162" t="str">
        <f ca="1"/>
        <v xml:space="preserve">   Calidad</v>
      </c>
      <c r="E162" s="255">
        <f ca="1"/>
        <v>1</v>
      </c>
      <c r="F162" s="255">
        <f ca="1"/>
        <v>1</v>
      </c>
      <c r="G162" s="356">
        <f ca="1">IF(TRIM(D162)=C162,
   _xlfn.XLOOKUP(C162, Cartera1017[ID Mantenimiento],Cartera1017[Comienzo Desarrollo]),
IF(TRIM(D162)="Desarrollo",
   _xlfn.XLOOKUP(C162,Cartera1017[ID Mantenimiento],Cartera1017[Comienzo Desarrollo]),
IF(TRIM(D162)="Calidad",
   _xlfn.XLOOKUP(C162,Cartera1017[ID Mantenimiento],Cartera1017[Comienzo Calidad]),
IF(TRIM(D162)="Producción",
   _xlfn.XLOOKUP(C162,Cartera1017[ID Mantenimiento],Cartera1017[Comienzo Producción]),
""))))</f>
        <v>45861</v>
      </c>
      <c r="H162" s="160">
        <f ca="1">IF(TRIM(D162)=C162,
   _xlfn.XLOOKUP(C162, Cartera1017[ID Mantenimiento],Cartera1017[Fin Producción]),
IF(TRIM(D162)="Desarrollo",
   _xlfn.XLOOKUP(C162,Cartera1017[ID Mantenimiento],Cartera1017[Fin Desarrollo]),
IF(TRIM(D162)="Calidad",
   _xlfn.XLOOKUP(C162,Cartera1017[ID Mantenimiento],Cartera1017[Fin Calidad]),
IF(TRIM(D162)="Producción",
   _xlfn.XLOOKUP(C162,Cartera1017[ID Mantenimiento],Cartera1017[Fin Producción]),
""))))</f>
        <v>45889</v>
      </c>
    </row>
    <row r="163" spans="1:8" hidden="1" outlineLevel="1">
      <c r="A163" t="str">
        <f ca="1"/>
        <v>Productos e Inclusión Financiera</v>
      </c>
      <c r="B163" t="str">
        <f ca="1"/>
        <v>08. Producción Finalizada</v>
      </c>
      <c r="C163" t="str">
        <f ca="1"/>
        <v>2024-M0431</v>
      </c>
      <c r="D163" t="str">
        <f ca="1"/>
        <v xml:space="preserve">   Producción</v>
      </c>
      <c r="E163" s="255">
        <f ca="1"/>
        <v>1</v>
      </c>
      <c r="F163" s="255">
        <f ca="1"/>
        <v>1</v>
      </c>
      <c r="G163" s="356">
        <f ca="1">IF(TRIM(D163)=C163,
   _xlfn.XLOOKUP(C163, Cartera1017[ID Mantenimiento],Cartera1017[Comienzo Desarrollo]),
IF(TRIM(D163)="Desarrollo",
   _xlfn.XLOOKUP(C163,Cartera1017[ID Mantenimiento],Cartera1017[Comienzo Desarrollo]),
IF(TRIM(D163)="Calidad",
   _xlfn.XLOOKUP(C163,Cartera1017[ID Mantenimiento],Cartera1017[Comienzo Calidad]),
IF(TRIM(D163)="Producción",
   _xlfn.XLOOKUP(C163,Cartera1017[ID Mantenimiento],Cartera1017[Comienzo Producción]),
""))))</f>
        <v>46027</v>
      </c>
      <c r="H163" s="160">
        <f ca="1">IF(TRIM(D163)=C163,
   _xlfn.XLOOKUP(C163, Cartera1017[ID Mantenimiento],Cartera1017[Fin Producción]),
IF(TRIM(D163)="Desarrollo",
   _xlfn.XLOOKUP(C163,Cartera1017[ID Mantenimiento],Cartera1017[Fin Desarrollo]),
IF(TRIM(D163)="Calidad",
   _xlfn.XLOOKUP(C163,Cartera1017[ID Mantenimiento],Cartera1017[Fin Calidad]),
IF(TRIM(D163)="Producción",
   _xlfn.XLOOKUP(C163,Cartera1017[ID Mantenimiento],Cartera1017[Fin Producción]),
""))))</f>
        <v>46037</v>
      </c>
    </row>
    <row r="164" spans="1:8" hidden="1" collapsed="1">
      <c r="A164" t="str">
        <f ca="1"/>
        <v>Operaciones</v>
      </c>
      <c r="B164" t="str">
        <f ca="1"/>
        <v>08. Producción Finalizada</v>
      </c>
      <c r="C164" t="str">
        <f ca="1"/>
        <v>2024-M0447</v>
      </c>
      <c r="D164" t="str">
        <f ca="1"/>
        <v>2024-M0447</v>
      </c>
      <c r="E164" s="255">
        <f ca="1"/>
        <v>1</v>
      </c>
      <c r="F164" s="255">
        <f ca="1"/>
        <v>1</v>
      </c>
      <c r="G164" s="356">
        <f ca="1">IF(TRIM(D164)=C164,
   _xlfn.XLOOKUP(C164, Cartera1017[ID Mantenimiento],Cartera1017[Comienzo Desarrollo]),
IF(TRIM(D164)="Desarrollo",
   _xlfn.XLOOKUP(C164,Cartera1017[ID Mantenimiento],Cartera1017[Comienzo Desarrollo]),
IF(TRIM(D164)="Calidad",
   _xlfn.XLOOKUP(C164,Cartera1017[ID Mantenimiento],Cartera1017[Comienzo Calidad]),
IF(TRIM(D164)="Producción",
   _xlfn.XLOOKUP(C164,Cartera1017[ID Mantenimiento],Cartera1017[Comienzo Producción]),
""))))</f>
        <v>45531</v>
      </c>
      <c r="H164" s="160">
        <f ca="1">IF(TRIM(D164)=C164,
   _xlfn.XLOOKUP(C164, Cartera1017[ID Mantenimiento],Cartera1017[Fin Producción]),
IF(TRIM(D164)="Desarrollo",
   _xlfn.XLOOKUP(C164,Cartera1017[ID Mantenimiento],Cartera1017[Fin Desarrollo]),
IF(TRIM(D164)="Calidad",
   _xlfn.XLOOKUP(C164,Cartera1017[ID Mantenimiento],Cartera1017[Fin Calidad]),
IF(TRIM(D164)="Producción",
   _xlfn.XLOOKUP(C164,Cartera1017[ID Mantenimiento],Cartera1017[Fin Producción]),
""))))</f>
        <v>46059</v>
      </c>
    </row>
    <row r="165" spans="1:8" hidden="1" outlineLevel="1">
      <c r="A165" t="str">
        <f ca="1"/>
        <v>Operaciones</v>
      </c>
      <c r="B165" t="str">
        <f ca="1"/>
        <v>08. Producción Finalizada</v>
      </c>
      <c r="C165" t="str">
        <f ca="1"/>
        <v>2024-M0447</v>
      </c>
      <c r="D165" t="str">
        <f ca="1"/>
        <v xml:space="preserve">   Desarrollo</v>
      </c>
      <c r="E165" s="255">
        <f ca="1"/>
        <v>1</v>
      </c>
      <c r="F165" s="255">
        <f ca="1"/>
        <v>1</v>
      </c>
      <c r="G165" s="356">
        <f ca="1">IF(TRIM(D165)=C165,
   _xlfn.XLOOKUP(C165, Cartera1017[ID Mantenimiento],Cartera1017[Comienzo Desarrollo]),
IF(TRIM(D165)="Desarrollo",
   _xlfn.XLOOKUP(C165,Cartera1017[ID Mantenimiento],Cartera1017[Comienzo Desarrollo]),
IF(TRIM(D165)="Calidad",
   _xlfn.XLOOKUP(C165,Cartera1017[ID Mantenimiento],Cartera1017[Comienzo Calidad]),
IF(TRIM(D165)="Producción",
   _xlfn.XLOOKUP(C165,Cartera1017[ID Mantenimiento],Cartera1017[Comienzo Producción]),
""))))</f>
        <v>45531</v>
      </c>
      <c r="H165" s="160">
        <f ca="1">IF(TRIM(D165)=C165,
   _xlfn.XLOOKUP(C165, Cartera1017[ID Mantenimiento],Cartera1017[Fin Producción]),
IF(TRIM(D165)="Desarrollo",
   _xlfn.XLOOKUP(C165,Cartera1017[ID Mantenimiento],Cartera1017[Fin Desarrollo]),
IF(TRIM(D165)="Calidad",
   _xlfn.XLOOKUP(C165,Cartera1017[ID Mantenimiento],Cartera1017[Fin Calidad]),
IF(TRIM(D165)="Producción",
   _xlfn.XLOOKUP(C165,Cartera1017[ID Mantenimiento],Cartera1017[Fin Producción]),
""))))</f>
        <v>45825</v>
      </c>
    </row>
    <row r="166" spans="1:8" hidden="1" outlineLevel="1">
      <c r="A166" t="str">
        <f ca="1"/>
        <v>Operaciones</v>
      </c>
      <c r="B166" t="str">
        <f ca="1"/>
        <v>08. Producción Finalizada</v>
      </c>
      <c r="C166" t="str">
        <f ca="1"/>
        <v>2024-M0447</v>
      </c>
      <c r="D166" t="str">
        <f ca="1"/>
        <v xml:space="preserve">   Calidad</v>
      </c>
      <c r="E166" s="255">
        <f ca="1"/>
        <v>1</v>
      </c>
      <c r="F166" s="255">
        <f ca="1"/>
        <v>1</v>
      </c>
      <c r="G166" s="356">
        <f ca="1">IF(TRIM(D166)=C166,
   _xlfn.XLOOKUP(C166, Cartera1017[ID Mantenimiento],Cartera1017[Comienzo Desarrollo]),
IF(TRIM(D166)="Desarrollo",
   _xlfn.XLOOKUP(C166,Cartera1017[ID Mantenimiento],Cartera1017[Comienzo Desarrollo]),
IF(TRIM(D166)="Calidad",
   _xlfn.XLOOKUP(C166,Cartera1017[ID Mantenimiento],Cartera1017[Comienzo Calidad]),
IF(TRIM(D166)="Producción",
   _xlfn.XLOOKUP(C166,Cartera1017[ID Mantenimiento],Cartera1017[Comienzo Producción]),
""))))</f>
        <v>45882</v>
      </c>
      <c r="H166" s="160">
        <f ca="1">IF(TRIM(D166)=C166,
   _xlfn.XLOOKUP(C166, Cartera1017[ID Mantenimiento],Cartera1017[Fin Producción]),
IF(TRIM(D166)="Desarrollo",
   _xlfn.XLOOKUP(C166,Cartera1017[ID Mantenimiento],Cartera1017[Fin Desarrollo]),
IF(TRIM(D166)="Calidad",
   _xlfn.XLOOKUP(C166,Cartera1017[ID Mantenimiento],Cartera1017[Fin Calidad]),
IF(TRIM(D166)="Producción",
   _xlfn.XLOOKUP(C166,Cartera1017[ID Mantenimiento],Cartera1017[Fin Producción]),
""))))</f>
        <v>45882</v>
      </c>
    </row>
    <row r="167" spans="1:8" hidden="1" outlineLevel="1">
      <c r="A167" t="str">
        <f ca="1"/>
        <v>Operaciones</v>
      </c>
      <c r="B167" t="str">
        <f ca="1"/>
        <v>08. Producción Finalizada</v>
      </c>
      <c r="C167" t="str">
        <f ca="1"/>
        <v>2024-M0447</v>
      </c>
      <c r="D167" t="str">
        <f ca="1"/>
        <v xml:space="preserve">   Producción</v>
      </c>
      <c r="E167" s="255">
        <f ca="1"/>
        <v>1</v>
      </c>
      <c r="F167" s="255">
        <f ca="1"/>
        <v>1</v>
      </c>
      <c r="G167" s="356">
        <f ca="1">IF(TRIM(D167)=C167,
   _xlfn.XLOOKUP(C167, Cartera1017[ID Mantenimiento],Cartera1017[Comienzo Desarrollo]),
IF(TRIM(D167)="Desarrollo",
   _xlfn.XLOOKUP(C167,Cartera1017[ID Mantenimiento],Cartera1017[Comienzo Desarrollo]),
IF(TRIM(D167)="Calidad",
   _xlfn.XLOOKUP(C167,Cartera1017[ID Mantenimiento],Cartera1017[Comienzo Calidad]),
IF(TRIM(D167)="Producción",
   _xlfn.XLOOKUP(C167,Cartera1017[ID Mantenimiento],Cartera1017[Comienzo Producción]),
""))))</f>
        <v>46045</v>
      </c>
      <c r="H167" s="160">
        <f ca="1">IF(TRIM(D167)=C167,
   _xlfn.XLOOKUP(C167, Cartera1017[ID Mantenimiento],Cartera1017[Fin Producción]),
IF(TRIM(D167)="Desarrollo",
   _xlfn.XLOOKUP(C167,Cartera1017[ID Mantenimiento],Cartera1017[Fin Desarrollo]),
IF(TRIM(D167)="Calidad",
   _xlfn.XLOOKUP(C167,Cartera1017[ID Mantenimiento],Cartera1017[Fin Calidad]),
IF(TRIM(D167)="Producción",
   _xlfn.XLOOKUP(C167,Cartera1017[ID Mantenimiento],Cartera1017[Fin Producción]),
""))))</f>
        <v>46059</v>
      </c>
    </row>
    <row r="168" spans="1:8" hidden="1" collapsed="1">
      <c r="A168" t="str">
        <f ca="1"/>
        <v>Operaciones</v>
      </c>
      <c r="B168" t="str">
        <f ca="1"/>
        <v>06. Calidad Finalizado</v>
      </c>
      <c r="C168" t="str">
        <f ca="1"/>
        <v>2024-M0509</v>
      </c>
      <c r="D168" t="str">
        <f ca="1"/>
        <v>2024-M0509</v>
      </c>
      <c r="E168" s="255">
        <f ca="1"/>
        <v>0.85</v>
      </c>
      <c r="F168" s="255">
        <f ca="1"/>
        <v>1</v>
      </c>
      <c r="G168" s="356">
        <f ca="1">IF(TRIM(D168)=C168,
   _xlfn.XLOOKUP(C168, Cartera1017[ID Mantenimiento],Cartera1017[Comienzo Desarrollo]),
IF(TRIM(D168)="Desarrollo",
   _xlfn.XLOOKUP(C168,Cartera1017[ID Mantenimiento],Cartera1017[Comienzo Desarrollo]),
IF(TRIM(D168)="Calidad",
   _xlfn.XLOOKUP(C168,Cartera1017[ID Mantenimiento],Cartera1017[Comienzo Calidad]),
IF(TRIM(D168)="Producción",
   _xlfn.XLOOKUP(C168,Cartera1017[ID Mantenimiento],Cartera1017[Comienzo Producción]),
""))))</f>
        <v>45565</v>
      </c>
      <c r="H168" s="160">
        <f ca="1">IF(TRIM(D168)=C168,
   _xlfn.XLOOKUP(C168, Cartera1017[ID Mantenimiento],Cartera1017[Fin Producción]),
IF(TRIM(D168)="Desarrollo",
   _xlfn.XLOOKUP(C168,Cartera1017[ID Mantenimiento],Cartera1017[Fin Desarrollo]),
IF(TRIM(D168)="Calidad",
   _xlfn.XLOOKUP(C168,Cartera1017[ID Mantenimiento],Cartera1017[Fin Calidad]),
IF(TRIM(D168)="Producción",
   _xlfn.XLOOKUP(C168,Cartera1017[ID Mantenimiento],Cartera1017[Fin Producción]),
""))))</f>
        <v>46108</v>
      </c>
    </row>
    <row r="169" spans="1:8" hidden="1" outlineLevel="1">
      <c r="A169" t="str">
        <f ca="1"/>
        <v>Operaciones</v>
      </c>
      <c r="B169" t="str">
        <f ca="1"/>
        <v>06. Calidad Finalizado</v>
      </c>
      <c r="C169" t="str">
        <f ca="1"/>
        <v>2024-M0509</v>
      </c>
      <c r="D169" t="str">
        <f ca="1"/>
        <v xml:space="preserve">   Desarrollo</v>
      </c>
      <c r="E169" s="255">
        <f ca="1"/>
        <v>0.85</v>
      </c>
      <c r="F169" s="255">
        <f ca="1"/>
        <v>1</v>
      </c>
      <c r="G169" s="356">
        <f ca="1">IF(TRIM(D169)=C169,
   _xlfn.XLOOKUP(C169, Cartera1017[ID Mantenimiento],Cartera1017[Comienzo Desarrollo]),
IF(TRIM(D169)="Desarrollo",
   _xlfn.XLOOKUP(C169,Cartera1017[ID Mantenimiento],Cartera1017[Comienzo Desarrollo]),
IF(TRIM(D169)="Calidad",
   _xlfn.XLOOKUP(C169,Cartera1017[ID Mantenimiento],Cartera1017[Comienzo Calidad]),
IF(TRIM(D169)="Producción",
   _xlfn.XLOOKUP(C169,Cartera1017[ID Mantenimiento],Cartera1017[Comienzo Producción]),
""))))</f>
        <v>45565</v>
      </c>
      <c r="H169" s="160">
        <f ca="1">IF(TRIM(D169)=C169,
   _xlfn.XLOOKUP(C169, Cartera1017[ID Mantenimiento],Cartera1017[Fin Producción]),
IF(TRIM(D169)="Desarrollo",
   _xlfn.XLOOKUP(C169,Cartera1017[ID Mantenimiento],Cartera1017[Fin Desarrollo]),
IF(TRIM(D169)="Calidad",
   _xlfn.XLOOKUP(C169,Cartera1017[ID Mantenimiento],Cartera1017[Fin Calidad]),
IF(TRIM(D169)="Producción",
   _xlfn.XLOOKUP(C169,Cartera1017[ID Mantenimiento],Cartera1017[Fin Producción]),
""))))</f>
        <v>45621</v>
      </c>
    </row>
    <row r="170" spans="1:8" hidden="1" outlineLevel="1">
      <c r="A170" t="str">
        <f ca="1"/>
        <v>Operaciones</v>
      </c>
      <c r="B170" t="str">
        <f ca="1"/>
        <v>06. Calidad Finalizado</v>
      </c>
      <c r="C170" t="str">
        <f ca="1"/>
        <v>2024-M0509</v>
      </c>
      <c r="D170" t="str">
        <f ca="1"/>
        <v xml:space="preserve">   Calidad</v>
      </c>
      <c r="E170" s="255">
        <f ca="1"/>
        <v>0.85</v>
      </c>
      <c r="F170" s="255">
        <f ca="1"/>
        <v>1</v>
      </c>
      <c r="G170" s="356">
        <f ca="1">IF(TRIM(D170)=C170,
   _xlfn.XLOOKUP(C170, Cartera1017[ID Mantenimiento],Cartera1017[Comienzo Desarrollo]),
IF(TRIM(D170)="Desarrollo",
   _xlfn.XLOOKUP(C170,Cartera1017[ID Mantenimiento],Cartera1017[Comienzo Desarrollo]),
IF(TRIM(D170)="Calidad",
   _xlfn.XLOOKUP(C170,Cartera1017[ID Mantenimiento],Cartera1017[Comienzo Calidad]),
IF(TRIM(D170)="Producción",
   _xlfn.XLOOKUP(C170,Cartera1017[ID Mantenimiento],Cartera1017[Comienzo Producción]),
""))))</f>
        <v>45644</v>
      </c>
      <c r="H170" s="160">
        <f ca="1">IF(TRIM(D170)=C170,
   _xlfn.XLOOKUP(C170, Cartera1017[ID Mantenimiento],Cartera1017[Fin Producción]),
IF(TRIM(D170)="Desarrollo",
   _xlfn.XLOOKUP(C170,Cartera1017[ID Mantenimiento],Cartera1017[Fin Desarrollo]),
IF(TRIM(D170)="Calidad",
   _xlfn.XLOOKUP(C170,Cartera1017[ID Mantenimiento],Cartera1017[Fin Calidad]),
IF(TRIM(D170)="Producción",
   _xlfn.XLOOKUP(C170,Cartera1017[ID Mantenimiento],Cartera1017[Fin Producción]),
""))))</f>
        <v>45663</v>
      </c>
    </row>
    <row r="171" spans="1:8" hidden="1" outlineLevel="1">
      <c r="A171" t="str">
        <f ca="1"/>
        <v>Operaciones</v>
      </c>
      <c r="B171" t="str">
        <f ca="1"/>
        <v>06. Calidad Finalizado</v>
      </c>
      <c r="C171" t="str">
        <f ca="1"/>
        <v>2024-M0509</v>
      </c>
      <c r="D171" t="str">
        <f ca="1"/>
        <v xml:space="preserve">   Producción</v>
      </c>
      <c r="E171" s="255">
        <f ca="1"/>
        <v>0.85</v>
      </c>
      <c r="F171" s="255">
        <f ca="1"/>
        <v>1</v>
      </c>
      <c r="G171" s="356">
        <f ca="1">IF(TRIM(D171)=C171,
   _xlfn.XLOOKUP(C171, Cartera1017[ID Mantenimiento],Cartera1017[Comienzo Desarrollo]),
IF(TRIM(D171)="Desarrollo",
   _xlfn.XLOOKUP(C171,Cartera1017[ID Mantenimiento],Cartera1017[Comienzo Desarrollo]),
IF(TRIM(D171)="Calidad",
   _xlfn.XLOOKUP(C171,Cartera1017[ID Mantenimiento],Cartera1017[Comienzo Calidad]),
IF(TRIM(D171)="Producción",
   _xlfn.XLOOKUP(C171,Cartera1017[ID Mantenimiento],Cartera1017[Comienzo Producción]),
""))))</f>
        <v>46072</v>
      </c>
      <c r="H171" s="160">
        <f ca="1">IF(TRIM(D171)=C171,
   _xlfn.XLOOKUP(C171, Cartera1017[ID Mantenimiento],Cartera1017[Fin Producción]),
IF(TRIM(D171)="Desarrollo",
   _xlfn.XLOOKUP(C171,Cartera1017[ID Mantenimiento],Cartera1017[Fin Desarrollo]),
IF(TRIM(D171)="Calidad",
   _xlfn.XLOOKUP(C171,Cartera1017[ID Mantenimiento],Cartera1017[Fin Calidad]),
IF(TRIM(D171)="Producción",
   _xlfn.XLOOKUP(C171,Cartera1017[ID Mantenimiento],Cartera1017[Fin Producción]),
""))))</f>
        <v>46108</v>
      </c>
    </row>
    <row r="172" spans="1:8" hidden="1" collapsed="1">
      <c r="A172" t="str">
        <f ca="1"/>
        <v>Gerencia General</v>
      </c>
      <c r="B172" t="str">
        <f ca="1"/>
        <v>09. Descartado</v>
      </c>
      <c r="C172" t="str">
        <f ca="1"/>
        <v>2024-M0418</v>
      </c>
      <c r="D172" t="str">
        <f ca="1"/>
        <v>2024-M0418</v>
      </c>
      <c r="E172" s="255">
        <f ca="1"/>
        <v>-0.01</v>
      </c>
      <c r="F172" s="255" t="str">
        <f ca="1"/>
        <v/>
      </c>
      <c r="G172" s="356">
        <f ca="1">IF(TRIM(D172)=C172,
   _xlfn.XLOOKUP(C172, Cartera1017[ID Mantenimiento],Cartera1017[Comienzo Desarrollo]),
IF(TRIM(D172)="Desarrollo",
   _xlfn.XLOOKUP(C172,Cartera1017[ID Mantenimiento],Cartera1017[Comienzo Desarrollo]),
IF(TRIM(D172)="Calidad",
   _xlfn.XLOOKUP(C172,Cartera1017[ID Mantenimiento],Cartera1017[Comienzo Calidad]),
IF(TRIM(D172)="Producción",
   _xlfn.XLOOKUP(C172,Cartera1017[ID Mantenimiento],Cartera1017[Comienzo Producción]),
""))))</f>
        <v>0</v>
      </c>
      <c r="H172" s="160">
        <f ca="1">IF(TRIM(D172)=C172,
   _xlfn.XLOOKUP(C172, Cartera1017[ID Mantenimiento],Cartera1017[Fin Producción]),
IF(TRIM(D172)="Desarrollo",
   _xlfn.XLOOKUP(C172,Cartera1017[ID Mantenimiento],Cartera1017[Fin Desarrollo]),
IF(TRIM(D172)="Calidad",
   _xlfn.XLOOKUP(C172,Cartera1017[ID Mantenimiento],Cartera1017[Fin Calidad]),
IF(TRIM(D172)="Producción",
   _xlfn.XLOOKUP(C172,Cartera1017[ID Mantenimiento],Cartera1017[Fin Producción]),
""))))</f>
        <v>0</v>
      </c>
    </row>
    <row r="173" spans="1:8" hidden="1" outlineLevel="1">
      <c r="A173" t="str">
        <f ca="1"/>
        <v>Gerencia General</v>
      </c>
      <c r="B173" t="str">
        <f ca="1"/>
        <v>09. Descartado</v>
      </c>
      <c r="C173" t="str">
        <f ca="1"/>
        <v>2024-M0418</v>
      </c>
      <c r="D173" t="str">
        <f ca="1"/>
        <v xml:space="preserve">   Desarrollo</v>
      </c>
      <c r="E173" s="255">
        <f ca="1"/>
        <v>-0.01</v>
      </c>
      <c r="F173" s="255" t="str">
        <f ca="1"/>
        <v/>
      </c>
      <c r="G173" s="356">
        <f ca="1">IF(TRIM(D173)=C173,
   _xlfn.XLOOKUP(C173, Cartera1017[ID Mantenimiento],Cartera1017[Comienzo Desarrollo]),
IF(TRIM(D173)="Desarrollo",
   _xlfn.XLOOKUP(C173,Cartera1017[ID Mantenimiento],Cartera1017[Comienzo Desarrollo]),
IF(TRIM(D173)="Calidad",
   _xlfn.XLOOKUP(C173,Cartera1017[ID Mantenimiento],Cartera1017[Comienzo Calidad]),
IF(TRIM(D173)="Producción",
   _xlfn.XLOOKUP(C173,Cartera1017[ID Mantenimiento],Cartera1017[Comienzo Producción]),
""))))</f>
        <v>0</v>
      </c>
      <c r="H173" s="160">
        <f ca="1">IF(TRIM(D173)=C173,
   _xlfn.XLOOKUP(C173, Cartera1017[ID Mantenimiento],Cartera1017[Fin Producción]),
IF(TRIM(D173)="Desarrollo",
   _xlfn.XLOOKUP(C173,Cartera1017[ID Mantenimiento],Cartera1017[Fin Desarrollo]),
IF(TRIM(D173)="Calidad",
   _xlfn.XLOOKUP(C173,Cartera1017[ID Mantenimiento],Cartera1017[Fin Calidad]),
IF(TRIM(D173)="Producción",
   _xlfn.XLOOKUP(C173,Cartera1017[ID Mantenimiento],Cartera1017[Fin Producción]),
""))))</f>
        <v>0</v>
      </c>
    </row>
    <row r="174" spans="1:8" hidden="1" outlineLevel="1">
      <c r="A174" t="str">
        <f ca="1"/>
        <v>Gerencia General</v>
      </c>
      <c r="B174" t="str">
        <f ca="1"/>
        <v>09. Descartado</v>
      </c>
      <c r="C174" t="str">
        <f ca="1"/>
        <v>2024-M0418</v>
      </c>
      <c r="D174" t="str">
        <f ca="1"/>
        <v xml:space="preserve">   Calidad</v>
      </c>
      <c r="E174" s="255">
        <f ca="1"/>
        <v>-0.01</v>
      </c>
      <c r="F174" s="255" t="str">
        <f ca="1"/>
        <v/>
      </c>
      <c r="G174" s="356">
        <f ca="1">IF(TRIM(D174)=C174,
   _xlfn.XLOOKUP(C174, Cartera1017[ID Mantenimiento],Cartera1017[Comienzo Desarrollo]),
IF(TRIM(D174)="Desarrollo",
   _xlfn.XLOOKUP(C174,Cartera1017[ID Mantenimiento],Cartera1017[Comienzo Desarrollo]),
IF(TRIM(D174)="Calidad",
   _xlfn.XLOOKUP(C174,Cartera1017[ID Mantenimiento],Cartera1017[Comienzo Calidad]),
IF(TRIM(D174)="Producción",
   _xlfn.XLOOKUP(C174,Cartera1017[ID Mantenimiento],Cartera1017[Comienzo Producción]),
""))))</f>
        <v>0</v>
      </c>
      <c r="H174" s="160">
        <f ca="1">IF(TRIM(D174)=C174,
   _xlfn.XLOOKUP(C174, Cartera1017[ID Mantenimiento],Cartera1017[Fin Producción]),
IF(TRIM(D174)="Desarrollo",
   _xlfn.XLOOKUP(C174,Cartera1017[ID Mantenimiento],Cartera1017[Fin Desarrollo]),
IF(TRIM(D174)="Calidad",
   _xlfn.XLOOKUP(C174,Cartera1017[ID Mantenimiento],Cartera1017[Fin Calidad]),
IF(TRIM(D174)="Producción",
   _xlfn.XLOOKUP(C174,Cartera1017[ID Mantenimiento],Cartera1017[Fin Producción]),
""))))</f>
        <v>0</v>
      </c>
    </row>
    <row r="175" spans="1:8" hidden="1" outlineLevel="1">
      <c r="A175" t="str">
        <f ca="1"/>
        <v>Gerencia General</v>
      </c>
      <c r="B175" t="str">
        <f ca="1"/>
        <v>09. Descartado</v>
      </c>
      <c r="C175" t="str">
        <f ca="1"/>
        <v>2024-M0418</v>
      </c>
      <c r="D175" t="str">
        <f ca="1"/>
        <v xml:space="preserve">   Producción</v>
      </c>
      <c r="E175" s="255">
        <f ca="1"/>
        <v>-0.01</v>
      </c>
      <c r="F175" s="255" t="str">
        <f ca="1"/>
        <v/>
      </c>
      <c r="G175" s="356">
        <f ca="1">IF(TRIM(D175)=C175,
   _xlfn.XLOOKUP(C175, Cartera1017[ID Mantenimiento],Cartera1017[Comienzo Desarrollo]),
IF(TRIM(D175)="Desarrollo",
   _xlfn.XLOOKUP(C175,Cartera1017[ID Mantenimiento],Cartera1017[Comienzo Desarrollo]),
IF(TRIM(D175)="Calidad",
   _xlfn.XLOOKUP(C175,Cartera1017[ID Mantenimiento],Cartera1017[Comienzo Calidad]),
IF(TRIM(D175)="Producción",
   _xlfn.XLOOKUP(C175,Cartera1017[ID Mantenimiento],Cartera1017[Comienzo Producción]),
""))))</f>
        <v>0</v>
      </c>
      <c r="H175" s="160">
        <f ca="1">IF(TRIM(D175)=C175,
   _xlfn.XLOOKUP(C175, Cartera1017[ID Mantenimiento],Cartera1017[Fin Producción]),
IF(TRIM(D175)="Desarrollo",
   _xlfn.XLOOKUP(C175,Cartera1017[ID Mantenimiento],Cartera1017[Fin Desarrollo]),
IF(TRIM(D175)="Calidad",
   _xlfn.XLOOKUP(C175,Cartera1017[ID Mantenimiento],Cartera1017[Fin Calidad]),
IF(TRIM(D175)="Producción",
   _xlfn.XLOOKUP(C175,Cartera1017[ID Mantenimiento],Cartera1017[Fin Producción]),
""))))</f>
        <v>0</v>
      </c>
    </row>
    <row r="176" spans="1:8" hidden="1" collapsed="1">
      <c r="A176" t="str">
        <f ca="1"/>
        <v>Operaciones</v>
      </c>
      <c r="B176" t="str">
        <f ca="1"/>
        <v>03. En Desarrollo</v>
      </c>
      <c r="C176" t="str">
        <f ca="1"/>
        <v>2024-M0449</v>
      </c>
      <c r="D176" t="str">
        <f ca="1"/>
        <v>2024-M0449</v>
      </c>
      <c r="E176" s="255">
        <f ca="1"/>
        <v>0.45</v>
      </c>
      <c r="F176" s="255">
        <f ca="1"/>
        <v>1</v>
      </c>
      <c r="G176" s="356">
        <f ca="1">IF(TRIM(D176)=C176,
   _xlfn.XLOOKUP(C176, Cartera1017[ID Mantenimiento],Cartera1017[Comienzo Desarrollo]),
IF(TRIM(D176)="Desarrollo",
   _xlfn.XLOOKUP(C176,Cartera1017[ID Mantenimiento],Cartera1017[Comienzo Desarrollo]),
IF(TRIM(D176)="Calidad",
   _xlfn.XLOOKUP(C176,Cartera1017[ID Mantenimiento],Cartera1017[Comienzo Calidad]),
IF(TRIM(D176)="Producción",
   _xlfn.XLOOKUP(C176,Cartera1017[ID Mantenimiento],Cartera1017[Comienzo Producción]),
""))))</f>
        <v>45533</v>
      </c>
      <c r="H176" s="160">
        <f ca="1">IF(TRIM(D176)=C176,
   _xlfn.XLOOKUP(C176, Cartera1017[ID Mantenimiento],Cartera1017[Fin Producción]),
IF(TRIM(D176)="Desarrollo",
   _xlfn.XLOOKUP(C176,Cartera1017[ID Mantenimiento],Cartera1017[Fin Desarrollo]),
IF(TRIM(D176)="Calidad",
   _xlfn.XLOOKUP(C176,Cartera1017[ID Mantenimiento],Cartera1017[Fin Calidad]),
IF(TRIM(D176)="Producción",
   _xlfn.XLOOKUP(C176,Cartera1017[ID Mantenimiento],Cartera1017[Fin Producción]),
""))))</f>
        <v>46108</v>
      </c>
    </row>
    <row r="177" spans="1:8" hidden="1" outlineLevel="1">
      <c r="A177" t="str">
        <f ca="1"/>
        <v>Operaciones</v>
      </c>
      <c r="B177" t="str">
        <f ca="1"/>
        <v>03. En Desarrollo</v>
      </c>
      <c r="C177" t="str">
        <f ca="1"/>
        <v>2024-M0449</v>
      </c>
      <c r="D177" t="str">
        <f ca="1"/>
        <v xml:space="preserve">   Desarrollo</v>
      </c>
      <c r="E177" s="255">
        <f ca="1"/>
        <v>0.45</v>
      </c>
      <c r="F177" s="255">
        <f ca="1"/>
        <v>1</v>
      </c>
      <c r="G177" s="356">
        <f ca="1">IF(TRIM(D177)=C177,
   _xlfn.XLOOKUP(C177, Cartera1017[ID Mantenimiento],Cartera1017[Comienzo Desarrollo]),
IF(TRIM(D177)="Desarrollo",
   _xlfn.XLOOKUP(C177,Cartera1017[ID Mantenimiento],Cartera1017[Comienzo Desarrollo]),
IF(TRIM(D177)="Calidad",
   _xlfn.XLOOKUP(C177,Cartera1017[ID Mantenimiento],Cartera1017[Comienzo Calidad]),
IF(TRIM(D177)="Producción",
   _xlfn.XLOOKUP(C177,Cartera1017[ID Mantenimiento],Cartera1017[Comienzo Producción]),
""))))</f>
        <v>45533</v>
      </c>
      <c r="H177" s="160">
        <f ca="1">IF(TRIM(D177)=C177,
   _xlfn.XLOOKUP(C177, Cartera1017[ID Mantenimiento],Cartera1017[Fin Producción]),
IF(TRIM(D177)="Desarrollo",
   _xlfn.XLOOKUP(C177,Cartera1017[ID Mantenimiento],Cartera1017[Fin Desarrollo]),
IF(TRIM(D177)="Calidad",
   _xlfn.XLOOKUP(C177,Cartera1017[ID Mantenimiento],Cartera1017[Fin Calidad]),
IF(TRIM(D177)="Producción",
   _xlfn.XLOOKUP(C177,Cartera1017[ID Mantenimiento],Cartera1017[Fin Producción]),
""))))</f>
        <v>45719</v>
      </c>
    </row>
    <row r="178" spans="1:8" hidden="1" outlineLevel="1">
      <c r="A178" t="str">
        <f ca="1"/>
        <v>Operaciones</v>
      </c>
      <c r="B178" t="str">
        <f ca="1"/>
        <v>03. En Desarrollo</v>
      </c>
      <c r="C178" t="str">
        <f ca="1"/>
        <v>2024-M0449</v>
      </c>
      <c r="D178" t="str">
        <f ca="1"/>
        <v xml:space="preserve">   Calidad</v>
      </c>
      <c r="E178" s="255">
        <f ca="1"/>
        <v>0.45</v>
      </c>
      <c r="F178" s="255">
        <f ca="1"/>
        <v>1</v>
      </c>
      <c r="G178" s="356">
        <f ca="1">IF(TRIM(D178)=C178,
   _xlfn.XLOOKUP(C178, Cartera1017[ID Mantenimiento],Cartera1017[Comienzo Desarrollo]),
IF(TRIM(D178)="Desarrollo",
   _xlfn.XLOOKUP(C178,Cartera1017[ID Mantenimiento],Cartera1017[Comienzo Desarrollo]),
IF(TRIM(D178)="Calidad",
   _xlfn.XLOOKUP(C178,Cartera1017[ID Mantenimiento],Cartera1017[Comienzo Calidad]),
IF(TRIM(D178)="Producción",
   _xlfn.XLOOKUP(C178,Cartera1017[ID Mantenimiento],Cartera1017[Comienzo Producción]),
""))))</f>
        <v>45722</v>
      </c>
      <c r="H178" s="160">
        <f ca="1">IF(TRIM(D178)=C178,
   _xlfn.XLOOKUP(C178, Cartera1017[ID Mantenimiento],Cartera1017[Fin Producción]),
IF(TRIM(D178)="Desarrollo",
   _xlfn.XLOOKUP(C178,Cartera1017[ID Mantenimiento],Cartera1017[Fin Desarrollo]),
IF(TRIM(D178)="Calidad",
   _xlfn.XLOOKUP(C178,Cartera1017[ID Mantenimiento],Cartera1017[Fin Calidad]),
IF(TRIM(D178)="Producción",
   _xlfn.XLOOKUP(C178,Cartera1017[ID Mantenimiento],Cartera1017[Fin Producción]),
""))))</f>
        <v>45734</v>
      </c>
    </row>
    <row r="179" spans="1:8" hidden="1" outlineLevel="1">
      <c r="A179" t="str">
        <f ca="1"/>
        <v>Operaciones</v>
      </c>
      <c r="B179" t="str">
        <f ca="1"/>
        <v>03. En Desarrollo</v>
      </c>
      <c r="C179" t="str">
        <f ca="1"/>
        <v>2024-M0449</v>
      </c>
      <c r="D179" t="str">
        <f ca="1"/>
        <v xml:space="preserve">   Producción</v>
      </c>
      <c r="E179" s="255">
        <f ca="1"/>
        <v>0.45</v>
      </c>
      <c r="F179" s="255">
        <f ca="1"/>
        <v>1</v>
      </c>
      <c r="G179" s="356">
        <f ca="1">IF(TRIM(D179)=C179,
   _xlfn.XLOOKUP(C179, Cartera1017[ID Mantenimiento],Cartera1017[Comienzo Desarrollo]),
IF(TRIM(D179)="Desarrollo",
   _xlfn.XLOOKUP(C179,Cartera1017[ID Mantenimiento],Cartera1017[Comienzo Desarrollo]),
IF(TRIM(D179)="Calidad",
   _xlfn.XLOOKUP(C179,Cartera1017[ID Mantenimiento],Cartera1017[Comienzo Calidad]),
IF(TRIM(D179)="Producción",
   _xlfn.XLOOKUP(C179,Cartera1017[ID Mantenimiento],Cartera1017[Comienzo Producción]),
""))))</f>
        <v>46072</v>
      </c>
      <c r="H179" s="160">
        <f ca="1">IF(TRIM(D179)=C179,
   _xlfn.XLOOKUP(C179, Cartera1017[ID Mantenimiento],Cartera1017[Fin Producción]),
IF(TRIM(D179)="Desarrollo",
   _xlfn.XLOOKUP(C179,Cartera1017[ID Mantenimiento],Cartera1017[Fin Desarrollo]),
IF(TRIM(D179)="Calidad",
   _xlfn.XLOOKUP(C179,Cartera1017[ID Mantenimiento],Cartera1017[Fin Calidad]),
IF(TRIM(D179)="Producción",
   _xlfn.XLOOKUP(C179,Cartera1017[ID Mantenimiento],Cartera1017[Fin Producción]),
""))))</f>
        <v>46108</v>
      </c>
    </row>
    <row r="180" spans="1:8" hidden="1" collapsed="1">
      <c r="A180" t="str">
        <f ca="1"/>
        <v>Banca Digital</v>
      </c>
      <c r="B180" t="str">
        <f ca="1"/>
        <v>06. Calidad Finalizado</v>
      </c>
      <c r="C180" t="str">
        <f ca="1"/>
        <v>2024-M0461</v>
      </c>
      <c r="D180" t="str">
        <f ca="1"/>
        <v>2024-M0461</v>
      </c>
      <c r="E180" s="255">
        <f ca="1"/>
        <v>0.85</v>
      </c>
      <c r="F180" s="255">
        <f ca="1"/>
        <v>1</v>
      </c>
      <c r="G180" s="356">
        <f ca="1">IF(TRIM(D180)=C180,
   _xlfn.XLOOKUP(C180, Cartera1017[ID Mantenimiento],Cartera1017[Comienzo Desarrollo]),
IF(TRIM(D180)="Desarrollo",
   _xlfn.XLOOKUP(C180,Cartera1017[ID Mantenimiento],Cartera1017[Comienzo Desarrollo]),
IF(TRIM(D180)="Calidad",
   _xlfn.XLOOKUP(C180,Cartera1017[ID Mantenimiento],Cartera1017[Comienzo Calidad]),
IF(TRIM(D180)="Producción",
   _xlfn.XLOOKUP(C180,Cartera1017[ID Mantenimiento],Cartera1017[Comienzo Producción]),
""))))</f>
        <v>45540</v>
      </c>
      <c r="H180" s="160">
        <f ca="1">IF(TRIM(D180)=C180,
   _xlfn.XLOOKUP(C180, Cartera1017[ID Mantenimiento],Cartera1017[Fin Producción]),
IF(TRIM(D180)="Desarrollo",
   _xlfn.XLOOKUP(C180,Cartera1017[ID Mantenimiento],Cartera1017[Fin Desarrollo]),
IF(TRIM(D180)="Calidad",
   _xlfn.XLOOKUP(C180,Cartera1017[ID Mantenimiento],Cartera1017[Fin Calidad]),
IF(TRIM(D180)="Producción",
   _xlfn.XLOOKUP(C180,Cartera1017[ID Mantenimiento],Cartera1017[Fin Producción]),
""))))</f>
        <v>46142</v>
      </c>
    </row>
    <row r="181" spans="1:8" hidden="1" outlineLevel="1">
      <c r="A181" t="str">
        <f ca="1"/>
        <v>Banca Digital</v>
      </c>
      <c r="B181" t="str">
        <f ca="1"/>
        <v>06. Calidad Finalizado</v>
      </c>
      <c r="C181" t="str">
        <f ca="1"/>
        <v>2024-M0461</v>
      </c>
      <c r="D181" t="str">
        <f ca="1"/>
        <v xml:space="preserve">   Desarrollo</v>
      </c>
      <c r="E181" s="255">
        <f ca="1"/>
        <v>0.85</v>
      </c>
      <c r="F181" s="255">
        <f ca="1"/>
        <v>1</v>
      </c>
      <c r="G181" s="356">
        <f ca="1">IF(TRIM(D181)=C181,
   _xlfn.XLOOKUP(C181, Cartera1017[ID Mantenimiento],Cartera1017[Comienzo Desarrollo]),
IF(TRIM(D181)="Desarrollo",
   _xlfn.XLOOKUP(C181,Cartera1017[ID Mantenimiento],Cartera1017[Comienzo Desarrollo]),
IF(TRIM(D181)="Calidad",
   _xlfn.XLOOKUP(C181,Cartera1017[ID Mantenimiento],Cartera1017[Comienzo Calidad]),
IF(TRIM(D181)="Producción",
   _xlfn.XLOOKUP(C181,Cartera1017[ID Mantenimiento],Cartera1017[Comienzo Producción]),
""))))</f>
        <v>45540</v>
      </c>
      <c r="H181" s="160">
        <f ca="1">IF(TRIM(D181)=C181,
   _xlfn.XLOOKUP(C181, Cartera1017[ID Mantenimiento],Cartera1017[Fin Producción]),
IF(TRIM(D181)="Desarrollo",
   _xlfn.XLOOKUP(C181,Cartera1017[ID Mantenimiento],Cartera1017[Fin Desarrollo]),
IF(TRIM(D181)="Calidad",
   _xlfn.XLOOKUP(C181,Cartera1017[ID Mantenimiento],Cartera1017[Fin Calidad]),
IF(TRIM(D181)="Producción",
   _xlfn.XLOOKUP(C181,Cartera1017[ID Mantenimiento],Cartera1017[Fin Producción]),
""))))</f>
        <v>45876</v>
      </c>
    </row>
    <row r="182" spans="1:8" hidden="1" outlineLevel="1">
      <c r="A182" t="str">
        <f ca="1"/>
        <v>Banca Digital</v>
      </c>
      <c r="B182" t="str">
        <f ca="1"/>
        <v>06. Calidad Finalizado</v>
      </c>
      <c r="C182" t="str">
        <f ca="1"/>
        <v>2024-M0461</v>
      </c>
      <c r="D182" t="str">
        <f ca="1"/>
        <v xml:space="preserve">   Calidad</v>
      </c>
      <c r="E182" s="255">
        <f ca="1"/>
        <v>0.85</v>
      </c>
      <c r="F182" s="255">
        <f ca="1"/>
        <v>1</v>
      </c>
      <c r="G182" s="356">
        <f ca="1">IF(TRIM(D182)=C182,
   _xlfn.XLOOKUP(C182, Cartera1017[ID Mantenimiento],Cartera1017[Comienzo Desarrollo]),
IF(TRIM(D182)="Desarrollo",
   _xlfn.XLOOKUP(C182,Cartera1017[ID Mantenimiento],Cartera1017[Comienzo Desarrollo]),
IF(TRIM(D182)="Calidad",
   _xlfn.XLOOKUP(C182,Cartera1017[ID Mantenimiento],Cartera1017[Comienzo Calidad]),
IF(TRIM(D182)="Producción",
   _xlfn.XLOOKUP(C182,Cartera1017[ID Mantenimiento],Cartera1017[Comienzo Producción]),
""))))</f>
        <v>45877</v>
      </c>
      <c r="H182" s="160">
        <f ca="1">IF(TRIM(D182)=C182,
   _xlfn.XLOOKUP(C182, Cartera1017[ID Mantenimiento],Cartera1017[Fin Producción]),
IF(TRIM(D182)="Desarrollo",
   _xlfn.XLOOKUP(C182,Cartera1017[ID Mantenimiento],Cartera1017[Fin Desarrollo]),
IF(TRIM(D182)="Calidad",
   _xlfn.XLOOKUP(C182,Cartera1017[ID Mantenimiento],Cartera1017[Fin Calidad]),
IF(TRIM(D182)="Producción",
   _xlfn.XLOOKUP(C182,Cartera1017[ID Mantenimiento],Cartera1017[Fin Producción]),
""))))</f>
        <v>45883</v>
      </c>
    </row>
    <row r="183" spans="1:8" hidden="1" outlineLevel="1">
      <c r="A183" t="str">
        <f ca="1"/>
        <v>Banca Digital</v>
      </c>
      <c r="B183" t="str">
        <f ca="1"/>
        <v>06. Calidad Finalizado</v>
      </c>
      <c r="C183" t="str">
        <f ca="1"/>
        <v>2024-M0461</v>
      </c>
      <c r="D183" t="str">
        <f ca="1"/>
        <v xml:space="preserve">   Producción</v>
      </c>
      <c r="E183" s="255">
        <f ca="1"/>
        <v>0.85</v>
      </c>
      <c r="F183" s="255">
        <f ca="1"/>
        <v>1</v>
      </c>
      <c r="G183" s="356">
        <f ca="1">IF(TRIM(D183)=C183,
   _xlfn.XLOOKUP(C183, Cartera1017[ID Mantenimiento],Cartera1017[Comienzo Desarrollo]),
IF(TRIM(D183)="Desarrollo",
   _xlfn.XLOOKUP(C183,Cartera1017[ID Mantenimiento],Cartera1017[Comienzo Desarrollo]),
IF(TRIM(D183)="Calidad",
   _xlfn.XLOOKUP(C183,Cartera1017[ID Mantenimiento],Cartera1017[Comienzo Calidad]),
IF(TRIM(D183)="Producción",
   _xlfn.XLOOKUP(C183,Cartera1017[ID Mantenimiento],Cartera1017[Comienzo Producción]),
""))))</f>
        <v>46072</v>
      </c>
      <c r="H183" s="160">
        <f ca="1">IF(TRIM(D183)=C183,
   _xlfn.XLOOKUP(C183, Cartera1017[ID Mantenimiento],Cartera1017[Fin Producción]),
IF(TRIM(D183)="Desarrollo",
   _xlfn.XLOOKUP(C183,Cartera1017[ID Mantenimiento],Cartera1017[Fin Desarrollo]),
IF(TRIM(D183)="Calidad",
   _xlfn.XLOOKUP(C183,Cartera1017[ID Mantenimiento],Cartera1017[Fin Calidad]),
IF(TRIM(D183)="Producción",
   _xlfn.XLOOKUP(C183,Cartera1017[ID Mantenimiento],Cartera1017[Fin Producción]),
""))))</f>
        <v>46142</v>
      </c>
    </row>
    <row r="184" spans="1:8" hidden="1" collapsed="1">
      <c r="A184" t="str">
        <f ca="1"/>
        <v>Banca Digital</v>
      </c>
      <c r="B184" t="str">
        <f ca="1"/>
        <v>08. Producción Finalizada</v>
      </c>
      <c r="C184" t="str">
        <f ca="1"/>
        <v>2024-M0462</v>
      </c>
      <c r="D184" t="str">
        <f ca="1"/>
        <v>2024-M0462</v>
      </c>
      <c r="E184" s="255">
        <f ca="1"/>
        <v>1</v>
      </c>
      <c r="F184" s="255">
        <f ca="1"/>
        <v>1</v>
      </c>
      <c r="G184" s="356">
        <f ca="1">IF(TRIM(D184)=C184,
   _xlfn.XLOOKUP(C184, Cartera1017[ID Mantenimiento],Cartera1017[Comienzo Desarrollo]),
IF(TRIM(D184)="Desarrollo",
   _xlfn.XLOOKUP(C184,Cartera1017[ID Mantenimiento],Cartera1017[Comienzo Desarrollo]),
IF(TRIM(D184)="Calidad",
   _xlfn.XLOOKUP(C184,Cartera1017[ID Mantenimiento],Cartera1017[Comienzo Calidad]),
IF(TRIM(D184)="Producción",
   _xlfn.XLOOKUP(C184,Cartera1017[ID Mantenimiento],Cartera1017[Comienzo Producción]),
""))))</f>
        <v>46003</v>
      </c>
      <c r="H184" s="160">
        <f ca="1">IF(TRIM(D184)=C184,
   _xlfn.XLOOKUP(C184, Cartera1017[ID Mantenimiento],Cartera1017[Fin Producción]),
IF(TRIM(D184)="Desarrollo",
   _xlfn.XLOOKUP(C184,Cartera1017[ID Mantenimiento],Cartera1017[Fin Desarrollo]),
IF(TRIM(D184)="Calidad",
   _xlfn.XLOOKUP(C184,Cartera1017[ID Mantenimiento],Cartera1017[Fin Calidad]),
IF(TRIM(D184)="Producción",
   _xlfn.XLOOKUP(C184,Cartera1017[ID Mantenimiento],Cartera1017[Fin Producción]),
""))))</f>
        <v>46045</v>
      </c>
    </row>
    <row r="185" spans="1:8" hidden="1" outlineLevel="1">
      <c r="A185" t="str">
        <f ca="1"/>
        <v>Banca Digital</v>
      </c>
      <c r="B185" t="str">
        <f ca="1"/>
        <v>08. Producción Finalizada</v>
      </c>
      <c r="C185" t="str">
        <f ca="1"/>
        <v>2024-M0462</v>
      </c>
      <c r="D185" t="str">
        <f ca="1"/>
        <v xml:space="preserve">   Desarrollo</v>
      </c>
      <c r="E185" s="255">
        <f ca="1"/>
        <v>1</v>
      </c>
      <c r="F185" s="255">
        <f ca="1"/>
        <v>1</v>
      </c>
      <c r="G185" s="356">
        <f ca="1">IF(TRIM(D185)=C185,
   _xlfn.XLOOKUP(C185, Cartera1017[ID Mantenimiento],Cartera1017[Comienzo Desarrollo]),
IF(TRIM(D185)="Desarrollo",
   _xlfn.XLOOKUP(C185,Cartera1017[ID Mantenimiento],Cartera1017[Comienzo Desarrollo]),
IF(TRIM(D185)="Calidad",
   _xlfn.XLOOKUP(C185,Cartera1017[ID Mantenimiento],Cartera1017[Comienzo Calidad]),
IF(TRIM(D185)="Producción",
   _xlfn.XLOOKUP(C185,Cartera1017[ID Mantenimiento],Cartera1017[Comienzo Producción]),
""))))</f>
        <v>46003</v>
      </c>
      <c r="H185" s="160">
        <f ca="1">IF(TRIM(D185)=C185,
   _xlfn.XLOOKUP(C185, Cartera1017[ID Mantenimiento],Cartera1017[Fin Producción]),
IF(TRIM(D185)="Desarrollo",
   _xlfn.XLOOKUP(C185,Cartera1017[ID Mantenimiento],Cartera1017[Fin Desarrollo]),
IF(TRIM(D185)="Calidad",
   _xlfn.XLOOKUP(C185,Cartera1017[ID Mantenimiento],Cartera1017[Fin Calidad]),
IF(TRIM(D185)="Producción",
   _xlfn.XLOOKUP(C185,Cartera1017[ID Mantenimiento],Cartera1017[Fin Producción]),
""))))</f>
        <v>46007</v>
      </c>
    </row>
    <row r="186" spans="1:8" hidden="1" outlineLevel="1">
      <c r="A186" t="str">
        <f ca="1"/>
        <v>Banca Digital</v>
      </c>
      <c r="B186" t="str">
        <f ca="1"/>
        <v>08. Producción Finalizada</v>
      </c>
      <c r="C186" t="str">
        <f ca="1"/>
        <v>2024-M0462</v>
      </c>
      <c r="D186" t="str">
        <f ca="1"/>
        <v xml:space="preserve">   Calidad</v>
      </c>
      <c r="E186" s="255">
        <f ca="1"/>
        <v>1</v>
      </c>
      <c r="F186" s="255">
        <f ca="1"/>
        <v>1</v>
      </c>
      <c r="G186" s="356">
        <f ca="1">IF(TRIM(D186)=C186,
   _xlfn.XLOOKUP(C186, Cartera1017[ID Mantenimiento],Cartera1017[Comienzo Desarrollo]),
IF(TRIM(D186)="Desarrollo",
   _xlfn.XLOOKUP(C186,Cartera1017[ID Mantenimiento],Cartera1017[Comienzo Desarrollo]),
IF(TRIM(D186)="Calidad",
   _xlfn.XLOOKUP(C186,Cartera1017[ID Mantenimiento],Cartera1017[Comienzo Calidad]),
IF(TRIM(D186)="Producción",
   _xlfn.XLOOKUP(C186,Cartera1017[ID Mantenimiento],Cartera1017[Comienzo Producción]),
""))))</f>
        <v>46007</v>
      </c>
      <c r="H186" s="160">
        <f ca="1">IF(TRIM(D186)=C186,
   _xlfn.XLOOKUP(C186, Cartera1017[ID Mantenimiento],Cartera1017[Fin Producción]),
IF(TRIM(D186)="Desarrollo",
   _xlfn.XLOOKUP(C186,Cartera1017[ID Mantenimiento],Cartera1017[Fin Desarrollo]),
IF(TRIM(D186)="Calidad",
   _xlfn.XLOOKUP(C186,Cartera1017[ID Mantenimiento],Cartera1017[Fin Calidad]),
IF(TRIM(D186)="Producción",
   _xlfn.XLOOKUP(C186,Cartera1017[ID Mantenimiento],Cartera1017[Fin Producción]),
""))))</f>
        <v>46008</v>
      </c>
    </row>
    <row r="187" spans="1:8" hidden="1" outlineLevel="1">
      <c r="A187" t="str">
        <f ca="1"/>
        <v>Banca Digital</v>
      </c>
      <c r="B187" t="str">
        <f ca="1"/>
        <v>08. Producción Finalizada</v>
      </c>
      <c r="C187" t="str">
        <f ca="1"/>
        <v>2024-M0462</v>
      </c>
      <c r="D187" t="str">
        <f ca="1"/>
        <v xml:space="preserve">   Producción</v>
      </c>
      <c r="E187" s="255">
        <f ca="1"/>
        <v>1</v>
      </c>
      <c r="F187" s="255">
        <f ca="1"/>
        <v>1</v>
      </c>
      <c r="G187" s="356">
        <f ca="1">IF(TRIM(D187)=C187,
   _xlfn.XLOOKUP(C187, Cartera1017[ID Mantenimiento],Cartera1017[Comienzo Desarrollo]),
IF(TRIM(D187)="Desarrollo",
   _xlfn.XLOOKUP(C187,Cartera1017[ID Mantenimiento],Cartera1017[Comienzo Desarrollo]),
IF(TRIM(D187)="Calidad",
   _xlfn.XLOOKUP(C187,Cartera1017[ID Mantenimiento],Cartera1017[Comienzo Calidad]),
IF(TRIM(D187)="Producción",
   _xlfn.XLOOKUP(C187,Cartera1017[ID Mantenimiento],Cartera1017[Comienzo Producción]),
""))))</f>
        <v>46043</v>
      </c>
      <c r="H187" s="160">
        <f ca="1">IF(TRIM(D187)=C187,
   _xlfn.XLOOKUP(C187, Cartera1017[ID Mantenimiento],Cartera1017[Fin Producción]),
IF(TRIM(D187)="Desarrollo",
   _xlfn.XLOOKUP(C187,Cartera1017[ID Mantenimiento],Cartera1017[Fin Desarrollo]),
IF(TRIM(D187)="Calidad",
   _xlfn.XLOOKUP(C187,Cartera1017[ID Mantenimiento],Cartera1017[Fin Calidad]),
IF(TRIM(D187)="Producción",
   _xlfn.XLOOKUP(C187,Cartera1017[ID Mantenimiento],Cartera1017[Fin Producción]),
""))))</f>
        <v>46045</v>
      </c>
    </row>
    <row r="188" spans="1:8" hidden="1" collapsed="1">
      <c r="A188" t="str">
        <f ca="1"/>
        <v>Finanzas y Tesorería</v>
      </c>
      <c r="B188" t="str">
        <f ca="1"/>
        <v>10. Paralizado</v>
      </c>
      <c r="C188" t="str">
        <f ca="1"/>
        <v>2024-M0529</v>
      </c>
      <c r="D188" t="str">
        <f ca="1"/>
        <v>2024-M0529</v>
      </c>
      <c r="E188" s="255">
        <f ca="1"/>
        <v>0.12</v>
      </c>
      <c r="F188" s="255">
        <f ca="1"/>
        <v>0.6705882352941176</v>
      </c>
      <c r="G188" s="356">
        <f ca="1">IF(TRIM(D188)=C188,
   _xlfn.XLOOKUP(C188, Cartera1017[ID Mantenimiento],Cartera1017[Comienzo Desarrollo]),
IF(TRIM(D188)="Desarrollo",
   _xlfn.XLOOKUP(C188,Cartera1017[ID Mantenimiento],Cartera1017[Comienzo Desarrollo]),
IF(TRIM(D188)="Calidad",
   _xlfn.XLOOKUP(C188,Cartera1017[ID Mantenimiento],Cartera1017[Comienzo Calidad]),
IF(TRIM(D188)="Producción",
   _xlfn.XLOOKUP(C188,Cartera1017[ID Mantenimiento],Cartera1017[Comienzo Producción]),
""))))</f>
        <v>46083</v>
      </c>
      <c r="H188" s="160">
        <f ca="1">IF(TRIM(D188)=C188,
   _xlfn.XLOOKUP(C188, Cartera1017[ID Mantenimiento],Cartera1017[Fin Producción]),
IF(TRIM(D188)="Desarrollo",
   _xlfn.XLOOKUP(C188,Cartera1017[ID Mantenimiento],Cartera1017[Fin Desarrollo]),
IF(TRIM(D188)="Calidad",
   _xlfn.XLOOKUP(C188,Cartera1017[ID Mantenimiento],Cartera1017[Fin Calidad]),
IF(TRIM(D188)="Producción",
   _xlfn.XLOOKUP(C188,Cartera1017[ID Mantenimiento],Cartera1017[Fin Producción]),
""))))</f>
        <v>46203</v>
      </c>
    </row>
    <row r="189" spans="1:8" hidden="1" outlineLevel="1">
      <c r="A189" t="str">
        <f ca="1"/>
        <v>Finanzas y Tesorería</v>
      </c>
      <c r="B189" t="str">
        <f ca="1"/>
        <v>10. Paralizado</v>
      </c>
      <c r="C189" t="str">
        <f ca="1"/>
        <v>2024-M0529</v>
      </c>
      <c r="D189" t="str">
        <f ca="1"/>
        <v xml:space="preserve">   Desarrollo</v>
      </c>
      <c r="E189" s="255">
        <f ca="1"/>
        <v>0.12</v>
      </c>
      <c r="F189" s="255">
        <f ca="1"/>
        <v>0.6705882352941176</v>
      </c>
      <c r="G189" s="356">
        <f ca="1">IF(TRIM(D189)=C189,
   _xlfn.XLOOKUP(C189, Cartera1017[ID Mantenimiento],Cartera1017[Comienzo Desarrollo]),
IF(TRIM(D189)="Desarrollo",
   _xlfn.XLOOKUP(C189,Cartera1017[ID Mantenimiento],Cartera1017[Comienzo Desarrollo]),
IF(TRIM(D189)="Calidad",
   _xlfn.XLOOKUP(C189,Cartera1017[ID Mantenimiento],Cartera1017[Comienzo Calidad]),
IF(TRIM(D189)="Producción",
   _xlfn.XLOOKUP(C189,Cartera1017[ID Mantenimiento],Cartera1017[Comienzo Producción]),
""))))</f>
        <v>46083</v>
      </c>
      <c r="H189" s="160">
        <f ca="1">IF(TRIM(D189)=C189,
   _xlfn.XLOOKUP(C189, Cartera1017[ID Mantenimiento],Cartera1017[Fin Producción]),
IF(TRIM(D189)="Desarrollo",
   _xlfn.XLOOKUP(C189,Cartera1017[ID Mantenimiento],Cartera1017[Fin Desarrollo]),
IF(TRIM(D189)="Calidad",
   _xlfn.XLOOKUP(C189,Cartera1017[ID Mantenimiento],Cartera1017[Fin Calidad]),
IF(TRIM(D189)="Producción",
   _xlfn.XLOOKUP(C189,Cartera1017[ID Mantenimiento],Cartera1017[Fin Producción]),
""))))</f>
        <v>46112</v>
      </c>
    </row>
    <row r="190" spans="1:8" hidden="1" outlineLevel="1">
      <c r="A190" t="str">
        <f ca="1"/>
        <v>Finanzas y Tesorería</v>
      </c>
      <c r="B190" t="str">
        <f ca="1"/>
        <v>10. Paralizado</v>
      </c>
      <c r="C190" t="str">
        <f ca="1"/>
        <v>2024-M0529</v>
      </c>
      <c r="D190" t="str">
        <f ca="1"/>
        <v xml:space="preserve">   Calidad</v>
      </c>
      <c r="E190" s="255">
        <f ca="1"/>
        <v>0.12</v>
      </c>
      <c r="F190" s="255">
        <f ca="1"/>
        <v>0.6705882352941176</v>
      </c>
      <c r="G190" s="356">
        <f ca="1">IF(TRIM(D190)=C190,
   _xlfn.XLOOKUP(C190, Cartera1017[ID Mantenimiento],Cartera1017[Comienzo Desarrollo]),
IF(TRIM(D190)="Desarrollo",
   _xlfn.XLOOKUP(C190,Cartera1017[ID Mantenimiento],Cartera1017[Comienzo Desarrollo]),
IF(TRIM(D190)="Calidad",
   _xlfn.XLOOKUP(C190,Cartera1017[ID Mantenimiento],Cartera1017[Comienzo Calidad]),
IF(TRIM(D190)="Producción",
   _xlfn.XLOOKUP(C190,Cartera1017[ID Mantenimiento],Cartera1017[Comienzo Producción]),
""))))</f>
        <v>46112</v>
      </c>
      <c r="H190" s="160">
        <f ca="1">IF(TRIM(D190)=C190,
   _xlfn.XLOOKUP(C190, Cartera1017[ID Mantenimiento],Cartera1017[Fin Producción]),
IF(TRIM(D190)="Desarrollo",
   _xlfn.XLOOKUP(C190,Cartera1017[ID Mantenimiento],Cartera1017[Fin Desarrollo]),
IF(TRIM(D190)="Calidad",
   _xlfn.XLOOKUP(C190,Cartera1017[ID Mantenimiento],Cartera1017[Fin Calidad]),
IF(TRIM(D190)="Producción",
   _xlfn.XLOOKUP(C190,Cartera1017[ID Mantenimiento],Cartera1017[Fin Producción]),
""))))</f>
        <v>46185</v>
      </c>
    </row>
    <row r="191" spans="1:8" hidden="1" outlineLevel="1">
      <c r="A191" t="str">
        <f ca="1"/>
        <v>Finanzas y Tesorería</v>
      </c>
      <c r="B191" t="str">
        <f ca="1"/>
        <v>10. Paralizado</v>
      </c>
      <c r="C191" t="str">
        <f ca="1"/>
        <v>2024-M0529</v>
      </c>
      <c r="D191" t="str">
        <f ca="1"/>
        <v xml:space="preserve">   Producción</v>
      </c>
      <c r="E191" s="255">
        <f ca="1"/>
        <v>0.12</v>
      </c>
      <c r="F191" s="255">
        <f ca="1"/>
        <v>0.6705882352941176</v>
      </c>
      <c r="G191" s="356">
        <f ca="1">IF(TRIM(D191)=C191,
   _xlfn.XLOOKUP(C191, Cartera1017[ID Mantenimiento],Cartera1017[Comienzo Desarrollo]),
IF(TRIM(D191)="Desarrollo",
   _xlfn.XLOOKUP(C191,Cartera1017[ID Mantenimiento],Cartera1017[Comienzo Desarrollo]),
IF(TRIM(D191)="Calidad",
   _xlfn.XLOOKUP(C191,Cartera1017[ID Mantenimiento],Cartera1017[Comienzo Calidad]),
IF(TRIM(D191)="Producción",
   _xlfn.XLOOKUP(C191,Cartera1017[ID Mantenimiento],Cartera1017[Comienzo Producción]),
""))))</f>
        <v>46185</v>
      </c>
      <c r="H191" s="160">
        <f ca="1">IF(TRIM(D191)=C191,
   _xlfn.XLOOKUP(C191, Cartera1017[ID Mantenimiento],Cartera1017[Fin Producción]),
IF(TRIM(D191)="Desarrollo",
   _xlfn.XLOOKUP(C191,Cartera1017[ID Mantenimiento],Cartera1017[Fin Desarrollo]),
IF(TRIM(D191)="Calidad",
   _xlfn.XLOOKUP(C191,Cartera1017[ID Mantenimiento],Cartera1017[Fin Calidad]),
IF(TRIM(D191)="Producción",
   _xlfn.XLOOKUP(C191,Cartera1017[ID Mantenimiento],Cartera1017[Fin Producción]),
""))))</f>
        <v>46203</v>
      </c>
    </row>
    <row r="192" spans="1:8" hidden="1" collapsed="1">
      <c r="A192" t="str">
        <f ca="1"/>
        <v>Banca Digital</v>
      </c>
      <c r="B192" t="str">
        <f ca="1"/>
        <v>08. Producción Finalizada</v>
      </c>
      <c r="C192" t="str">
        <f ca="1"/>
        <v>2024-M0528</v>
      </c>
      <c r="D192" t="str">
        <f ca="1"/>
        <v>2024-M0528</v>
      </c>
      <c r="E192" s="255">
        <f ca="1"/>
        <v>1</v>
      </c>
      <c r="F192" s="255">
        <f ca="1"/>
        <v>1</v>
      </c>
      <c r="G192" s="356">
        <f ca="1">IF(TRIM(D192)=C192,
   _xlfn.XLOOKUP(C192, Cartera1017[ID Mantenimiento],Cartera1017[Comienzo Desarrollo]),
IF(TRIM(D192)="Desarrollo",
   _xlfn.XLOOKUP(C192,Cartera1017[ID Mantenimiento],Cartera1017[Comienzo Desarrollo]),
IF(TRIM(D192)="Calidad",
   _xlfn.XLOOKUP(C192,Cartera1017[ID Mantenimiento],Cartera1017[Comienzo Calidad]),
IF(TRIM(D192)="Producción",
   _xlfn.XLOOKUP(C192,Cartera1017[ID Mantenimiento],Cartera1017[Comienzo Producción]),
""))))</f>
        <v>45568</v>
      </c>
      <c r="H192" s="160">
        <f ca="1">IF(TRIM(D192)=C192,
   _xlfn.XLOOKUP(C192, Cartera1017[ID Mantenimiento],Cartera1017[Fin Producción]),
IF(TRIM(D192)="Desarrollo",
   _xlfn.XLOOKUP(C192,Cartera1017[ID Mantenimiento],Cartera1017[Fin Desarrollo]),
IF(TRIM(D192)="Calidad",
   _xlfn.XLOOKUP(C192,Cartera1017[ID Mantenimiento],Cartera1017[Fin Calidad]),
IF(TRIM(D192)="Producción",
   _xlfn.XLOOKUP(C192,Cartera1017[ID Mantenimiento],Cartera1017[Fin Producción]),
""))))</f>
        <v>46035</v>
      </c>
    </row>
    <row r="193" spans="1:8" hidden="1" outlineLevel="1">
      <c r="A193" t="str">
        <f ca="1"/>
        <v>Banca Digital</v>
      </c>
      <c r="B193" t="str">
        <f ca="1"/>
        <v>08. Producción Finalizada</v>
      </c>
      <c r="C193" t="str">
        <f ca="1"/>
        <v>2024-M0528</v>
      </c>
      <c r="D193" t="str">
        <f ca="1"/>
        <v xml:space="preserve">   Desarrollo</v>
      </c>
      <c r="E193" s="255">
        <f ca="1"/>
        <v>1</v>
      </c>
      <c r="F193" s="255">
        <f ca="1"/>
        <v>1</v>
      </c>
      <c r="G193" s="356">
        <f ca="1">IF(TRIM(D193)=C193,
   _xlfn.XLOOKUP(C193, Cartera1017[ID Mantenimiento],Cartera1017[Comienzo Desarrollo]),
IF(TRIM(D193)="Desarrollo",
   _xlfn.XLOOKUP(C193,Cartera1017[ID Mantenimiento],Cartera1017[Comienzo Desarrollo]),
IF(TRIM(D193)="Calidad",
   _xlfn.XLOOKUP(C193,Cartera1017[ID Mantenimiento],Cartera1017[Comienzo Calidad]),
IF(TRIM(D193)="Producción",
   _xlfn.XLOOKUP(C193,Cartera1017[ID Mantenimiento],Cartera1017[Comienzo Producción]),
""))))</f>
        <v>45568</v>
      </c>
      <c r="H193" s="160">
        <f ca="1">IF(TRIM(D193)=C193,
   _xlfn.XLOOKUP(C193, Cartera1017[ID Mantenimiento],Cartera1017[Fin Producción]),
IF(TRIM(D193)="Desarrollo",
   _xlfn.XLOOKUP(C193,Cartera1017[ID Mantenimiento],Cartera1017[Fin Desarrollo]),
IF(TRIM(D193)="Calidad",
   _xlfn.XLOOKUP(C193,Cartera1017[ID Mantenimiento],Cartera1017[Fin Calidad]),
IF(TRIM(D193)="Producción",
   _xlfn.XLOOKUP(C193,Cartera1017[ID Mantenimiento],Cartera1017[Fin Producción]),
""))))</f>
        <v>45876</v>
      </c>
    </row>
    <row r="194" spans="1:8" hidden="1" outlineLevel="1">
      <c r="A194" t="str">
        <f ca="1"/>
        <v>Banca Digital</v>
      </c>
      <c r="B194" t="str">
        <f ca="1"/>
        <v>08. Producción Finalizada</v>
      </c>
      <c r="C194" t="str">
        <f ca="1"/>
        <v>2024-M0528</v>
      </c>
      <c r="D194" t="str">
        <f ca="1"/>
        <v xml:space="preserve">   Calidad</v>
      </c>
      <c r="E194" s="255">
        <f ca="1"/>
        <v>1</v>
      </c>
      <c r="F194" s="255">
        <f ca="1"/>
        <v>1</v>
      </c>
      <c r="G194" s="356">
        <f ca="1">IF(TRIM(D194)=C194,
   _xlfn.XLOOKUP(C194, Cartera1017[ID Mantenimiento],Cartera1017[Comienzo Desarrollo]),
IF(TRIM(D194)="Desarrollo",
   _xlfn.XLOOKUP(C194,Cartera1017[ID Mantenimiento],Cartera1017[Comienzo Desarrollo]),
IF(TRIM(D194)="Calidad",
   _xlfn.XLOOKUP(C194,Cartera1017[ID Mantenimiento],Cartera1017[Comienzo Calidad]),
IF(TRIM(D194)="Producción",
   _xlfn.XLOOKUP(C194,Cartera1017[ID Mantenimiento],Cartera1017[Comienzo Producción]),
""))))</f>
        <v>45877</v>
      </c>
      <c r="H194" s="160">
        <f ca="1">IF(TRIM(D194)=C194,
   _xlfn.XLOOKUP(C194, Cartera1017[ID Mantenimiento],Cartera1017[Fin Producción]),
IF(TRIM(D194)="Desarrollo",
   _xlfn.XLOOKUP(C194,Cartera1017[ID Mantenimiento],Cartera1017[Fin Desarrollo]),
IF(TRIM(D194)="Calidad",
   _xlfn.XLOOKUP(C194,Cartera1017[ID Mantenimiento],Cartera1017[Fin Calidad]),
IF(TRIM(D194)="Producción",
   _xlfn.XLOOKUP(C194,Cartera1017[ID Mantenimiento],Cartera1017[Fin Producción]),
""))))</f>
        <v>45889</v>
      </c>
    </row>
    <row r="195" spans="1:8" hidden="1" outlineLevel="1">
      <c r="A195" t="str">
        <f ca="1"/>
        <v>Banca Digital</v>
      </c>
      <c r="B195" t="str">
        <f ca="1"/>
        <v>08. Producción Finalizada</v>
      </c>
      <c r="C195" t="str">
        <f ca="1"/>
        <v>2024-M0528</v>
      </c>
      <c r="D195" t="str">
        <f ca="1"/>
        <v xml:space="preserve">   Producción</v>
      </c>
      <c r="E195" s="255">
        <f ca="1"/>
        <v>1</v>
      </c>
      <c r="F195" s="255">
        <f ca="1"/>
        <v>1</v>
      </c>
      <c r="G195" s="356">
        <f ca="1">IF(TRIM(D195)=C195,
   _xlfn.XLOOKUP(C195, Cartera1017[ID Mantenimiento],Cartera1017[Comienzo Desarrollo]),
IF(TRIM(D195)="Desarrollo",
   _xlfn.XLOOKUP(C195,Cartera1017[ID Mantenimiento],Cartera1017[Comienzo Desarrollo]),
IF(TRIM(D195)="Calidad",
   _xlfn.XLOOKUP(C195,Cartera1017[ID Mantenimiento],Cartera1017[Comienzo Calidad]),
IF(TRIM(D195)="Producción",
   _xlfn.XLOOKUP(C195,Cartera1017[ID Mantenimiento],Cartera1017[Comienzo Producción]),
""))))</f>
        <v>46031</v>
      </c>
      <c r="H195" s="160">
        <f ca="1">IF(TRIM(D195)=C195,
   _xlfn.XLOOKUP(C195, Cartera1017[ID Mantenimiento],Cartera1017[Fin Producción]),
IF(TRIM(D195)="Desarrollo",
   _xlfn.XLOOKUP(C195,Cartera1017[ID Mantenimiento],Cartera1017[Fin Desarrollo]),
IF(TRIM(D195)="Calidad",
   _xlfn.XLOOKUP(C195,Cartera1017[ID Mantenimiento],Cartera1017[Fin Calidad]),
IF(TRIM(D195)="Producción",
   _xlfn.XLOOKUP(C195,Cartera1017[ID Mantenimiento],Cartera1017[Fin Producción]),
""))))</f>
        <v>46035</v>
      </c>
    </row>
    <row r="196" spans="1:8" hidden="1" collapsed="1">
      <c r="A196" t="str">
        <f ca="1"/>
        <v>Operaciones</v>
      </c>
      <c r="B196" t="str">
        <f ca="1"/>
        <v>09. Descartado</v>
      </c>
      <c r="C196" t="str">
        <f ca="1"/>
        <v>2024-M0546</v>
      </c>
      <c r="D196" t="str">
        <f ca="1"/>
        <v>2024-M0546</v>
      </c>
      <c r="E196" s="255">
        <f ca="1"/>
        <v>-0.01</v>
      </c>
      <c r="F196" s="255" t="str">
        <f ca="1"/>
        <v/>
      </c>
      <c r="G196" s="356">
        <f ca="1">IF(TRIM(D196)=C196,
   _xlfn.XLOOKUP(C196, Cartera1017[ID Mantenimiento],Cartera1017[Comienzo Desarrollo]),
IF(TRIM(D196)="Desarrollo",
   _xlfn.XLOOKUP(C196,Cartera1017[ID Mantenimiento],Cartera1017[Comienzo Desarrollo]),
IF(TRIM(D196)="Calidad",
   _xlfn.XLOOKUP(C196,Cartera1017[ID Mantenimiento],Cartera1017[Comienzo Calidad]),
IF(TRIM(D196)="Producción",
   _xlfn.XLOOKUP(C196,Cartera1017[ID Mantenimiento],Cartera1017[Comienzo Producción]),
""))))</f>
        <v>0</v>
      </c>
      <c r="H196" s="160">
        <f ca="1">IF(TRIM(D196)=C196,
   _xlfn.XLOOKUP(C196, Cartera1017[ID Mantenimiento],Cartera1017[Fin Producción]),
IF(TRIM(D196)="Desarrollo",
   _xlfn.XLOOKUP(C196,Cartera1017[ID Mantenimiento],Cartera1017[Fin Desarrollo]),
IF(TRIM(D196)="Calidad",
   _xlfn.XLOOKUP(C196,Cartera1017[ID Mantenimiento],Cartera1017[Fin Calidad]),
IF(TRIM(D196)="Producción",
   _xlfn.XLOOKUP(C196,Cartera1017[ID Mantenimiento],Cartera1017[Fin Producción]),
""))))</f>
        <v>0</v>
      </c>
    </row>
    <row r="197" spans="1:8" hidden="1" outlineLevel="1">
      <c r="A197" t="str">
        <f ca="1"/>
        <v>Operaciones</v>
      </c>
      <c r="B197" t="str">
        <f ca="1"/>
        <v>09. Descartado</v>
      </c>
      <c r="C197" t="str">
        <f ca="1"/>
        <v>2024-M0546</v>
      </c>
      <c r="D197" t="str">
        <f ca="1"/>
        <v xml:space="preserve">   Desarrollo</v>
      </c>
      <c r="E197" s="255">
        <f ca="1"/>
        <v>-0.01</v>
      </c>
      <c r="F197" s="255" t="str">
        <f ca="1"/>
        <v/>
      </c>
      <c r="G197" s="356">
        <f ca="1">IF(TRIM(D197)=C197,
   _xlfn.XLOOKUP(C197, Cartera1017[ID Mantenimiento],Cartera1017[Comienzo Desarrollo]),
IF(TRIM(D197)="Desarrollo",
   _xlfn.XLOOKUP(C197,Cartera1017[ID Mantenimiento],Cartera1017[Comienzo Desarrollo]),
IF(TRIM(D197)="Calidad",
   _xlfn.XLOOKUP(C197,Cartera1017[ID Mantenimiento],Cartera1017[Comienzo Calidad]),
IF(TRIM(D197)="Producción",
   _xlfn.XLOOKUP(C197,Cartera1017[ID Mantenimiento],Cartera1017[Comienzo Producción]),
""))))</f>
        <v>0</v>
      </c>
      <c r="H197" s="160">
        <f ca="1">IF(TRIM(D197)=C197,
   _xlfn.XLOOKUP(C197, Cartera1017[ID Mantenimiento],Cartera1017[Fin Producción]),
IF(TRIM(D197)="Desarrollo",
   _xlfn.XLOOKUP(C197,Cartera1017[ID Mantenimiento],Cartera1017[Fin Desarrollo]),
IF(TRIM(D197)="Calidad",
   _xlfn.XLOOKUP(C197,Cartera1017[ID Mantenimiento],Cartera1017[Fin Calidad]),
IF(TRIM(D197)="Producción",
   _xlfn.XLOOKUP(C197,Cartera1017[ID Mantenimiento],Cartera1017[Fin Producción]),
""))))</f>
        <v>0</v>
      </c>
    </row>
    <row r="198" spans="1:8" hidden="1" outlineLevel="1">
      <c r="A198" t="str">
        <f ca="1"/>
        <v>Operaciones</v>
      </c>
      <c r="B198" t="str">
        <f ca="1"/>
        <v>09. Descartado</v>
      </c>
      <c r="C198" t="str">
        <f ca="1"/>
        <v>2024-M0546</v>
      </c>
      <c r="D198" t="str">
        <f ca="1"/>
        <v xml:space="preserve">   Calidad</v>
      </c>
      <c r="E198" s="255">
        <f ca="1"/>
        <v>-0.01</v>
      </c>
      <c r="F198" s="255" t="str">
        <f ca="1"/>
        <v/>
      </c>
      <c r="G198" s="356">
        <f ca="1">IF(TRIM(D198)=C198,
   _xlfn.XLOOKUP(C198, Cartera1017[ID Mantenimiento],Cartera1017[Comienzo Desarrollo]),
IF(TRIM(D198)="Desarrollo",
   _xlfn.XLOOKUP(C198,Cartera1017[ID Mantenimiento],Cartera1017[Comienzo Desarrollo]),
IF(TRIM(D198)="Calidad",
   _xlfn.XLOOKUP(C198,Cartera1017[ID Mantenimiento],Cartera1017[Comienzo Calidad]),
IF(TRIM(D198)="Producción",
   _xlfn.XLOOKUP(C198,Cartera1017[ID Mantenimiento],Cartera1017[Comienzo Producción]),
""))))</f>
        <v>0</v>
      </c>
      <c r="H198" s="160">
        <f ca="1">IF(TRIM(D198)=C198,
   _xlfn.XLOOKUP(C198, Cartera1017[ID Mantenimiento],Cartera1017[Fin Producción]),
IF(TRIM(D198)="Desarrollo",
   _xlfn.XLOOKUP(C198,Cartera1017[ID Mantenimiento],Cartera1017[Fin Desarrollo]),
IF(TRIM(D198)="Calidad",
   _xlfn.XLOOKUP(C198,Cartera1017[ID Mantenimiento],Cartera1017[Fin Calidad]),
IF(TRIM(D198)="Producción",
   _xlfn.XLOOKUP(C198,Cartera1017[ID Mantenimiento],Cartera1017[Fin Producción]),
""))))</f>
        <v>0</v>
      </c>
    </row>
    <row r="199" spans="1:8" hidden="1" outlineLevel="1">
      <c r="A199" t="str">
        <f ca="1"/>
        <v>Operaciones</v>
      </c>
      <c r="B199" t="str">
        <f ca="1"/>
        <v>09. Descartado</v>
      </c>
      <c r="C199" t="str">
        <f ca="1"/>
        <v>2024-M0546</v>
      </c>
      <c r="D199" t="str">
        <f ca="1"/>
        <v xml:space="preserve">   Producción</v>
      </c>
      <c r="E199" s="255">
        <f ca="1"/>
        <v>-0.01</v>
      </c>
      <c r="F199" s="255" t="str">
        <f ca="1"/>
        <v/>
      </c>
      <c r="G199" s="356">
        <f ca="1">IF(TRIM(D199)=C199,
   _xlfn.XLOOKUP(C199, Cartera1017[ID Mantenimiento],Cartera1017[Comienzo Desarrollo]),
IF(TRIM(D199)="Desarrollo",
   _xlfn.XLOOKUP(C199,Cartera1017[ID Mantenimiento],Cartera1017[Comienzo Desarrollo]),
IF(TRIM(D199)="Calidad",
   _xlfn.XLOOKUP(C199,Cartera1017[ID Mantenimiento],Cartera1017[Comienzo Calidad]),
IF(TRIM(D199)="Producción",
   _xlfn.XLOOKUP(C199,Cartera1017[ID Mantenimiento],Cartera1017[Comienzo Producción]),
""))))</f>
        <v>0</v>
      </c>
      <c r="H199" s="160">
        <f ca="1">IF(TRIM(D199)=C199,
   _xlfn.XLOOKUP(C199, Cartera1017[ID Mantenimiento],Cartera1017[Fin Producción]),
IF(TRIM(D199)="Desarrollo",
   _xlfn.XLOOKUP(C199,Cartera1017[ID Mantenimiento],Cartera1017[Fin Desarrollo]),
IF(TRIM(D199)="Calidad",
   _xlfn.XLOOKUP(C199,Cartera1017[ID Mantenimiento],Cartera1017[Fin Calidad]),
IF(TRIM(D199)="Producción",
   _xlfn.XLOOKUP(C199,Cartera1017[ID Mantenimiento],Cartera1017[Fin Producción]),
""))))</f>
        <v>0</v>
      </c>
    </row>
    <row r="200" spans="1:8" hidden="1" collapsed="1">
      <c r="A200" t="str">
        <f ca="1"/>
        <v>Operaciones</v>
      </c>
      <c r="B200" t="str">
        <f ca="1"/>
        <v>06. Calidad Finalizado</v>
      </c>
      <c r="C200" t="str">
        <f ca="1"/>
        <v>2024-M0578</v>
      </c>
      <c r="D200" t="str">
        <f ca="1"/>
        <v>2024-M0578</v>
      </c>
      <c r="E200" s="255">
        <f ca="1"/>
        <v>0.85</v>
      </c>
      <c r="F200" s="255">
        <f ca="1"/>
        <v>0.96946564885496178</v>
      </c>
      <c r="G200" s="356">
        <f ca="1">IF(TRIM(D200)=C200,
   _xlfn.XLOOKUP(C200, Cartera1017[ID Mantenimiento],Cartera1017[Comienzo Desarrollo]),
IF(TRIM(D200)="Desarrollo",
   _xlfn.XLOOKUP(C200,Cartera1017[ID Mantenimiento],Cartera1017[Comienzo Desarrollo]),
IF(TRIM(D200)="Calidad",
   _xlfn.XLOOKUP(C200,Cartera1017[ID Mantenimiento],Cartera1017[Comienzo Calidad]),
IF(TRIM(D200)="Producción",
   _xlfn.XLOOKUP(C200,Cartera1017[ID Mantenimiento],Cartera1017[Comienzo Producción]),
""))))</f>
        <v>45796</v>
      </c>
      <c r="H200" s="160">
        <f ca="1">IF(TRIM(D200)=C200,
   _xlfn.XLOOKUP(C200, Cartera1017[ID Mantenimiento],Cartera1017[Fin Producción]),
IF(TRIM(D200)="Desarrollo",
   _xlfn.XLOOKUP(C200,Cartera1017[ID Mantenimiento],Cartera1017[Fin Desarrollo]),
IF(TRIM(D200)="Calidad",
   _xlfn.XLOOKUP(C200,Cartera1017[ID Mantenimiento],Cartera1017[Fin Calidad]),
IF(TRIM(D200)="Producción",
   _xlfn.XLOOKUP(C200,Cartera1017[ID Mantenimiento],Cartera1017[Fin Producción]),
""))))</f>
        <v>46174</v>
      </c>
    </row>
    <row r="201" spans="1:8" hidden="1" outlineLevel="1">
      <c r="A201" t="str">
        <f ca="1"/>
        <v>Operaciones</v>
      </c>
      <c r="B201" t="str">
        <f ca="1"/>
        <v>06. Calidad Finalizado</v>
      </c>
      <c r="C201" t="str">
        <f ca="1"/>
        <v>2024-M0578</v>
      </c>
      <c r="D201" t="str">
        <f ca="1"/>
        <v xml:space="preserve">   Desarrollo</v>
      </c>
      <c r="E201" s="255">
        <f ca="1"/>
        <v>0.85</v>
      </c>
      <c r="F201" s="255">
        <f ca="1"/>
        <v>0.96946564885496178</v>
      </c>
      <c r="G201" s="356">
        <f ca="1">IF(TRIM(D201)=C201,
   _xlfn.XLOOKUP(C201, Cartera1017[ID Mantenimiento],Cartera1017[Comienzo Desarrollo]),
IF(TRIM(D201)="Desarrollo",
   _xlfn.XLOOKUP(C201,Cartera1017[ID Mantenimiento],Cartera1017[Comienzo Desarrollo]),
IF(TRIM(D201)="Calidad",
   _xlfn.XLOOKUP(C201,Cartera1017[ID Mantenimiento],Cartera1017[Comienzo Calidad]),
IF(TRIM(D201)="Producción",
   _xlfn.XLOOKUP(C201,Cartera1017[ID Mantenimiento],Cartera1017[Comienzo Producción]),
""))))</f>
        <v>45796</v>
      </c>
      <c r="H201" s="160">
        <f ca="1">IF(TRIM(D201)=C201,
   _xlfn.XLOOKUP(C201, Cartera1017[ID Mantenimiento],Cartera1017[Fin Producción]),
IF(TRIM(D201)="Desarrollo",
   _xlfn.XLOOKUP(C201,Cartera1017[ID Mantenimiento],Cartera1017[Fin Desarrollo]),
IF(TRIM(D201)="Calidad",
   _xlfn.XLOOKUP(C201,Cartera1017[ID Mantenimiento],Cartera1017[Fin Calidad]),
IF(TRIM(D201)="Producción",
   _xlfn.XLOOKUP(C201,Cartera1017[ID Mantenimiento],Cartera1017[Fin Producción]),
""))))</f>
        <v>45796</v>
      </c>
    </row>
    <row r="202" spans="1:8" hidden="1" outlineLevel="1">
      <c r="A202" t="str">
        <f ca="1"/>
        <v>Operaciones</v>
      </c>
      <c r="B202" t="str">
        <f ca="1"/>
        <v>06. Calidad Finalizado</v>
      </c>
      <c r="C202" t="str">
        <f ca="1"/>
        <v>2024-M0578</v>
      </c>
      <c r="D202" t="str">
        <f ca="1"/>
        <v xml:space="preserve">   Calidad</v>
      </c>
      <c r="E202" s="255">
        <f ca="1"/>
        <v>0.85</v>
      </c>
      <c r="F202" s="255">
        <f ca="1"/>
        <v>0.96946564885496178</v>
      </c>
      <c r="G202" s="356">
        <f ca="1">IF(TRIM(D202)=C202,
   _xlfn.XLOOKUP(C202, Cartera1017[ID Mantenimiento],Cartera1017[Comienzo Desarrollo]),
IF(TRIM(D202)="Desarrollo",
   _xlfn.XLOOKUP(C202,Cartera1017[ID Mantenimiento],Cartera1017[Comienzo Desarrollo]),
IF(TRIM(D202)="Calidad",
   _xlfn.XLOOKUP(C202,Cartera1017[ID Mantenimiento],Cartera1017[Comienzo Calidad]),
IF(TRIM(D202)="Producción",
   _xlfn.XLOOKUP(C202,Cartera1017[ID Mantenimiento],Cartera1017[Comienzo Producción]),
""))))</f>
        <v>45803</v>
      </c>
      <c r="H202" s="160">
        <f ca="1">IF(TRIM(D202)=C202,
   _xlfn.XLOOKUP(C202, Cartera1017[ID Mantenimiento],Cartera1017[Fin Producción]),
IF(TRIM(D202)="Desarrollo",
   _xlfn.XLOOKUP(C202,Cartera1017[ID Mantenimiento],Cartera1017[Fin Desarrollo]),
IF(TRIM(D202)="Calidad",
   _xlfn.XLOOKUP(C202,Cartera1017[ID Mantenimiento],Cartera1017[Fin Calidad]),
IF(TRIM(D202)="Producción",
   _xlfn.XLOOKUP(C202,Cartera1017[ID Mantenimiento],Cartera1017[Fin Producción]),
""))))</f>
        <v>45817</v>
      </c>
    </row>
    <row r="203" spans="1:8" hidden="1" outlineLevel="1">
      <c r="A203" t="str">
        <f ca="1"/>
        <v>Operaciones</v>
      </c>
      <c r="B203" t="str">
        <f ca="1"/>
        <v>06. Calidad Finalizado</v>
      </c>
      <c r="C203" t="str">
        <f ca="1"/>
        <v>2024-M0578</v>
      </c>
      <c r="D203" t="str">
        <f ca="1"/>
        <v xml:space="preserve">   Producción</v>
      </c>
      <c r="E203" s="255">
        <f ca="1"/>
        <v>0.85</v>
      </c>
      <c r="F203" s="255">
        <f ca="1"/>
        <v>0.96946564885496178</v>
      </c>
      <c r="G203" s="356">
        <f ca="1">IF(TRIM(D203)=C203,
   _xlfn.XLOOKUP(C203, Cartera1017[ID Mantenimiento],Cartera1017[Comienzo Desarrollo]),
IF(TRIM(D203)="Desarrollo",
   _xlfn.XLOOKUP(C203,Cartera1017[ID Mantenimiento],Cartera1017[Comienzo Desarrollo]),
IF(TRIM(D203)="Calidad",
   _xlfn.XLOOKUP(C203,Cartera1017[ID Mantenimiento],Cartera1017[Comienzo Calidad]),
IF(TRIM(D203)="Producción",
   _xlfn.XLOOKUP(C203,Cartera1017[ID Mantenimiento],Cartera1017[Comienzo Producción]),
""))))</f>
        <v>46072</v>
      </c>
      <c r="H203" s="160">
        <f ca="1">IF(TRIM(D203)=C203,
   _xlfn.XLOOKUP(C203, Cartera1017[ID Mantenimiento],Cartera1017[Fin Producción]),
IF(TRIM(D203)="Desarrollo",
   _xlfn.XLOOKUP(C203,Cartera1017[ID Mantenimiento],Cartera1017[Fin Desarrollo]),
IF(TRIM(D203)="Calidad",
   _xlfn.XLOOKUP(C203,Cartera1017[ID Mantenimiento],Cartera1017[Fin Calidad]),
IF(TRIM(D203)="Producción",
   _xlfn.XLOOKUP(C203,Cartera1017[ID Mantenimiento],Cartera1017[Fin Producción]),
""))))</f>
        <v>46174</v>
      </c>
    </row>
    <row r="204" spans="1:8" hidden="1" collapsed="1">
      <c r="A204" t="str">
        <f ca="1"/>
        <v>Oficialía de PLAFT</v>
      </c>
      <c r="B204" t="str">
        <f ca="1"/>
        <v>06. Calidad Finalizado</v>
      </c>
      <c r="C204" t="str">
        <f ca="1"/>
        <v>2024-M0621</v>
      </c>
      <c r="D204" t="str">
        <f ca="1"/>
        <v>2024-M0621</v>
      </c>
      <c r="E204" s="255">
        <f ca="1"/>
        <v>0.99</v>
      </c>
      <c r="F204" s="255">
        <f ca="1"/>
        <v>0.99</v>
      </c>
      <c r="G204" s="356">
        <f ca="1">IF(TRIM(D204)=C204,
   _xlfn.XLOOKUP(C204, Cartera1017[ID Mantenimiento],Cartera1017[Comienzo Desarrollo]),
IF(TRIM(D204)="Desarrollo",
   _xlfn.XLOOKUP(C204,Cartera1017[ID Mantenimiento],Cartera1017[Comienzo Desarrollo]),
IF(TRIM(D204)="Calidad",
   _xlfn.XLOOKUP(C204,Cartera1017[ID Mantenimiento],Cartera1017[Comienzo Calidad]),
IF(TRIM(D204)="Producción",
   _xlfn.XLOOKUP(C204,Cartera1017[ID Mantenimiento],Cartera1017[Comienzo Producción]),
""))))</f>
        <v>45964</v>
      </c>
      <c r="H204" s="160">
        <f ca="1">IF(TRIM(D204)=C204,
   _xlfn.XLOOKUP(C204, Cartera1017[ID Mantenimiento],Cartera1017[Fin Producción]),
IF(TRIM(D204)="Desarrollo",
   _xlfn.XLOOKUP(C204,Cartera1017[ID Mantenimiento],Cartera1017[Fin Desarrollo]),
IF(TRIM(D204)="Calidad",
   _xlfn.XLOOKUP(C204,Cartera1017[ID Mantenimiento],Cartera1017[Fin Calidad]),
IF(TRIM(D204)="Producción",
   _xlfn.XLOOKUP(C204,Cartera1017[ID Mantenimiento],Cartera1017[Fin Producción]),
""))))</f>
        <v>46160</v>
      </c>
    </row>
    <row r="205" spans="1:8" hidden="1" outlineLevel="1">
      <c r="A205" t="str">
        <f ca="1"/>
        <v>Oficialía de PLAFT</v>
      </c>
      <c r="B205" t="str">
        <f ca="1"/>
        <v>06. Calidad Finalizado</v>
      </c>
      <c r="C205" t="str">
        <f ca="1"/>
        <v>2024-M0621</v>
      </c>
      <c r="D205" t="str">
        <f ca="1"/>
        <v xml:space="preserve">   Desarrollo</v>
      </c>
      <c r="E205" s="255">
        <f ca="1"/>
        <v>0.99</v>
      </c>
      <c r="F205" s="255">
        <f ca="1"/>
        <v>0.99</v>
      </c>
      <c r="G205" s="356">
        <f ca="1">IF(TRIM(D205)=C205,
   _xlfn.XLOOKUP(C205, Cartera1017[ID Mantenimiento],Cartera1017[Comienzo Desarrollo]),
IF(TRIM(D205)="Desarrollo",
   _xlfn.XLOOKUP(C205,Cartera1017[ID Mantenimiento],Cartera1017[Comienzo Desarrollo]),
IF(TRIM(D205)="Calidad",
   _xlfn.XLOOKUP(C205,Cartera1017[ID Mantenimiento],Cartera1017[Comienzo Calidad]),
IF(TRIM(D205)="Producción",
   _xlfn.XLOOKUP(C205,Cartera1017[ID Mantenimiento],Cartera1017[Comienzo Producción]),
""))))</f>
        <v>45964</v>
      </c>
      <c r="H205" s="160">
        <f ca="1">IF(TRIM(D205)=C205,
   _xlfn.XLOOKUP(C205, Cartera1017[ID Mantenimiento],Cartera1017[Fin Producción]),
IF(TRIM(D205)="Desarrollo",
   _xlfn.XLOOKUP(C205,Cartera1017[ID Mantenimiento],Cartera1017[Fin Desarrollo]),
IF(TRIM(D205)="Calidad",
   _xlfn.XLOOKUP(C205,Cartera1017[ID Mantenimiento],Cartera1017[Fin Calidad]),
IF(TRIM(D205)="Producción",
   _xlfn.XLOOKUP(C205,Cartera1017[ID Mantenimiento],Cartera1017[Fin Producción]),
""))))</f>
        <v>46112</v>
      </c>
    </row>
    <row r="206" spans="1:8" hidden="1" outlineLevel="1">
      <c r="A206" t="str">
        <f ca="1"/>
        <v>Oficialía de PLAFT</v>
      </c>
      <c r="B206" t="str">
        <f ca="1"/>
        <v>06. Calidad Finalizado</v>
      </c>
      <c r="C206" t="str">
        <f ca="1"/>
        <v>2024-M0621</v>
      </c>
      <c r="D206" t="str">
        <f ca="1"/>
        <v xml:space="preserve">   Calidad</v>
      </c>
      <c r="E206" s="255">
        <f ca="1"/>
        <v>0.99</v>
      </c>
      <c r="F206" s="255">
        <f ca="1"/>
        <v>0.99</v>
      </c>
      <c r="G206" s="356">
        <f ca="1">IF(TRIM(D206)=C206,
   _xlfn.XLOOKUP(C206, Cartera1017[ID Mantenimiento],Cartera1017[Comienzo Desarrollo]),
IF(TRIM(D206)="Desarrollo",
   _xlfn.XLOOKUP(C206,Cartera1017[ID Mantenimiento],Cartera1017[Comienzo Desarrollo]),
IF(TRIM(D206)="Calidad",
   _xlfn.XLOOKUP(C206,Cartera1017[ID Mantenimiento],Cartera1017[Comienzo Calidad]),
IF(TRIM(D206)="Producción",
   _xlfn.XLOOKUP(C206,Cartera1017[ID Mantenimiento],Cartera1017[Comienzo Producción]),
""))))</f>
        <v>46113</v>
      </c>
      <c r="H206" s="160">
        <f ca="1">IF(TRIM(D206)=C206,
   _xlfn.XLOOKUP(C206, Cartera1017[ID Mantenimiento],Cartera1017[Fin Producción]),
IF(TRIM(D206)="Desarrollo",
   _xlfn.XLOOKUP(C206,Cartera1017[ID Mantenimiento],Cartera1017[Fin Desarrollo]),
IF(TRIM(D206)="Calidad",
   _xlfn.XLOOKUP(C206,Cartera1017[ID Mantenimiento],Cartera1017[Fin Calidad]),
IF(TRIM(D206)="Producción",
   _xlfn.XLOOKUP(C206,Cartera1017[ID Mantenimiento],Cartera1017[Fin Producción]),
""))))</f>
        <v>46142</v>
      </c>
    </row>
    <row r="207" spans="1:8" hidden="1" outlineLevel="1">
      <c r="A207" t="str">
        <f ca="1"/>
        <v>Oficialía de PLAFT</v>
      </c>
      <c r="B207" t="str">
        <f ca="1"/>
        <v>06. Calidad Finalizado</v>
      </c>
      <c r="C207" t="str">
        <f ca="1"/>
        <v>2024-M0621</v>
      </c>
      <c r="D207" t="str">
        <f ca="1"/>
        <v xml:space="preserve">   Producción</v>
      </c>
      <c r="E207" s="255">
        <f ca="1"/>
        <v>0.99</v>
      </c>
      <c r="F207" s="255">
        <f ca="1"/>
        <v>0.99</v>
      </c>
      <c r="G207" s="356">
        <f ca="1">IF(TRIM(D207)=C207,
   _xlfn.XLOOKUP(C207, Cartera1017[ID Mantenimiento],Cartera1017[Comienzo Desarrollo]),
IF(TRIM(D207)="Desarrollo",
   _xlfn.XLOOKUP(C207,Cartera1017[ID Mantenimiento],Cartera1017[Comienzo Desarrollo]),
IF(TRIM(D207)="Calidad",
   _xlfn.XLOOKUP(C207,Cartera1017[ID Mantenimiento],Cartera1017[Comienzo Calidad]),
IF(TRIM(D207)="Producción",
   _xlfn.XLOOKUP(C207,Cartera1017[ID Mantenimiento],Cartera1017[Comienzo Producción]),
""))))</f>
        <v>46157</v>
      </c>
      <c r="H207" s="160">
        <f ca="1">IF(TRIM(D207)=C207,
   _xlfn.XLOOKUP(C207, Cartera1017[ID Mantenimiento],Cartera1017[Fin Producción]),
IF(TRIM(D207)="Desarrollo",
   _xlfn.XLOOKUP(C207,Cartera1017[ID Mantenimiento],Cartera1017[Fin Desarrollo]),
IF(TRIM(D207)="Calidad",
   _xlfn.XLOOKUP(C207,Cartera1017[ID Mantenimiento],Cartera1017[Fin Calidad]),
IF(TRIM(D207)="Producción",
   _xlfn.XLOOKUP(C207,Cartera1017[ID Mantenimiento],Cartera1017[Fin Producción]),
""))))</f>
        <v>46160</v>
      </c>
    </row>
    <row r="208" spans="1:8" hidden="1" collapsed="1">
      <c r="A208" t="str">
        <f ca="1"/>
        <v>Operaciones</v>
      </c>
      <c r="B208" t="str">
        <f ca="1"/>
        <v>08. Producción Finalizada</v>
      </c>
      <c r="C208" t="str">
        <f ca="1"/>
        <v>2024-M0644</v>
      </c>
      <c r="D208" t="str">
        <f ca="1"/>
        <v>2024-M0644</v>
      </c>
      <c r="E208" s="255">
        <f ca="1"/>
        <v>1</v>
      </c>
      <c r="F208" s="255">
        <f ca="1"/>
        <v>1</v>
      </c>
      <c r="G208" s="356">
        <f ca="1">IF(TRIM(D208)=C208,
   _xlfn.XLOOKUP(C208, Cartera1017[ID Mantenimiento],Cartera1017[Comienzo Desarrollo]),
IF(TRIM(D208)="Desarrollo",
   _xlfn.XLOOKUP(C208,Cartera1017[ID Mantenimiento],Cartera1017[Comienzo Desarrollo]),
IF(TRIM(D208)="Calidad",
   _xlfn.XLOOKUP(C208,Cartera1017[ID Mantenimiento],Cartera1017[Comienzo Calidad]),
IF(TRIM(D208)="Producción",
   _xlfn.XLOOKUP(C208,Cartera1017[ID Mantenimiento],Cartera1017[Comienzo Producción]),
""))))</f>
        <v>45964</v>
      </c>
      <c r="H208" s="160">
        <f ca="1">IF(TRIM(D208)=C208,
   _xlfn.XLOOKUP(C208, Cartera1017[ID Mantenimiento],Cartera1017[Fin Producción]),
IF(TRIM(D208)="Desarrollo",
   _xlfn.XLOOKUP(C208,Cartera1017[ID Mantenimiento],Cartera1017[Fin Desarrollo]),
IF(TRIM(D208)="Calidad",
   _xlfn.XLOOKUP(C208,Cartera1017[ID Mantenimiento],Cartera1017[Fin Calidad]),
IF(TRIM(D208)="Producción",
   _xlfn.XLOOKUP(C208,Cartera1017[ID Mantenimiento],Cartera1017[Fin Producción]),
""))))</f>
        <v>46115</v>
      </c>
    </row>
    <row r="209" spans="1:8" hidden="1" outlineLevel="1">
      <c r="A209" t="str">
        <f ca="1"/>
        <v>Operaciones</v>
      </c>
      <c r="B209" t="str">
        <f ca="1"/>
        <v>08. Producción Finalizada</v>
      </c>
      <c r="C209" t="str">
        <f ca="1"/>
        <v>2024-M0644</v>
      </c>
      <c r="D209" t="str">
        <f ca="1"/>
        <v xml:space="preserve">   Desarrollo</v>
      </c>
      <c r="E209" s="255">
        <f ca="1"/>
        <v>1</v>
      </c>
      <c r="F209" s="255">
        <f ca="1"/>
        <v>1</v>
      </c>
      <c r="G209" s="356">
        <f ca="1">IF(TRIM(D209)=C209,
   _xlfn.XLOOKUP(C209, Cartera1017[ID Mantenimiento],Cartera1017[Comienzo Desarrollo]),
IF(TRIM(D209)="Desarrollo",
   _xlfn.XLOOKUP(C209,Cartera1017[ID Mantenimiento],Cartera1017[Comienzo Desarrollo]),
IF(TRIM(D209)="Calidad",
   _xlfn.XLOOKUP(C209,Cartera1017[ID Mantenimiento],Cartera1017[Comienzo Calidad]),
IF(TRIM(D209)="Producción",
   _xlfn.XLOOKUP(C209,Cartera1017[ID Mantenimiento],Cartera1017[Comienzo Producción]),
""))))</f>
        <v>45964</v>
      </c>
      <c r="H209" s="160">
        <f ca="1">IF(TRIM(D209)=C209,
   _xlfn.XLOOKUP(C209, Cartera1017[ID Mantenimiento],Cartera1017[Fin Producción]),
IF(TRIM(D209)="Desarrollo",
   _xlfn.XLOOKUP(C209,Cartera1017[ID Mantenimiento],Cartera1017[Fin Desarrollo]),
IF(TRIM(D209)="Calidad",
   _xlfn.XLOOKUP(C209,Cartera1017[ID Mantenimiento],Cartera1017[Fin Calidad]),
IF(TRIM(D209)="Producción",
   _xlfn.XLOOKUP(C209,Cartera1017[ID Mantenimiento],Cartera1017[Fin Producción]),
""))))</f>
        <v>46063</v>
      </c>
    </row>
    <row r="210" spans="1:8" hidden="1" outlineLevel="1">
      <c r="A210" t="str">
        <f ca="1"/>
        <v>Operaciones</v>
      </c>
      <c r="B210" t="str">
        <f ca="1"/>
        <v>08. Producción Finalizada</v>
      </c>
      <c r="C210" t="str">
        <f ca="1"/>
        <v>2024-M0644</v>
      </c>
      <c r="D210" t="str">
        <f ca="1"/>
        <v xml:space="preserve">   Calidad</v>
      </c>
      <c r="E210" s="255">
        <f ca="1"/>
        <v>1</v>
      </c>
      <c r="F210" s="255">
        <f ca="1"/>
        <v>1</v>
      </c>
      <c r="G210" s="356">
        <f ca="1">IF(TRIM(D210)=C210,
   _xlfn.XLOOKUP(C210, Cartera1017[ID Mantenimiento],Cartera1017[Comienzo Desarrollo]),
IF(TRIM(D210)="Desarrollo",
   _xlfn.XLOOKUP(C210,Cartera1017[ID Mantenimiento],Cartera1017[Comienzo Desarrollo]),
IF(TRIM(D210)="Calidad",
   _xlfn.XLOOKUP(C210,Cartera1017[ID Mantenimiento],Cartera1017[Comienzo Calidad]),
IF(TRIM(D210)="Producción",
   _xlfn.XLOOKUP(C210,Cartera1017[ID Mantenimiento],Cartera1017[Comienzo Producción]),
""))))</f>
        <v>46070</v>
      </c>
      <c r="H210" s="160">
        <f ca="1">IF(TRIM(D210)=C210,
   _xlfn.XLOOKUP(C210, Cartera1017[ID Mantenimiento],Cartera1017[Fin Producción]),
IF(TRIM(D210)="Desarrollo",
   _xlfn.XLOOKUP(C210,Cartera1017[ID Mantenimiento],Cartera1017[Fin Desarrollo]),
IF(TRIM(D210)="Calidad",
   _xlfn.XLOOKUP(C210,Cartera1017[ID Mantenimiento],Cartera1017[Fin Calidad]),
IF(TRIM(D210)="Producción",
   _xlfn.XLOOKUP(C210,Cartera1017[ID Mantenimiento],Cartera1017[Fin Producción]),
""))))</f>
        <v>46112</v>
      </c>
    </row>
    <row r="211" spans="1:8" hidden="1" outlineLevel="1">
      <c r="A211" t="str">
        <f ca="1"/>
        <v>Operaciones</v>
      </c>
      <c r="B211" t="str">
        <f ca="1"/>
        <v>08. Producción Finalizada</v>
      </c>
      <c r="C211" t="str">
        <f ca="1"/>
        <v>2024-M0644</v>
      </c>
      <c r="D211" t="str">
        <f ca="1"/>
        <v xml:space="preserve">   Producción</v>
      </c>
      <c r="E211" s="255">
        <f ca="1"/>
        <v>1</v>
      </c>
      <c r="F211" s="255">
        <f ca="1"/>
        <v>1</v>
      </c>
      <c r="G211" s="356">
        <f ca="1">IF(TRIM(D211)=C211,
   _xlfn.XLOOKUP(C211, Cartera1017[ID Mantenimiento],Cartera1017[Comienzo Desarrollo]),
IF(TRIM(D211)="Desarrollo",
   _xlfn.XLOOKUP(C211,Cartera1017[ID Mantenimiento],Cartera1017[Comienzo Desarrollo]),
IF(TRIM(D211)="Calidad",
   _xlfn.XLOOKUP(C211,Cartera1017[ID Mantenimiento],Cartera1017[Comienzo Calidad]),
IF(TRIM(D211)="Producción",
   _xlfn.XLOOKUP(C211,Cartera1017[ID Mantenimiento],Cartera1017[Comienzo Producción]),
""))))</f>
        <v>46113</v>
      </c>
      <c r="H211" s="160">
        <f ca="1">IF(TRIM(D211)=C211,
   _xlfn.XLOOKUP(C211, Cartera1017[ID Mantenimiento],Cartera1017[Fin Producción]),
IF(TRIM(D211)="Desarrollo",
   _xlfn.XLOOKUP(C211,Cartera1017[ID Mantenimiento],Cartera1017[Fin Desarrollo]),
IF(TRIM(D211)="Calidad",
   _xlfn.XLOOKUP(C211,Cartera1017[ID Mantenimiento],Cartera1017[Fin Calidad]),
IF(TRIM(D211)="Producción",
   _xlfn.XLOOKUP(C211,Cartera1017[ID Mantenimiento],Cartera1017[Fin Producción]),
""))))</f>
        <v>46115</v>
      </c>
    </row>
    <row r="212" spans="1:8" hidden="1" collapsed="1">
      <c r="A212" t="str">
        <f ca="1"/>
        <v>Tecnologías de Información</v>
      </c>
      <c r="B212" t="str">
        <f ca="1"/>
        <v>07. En Despliegue</v>
      </c>
      <c r="C212" t="str">
        <f ca="1"/>
        <v>2024-M0595</v>
      </c>
      <c r="D212" t="str">
        <f ca="1"/>
        <v>2024-M0595</v>
      </c>
      <c r="E212" s="255">
        <f ca="1"/>
        <v>0.9</v>
      </c>
      <c r="F212" s="255">
        <f ca="1"/>
        <v>1</v>
      </c>
      <c r="G212" s="356">
        <f ca="1">IF(TRIM(D212)=C212,
   _xlfn.XLOOKUP(C212, Cartera1017[ID Mantenimiento],Cartera1017[Comienzo Desarrollo]),
IF(TRIM(D212)="Desarrollo",
   _xlfn.XLOOKUP(C212,Cartera1017[ID Mantenimiento],Cartera1017[Comienzo Desarrollo]),
IF(TRIM(D212)="Calidad",
   _xlfn.XLOOKUP(C212,Cartera1017[ID Mantenimiento],Cartera1017[Comienzo Calidad]),
IF(TRIM(D212)="Producción",
   _xlfn.XLOOKUP(C212,Cartera1017[ID Mantenimiento],Cartera1017[Comienzo Producción]),
""))))</f>
        <v>45601</v>
      </c>
      <c r="H212" s="160">
        <f ca="1">IF(TRIM(D212)=C212,
   _xlfn.XLOOKUP(C212, Cartera1017[ID Mantenimiento],Cartera1017[Fin Producción]),
IF(TRIM(D212)="Desarrollo",
   _xlfn.XLOOKUP(C212,Cartera1017[ID Mantenimiento],Cartera1017[Fin Desarrollo]),
IF(TRIM(D212)="Calidad",
   _xlfn.XLOOKUP(C212,Cartera1017[ID Mantenimiento],Cartera1017[Fin Calidad]),
IF(TRIM(D212)="Producción",
   _xlfn.XLOOKUP(C212,Cartera1017[ID Mantenimiento],Cartera1017[Fin Producción]),
""))))</f>
        <v>46108</v>
      </c>
    </row>
    <row r="213" spans="1:8" hidden="1" outlineLevel="1">
      <c r="A213" t="str">
        <f ca="1"/>
        <v>Tecnologías de Información</v>
      </c>
      <c r="B213" t="str">
        <f ca="1"/>
        <v>07. En Despliegue</v>
      </c>
      <c r="C213" t="str">
        <f ca="1"/>
        <v>2024-M0595</v>
      </c>
      <c r="D213" t="str">
        <f ca="1"/>
        <v xml:space="preserve">   Desarrollo</v>
      </c>
      <c r="E213" s="255">
        <f ca="1"/>
        <v>0.9</v>
      </c>
      <c r="F213" s="255">
        <f ca="1"/>
        <v>1</v>
      </c>
      <c r="G213" s="356">
        <f ca="1">IF(TRIM(D213)=C213,
   _xlfn.XLOOKUP(C213, Cartera1017[ID Mantenimiento],Cartera1017[Comienzo Desarrollo]),
IF(TRIM(D213)="Desarrollo",
   _xlfn.XLOOKUP(C213,Cartera1017[ID Mantenimiento],Cartera1017[Comienzo Desarrollo]),
IF(TRIM(D213)="Calidad",
   _xlfn.XLOOKUP(C213,Cartera1017[ID Mantenimiento],Cartera1017[Comienzo Calidad]),
IF(TRIM(D213)="Producción",
   _xlfn.XLOOKUP(C213,Cartera1017[ID Mantenimiento],Cartera1017[Comienzo Producción]),
""))))</f>
        <v>45601</v>
      </c>
      <c r="H213" s="160">
        <f ca="1">IF(TRIM(D213)=C213,
   _xlfn.XLOOKUP(C213, Cartera1017[ID Mantenimiento],Cartera1017[Fin Producción]),
IF(TRIM(D213)="Desarrollo",
   _xlfn.XLOOKUP(C213,Cartera1017[ID Mantenimiento],Cartera1017[Fin Desarrollo]),
IF(TRIM(D213)="Calidad",
   _xlfn.XLOOKUP(C213,Cartera1017[ID Mantenimiento],Cartera1017[Fin Calidad]),
IF(TRIM(D213)="Producción",
   _xlfn.XLOOKUP(C213,Cartera1017[ID Mantenimiento],Cartera1017[Fin Producción]),
""))))</f>
        <v>45616</v>
      </c>
    </row>
    <row r="214" spans="1:8" hidden="1" outlineLevel="1">
      <c r="A214" t="str">
        <f ca="1"/>
        <v>Tecnologías de Información</v>
      </c>
      <c r="B214" t="str">
        <f ca="1"/>
        <v>07. En Despliegue</v>
      </c>
      <c r="C214" t="str">
        <f ca="1"/>
        <v>2024-M0595</v>
      </c>
      <c r="D214" t="str">
        <f ca="1"/>
        <v xml:space="preserve">   Calidad</v>
      </c>
      <c r="E214" s="255">
        <f ca="1"/>
        <v>0.9</v>
      </c>
      <c r="F214" s="255">
        <f ca="1"/>
        <v>1</v>
      </c>
      <c r="G214" s="356">
        <f ca="1">IF(TRIM(D214)=C214,
   _xlfn.XLOOKUP(C214, Cartera1017[ID Mantenimiento],Cartera1017[Comienzo Desarrollo]),
IF(TRIM(D214)="Desarrollo",
   _xlfn.XLOOKUP(C214,Cartera1017[ID Mantenimiento],Cartera1017[Comienzo Desarrollo]),
IF(TRIM(D214)="Calidad",
   _xlfn.XLOOKUP(C214,Cartera1017[ID Mantenimiento],Cartera1017[Comienzo Calidad]),
IF(TRIM(D214)="Producción",
   _xlfn.XLOOKUP(C214,Cartera1017[ID Mantenimiento],Cartera1017[Comienzo Producción]),
""))))</f>
        <v>45621</v>
      </c>
      <c r="H214" s="160">
        <f ca="1">IF(TRIM(D214)=C214,
   _xlfn.XLOOKUP(C214, Cartera1017[ID Mantenimiento],Cartera1017[Fin Producción]),
IF(TRIM(D214)="Desarrollo",
   _xlfn.XLOOKUP(C214,Cartera1017[ID Mantenimiento],Cartera1017[Fin Desarrollo]),
IF(TRIM(D214)="Calidad",
   _xlfn.XLOOKUP(C214,Cartera1017[ID Mantenimiento],Cartera1017[Fin Calidad]),
IF(TRIM(D214)="Producción",
   _xlfn.XLOOKUP(C214,Cartera1017[ID Mantenimiento],Cartera1017[Fin Producción]),
""))))</f>
        <v>45644</v>
      </c>
    </row>
    <row r="215" spans="1:8" hidden="1" outlineLevel="1">
      <c r="A215" t="str">
        <f ca="1"/>
        <v>Tecnologías de Información</v>
      </c>
      <c r="B215" t="str">
        <f ca="1"/>
        <v>07. En Despliegue</v>
      </c>
      <c r="C215" t="str">
        <f ca="1"/>
        <v>2024-M0595</v>
      </c>
      <c r="D215" t="str">
        <f ca="1"/>
        <v xml:space="preserve">   Producción</v>
      </c>
      <c r="E215" s="255">
        <f ca="1"/>
        <v>0.9</v>
      </c>
      <c r="F215" s="255">
        <f ca="1"/>
        <v>1</v>
      </c>
      <c r="G215" s="356">
        <f ca="1">IF(TRIM(D215)=C215,
   _xlfn.XLOOKUP(C215, Cartera1017[ID Mantenimiento],Cartera1017[Comienzo Desarrollo]),
IF(TRIM(D215)="Desarrollo",
   _xlfn.XLOOKUP(C215,Cartera1017[ID Mantenimiento],Cartera1017[Comienzo Desarrollo]),
IF(TRIM(D215)="Calidad",
   _xlfn.XLOOKUP(C215,Cartera1017[ID Mantenimiento],Cartera1017[Comienzo Calidad]),
IF(TRIM(D215)="Producción",
   _xlfn.XLOOKUP(C215,Cartera1017[ID Mantenimiento],Cartera1017[Comienzo Producción]),
""))))</f>
        <v>45672</v>
      </c>
      <c r="H215" s="160">
        <f ca="1">IF(TRIM(D215)=C215,
   _xlfn.XLOOKUP(C215, Cartera1017[ID Mantenimiento],Cartera1017[Fin Producción]),
IF(TRIM(D215)="Desarrollo",
   _xlfn.XLOOKUP(C215,Cartera1017[ID Mantenimiento],Cartera1017[Fin Desarrollo]),
IF(TRIM(D215)="Calidad",
   _xlfn.XLOOKUP(C215,Cartera1017[ID Mantenimiento],Cartera1017[Fin Calidad]),
IF(TRIM(D215)="Producción",
   _xlfn.XLOOKUP(C215,Cartera1017[ID Mantenimiento],Cartera1017[Fin Producción]),
""))))</f>
        <v>46108</v>
      </c>
    </row>
    <row r="216" spans="1:8" hidden="1" collapsed="1">
      <c r="A216" t="str">
        <f ca="1"/>
        <v>Banca Digital</v>
      </c>
      <c r="B216" t="str">
        <f ca="1"/>
        <v>08. Producción Finalizada</v>
      </c>
      <c r="C216" t="str">
        <f ca="1"/>
        <v>2024-M0687</v>
      </c>
      <c r="D216" t="str">
        <f ca="1"/>
        <v>2024-M0687</v>
      </c>
      <c r="E216" s="255">
        <f ca="1"/>
        <v>1</v>
      </c>
      <c r="F216" s="255">
        <f ca="1"/>
        <v>1</v>
      </c>
      <c r="G216" s="356">
        <f ca="1">IF(TRIM(D216)=C216,
   _xlfn.XLOOKUP(C216, Cartera1017[ID Mantenimiento],Cartera1017[Comienzo Desarrollo]),
IF(TRIM(D216)="Desarrollo",
   _xlfn.XLOOKUP(C216,Cartera1017[ID Mantenimiento],Cartera1017[Comienzo Desarrollo]),
IF(TRIM(D216)="Calidad",
   _xlfn.XLOOKUP(C216,Cartera1017[ID Mantenimiento],Cartera1017[Comienzo Calidad]),
IF(TRIM(D216)="Producción",
   _xlfn.XLOOKUP(C216,Cartera1017[ID Mantenimiento],Cartera1017[Comienzo Producción]),
""))))</f>
        <v>45748</v>
      </c>
      <c r="H216" s="160">
        <f ca="1">IF(TRIM(D216)=C216,
   _xlfn.XLOOKUP(C216, Cartera1017[ID Mantenimiento],Cartera1017[Fin Producción]),
IF(TRIM(D216)="Desarrollo",
   _xlfn.XLOOKUP(C216,Cartera1017[ID Mantenimiento],Cartera1017[Fin Desarrollo]),
IF(TRIM(D216)="Calidad",
   _xlfn.XLOOKUP(C216,Cartera1017[ID Mantenimiento],Cartera1017[Fin Calidad]),
IF(TRIM(D216)="Producción",
   _xlfn.XLOOKUP(C216,Cartera1017[ID Mantenimiento],Cartera1017[Fin Producción]),
""))))</f>
        <v>46051</v>
      </c>
    </row>
    <row r="217" spans="1:8" hidden="1" outlineLevel="1">
      <c r="A217" t="str">
        <f ca="1"/>
        <v>Banca Digital</v>
      </c>
      <c r="B217" t="str">
        <f ca="1"/>
        <v>08. Producción Finalizada</v>
      </c>
      <c r="C217" t="str">
        <f ca="1"/>
        <v>2024-M0687</v>
      </c>
      <c r="D217" t="str">
        <f ca="1"/>
        <v xml:space="preserve">   Desarrollo</v>
      </c>
      <c r="E217" s="255">
        <f ca="1"/>
        <v>1</v>
      </c>
      <c r="F217" s="255">
        <f ca="1"/>
        <v>1</v>
      </c>
      <c r="G217" s="356">
        <f ca="1">IF(TRIM(D217)=C217,
   _xlfn.XLOOKUP(C217, Cartera1017[ID Mantenimiento],Cartera1017[Comienzo Desarrollo]),
IF(TRIM(D217)="Desarrollo",
   _xlfn.XLOOKUP(C217,Cartera1017[ID Mantenimiento],Cartera1017[Comienzo Desarrollo]),
IF(TRIM(D217)="Calidad",
   _xlfn.XLOOKUP(C217,Cartera1017[ID Mantenimiento],Cartera1017[Comienzo Calidad]),
IF(TRIM(D217)="Producción",
   _xlfn.XLOOKUP(C217,Cartera1017[ID Mantenimiento],Cartera1017[Comienzo Producción]),
""))))</f>
        <v>45748</v>
      </c>
      <c r="H217" s="160">
        <f ca="1">IF(TRIM(D217)=C217,
   _xlfn.XLOOKUP(C217, Cartera1017[ID Mantenimiento],Cartera1017[Fin Producción]),
IF(TRIM(D217)="Desarrollo",
   _xlfn.XLOOKUP(C217,Cartera1017[ID Mantenimiento],Cartera1017[Fin Desarrollo]),
IF(TRIM(D217)="Calidad",
   _xlfn.XLOOKUP(C217,Cartera1017[ID Mantenimiento],Cartera1017[Fin Calidad]),
IF(TRIM(D217)="Producción",
   _xlfn.XLOOKUP(C217,Cartera1017[ID Mantenimiento],Cartera1017[Fin Producción]),
""))))</f>
        <v>45873</v>
      </c>
    </row>
    <row r="218" spans="1:8" hidden="1" outlineLevel="1">
      <c r="A218" t="str">
        <f ca="1"/>
        <v>Banca Digital</v>
      </c>
      <c r="B218" t="str">
        <f ca="1"/>
        <v>08. Producción Finalizada</v>
      </c>
      <c r="C218" t="str">
        <f ca="1"/>
        <v>2024-M0687</v>
      </c>
      <c r="D218" t="str">
        <f ca="1"/>
        <v xml:space="preserve">   Calidad</v>
      </c>
      <c r="E218" s="255">
        <f ca="1"/>
        <v>1</v>
      </c>
      <c r="F218" s="255">
        <f ca="1"/>
        <v>1</v>
      </c>
      <c r="G218" s="356">
        <f ca="1">IF(TRIM(D218)=C218,
   _xlfn.XLOOKUP(C218, Cartera1017[ID Mantenimiento],Cartera1017[Comienzo Desarrollo]),
IF(TRIM(D218)="Desarrollo",
   _xlfn.XLOOKUP(C218,Cartera1017[ID Mantenimiento],Cartera1017[Comienzo Desarrollo]),
IF(TRIM(D218)="Calidad",
   _xlfn.XLOOKUP(C218,Cartera1017[ID Mantenimiento],Cartera1017[Comienzo Calidad]),
IF(TRIM(D218)="Producción",
   _xlfn.XLOOKUP(C218,Cartera1017[ID Mantenimiento],Cartera1017[Comienzo Producción]),
""))))</f>
        <v>45876</v>
      </c>
      <c r="H218" s="160">
        <f ca="1">IF(TRIM(D218)=C218,
   _xlfn.XLOOKUP(C218, Cartera1017[ID Mantenimiento],Cartera1017[Fin Producción]),
IF(TRIM(D218)="Desarrollo",
   _xlfn.XLOOKUP(C218,Cartera1017[ID Mantenimiento],Cartera1017[Fin Desarrollo]),
IF(TRIM(D218)="Calidad",
   _xlfn.XLOOKUP(C218,Cartera1017[ID Mantenimiento],Cartera1017[Fin Calidad]),
IF(TRIM(D218)="Producción",
   _xlfn.XLOOKUP(C218,Cartera1017[ID Mantenimiento],Cartera1017[Fin Producción]),
""))))</f>
        <v>45957</v>
      </c>
    </row>
    <row r="219" spans="1:8" hidden="1" outlineLevel="1">
      <c r="A219" t="str">
        <f ca="1"/>
        <v>Banca Digital</v>
      </c>
      <c r="B219" t="str">
        <f ca="1"/>
        <v>08. Producción Finalizada</v>
      </c>
      <c r="C219" t="str">
        <f ca="1"/>
        <v>2024-M0687</v>
      </c>
      <c r="D219" t="str">
        <f ca="1"/>
        <v xml:space="preserve">   Producción</v>
      </c>
      <c r="E219" s="255">
        <f ca="1"/>
        <v>1</v>
      </c>
      <c r="F219" s="255">
        <f ca="1"/>
        <v>1</v>
      </c>
      <c r="G219" s="356">
        <f ca="1">IF(TRIM(D219)=C219,
   _xlfn.XLOOKUP(C219, Cartera1017[ID Mantenimiento],Cartera1017[Comienzo Desarrollo]),
IF(TRIM(D219)="Desarrollo",
   _xlfn.XLOOKUP(C219,Cartera1017[ID Mantenimiento],Cartera1017[Comienzo Desarrollo]),
IF(TRIM(D219)="Calidad",
   _xlfn.XLOOKUP(C219,Cartera1017[ID Mantenimiento],Cartera1017[Comienzo Calidad]),
IF(TRIM(D219)="Producción",
   _xlfn.XLOOKUP(C219,Cartera1017[ID Mantenimiento],Cartera1017[Comienzo Producción]),
""))))</f>
        <v>46050</v>
      </c>
      <c r="H219" s="160">
        <f ca="1">IF(TRIM(D219)=C219,
   _xlfn.XLOOKUP(C219, Cartera1017[ID Mantenimiento],Cartera1017[Fin Producción]),
IF(TRIM(D219)="Desarrollo",
   _xlfn.XLOOKUP(C219,Cartera1017[ID Mantenimiento],Cartera1017[Fin Desarrollo]),
IF(TRIM(D219)="Calidad",
   _xlfn.XLOOKUP(C219,Cartera1017[ID Mantenimiento],Cartera1017[Fin Calidad]),
IF(TRIM(D219)="Producción",
   _xlfn.XLOOKUP(C219,Cartera1017[ID Mantenimiento],Cartera1017[Fin Producción]),
""))))</f>
        <v>46051</v>
      </c>
    </row>
    <row r="220" spans="1:8" hidden="1" collapsed="1">
      <c r="A220" t="str">
        <f ca="1"/>
        <v>Operaciones</v>
      </c>
      <c r="B220" t="str">
        <f ca="1"/>
        <v>03. En Desarrollo</v>
      </c>
      <c r="C220" t="str">
        <f ca="1"/>
        <v>2025-M0096</v>
      </c>
      <c r="D220" t="str">
        <f ca="1"/>
        <v>2025-M0096</v>
      </c>
      <c r="E220" s="255">
        <f ca="1"/>
        <v>0.3</v>
      </c>
      <c r="F220" s="255">
        <f ca="1"/>
        <v>0</v>
      </c>
      <c r="G220" s="356">
        <f ca="1">IF(TRIM(D220)=C220,
   _xlfn.XLOOKUP(C220, Cartera1017[ID Mantenimiento],Cartera1017[Comienzo Desarrollo]),
IF(TRIM(D220)="Desarrollo",
   _xlfn.XLOOKUP(C220,Cartera1017[ID Mantenimiento],Cartera1017[Comienzo Desarrollo]),
IF(TRIM(D220)="Calidad",
   _xlfn.XLOOKUP(C220,Cartera1017[ID Mantenimiento],Cartera1017[Comienzo Calidad]),
IF(TRIM(D220)="Producción",
   _xlfn.XLOOKUP(C220,Cartera1017[ID Mantenimiento],Cartera1017[Comienzo Producción]),
""))))</f>
        <v>46266</v>
      </c>
      <c r="H220" s="160">
        <f ca="1">IF(TRIM(D220)=C220,
   _xlfn.XLOOKUP(C220, Cartera1017[ID Mantenimiento],Cartera1017[Fin Producción]),
IF(TRIM(D220)="Desarrollo",
   _xlfn.XLOOKUP(C220,Cartera1017[ID Mantenimiento],Cartera1017[Fin Desarrollo]),
IF(TRIM(D220)="Calidad",
   _xlfn.XLOOKUP(C220,Cartera1017[ID Mantenimiento],Cartera1017[Fin Calidad]),
IF(TRIM(D220)="Producción",
   _xlfn.XLOOKUP(C220,Cartera1017[ID Mantenimiento],Cartera1017[Fin Producción]),
""))))</f>
        <v>46395</v>
      </c>
    </row>
    <row r="221" spans="1:8" hidden="1" outlineLevel="1">
      <c r="A221" t="str">
        <f ca="1"/>
        <v>Operaciones</v>
      </c>
      <c r="B221" t="str">
        <f ca="1"/>
        <v>03. En Desarrollo</v>
      </c>
      <c r="C221" t="str">
        <f ca="1"/>
        <v>2025-M0096</v>
      </c>
      <c r="D221" t="str">
        <f ca="1"/>
        <v xml:space="preserve">   Desarrollo</v>
      </c>
      <c r="E221" s="255">
        <f ca="1"/>
        <v>0.3</v>
      </c>
      <c r="F221" s="255">
        <f ca="1"/>
        <v>0</v>
      </c>
      <c r="G221" s="356">
        <f ca="1">IF(TRIM(D221)=C221,
   _xlfn.XLOOKUP(C221, Cartera1017[ID Mantenimiento],Cartera1017[Comienzo Desarrollo]),
IF(TRIM(D221)="Desarrollo",
   _xlfn.XLOOKUP(C221,Cartera1017[ID Mantenimiento],Cartera1017[Comienzo Desarrollo]),
IF(TRIM(D221)="Calidad",
   _xlfn.XLOOKUP(C221,Cartera1017[ID Mantenimiento],Cartera1017[Comienzo Calidad]),
IF(TRIM(D221)="Producción",
   _xlfn.XLOOKUP(C221,Cartera1017[ID Mantenimiento],Cartera1017[Comienzo Producción]),
""))))</f>
        <v>46266</v>
      </c>
      <c r="H221" s="160">
        <f ca="1">IF(TRIM(D221)=C221,
   _xlfn.XLOOKUP(C221, Cartera1017[ID Mantenimiento],Cartera1017[Fin Producción]),
IF(TRIM(D221)="Desarrollo",
   _xlfn.XLOOKUP(C221,Cartera1017[ID Mantenimiento],Cartera1017[Fin Desarrollo]),
IF(TRIM(D221)="Calidad",
   _xlfn.XLOOKUP(C221,Cartera1017[ID Mantenimiento],Cartera1017[Fin Calidad]),
IF(TRIM(D221)="Producción",
   _xlfn.XLOOKUP(C221,Cartera1017[ID Mantenimiento],Cartera1017[Fin Producción]),
""))))</f>
        <v>46339</v>
      </c>
    </row>
    <row r="222" spans="1:8" hidden="1" outlineLevel="1">
      <c r="A222" t="str">
        <f ca="1"/>
        <v>Operaciones</v>
      </c>
      <c r="B222" t="str">
        <f ca="1"/>
        <v>03. En Desarrollo</v>
      </c>
      <c r="C222" t="str">
        <f ca="1"/>
        <v>2025-M0096</v>
      </c>
      <c r="D222" t="str">
        <f ca="1"/>
        <v xml:space="preserve">   Calidad</v>
      </c>
      <c r="E222" s="255">
        <f ca="1"/>
        <v>0.3</v>
      </c>
      <c r="F222" s="255">
        <f ca="1"/>
        <v>0</v>
      </c>
      <c r="G222" s="356">
        <f ca="1">IF(TRIM(D222)=C222,
   _xlfn.XLOOKUP(C222, Cartera1017[ID Mantenimiento],Cartera1017[Comienzo Desarrollo]),
IF(TRIM(D222)="Desarrollo",
   _xlfn.XLOOKUP(C222,Cartera1017[ID Mantenimiento],Cartera1017[Comienzo Desarrollo]),
IF(TRIM(D222)="Calidad",
   _xlfn.XLOOKUP(C222,Cartera1017[ID Mantenimiento],Cartera1017[Comienzo Calidad]),
IF(TRIM(D222)="Producción",
   _xlfn.XLOOKUP(C222,Cartera1017[ID Mantenimiento],Cartera1017[Comienzo Producción]),
""))))</f>
        <v>46342</v>
      </c>
      <c r="H222" s="160">
        <f ca="1">IF(TRIM(D222)=C222,
   _xlfn.XLOOKUP(C222, Cartera1017[ID Mantenimiento],Cartera1017[Fin Producción]),
IF(TRIM(D222)="Desarrollo",
   _xlfn.XLOOKUP(C222,Cartera1017[ID Mantenimiento],Cartera1017[Fin Desarrollo]),
IF(TRIM(D222)="Calidad",
   _xlfn.XLOOKUP(C222,Cartera1017[ID Mantenimiento],Cartera1017[Fin Calidad]),
IF(TRIM(D222)="Producción",
   _xlfn.XLOOKUP(C222,Cartera1017[ID Mantenimiento],Cartera1017[Fin Producción]),
""))))</f>
        <v>46387</v>
      </c>
    </row>
    <row r="223" spans="1:8" hidden="1" outlineLevel="1">
      <c r="A223" t="str">
        <f ca="1"/>
        <v>Operaciones</v>
      </c>
      <c r="B223" t="str">
        <f ca="1"/>
        <v>03. En Desarrollo</v>
      </c>
      <c r="C223" t="str">
        <f ca="1"/>
        <v>2025-M0096</v>
      </c>
      <c r="D223" t="str">
        <f ca="1"/>
        <v xml:space="preserve">   Producción</v>
      </c>
      <c r="E223" s="255">
        <f ca="1"/>
        <v>0.3</v>
      </c>
      <c r="F223" s="255">
        <f ca="1"/>
        <v>0</v>
      </c>
      <c r="G223" s="356">
        <f ca="1">IF(TRIM(D223)=C223,
   _xlfn.XLOOKUP(C223, Cartera1017[ID Mantenimiento],Cartera1017[Comienzo Desarrollo]),
IF(TRIM(D223)="Desarrollo",
   _xlfn.XLOOKUP(C223,Cartera1017[ID Mantenimiento],Cartera1017[Comienzo Desarrollo]),
IF(TRIM(D223)="Calidad",
   _xlfn.XLOOKUP(C223,Cartera1017[ID Mantenimiento],Cartera1017[Comienzo Calidad]),
IF(TRIM(D223)="Producción",
   _xlfn.XLOOKUP(C223,Cartera1017[ID Mantenimiento],Cartera1017[Comienzo Producción]),
""))))</f>
        <v>46391</v>
      </c>
      <c r="H223" s="160">
        <f ca="1">IF(TRIM(D223)=C223,
   _xlfn.XLOOKUP(C223, Cartera1017[ID Mantenimiento],Cartera1017[Fin Producción]),
IF(TRIM(D223)="Desarrollo",
   _xlfn.XLOOKUP(C223,Cartera1017[ID Mantenimiento],Cartera1017[Fin Desarrollo]),
IF(TRIM(D223)="Calidad",
   _xlfn.XLOOKUP(C223,Cartera1017[ID Mantenimiento],Cartera1017[Fin Calidad]),
IF(TRIM(D223)="Producción",
   _xlfn.XLOOKUP(C223,Cartera1017[ID Mantenimiento],Cartera1017[Fin Producción]),
""))))</f>
        <v>46395</v>
      </c>
    </row>
    <row r="224" spans="1:8" hidden="1" collapsed="1">
      <c r="A224" t="str">
        <f ca="1"/>
        <v>Tecnologías de Información</v>
      </c>
      <c r="B224" t="str">
        <f ca="1"/>
        <v>08. Producción Finalizada</v>
      </c>
      <c r="C224" t="str">
        <f ca="1"/>
        <v>2025-M0050</v>
      </c>
      <c r="D224" t="str">
        <f ca="1"/>
        <v>2025-M0050</v>
      </c>
      <c r="E224" s="255">
        <f ca="1"/>
        <v>1</v>
      </c>
      <c r="F224" s="255">
        <f ca="1"/>
        <v>1</v>
      </c>
      <c r="G224" s="356">
        <f ca="1">IF(TRIM(D224)=C224,
   _xlfn.XLOOKUP(C224, Cartera1017[ID Mantenimiento],Cartera1017[Comienzo Desarrollo]),
IF(TRIM(D224)="Desarrollo",
   _xlfn.XLOOKUP(C224,Cartera1017[ID Mantenimiento],Cartera1017[Comienzo Desarrollo]),
IF(TRIM(D224)="Calidad",
   _xlfn.XLOOKUP(C224,Cartera1017[ID Mantenimiento],Cartera1017[Comienzo Calidad]),
IF(TRIM(D224)="Producción",
   _xlfn.XLOOKUP(C224,Cartera1017[ID Mantenimiento],Cartera1017[Comienzo Producción]),
""))))</f>
        <v>46014</v>
      </c>
      <c r="H224" s="160">
        <f ca="1">IF(TRIM(D224)=C224,
   _xlfn.XLOOKUP(C224, Cartera1017[ID Mantenimiento],Cartera1017[Fin Producción]),
IF(TRIM(D224)="Desarrollo",
   _xlfn.XLOOKUP(C224,Cartera1017[ID Mantenimiento],Cartera1017[Fin Desarrollo]),
IF(TRIM(D224)="Calidad",
   _xlfn.XLOOKUP(C224,Cartera1017[ID Mantenimiento],Cartera1017[Fin Calidad]),
IF(TRIM(D224)="Producción",
   _xlfn.XLOOKUP(C224,Cartera1017[ID Mantenimiento],Cartera1017[Fin Producción]),
""))))</f>
        <v>46137</v>
      </c>
    </row>
    <row r="225" spans="1:8" hidden="1" outlineLevel="1">
      <c r="A225" t="str">
        <f ca="1"/>
        <v>Tecnologías de Información</v>
      </c>
      <c r="B225" t="str">
        <f ca="1"/>
        <v>08. Producción Finalizada</v>
      </c>
      <c r="C225" t="str">
        <f ca="1"/>
        <v>2025-M0050</v>
      </c>
      <c r="D225" t="str">
        <f ca="1"/>
        <v xml:space="preserve">   Desarrollo</v>
      </c>
      <c r="E225" s="255">
        <f ca="1"/>
        <v>1</v>
      </c>
      <c r="F225" s="255">
        <f ca="1"/>
        <v>1</v>
      </c>
      <c r="G225" s="356">
        <f ca="1">IF(TRIM(D225)=C225,
   _xlfn.XLOOKUP(C225, Cartera1017[ID Mantenimiento],Cartera1017[Comienzo Desarrollo]),
IF(TRIM(D225)="Desarrollo",
   _xlfn.XLOOKUP(C225,Cartera1017[ID Mantenimiento],Cartera1017[Comienzo Desarrollo]),
IF(TRIM(D225)="Calidad",
   _xlfn.XLOOKUP(C225,Cartera1017[ID Mantenimiento],Cartera1017[Comienzo Calidad]),
IF(TRIM(D225)="Producción",
   _xlfn.XLOOKUP(C225,Cartera1017[ID Mantenimiento],Cartera1017[Comienzo Producción]),
""))))</f>
        <v>46014</v>
      </c>
      <c r="H225" s="160">
        <f ca="1">IF(TRIM(D225)=C225,
   _xlfn.XLOOKUP(C225, Cartera1017[ID Mantenimiento],Cartera1017[Fin Producción]),
IF(TRIM(D225)="Desarrollo",
   _xlfn.XLOOKUP(C225,Cartera1017[ID Mantenimiento],Cartera1017[Fin Desarrollo]),
IF(TRIM(D225)="Calidad",
   _xlfn.XLOOKUP(C225,Cartera1017[ID Mantenimiento],Cartera1017[Fin Calidad]),
IF(TRIM(D225)="Producción",
   _xlfn.XLOOKUP(C225,Cartera1017[ID Mantenimiento],Cartera1017[Fin Producción]),
""))))</f>
        <v>46014</v>
      </c>
    </row>
    <row r="226" spans="1:8" hidden="1" outlineLevel="1">
      <c r="A226" t="str">
        <f ca="1"/>
        <v>Tecnologías de Información</v>
      </c>
      <c r="B226" t="str">
        <f ca="1"/>
        <v>08. Producción Finalizada</v>
      </c>
      <c r="C226" t="str">
        <f ca="1"/>
        <v>2025-M0050</v>
      </c>
      <c r="D226" t="str">
        <f ca="1"/>
        <v xml:space="preserve">   Calidad</v>
      </c>
      <c r="E226" s="255">
        <f ca="1"/>
        <v>1</v>
      </c>
      <c r="F226" s="255">
        <f ca="1"/>
        <v>1</v>
      </c>
      <c r="G226" s="356">
        <f ca="1">IF(TRIM(D226)=C226,
   _xlfn.XLOOKUP(C226, Cartera1017[ID Mantenimiento],Cartera1017[Comienzo Desarrollo]),
IF(TRIM(D226)="Desarrollo",
   _xlfn.XLOOKUP(C226,Cartera1017[ID Mantenimiento],Cartera1017[Comienzo Desarrollo]),
IF(TRIM(D226)="Calidad",
   _xlfn.XLOOKUP(C226,Cartera1017[ID Mantenimiento],Cartera1017[Comienzo Calidad]),
IF(TRIM(D226)="Producción",
   _xlfn.XLOOKUP(C226,Cartera1017[ID Mantenimiento],Cartera1017[Comienzo Producción]),
""))))</f>
        <v>46014</v>
      </c>
      <c r="H226" s="160">
        <f ca="1">IF(TRIM(D226)=C226,
   _xlfn.XLOOKUP(C226, Cartera1017[ID Mantenimiento],Cartera1017[Fin Producción]),
IF(TRIM(D226)="Desarrollo",
   _xlfn.XLOOKUP(C226,Cartera1017[ID Mantenimiento],Cartera1017[Fin Desarrollo]),
IF(TRIM(D226)="Calidad",
   _xlfn.XLOOKUP(C226,Cartera1017[ID Mantenimiento],Cartera1017[Fin Calidad]),
IF(TRIM(D226)="Producción",
   _xlfn.XLOOKUP(C226,Cartera1017[ID Mantenimiento],Cartera1017[Fin Producción]),
""))))</f>
        <v>46098</v>
      </c>
    </row>
    <row r="227" spans="1:8" hidden="1" outlineLevel="1">
      <c r="A227" t="str">
        <f ca="1"/>
        <v>Tecnologías de Información</v>
      </c>
      <c r="B227" t="str">
        <f ca="1"/>
        <v>08. Producción Finalizada</v>
      </c>
      <c r="C227" t="str">
        <f ca="1"/>
        <v>2025-M0050</v>
      </c>
      <c r="D227" t="str">
        <f ca="1"/>
        <v xml:space="preserve">   Producción</v>
      </c>
      <c r="E227" s="255">
        <f ca="1"/>
        <v>1</v>
      </c>
      <c r="F227" s="255">
        <f ca="1"/>
        <v>1</v>
      </c>
      <c r="G227" s="356">
        <f ca="1">IF(TRIM(D227)=C227,
   _xlfn.XLOOKUP(C227, Cartera1017[ID Mantenimiento],Cartera1017[Comienzo Desarrollo]),
IF(TRIM(D227)="Desarrollo",
   _xlfn.XLOOKUP(C227,Cartera1017[ID Mantenimiento],Cartera1017[Comienzo Desarrollo]),
IF(TRIM(D227)="Calidad",
   _xlfn.XLOOKUP(C227,Cartera1017[ID Mantenimiento],Cartera1017[Comienzo Calidad]),
IF(TRIM(D227)="Producción",
   _xlfn.XLOOKUP(C227,Cartera1017[ID Mantenimiento],Cartera1017[Comienzo Producción]),
""))))</f>
        <v>46099</v>
      </c>
      <c r="H227" s="160">
        <f ca="1">IF(TRIM(D227)=C227,
   _xlfn.XLOOKUP(C227, Cartera1017[ID Mantenimiento],Cartera1017[Fin Producción]),
IF(TRIM(D227)="Desarrollo",
   _xlfn.XLOOKUP(C227,Cartera1017[ID Mantenimiento],Cartera1017[Fin Desarrollo]),
IF(TRIM(D227)="Calidad",
   _xlfn.XLOOKUP(C227,Cartera1017[ID Mantenimiento],Cartera1017[Fin Calidad]),
IF(TRIM(D227)="Producción",
   _xlfn.XLOOKUP(C227,Cartera1017[ID Mantenimiento],Cartera1017[Fin Producción]),
""))))</f>
        <v>46137</v>
      </c>
    </row>
    <row r="228" spans="1:8" hidden="1" collapsed="1">
      <c r="A228" t="str">
        <f ca="1"/>
        <v>Operaciones</v>
      </c>
      <c r="B228" t="str">
        <f ca="1"/>
        <v>08. Producción Finalizada</v>
      </c>
      <c r="C228" t="str">
        <f ca="1"/>
        <v>2025-M0087</v>
      </c>
      <c r="D228" t="str">
        <f ca="1"/>
        <v>2025-M0087</v>
      </c>
      <c r="E228" s="255">
        <f ca="1"/>
        <v>1</v>
      </c>
      <c r="F228" s="255">
        <f ca="1"/>
        <v>1</v>
      </c>
      <c r="G228" s="356">
        <f ca="1">IF(TRIM(D228)=C228,
   _xlfn.XLOOKUP(C228, Cartera1017[ID Mantenimiento],Cartera1017[Comienzo Desarrollo]),
IF(TRIM(D228)="Desarrollo",
   _xlfn.XLOOKUP(C228,Cartera1017[ID Mantenimiento],Cartera1017[Comienzo Desarrollo]),
IF(TRIM(D228)="Calidad",
   _xlfn.XLOOKUP(C228,Cartera1017[ID Mantenimiento],Cartera1017[Comienzo Calidad]),
IF(TRIM(D228)="Producción",
   _xlfn.XLOOKUP(C228,Cartera1017[ID Mantenimiento],Cartera1017[Comienzo Producción]),
""))))</f>
        <v>46055</v>
      </c>
      <c r="H228" s="160">
        <f ca="1">IF(TRIM(D228)=C228,
   _xlfn.XLOOKUP(C228, Cartera1017[ID Mantenimiento],Cartera1017[Fin Producción]),
IF(TRIM(D228)="Desarrollo",
   _xlfn.XLOOKUP(C228,Cartera1017[ID Mantenimiento],Cartera1017[Fin Desarrollo]),
IF(TRIM(D228)="Calidad",
   _xlfn.XLOOKUP(C228,Cartera1017[ID Mantenimiento],Cartera1017[Fin Calidad]),
IF(TRIM(D228)="Producción",
   _xlfn.XLOOKUP(C228,Cartera1017[ID Mantenimiento],Cartera1017[Fin Producción]),
""))))</f>
        <v>46111</v>
      </c>
    </row>
    <row r="229" spans="1:8" hidden="1" outlineLevel="1">
      <c r="A229" t="str">
        <f ca="1"/>
        <v>Operaciones</v>
      </c>
      <c r="B229" t="str">
        <f ca="1"/>
        <v>08. Producción Finalizada</v>
      </c>
      <c r="C229" t="str">
        <f ca="1"/>
        <v>2025-M0087</v>
      </c>
      <c r="D229" t="str">
        <f ca="1"/>
        <v xml:space="preserve">   Desarrollo</v>
      </c>
      <c r="E229" s="255">
        <f ca="1"/>
        <v>1</v>
      </c>
      <c r="F229" s="255">
        <f ca="1"/>
        <v>1</v>
      </c>
      <c r="G229" s="356">
        <f ca="1">IF(TRIM(D229)=C229,
   _xlfn.XLOOKUP(C229, Cartera1017[ID Mantenimiento],Cartera1017[Comienzo Desarrollo]),
IF(TRIM(D229)="Desarrollo",
   _xlfn.XLOOKUP(C229,Cartera1017[ID Mantenimiento],Cartera1017[Comienzo Desarrollo]),
IF(TRIM(D229)="Calidad",
   _xlfn.XLOOKUP(C229,Cartera1017[ID Mantenimiento],Cartera1017[Comienzo Calidad]),
IF(TRIM(D229)="Producción",
   _xlfn.XLOOKUP(C229,Cartera1017[ID Mantenimiento],Cartera1017[Comienzo Producción]),
""))))</f>
        <v>46055</v>
      </c>
      <c r="H229" s="160">
        <f ca="1">IF(TRIM(D229)=C229,
   _xlfn.XLOOKUP(C229, Cartera1017[ID Mantenimiento],Cartera1017[Fin Producción]),
IF(TRIM(D229)="Desarrollo",
   _xlfn.XLOOKUP(C229,Cartera1017[ID Mantenimiento],Cartera1017[Fin Desarrollo]),
IF(TRIM(D229)="Calidad",
   _xlfn.XLOOKUP(C229,Cartera1017[ID Mantenimiento],Cartera1017[Fin Calidad]),
IF(TRIM(D229)="Producción",
   _xlfn.XLOOKUP(C229,Cartera1017[ID Mantenimiento],Cartera1017[Fin Producción]),
""))))</f>
        <v>46055</v>
      </c>
    </row>
    <row r="230" spans="1:8" hidden="1" outlineLevel="1">
      <c r="A230" t="str">
        <f ca="1"/>
        <v>Operaciones</v>
      </c>
      <c r="B230" t="str">
        <f ca="1"/>
        <v>08. Producción Finalizada</v>
      </c>
      <c r="C230" t="str">
        <f ca="1"/>
        <v>2025-M0087</v>
      </c>
      <c r="D230" t="str">
        <f ca="1"/>
        <v xml:space="preserve">   Calidad</v>
      </c>
      <c r="E230" s="255">
        <f ca="1"/>
        <v>1</v>
      </c>
      <c r="F230" s="255">
        <f ca="1"/>
        <v>1</v>
      </c>
      <c r="G230" s="356">
        <f ca="1">IF(TRIM(D230)=C230,
   _xlfn.XLOOKUP(C230, Cartera1017[ID Mantenimiento],Cartera1017[Comienzo Desarrollo]),
IF(TRIM(D230)="Desarrollo",
   _xlfn.XLOOKUP(C230,Cartera1017[ID Mantenimiento],Cartera1017[Comienzo Desarrollo]),
IF(TRIM(D230)="Calidad",
   _xlfn.XLOOKUP(C230,Cartera1017[ID Mantenimiento],Cartera1017[Comienzo Calidad]),
IF(TRIM(D230)="Producción",
   _xlfn.XLOOKUP(C230,Cartera1017[ID Mantenimiento],Cartera1017[Comienzo Producción]),
""))))</f>
        <v>46069</v>
      </c>
      <c r="H230" s="160">
        <f ca="1">IF(TRIM(D230)=C230,
   _xlfn.XLOOKUP(C230, Cartera1017[ID Mantenimiento],Cartera1017[Fin Producción]),
IF(TRIM(D230)="Desarrollo",
   _xlfn.XLOOKUP(C230,Cartera1017[ID Mantenimiento],Cartera1017[Fin Desarrollo]),
IF(TRIM(D230)="Calidad",
   _xlfn.XLOOKUP(C230,Cartera1017[ID Mantenimiento],Cartera1017[Fin Calidad]),
IF(TRIM(D230)="Producción",
   _xlfn.XLOOKUP(C230,Cartera1017[ID Mantenimiento],Cartera1017[Fin Producción]),
""))))</f>
        <v>46098</v>
      </c>
    </row>
    <row r="231" spans="1:8" hidden="1" outlineLevel="1">
      <c r="A231" t="str">
        <f ca="1"/>
        <v>Operaciones</v>
      </c>
      <c r="B231" t="str">
        <f ca="1"/>
        <v>08. Producción Finalizada</v>
      </c>
      <c r="C231" t="str">
        <f ca="1"/>
        <v>2025-M0087</v>
      </c>
      <c r="D231" t="str">
        <f ca="1"/>
        <v xml:space="preserve">   Producción</v>
      </c>
      <c r="E231" s="255">
        <f ca="1"/>
        <v>1</v>
      </c>
      <c r="F231" s="255">
        <f ca="1"/>
        <v>1</v>
      </c>
      <c r="G231" s="356">
        <f ca="1">IF(TRIM(D231)=C231,
   _xlfn.XLOOKUP(C231, Cartera1017[ID Mantenimiento],Cartera1017[Comienzo Desarrollo]),
IF(TRIM(D231)="Desarrollo",
   _xlfn.XLOOKUP(C231,Cartera1017[ID Mantenimiento],Cartera1017[Comienzo Desarrollo]),
IF(TRIM(D231)="Calidad",
   _xlfn.XLOOKUP(C231,Cartera1017[ID Mantenimiento],Cartera1017[Comienzo Calidad]),
IF(TRIM(D231)="Producción",
   _xlfn.XLOOKUP(C231,Cartera1017[ID Mantenimiento],Cartera1017[Comienzo Producción]),
""))))</f>
        <v>46099</v>
      </c>
      <c r="H231" s="160">
        <f ca="1">IF(TRIM(D231)=C231,
   _xlfn.XLOOKUP(C231, Cartera1017[ID Mantenimiento],Cartera1017[Fin Producción]),
IF(TRIM(D231)="Desarrollo",
   _xlfn.XLOOKUP(C231,Cartera1017[ID Mantenimiento],Cartera1017[Fin Desarrollo]),
IF(TRIM(D231)="Calidad",
   _xlfn.XLOOKUP(C231,Cartera1017[ID Mantenimiento],Cartera1017[Fin Calidad]),
IF(TRIM(D231)="Producción",
   _xlfn.XLOOKUP(C231,Cartera1017[ID Mantenimiento],Cartera1017[Fin Producción]),
""))))</f>
        <v>46111</v>
      </c>
    </row>
    <row r="232" spans="1:8" hidden="1" collapsed="1">
      <c r="A232" t="str">
        <f ca="1"/>
        <v>Operaciones</v>
      </c>
      <c r="B232" t="str">
        <f ca="1"/>
        <v>08. Producción Finalizada</v>
      </c>
      <c r="C232" t="str">
        <f ca="1"/>
        <v>2025-M0082</v>
      </c>
      <c r="D232" t="str">
        <f ca="1"/>
        <v>2025-M0082</v>
      </c>
      <c r="E232" s="255">
        <f ca="1"/>
        <v>1</v>
      </c>
      <c r="F232" s="255">
        <f ca="1"/>
        <v>1</v>
      </c>
      <c r="G232" s="356">
        <f ca="1">IF(TRIM(D232)=C232,
   _xlfn.XLOOKUP(C232, Cartera1017[ID Mantenimiento],Cartera1017[Comienzo Desarrollo]),
IF(TRIM(D232)="Desarrollo",
   _xlfn.XLOOKUP(C232,Cartera1017[ID Mantenimiento],Cartera1017[Comienzo Desarrollo]),
IF(TRIM(D232)="Calidad",
   _xlfn.XLOOKUP(C232,Cartera1017[ID Mantenimiento],Cartera1017[Comienzo Calidad]),
IF(TRIM(D232)="Producción",
   _xlfn.XLOOKUP(C232,Cartera1017[ID Mantenimiento],Cartera1017[Comienzo Producción]),
""))))</f>
        <v>45691</v>
      </c>
      <c r="H232" s="160">
        <f ca="1">IF(TRIM(D232)=C232,
   _xlfn.XLOOKUP(C232, Cartera1017[ID Mantenimiento],Cartera1017[Fin Producción]),
IF(TRIM(D232)="Desarrollo",
   _xlfn.XLOOKUP(C232,Cartera1017[ID Mantenimiento],Cartera1017[Fin Desarrollo]),
IF(TRIM(D232)="Calidad",
   _xlfn.XLOOKUP(C232,Cartera1017[ID Mantenimiento],Cartera1017[Fin Calidad]),
IF(TRIM(D232)="Producción",
   _xlfn.XLOOKUP(C232,Cartera1017[ID Mantenimiento],Cartera1017[Fin Producción]),
""))))</f>
        <v>46047</v>
      </c>
    </row>
    <row r="233" spans="1:8" hidden="1" outlineLevel="1">
      <c r="A233" t="str">
        <f ca="1"/>
        <v>Operaciones</v>
      </c>
      <c r="B233" t="str">
        <f ca="1"/>
        <v>08. Producción Finalizada</v>
      </c>
      <c r="C233" t="str">
        <f ca="1"/>
        <v>2025-M0082</v>
      </c>
      <c r="D233" t="str">
        <f ca="1"/>
        <v xml:space="preserve">   Desarrollo</v>
      </c>
      <c r="E233" s="255">
        <f ca="1"/>
        <v>1</v>
      </c>
      <c r="F233" s="255">
        <f ca="1"/>
        <v>1</v>
      </c>
      <c r="G233" s="356">
        <f ca="1">IF(TRIM(D233)=C233,
   _xlfn.XLOOKUP(C233, Cartera1017[ID Mantenimiento],Cartera1017[Comienzo Desarrollo]),
IF(TRIM(D233)="Desarrollo",
   _xlfn.XLOOKUP(C233,Cartera1017[ID Mantenimiento],Cartera1017[Comienzo Desarrollo]),
IF(TRIM(D233)="Calidad",
   _xlfn.XLOOKUP(C233,Cartera1017[ID Mantenimiento],Cartera1017[Comienzo Calidad]),
IF(TRIM(D233)="Producción",
   _xlfn.XLOOKUP(C233,Cartera1017[ID Mantenimiento],Cartera1017[Comienzo Producción]),
""))))</f>
        <v>45691</v>
      </c>
      <c r="H233" s="160">
        <f ca="1">IF(TRIM(D233)=C233,
   _xlfn.XLOOKUP(C233, Cartera1017[ID Mantenimiento],Cartera1017[Fin Producción]),
IF(TRIM(D233)="Desarrollo",
   _xlfn.XLOOKUP(C233,Cartera1017[ID Mantenimiento],Cartera1017[Fin Desarrollo]),
IF(TRIM(D233)="Calidad",
   _xlfn.XLOOKUP(C233,Cartera1017[ID Mantenimiento],Cartera1017[Fin Calidad]),
IF(TRIM(D233)="Producción",
   _xlfn.XLOOKUP(C233,Cartera1017[ID Mantenimiento],Cartera1017[Fin Producción]),
""))))</f>
        <v>46015</v>
      </c>
    </row>
    <row r="234" spans="1:8" hidden="1" outlineLevel="1">
      <c r="A234" t="str">
        <f ca="1"/>
        <v>Operaciones</v>
      </c>
      <c r="B234" t="str">
        <f ca="1"/>
        <v>08. Producción Finalizada</v>
      </c>
      <c r="C234" t="str">
        <f ca="1"/>
        <v>2025-M0082</v>
      </c>
      <c r="D234" t="str">
        <f ca="1"/>
        <v xml:space="preserve">   Calidad</v>
      </c>
      <c r="E234" s="255">
        <f ca="1"/>
        <v>1</v>
      </c>
      <c r="F234" s="255">
        <f ca="1"/>
        <v>1</v>
      </c>
      <c r="G234" s="356">
        <f ca="1">IF(TRIM(D234)=C234,
   _xlfn.XLOOKUP(C234, Cartera1017[ID Mantenimiento],Cartera1017[Comienzo Desarrollo]),
IF(TRIM(D234)="Desarrollo",
   _xlfn.XLOOKUP(C234,Cartera1017[ID Mantenimiento],Cartera1017[Comienzo Desarrollo]),
IF(TRIM(D234)="Calidad",
   _xlfn.XLOOKUP(C234,Cartera1017[ID Mantenimiento],Cartera1017[Comienzo Calidad]),
IF(TRIM(D234)="Producción",
   _xlfn.XLOOKUP(C234,Cartera1017[ID Mantenimiento],Cartera1017[Comienzo Producción]),
""))))</f>
        <v>46030</v>
      </c>
      <c r="H234" s="160">
        <f ca="1">IF(TRIM(D234)=C234,
   _xlfn.XLOOKUP(C234, Cartera1017[ID Mantenimiento],Cartera1017[Fin Producción]),
IF(TRIM(D234)="Desarrollo",
   _xlfn.XLOOKUP(C234,Cartera1017[ID Mantenimiento],Cartera1017[Fin Desarrollo]),
IF(TRIM(D234)="Calidad",
   _xlfn.XLOOKUP(C234,Cartera1017[ID Mantenimiento],Cartera1017[Fin Calidad]),
IF(TRIM(D234)="Producción",
   _xlfn.XLOOKUP(C234,Cartera1017[ID Mantenimiento],Cartera1017[Fin Producción]),
""))))</f>
        <v>46043</v>
      </c>
    </row>
    <row r="235" spans="1:8" hidden="1" outlineLevel="1">
      <c r="A235" t="str">
        <f ca="1"/>
        <v>Operaciones</v>
      </c>
      <c r="B235" t="str">
        <f ca="1"/>
        <v>08. Producción Finalizada</v>
      </c>
      <c r="C235" t="str">
        <f ca="1"/>
        <v>2025-M0082</v>
      </c>
      <c r="D235" t="str">
        <f ca="1"/>
        <v xml:space="preserve">   Producción</v>
      </c>
      <c r="E235" s="255">
        <f ca="1"/>
        <v>1</v>
      </c>
      <c r="F235" s="255">
        <f ca="1"/>
        <v>1</v>
      </c>
      <c r="G235" s="356">
        <f ca="1">IF(TRIM(D235)=C235,
   _xlfn.XLOOKUP(C235, Cartera1017[ID Mantenimiento],Cartera1017[Comienzo Desarrollo]),
IF(TRIM(D235)="Desarrollo",
   _xlfn.XLOOKUP(C235,Cartera1017[ID Mantenimiento],Cartera1017[Comienzo Desarrollo]),
IF(TRIM(D235)="Calidad",
   _xlfn.XLOOKUP(C235,Cartera1017[ID Mantenimiento],Cartera1017[Comienzo Calidad]),
IF(TRIM(D235)="Producción",
   _xlfn.XLOOKUP(C235,Cartera1017[ID Mantenimiento],Cartera1017[Comienzo Producción]),
""))))</f>
        <v>46045</v>
      </c>
      <c r="H235" s="160">
        <f ca="1">IF(TRIM(D235)=C235,
   _xlfn.XLOOKUP(C235, Cartera1017[ID Mantenimiento],Cartera1017[Fin Producción]),
IF(TRIM(D235)="Desarrollo",
   _xlfn.XLOOKUP(C235,Cartera1017[ID Mantenimiento],Cartera1017[Fin Desarrollo]),
IF(TRIM(D235)="Calidad",
   _xlfn.XLOOKUP(C235,Cartera1017[ID Mantenimiento],Cartera1017[Fin Calidad]),
IF(TRIM(D235)="Producción",
   _xlfn.XLOOKUP(C235,Cartera1017[ID Mantenimiento],Cartera1017[Fin Producción]),
""))))</f>
        <v>46047</v>
      </c>
    </row>
    <row r="236" spans="1:8" hidden="1" collapsed="1">
      <c r="A236" t="str">
        <f ca="1"/>
        <v>Operaciones</v>
      </c>
      <c r="B236" t="str">
        <f ca="1"/>
        <v>08. Producción Finalizada</v>
      </c>
      <c r="C236" t="str">
        <f ca="1"/>
        <v>2025-M0113</v>
      </c>
      <c r="D236" t="str">
        <f ca="1"/>
        <v>2025-M0113</v>
      </c>
      <c r="E236" s="255">
        <f ca="1"/>
        <v>1</v>
      </c>
      <c r="F236" s="255">
        <f ca="1"/>
        <v>1</v>
      </c>
      <c r="G236" s="356">
        <f ca="1">IF(TRIM(D236)=C236,
   _xlfn.XLOOKUP(C236, Cartera1017[ID Mantenimiento],Cartera1017[Comienzo Desarrollo]),
IF(TRIM(D236)="Desarrollo",
   _xlfn.XLOOKUP(C236,Cartera1017[ID Mantenimiento],Cartera1017[Comienzo Desarrollo]),
IF(TRIM(D236)="Calidad",
   _xlfn.XLOOKUP(C236,Cartera1017[ID Mantenimiento],Cartera1017[Comienzo Calidad]),
IF(TRIM(D236)="Producción",
   _xlfn.XLOOKUP(C236,Cartera1017[ID Mantenimiento],Cartera1017[Comienzo Producción]),
""))))</f>
        <v>45855</v>
      </c>
      <c r="H236" s="160">
        <f ca="1">IF(TRIM(D236)=C236,
   _xlfn.XLOOKUP(C236, Cartera1017[ID Mantenimiento],Cartera1017[Fin Producción]),
IF(TRIM(D236)="Desarrollo",
   _xlfn.XLOOKUP(C236,Cartera1017[ID Mantenimiento],Cartera1017[Fin Desarrollo]),
IF(TRIM(D236)="Calidad",
   _xlfn.XLOOKUP(C236,Cartera1017[ID Mantenimiento],Cartera1017[Fin Calidad]),
IF(TRIM(D236)="Producción",
   _xlfn.XLOOKUP(C236,Cartera1017[ID Mantenimiento],Cartera1017[Fin Producción]),
""))))</f>
        <v>46108</v>
      </c>
    </row>
    <row r="237" spans="1:8" hidden="1" outlineLevel="1">
      <c r="A237" t="str">
        <f ca="1"/>
        <v>Operaciones</v>
      </c>
      <c r="B237" t="str">
        <f ca="1"/>
        <v>08. Producción Finalizada</v>
      </c>
      <c r="C237" t="str">
        <f ca="1"/>
        <v>2025-M0113</v>
      </c>
      <c r="D237" t="str">
        <f ca="1"/>
        <v xml:space="preserve">   Desarrollo</v>
      </c>
      <c r="E237" s="255">
        <f ca="1"/>
        <v>1</v>
      </c>
      <c r="F237" s="255">
        <f ca="1"/>
        <v>1</v>
      </c>
      <c r="G237" s="356">
        <f ca="1">IF(TRIM(D237)=C237,
   _xlfn.XLOOKUP(C237, Cartera1017[ID Mantenimiento],Cartera1017[Comienzo Desarrollo]),
IF(TRIM(D237)="Desarrollo",
   _xlfn.XLOOKUP(C237,Cartera1017[ID Mantenimiento],Cartera1017[Comienzo Desarrollo]),
IF(TRIM(D237)="Calidad",
   _xlfn.XLOOKUP(C237,Cartera1017[ID Mantenimiento],Cartera1017[Comienzo Calidad]),
IF(TRIM(D237)="Producción",
   _xlfn.XLOOKUP(C237,Cartera1017[ID Mantenimiento],Cartera1017[Comienzo Producción]),
""))))</f>
        <v>45855</v>
      </c>
      <c r="H237" s="160">
        <f ca="1">IF(TRIM(D237)=C237,
   _xlfn.XLOOKUP(C237, Cartera1017[ID Mantenimiento],Cartera1017[Fin Producción]),
IF(TRIM(D237)="Desarrollo",
   _xlfn.XLOOKUP(C237,Cartera1017[ID Mantenimiento],Cartera1017[Fin Desarrollo]),
IF(TRIM(D237)="Calidad",
   _xlfn.XLOOKUP(C237,Cartera1017[ID Mantenimiento],Cartera1017[Fin Calidad]),
IF(TRIM(D237)="Producción",
   _xlfn.XLOOKUP(C237,Cartera1017[ID Mantenimiento],Cartera1017[Fin Producción]),
""))))</f>
        <v>45994</v>
      </c>
    </row>
    <row r="238" spans="1:8" hidden="1" outlineLevel="1">
      <c r="A238" t="str">
        <f ca="1"/>
        <v>Operaciones</v>
      </c>
      <c r="B238" t="str">
        <f ca="1"/>
        <v>08. Producción Finalizada</v>
      </c>
      <c r="C238" t="str">
        <f ca="1"/>
        <v>2025-M0113</v>
      </c>
      <c r="D238" t="str">
        <f ca="1"/>
        <v xml:space="preserve">   Calidad</v>
      </c>
      <c r="E238" s="255">
        <f ca="1"/>
        <v>1</v>
      </c>
      <c r="F238" s="255">
        <f ca="1"/>
        <v>1</v>
      </c>
      <c r="G238" s="356">
        <f ca="1">IF(TRIM(D238)=C238,
   _xlfn.XLOOKUP(C238, Cartera1017[ID Mantenimiento],Cartera1017[Comienzo Desarrollo]),
IF(TRIM(D238)="Desarrollo",
   _xlfn.XLOOKUP(C238,Cartera1017[ID Mantenimiento],Cartera1017[Comienzo Desarrollo]),
IF(TRIM(D238)="Calidad",
   _xlfn.XLOOKUP(C238,Cartera1017[ID Mantenimiento],Cartera1017[Comienzo Calidad]),
IF(TRIM(D238)="Producción",
   _xlfn.XLOOKUP(C238,Cartera1017[ID Mantenimiento],Cartera1017[Comienzo Producción]),
""))))</f>
        <v>46013</v>
      </c>
      <c r="H238" s="160">
        <f ca="1">IF(TRIM(D238)=C238,
   _xlfn.XLOOKUP(C238, Cartera1017[ID Mantenimiento],Cartera1017[Fin Producción]),
IF(TRIM(D238)="Desarrollo",
   _xlfn.XLOOKUP(C238,Cartera1017[ID Mantenimiento],Cartera1017[Fin Desarrollo]),
IF(TRIM(D238)="Calidad",
   _xlfn.XLOOKUP(C238,Cartera1017[ID Mantenimiento],Cartera1017[Fin Calidad]),
IF(TRIM(D238)="Producción",
   _xlfn.XLOOKUP(C238,Cartera1017[ID Mantenimiento],Cartera1017[Fin Producción]),
""))))</f>
        <v>46097</v>
      </c>
    </row>
    <row r="239" spans="1:8" hidden="1" outlineLevel="1">
      <c r="A239" t="str">
        <f ca="1"/>
        <v>Operaciones</v>
      </c>
      <c r="B239" t="str">
        <f ca="1"/>
        <v>08. Producción Finalizada</v>
      </c>
      <c r="C239" t="str">
        <f ca="1"/>
        <v>2025-M0113</v>
      </c>
      <c r="D239" t="str">
        <f ca="1"/>
        <v xml:space="preserve">   Producción</v>
      </c>
      <c r="E239" s="255">
        <f ca="1"/>
        <v>1</v>
      </c>
      <c r="F239" s="255">
        <f ca="1"/>
        <v>1</v>
      </c>
      <c r="G239" s="356">
        <f ca="1">IF(TRIM(D239)=C239,
   _xlfn.XLOOKUP(C239, Cartera1017[ID Mantenimiento],Cartera1017[Comienzo Desarrollo]),
IF(TRIM(D239)="Desarrollo",
   _xlfn.XLOOKUP(C239,Cartera1017[ID Mantenimiento],Cartera1017[Comienzo Desarrollo]),
IF(TRIM(D239)="Calidad",
   _xlfn.XLOOKUP(C239,Cartera1017[ID Mantenimiento],Cartera1017[Comienzo Calidad]),
IF(TRIM(D239)="Producción",
   _xlfn.XLOOKUP(C239,Cartera1017[ID Mantenimiento],Cartera1017[Comienzo Producción]),
""))))</f>
        <v>46098</v>
      </c>
      <c r="H239" s="160">
        <f ca="1">IF(TRIM(D239)=C239,
   _xlfn.XLOOKUP(C239, Cartera1017[ID Mantenimiento],Cartera1017[Fin Producción]),
IF(TRIM(D239)="Desarrollo",
   _xlfn.XLOOKUP(C239,Cartera1017[ID Mantenimiento],Cartera1017[Fin Desarrollo]),
IF(TRIM(D239)="Calidad",
   _xlfn.XLOOKUP(C239,Cartera1017[ID Mantenimiento],Cartera1017[Fin Calidad]),
IF(TRIM(D239)="Producción",
   _xlfn.XLOOKUP(C239,Cartera1017[ID Mantenimiento],Cartera1017[Fin Producción]),
""))))</f>
        <v>46108</v>
      </c>
    </row>
    <row r="240" spans="1:8" hidden="1" collapsed="1">
      <c r="A240" t="str">
        <f ca="1"/>
        <v>Operaciones</v>
      </c>
      <c r="B240" t="str">
        <f ca="1"/>
        <v>08. Producción Finalizada</v>
      </c>
      <c r="C240" t="str">
        <f ca="1"/>
        <v>2025-M0274</v>
      </c>
      <c r="D240" t="str">
        <f ca="1"/>
        <v>2025-M0274</v>
      </c>
      <c r="E240" s="255">
        <f ca="1"/>
        <v>1</v>
      </c>
      <c r="F240" s="255">
        <f ca="1"/>
        <v>1</v>
      </c>
      <c r="G240" s="356">
        <f ca="1">IF(TRIM(D240)=C240,
   _xlfn.XLOOKUP(C240, Cartera1017[ID Mantenimiento],Cartera1017[Comienzo Desarrollo]),
IF(TRIM(D240)="Desarrollo",
   _xlfn.XLOOKUP(C240,Cartera1017[ID Mantenimiento],Cartera1017[Comienzo Desarrollo]),
IF(TRIM(D240)="Calidad",
   _xlfn.XLOOKUP(C240,Cartera1017[ID Mantenimiento],Cartera1017[Comienzo Calidad]),
IF(TRIM(D240)="Producción",
   _xlfn.XLOOKUP(C240,Cartera1017[ID Mantenimiento],Cartera1017[Comienzo Producción]),
""))))</f>
        <v>45964</v>
      </c>
      <c r="H240" s="160">
        <f ca="1">IF(TRIM(D240)=C240,
   _xlfn.XLOOKUP(C240, Cartera1017[ID Mantenimiento],Cartera1017[Fin Producción]),
IF(TRIM(D240)="Desarrollo",
   _xlfn.XLOOKUP(C240,Cartera1017[ID Mantenimiento],Cartera1017[Fin Desarrollo]),
IF(TRIM(D240)="Calidad",
   _xlfn.XLOOKUP(C240,Cartera1017[ID Mantenimiento],Cartera1017[Fin Calidad]),
IF(TRIM(D240)="Producción",
   _xlfn.XLOOKUP(C240,Cartera1017[ID Mantenimiento],Cartera1017[Fin Producción]),
""))))</f>
        <v>46125</v>
      </c>
    </row>
    <row r="241" spans="1:8" hidden="1" outlineLevel="1">
      <c r="A241" t="str">
        <f ca="1"/>
        <v>Operaciones</v>
      </c>
      <c r="B241" t="str">
        <f ca="1"/>
        <v>08. Producción Finalizada</v>
      </c>
      <c r="C241" t="str">
        <f ca="1"/>
        <v>2025-M0274</v>
      </c>
      <c r="D241" t="str">
        <f ca="1"/>
        <v xml:space="preserve">   Desarrollo</v>
      </c>
      <c r="E241" s="255">
        <f ca="1"/>
        <v>1</v>
      </c>
      <c r="F241" s="255">
        <f ca="1"/>
        <v>1</v>
      </c>
      <c r="G241" s="356">
        <f ca="1">IF(TRIM(D241)=C241,
   _xlfn.XLOOKUP(C241, Cartera1017[ID Mantenimiento],Cartera1017[Comienzo Desarrollo]),
IF(TRIM(D241)="Desarrollo",
   _xlfn.XLOOKUP(C241,Cartera1017[ID Mantenimiento],Cartera1017[Comienzo Desarrollo]),
IF(TRIM(D241)="Calidad",
   _xlfn.XLOOKUP(C241,Cartera1017[ID Mantenimiento],Cartera1017[Comienzo Calidad]),
IF(TRIM(D241)="Producción",
   _xlfn.XLOOKUP(C241,Cartera1017[ID Mantenimiento],Cartera1017[Comienzo Producción]),
""))))</f>
        <v>45964</v>
      </c>
      <c r="H241" s="160">
        <f ca="1">IF(TRIM(D241)=C241,
   _xlfn.XLOOKUP(C241, Cartera1017[ID Mantenimiento],Cartera1017[Fin Producción]),
IF(TRIM(D241)="Desarrollo",
   _xlfn.XLOOKUP(C241,Cartera1017[ID Mantenimiento],Cartera1017[Fin Desarrollo]),
IF(TRIM(D241)="Calidad",
   _xlfn.XLOOKUP(C241,Cartera1017[ID Mantenimiento],Cartera1017[Fin Calidad]),
IF(TRIM(D241)="Producción",
   _xlfn.XLOOKUP(C241,Cartera1017[ID Mantenimiento],Cartera1017[Fin Producción]),
""))))</f>
        <v>46090</v>
      </c>
    </row>
    <row r="242" spans="1:8" hidden="1" outlineLevel="1">
      <c r="A242" t="str">
        <f ca="1"/>
        <v>Operaciones</v>
      </c>
      <c r="B242" t="str">
        <f ca="1"/>
        <v>08. Producción Finalizada</v>
      </c>
      <c r="C242" t="str">
        <f ca="1"/>
        <v>2025-M0274</v>
      </c>
      <c r="D242" t="str">
        <f ca="1"/>
        <v xml:space="preserve">   Calidad</v>
      </c>
      <c r="E242" s="255">
        <f ca="1"/>
        <v>1</v>
      </c>
      <c r="F242" s="255">
        <f ca="1"/>
        <v>1</v>
      </c>
      <c r="G242" s="356">
        <f ca="1">IF(TRIM(D242)=C242,
   _xlfn.XLOOKUP(C242, Cartera1017[ID Mantenimiento],Cartera1017[Comienzo Desarrollo]),
IF(TRIM(D242)="Desarrollo",
   _xlfn.XLOOKUP(C242,Cartera1017[ID Mantenimiento],Cartera1017[Comienzo Desarrollo]),
IF(TRIM(D242)="Calidad",
   _xlfn.XLOOKUP(C242,Cartera1017[ID Mantenimiento],Cartera1017[Comienzo Calidad]),
IF(TRIM(D242)="Producción",
   _xlfn.XLOOKUP(C242,Cartera1017[ID Mantenimiento],Cartera1017[Comienzo Producción]),
""))))</f>
        <v>46092</v>
      </c>
      <c r="H242" s="160">
        <f ca="1">IF(TRIM(D242)=C242,
   _xlfn.XLOOKUP(C242, Cartera1017[ID Mantenimiento],Cartera1017[Fin Producción]),
IF(TRIM(D242)="Desarrollo",
   _xlfn.XLOOKUP(C242,Cartera1017[ID Mantenimiento],Cartera1017[Fin Desarrollo]),
IF(TRIM(D242)="Calidad",
   _xlfn.XLOOKUP(C242,Cartera1017[ID Mantenimiento],Cartera1017[Fin Calidad]),
IF(TRIM(D242)="Producción",
   _xlfn.XLOOKUP(C242,Cartera1017[ID Mantenimiento],Cartera1017[Fin Producción]),
""))))</f>
        <v>46118</v>
      </c>
    </row>
    <row r="243" spans="1:8" hidden="1" outlineLevel="1">
      <c r="A243" t="str">
        <f ca="1"/>
        <v>Operaciones</v>
      </c>
      <c r="B243" t="str">
        <f ca="1"/>
        <v>08. Producción Finalizada</v>
      </c>
      <c r="C243" t="str">
        <f ca="1"/>
        <v>2025-M0274</v>
      </c>
      <c r="D243" t="str">
        <f ca="1"/>
        <v xml:space="preserve">   Producción</v>
      </c>
      <c r="E243" s="255">
        <f ca="1"/>
        <v>1</v>
      </c>
      <c r="F243" s="255">
        <f ca="1"/>
        <v>1</v>
      </c>
      <c r="G243" s="356">
        <f ca="1">IF(TRIM(D243)=C243,
   _xlfn.XLOOKUP(C243, Cartera1017[ID Mantenimiento],Cartera1017[Comienzo Desarrollo]),
IF(TRIM(D243)="Desarrollo",
   _xlfn.XLOOKUP(C243,Cartera1017[ID Mantenimiento],Cartera1017[Comienzo Desarrollo]),
IF(TRIM(D243)="Calidad",
   _xlfn.XLOOKUP(C243,Cartera1017[ID Mantenimiento],Cartera1017[Comienzo Calidad]),
IF(TRIM(D243)="Producción",
   _xlfn.XLOOKUP(C243,Cartera1017[ID Mantenimiento],Cartera1017[Comienzo Producción]),
""))))</f>
        <v>46119</v>
      </c>
      <c r="H243" s="160">
        <f ca="1">IF(TRIM(D243)=C243,
   _xlfn.XLOOKUP(C243, Cartera1017[ID Mantenimiento],Cartera1017[Fin Producción]),
IF(TRIM(D243)="Desarrollo",
   _xlfn.XLOOKUP(C243,Cartera1017[ID Mantenimiento],Cartera1017[Fin Desarrollo]),
IF(TRIM(D243)="Calidad",
   _xlfn.XLOOKUP(C243,Cartera1017[ID Mantenimiento],Cartera1017[Fin Calidad]),
IF(TRIM(D243)="Producción",
   _xlfn.XLOOKUP(C243,Cartera1017[ID Mantenimiento],Cartera1017[Fin Producción]),
""))))</f>
        <v>46125</v>
      </c>
    </row>
    <row r="244" spans="1:8" hidden="1" collapsed="1">
      <c r="A244" t="str">
        <f ca="1"/>
        <v>Operaciones</v>
      </c>
      <c r="B244" t="str">
        <f ca="1"/>
        <v>07. En Despliegue</v>
      </c>
      <c r="C244" t="str">
        <f ca="1"/>
        <v>2023-M0421</v>
      </c>
      <c r="D244" t="str">
        <f ca="1"/>
        <v>2023-M0421</v>
      </c>
      <c r="E244" s="255">
        <f ca="1"/>
        <v>0.9</v>
      </c>
      <c r="F244" s="255">
        <f ca="1"/>
        <v>1</v>
      </c>
      <c r="G244" s="356">
        <f ca="1">IF(TRIM(D244)=C244,
   _xlfn.XLOOKUP(C244, Cartera1017[ID Mantenimiento],Cartera1017[Comienzo Desarrollo]),
IF(TRIM(D244)="Desarrollo",
   _xlfn.XLOOKUP(C244,Cartera1017[ID Mantenimiento],Cartera1017[Comienzo Desarrollo]),
IF(TRIM(D244)="Calidad",
   _xlfn.XLOOKUP(C244,Cartera1017[ID Mantenimiento],Cartera1017[Comienzo Calidad]),
IF(TRIM(D244)="Producción",
   _xlfn.XLOOKUP(C244,Cartera1017[ID Mantenimiento],Cartera1017[Comienzo Producción]),
""))))</f>
        <v>46014</v>
      </c>
      <c r="H244" s="160">
        <f ca="1">IF(TRIM(D244)=C244,
   _xlfn.XLOOKUP(C244, Cartera1017[ID Mantenimiento],Cartera1017[Fin Producción]),
IF(TRIM(D244)="Desarrollo",
   _xlfn.XLOOKUP(C244,Cartera1017[ID Mantenimiento],Cartera1017[Fin Desarrollo]),
IF(TRIM(D244)="Calidad",
   _xlfn.XLOOKUP(C244,Cartera1017[ID Mantenimiento],Cartera1017[Fin Calidad]),
IF(TRIM(D244)="Producción",
   _xlfn.XLOOKUP(C244,Cartera1017[ID Mantenimiento],Cartera1017[Fin Producción]),
""))))</f>
        <v>46108</v>
      </c>
    </row>
    <row r="245" spans="1:8" hidden="1" outlineLevel="1">
      <c r="A245" t="str">
        <f ca="1"/>
        <v>Operaciones</v>
      </c>
      <c r="B245" t="str">
        <f ca="1"/>
        <v>07. En Despliegue</v>
      </c>
      <c r="C245" t="str">
        <f ca="1"/>
        <v>2023-M0421</v>
      </c>
      <c r="D245" t="str">
        <f ca="1"/>
        <v xml:space="preserve">   Desarrollo</v>
      </c>
      <c r="E245" s="255">
        <f ca="1"/>
        <v>0.9</v>
      </c>
      <c r="F245" s="255">
        <f ca="1"/>
        <v>1</v>
      </c>
      <c r="G245" s="356">
        <f ca="1">IF(TRIM(D245)=C245,
   _xlfn.XLOOKUP(C245, Cartera1017[ID Mantenimiento],Cartera1017[Comienzo Desarrollo]),
IF(TRIM(D245)="Desarrollo",
   _xlfn.XLOOKUP(C245,Cartera1017[ID Mantenimiento],Cartera1017[Comienzo Desarrollo]),
IF(TRIM(D245)="Calidad",
   _xlfn.XLOOKUP(C245,Cartera1017[ID Mantenimiento],Cartera1017[Comienzo Calidad]),
IF(TRIM(D245)="Producción",
   _xlfn.XLOOKUP(C245,Cartera1017[ID Mantenimiento],Cartera1017[Comienzo Producción]),
""))))</f>
        <v>46014</v>
      </c>
      <c r="H245" s="160">
        <f ca="1">IF(TRIM(D245)=C245,
   _xlfn.XLOOKUP(C245, Cartera1017[ID Mantenimiento],Cartera1017[Fin Producción]),
IF(TRIM(D245)="Desarrollo",
   _xlfn.XLOOKUP(C245,Cartera1017[ID Mantenimiento],Cartera1017[Fin Desarrollo]),
IF(TRIM(D245)="Calidad",
   _xlfn.XLOOKUP(C245,Cartera1017[ID Mantenimiento],Cartera1017[Fin Calidad]),
IF(TRIM(D245)="Producción",
   _xlfn.XLOOKUP(C245,Cartera1017[ID Mantenimiento],Cartera1017[Fin Producción]),
""))))</f>
        <v>46038</v>
      </c>
    </row>
    <row r="246" spans="1:8" hidden="1" outlineLevel="1">
      <c r="A246" t="str">
        <f ca="1"/>
        <v>Operaciones</v>
      </c>
      <c r="B246" t="str">
        <f ca="1"/>
        <v>07. En Despliegue</v>
      </c>
      <c r="C246" t="str">
        <f ca="1"/>
        <v>2023-M0421</v>
      </c>
      <c r="D246" t="str">
        <f ca="1"/>
        <v xml:space="preserve">   Calidad</v>
      </c>
      <c r="E246" s="255">
        <f ca="1"/>
        <v>0.9</v>
      </c>
      <c r="F246" s="255">
        <f ca="1"/>
        <v>1</v>
      </c>
      <c r="G246" s="356">
        <f ca="1">IF(TRIM(D246)=C246,
   _xlfn.XLOOKUP(C246, Cartera1017[ID Mantenimiento],Cartera1017[Comienzo Desarrollo]),
IF(TRIM(D246)="Desarrollo",
   _xlfn.XLOOKUP(C246,Cartera1017[ID Mantenimiento],Cartera1017[Comienzo Desarrollo]),
IF(TRIM(D246)="Calidad",
   _xlfn.XLOOKUP(C246,Cartera1017[ID Mantenimiento],Cartera1017[Comienzo Calidad]),
IF(TRIM(D246)="Producción",
   _xlfn.XLOOKUP(C246,Cartera1017[ID Mantenimiento],Cartera1017[Comienzo Producción]),
""))))</f>
        <v>46041</v>
      </c>
      <c r="H246" s="160">
        <f ca="1">IF(TRIM(D246)=C246,
   _xlfn.XLOOKUP(C246, Cartera1017[ID Mantenimiento],Cartera1017[Fin Producción]),
IF(TRIM(D246)="Desarrollo",
   _xlfn.XLOOKUP(C246,Cartera1017[ID Mantenimiento],Cartera1017[Fin Desarrollo]),
IF(TRIM(D246)="Calidad",
   _xlfn.XLOOKUP(C246,Cartera1017[ID Mantenimiento],Cartera1017[Fin Calidad]),
IF(TRIM(D246)="Producción",
   _xlfn.XLOOKUP(C246,Cartera1017[ID Mantenimiento],Cartera1017[Fin Producción]),
""))))</f>
        <v>46056</v>
      </c>
    </row>
    <row r="247" spans="1:8" hidden="1" outlineLevel="1">
      <c r="A247" t="str">
        <f ca="1"/>
        <v>Operaciones</v>
      </c>
      <c r="B247" t="str">
        <f ca="1"/>
        <v>07. En Despliegue</v>
      </c>
      <c r="C247" t="str">
        <f ca="1"/>
        <v>2023-M0421</v>
      </c>
      <c r="D247" t="str">
        <f ca="1"/>
        <v xml:space="preserve">   Producción</v>
      </c>
      <c r="E247" s="255">
        <f ca="1"/>
        <v>0.9</v>
      </c>
      <c r="F247" s="255">
        <f ca="1"/>
        <v>1</v>
      </c>
      <c r="G247" s="356">
        <f ca="1">IF(TRIM(D247)=C247,
   _xlfn.XLOOKUP(C247, Cartera1017[ID Mantenimiento],Cartera1017[Comienzo Desarrollo]),
IF(TRIM(D247)="Desarrollo",
   _xlfn.XLOOKUP(C247,Cartera1017[ID Mantenimiento],Cartera1017[Comienzo Desarrollo]),
IF(TRIM(D247)="Calidad",
   _xlfn.XLOOKUP(C247,Cartera1017[ID Mantenimiento],Cartera1017[Comienzo Calidad]),
IF(TRIM(D247)="Producción",
   _xlfn.XLOOKUP(C247,Cartera1017[ID Mantenimiento],Cartera1017[Comienzo Producción]),
""))))</f>
        <v>46063</v>
      </c>
      <c r="H247" s="160">
        <f ca="1">IF(TRIM(D247)=C247,
   _xlfn.XLOOKUP(C247, Cartera1017[ID Mantenimiento],Cartera1017[Fin Producción]),
IF(TRIM(D247)="Desarrollo",
   _xlfn.XLOOKUP(C247,Cartera1017[ID Mantenimiento],Cartera1017[Fin Desarrollo]),
IF(TRIM(D247)="Calidad",
   _xlfn.XLOOKUP(C247,Cartera1017[ID Mantenimiento],Cartera1017[Fin Calidad]),
IF(TRIM(D247)="Producción",
   _xlfn.XLOOKUP(C247,Cartera1017[ID Mantenimiento],Cartera1017[Fin Producción]),
""))))</f>
        <v>46108</v>
      </c>
    </row>
    <row r="248" spans="1:8" hidden="1" collapsed="1">
      <c r="A248" t="str">
        <f ca="1"/>
        <v>Oficialía de PLAFT</v>
      </c>
      <c r="B248" t="str">
        <f ca="1"/>
        <v>08. Producción Finalizada</v>
      </c>
      <c r="C248" t="str">
        <f ca="1"/>
        <v>2023-M0369</v>
      </c>
      <c r="D248" t="str">
        <f ca="1"/>
        <v>2023-M0369</v>
      </c>
      <c r="E248" s="255">
        <f ca="1"/>
        <v>1</v>
      </c>
      <c r="F248" s="255">
        <f ca="1"/>
        <v>1</v>
      </c>
      <c r="G248" s="356">
        <f ca="1">IF(TRIM(D248)=C248,
   _xlfn.XLOOKUP(C248, Cartera1017[ID Mantenimiento],Cartera1017[Comienzo Desarrollo]),
IF(TRIM(D248)="Desarrollo",
   _xlfn.XLOOKUP(C248,Cartera1017[ID Mantenimiento],Cartera1017[Comienzo Desarrollo]),
IF(TRIM(D248)="Calidad",
   _xlfn.XLOOKUP(C248,Cartera1017[ID Mantenimiento],Cartera1017[Comienzo Calidad]),
IF(TRIM(D248)="Producción",
   _xlfn.XLOOKUP(C248,Cartera1017[ID Mantenimiento],Cartera1017[Comienzo Producción]),
""))))</f>
        <v>45768</v>
      </c>
      <c r="H248" s="160">
        <f ca="1">IF(TRIM(D248)=C248,
   _xlfn.XLOOKUP(C248, Cartera1017[ID Mantenimiento],Cartera1017[Fin Producción]),
IF(TRIM(D248)="Desarrollo",
   _xlfn.XLOOKUP(C248,Cartera1017[ID Mantenimiento],Cartera1017[Fin Desarrollo]),
IF(TRIM(D248)="Calidad",
   _xlfn.XLOOKUP(C248,Cartera1017[ID Mantenimiento],Cartera1017[Fin Calidad]),
IF(TRIM(D248)="Producción",
   _xlfn.XLOOKUP(C248,Cartera1017[ID Mantenimiento],Cartera1017[Fin Producción]),
""))))</f>
        <v>46043</v>
      </c>
    </row>
    <row r="249" spans="1:8" hidden="1" outlineLevel="1">
      <c r="A249" t="str">
        <f ca="1"/>
        <v>Oficialía de PLAFT</v>
      </c>
      <c r="B249" t="str">
        <f ca="1"/>
        <v>08. Producción Finalizada</v>
      </c>
      <c r="C249" t="str">
        <f ca="1"/>
        <v>2023-M0369</v>
      </c>
      <c r="D249" t="str">
        <f ca="1"/>
        <v xml:space="preserve">   Desarrollo</v>
      </c>
      <c r="E249" s="255">
        <f ca="1"/>
        <v>1</v>
      </c>
      <c r="F249" s="255">
        <f ca="1"/>
        <v>1</v>
      </c>
      <c r="G249" s="356">
        <f ca="1">IF(TRIM(D249)=C249,
   _xlfn.XLOOKUP(C249, Cartera1017[ID Mantenimiento],Cartera1017[Comienzo Desarrollo]),
IF(TRIM(D249)="Desarrollo",
   _xlfn.XLOOKUP(C249,Cartera1017[ID Mantenimiento],Cartera1017[Comienzo Desarrollo]),
IF(TRIM(D249)="Calidad",
   _xlfn.XLOOKUP(C249,Cartera1017[ID Mantenimiento],Cartera1017[Comienzo Calidad]),
IF(TRIM(D249)="Producción",
   _xlfn.XLOOKUP(C249,Cartera1017[ID Mantenimiento],Cartera1017[Comienzo Producción]),
""))))</f>
        <v>45768</v>
      </c>
      <c r="H249" s="160">
        <f ca="1">IF(TRIM(D249)=C249,
   _xlfn.XLOOKUP(C249, Cartera1017[ID Mantenimiento],Cartera1017[Fin Producción]),
IF(TRIM(D249)="Desarrollo",
   _xlfn.XLOOKUP(C249,Cartera1017[ID Mantenimiento],Cartera1017[Fin Desarrollo]),
IF(TRIM(D249)="Calidad",
   _xlfn.XLOOKUP(C249,Cartera1017[ID Mantenimiento],Cartera1017[Fin Calidad]),
IF(TRIM(D249)="Producción",
   _xlfn.XLOOKUP(C249,Cartera1017[ID Mantenimiento],Cartera1017[Fin Producción]),
""))))</f>
        <v>45768</v>
      </c>
    </row>
    <row r="250" spans="1:8" hidden="1" outlineLevel="1">
      <c r="A250" t="str">
        <f ca="1"/>
        <v>Oficialía de PLAFT</v>
      </c>
      <c r="B250" t="str">
        <f ca="1"/>
        <v>08. Producción Finalizada</v>
      </c>
      <c r="C250" t="str">
        <f ca="1"/>
        <v>2023-M0369</v>
      </c>
      <c r="D250" t="str">
        <f ca="1"/>
        <v xml:space="preserve">   Calidad</v>
      </c>
      <c r="E250" s="255">
        <f ca="1"/>
        <v>1</v>
      </c>
      <c r="F250" s="255">
        <f ca="1"/>
        <v>1</v>
      </c>
      <c r="G250" s="356">
        <f ca="1">IF(TRIM(D250)=C250,
   _xlfn.XLOOKUP(C250, Cartera1017[ID Mantenimiento],Cartera1017[Comienzo Desarrollo]),
IF(TRIM(D250)="Desarrollo",
   _xlfn.XLOOKUP(C250,Cartera1017[ID Mantenimiento],Cartera1017[Comienzo Desarrollo]),
IF(TRIM(D250)="Calidad",
   _xlfn.XLOOKUP(C250,Cartera1017[ID Mantenimiento],Cartera1017[Comienzo Calidad]),
IF(TRIM(D250)="Producción",
   _xlfn.XLOOKUP(C250,Cartera1017[ID Mantenimiento],Cartera1017[Comienzo Producción]),
""))))</f>
        <v>45783</v>
      </c>
      <c r="H250" s="160">
        <f ca="1">IF(TRIM(D250)=C250,
   _xlfn.XLOOKUP(C250, Cartera1017[ID Mantenimiento],Cartera1017[Fin Producción]),
IF(TRIM(D250)="Desarrollo",
   _xlfn.XLOOKUP(C250,Cartera1017[ID Mantenimiento],Cartera1017[Fin Desarrollo]),
IF(TRIM(D250)="Calidad",
   _xlfn.XLOOKUP(C250,Cartera1017[ID Mantenimiento],Cartera1017[Fin Calidad]),
IF(TRIM(D250)="Producción",
   _xlfn.XLOOKUP(C250,Cartera1017[ID Mantenimiento],Cartera1017[Fin Producción]),
""))))</f>
        <v>45840</v>
      </c>
    </row>
    <row r="251" spans="1:8" hidden="1" outlineLevel="1">
      <c r="A251" t="str">
        <f ca="1"/>
        <v>Oficialía de PLAFT</v>
      </c>
      <c r="B251" t="str">
        <f ca="1"/>
        <v>08. Producción Finalizada</v>
      </c>
      <c r="C251" t="str">
        <f ca="1"/>
        <v>2023-M0369</v>
      </c>
      <c r="D251" t="str">
        <f ca="1"/>
        <v xml:space="preserve">   Producción</v>
      </c>
      <c r="E251" s="255">
        <f ca="1"/>
        <v>1</v>
      </c>
      <c r="F251" s="255">
        <f ca="1"/>
        <v>1</v>
      </c>
      <c r="G251" s="356">
        <f ca="1">IF(TRIM(D251)=C251,
   _xlfn.XLOOKUP(C251, Cartera1017[ID Mantenimiento],Cartera1017[Comienzo Desarrollo]),
IF(TRIM(D251)="Desarrollo",
   _xlfn.XLOOKUP(C251,Cartera1017[ID Mantenimiento],Cartera1017[Comienzo Desarrollo]),
IF(TRIM(D251)="Calidad",
   _xlfn.XLOOKUP(C251,Cartera1017[ID Mantenimiento],Cartera1017[Comienzo Calidad]),
IF(TRIM(D251)="Producción",
   _xlfn.XLOOKUP(C251,Cartera1017[ID Mantenimiento],Cartera1017[Comienzo Producción]),
""))))</f>
        <v>46043</v>
      </c>
      <c r="H251" s="160">
        <f ca="1">IF(TRIM(D251)=C251,
   _xlfn.XLOOKUP(C251, Cartera1017[ID Mantenimiento],Cartera1017[Fin Producción]),
IF(TRIM(D251)="Desarrollo",
   _xlfn.XLOOKUP(C251,Cartera1017[ID Mantenimiento],Cartera1017[Fin Desarrollo]),
IF(TRIM(D251)="Calidad",
   _xlfn.XLOOKUP(C251,Cartera1017[ID Mantenimiento],Cartera1017[Fin Calidad]),
IF(TRIM(D251)="Producción",
   _xlfn.XLOOKUP(C251,Cartera1017[ID Mantenimiento],Cartera1017[Fin Producción]),
""))))</f>
        <v>46043</v>
      </c>
    </row>
    <row r="252" spans="1:8" hidden="1" collapsed="1">
      <c r="A252" t="str">
        <f ca="1"/>
        <v>Banca Digital</v>
      </c>
      <c r="B252" t="str">
        <f ca="1"/>
        <v>06. Calidad Finalizado</v>
      </c>
      <c r="C252" t="str">
        <f ca="1"/>
        <v>2025-M0116</v>
      </c>
      <c r="D252" t="str">
        <f ca="1"/>
        <v>2025-M0116</v>
      </c>
      <c r="E252" s="255">
        <f ca="1"/>
        <v>0.85</v>
      </c>
      <c r="F252" s="255">
        <f ca="1"/>
        <v>1</v>
      </c>
      <c r="G252" s="356">
        <f ca="1">IF(TRIM(D252)=C252,
   _xlfn.XLOOKUP(C252, Cartera1017[ID Mantenimiento],Cartera1017[Comienzo Desarrollo]),
IF(TRIM(D252)="Desarrollo",
   _xlfn.XLOOKUP(C252,Cartera1017[ID Mantenimiento],Cartera1017[Comienzo Desarrollo]),
IF(TRIM(D252)="Calidad",
   _xlfn.XLOOKUP(C252,Cartera1017[ID Mantenimiento],Cartera1017[Comienzo Calidad]),
IF(TRIM(D252)="Producción",
   _xlfn.XLOOKUP(C252,Cartera1017[ID Mantenimiento],Cartera1017[Comienzo Producción]),
""))))</f>
        <v>45971</v>
      </c>
      <c r="H252" s="160">
        <f ca="1">IF(TRIM(D252)=C252,
   _xlfn.XLOOKUP(C252, Cartera1017[ID Mantenimiento],Cartera1017[Fin Producción]),
IF(TRIM(D252)="Desarrollo",
   _xlfn.XLOOKUP(C252,Cartera1017[ID Mantenimiento],Cartera1017[Fin Desarrollo]),
IF(TRIM(D252)="Calidad",
   _xlfn.XLOOKUP(C252,Cartera1017[ID Mantenimiento],Cartera1017[Fin Calidad]),
IF(TRIM(D252)="Producción",
   _xlfn.XLOOKUP(C252,Cartera1017[ID Mantenimiento],Cartera1017[Fin Producción]),
""))))</f>
        <v>46108</v>
      </c>
    </row>
    <row r="253" spans="1:8" hidden="1" outlineLevel="1">
      <c r="A253" t="str">
        <f ca="1"/>
        <v>Banca Digital</v>
      </c>
      <c r="B253" t="str">
        <f ca="1"/>
        <v>06. Calidad Finalizado</v>
      </c>
      <c r="C253" t="str">
        <f ca="1"/>
        <v>2025-M0116</v>
      </c>
      <c r="D253" t="str">
        <f ca="1"/>
        <v xml:space="preserve">   Desarrollo</v>
      </c>
      <c r="E253" s="255">
        <f ca="1"/>
        <v>0.85</v>
      </c>
      <c r="F253" s="255">
        <f ca="1"/>
        <v>1</v>
      </c>
      <c r="G253" s="356">
        <f ca="1">IF(TRIM(D253)=C253,
   _xlfn.XLOOKUP(C253, Cartera1017[ID Mantenimiento],Cartera1017[Comienzo Desarrollo]),
IF(TRIM(D253)="Desarrollo",
   _xlfn.XLOOKUP(C253,Cartera1017[ID Mantenimiento],Cartera1017[Comienzo Desarrollo]),
IF(TRIM(D253)="Calidad",
   _xlfn.XLOOKUP(C253,Cartera1017[ID Mantenimiento],Cartera1017[Comienzo Calidad]),
IF(TRIM(D253)="Producción",
   _xlfn.XLOOKUP(C253,Cartera1017[ID Mantenimiento],Cartera1017[Comienzo Producción]),
""))))</f>
        <v>45971</v>
      </c>
      <c r="H253" s="160">
        <f ca="1">IF(TRIM(D253)=C253,
   _xlfn.XLOOKUP(C253, Cartera1017[ID Mantenimiento],Cartera1017[Fin Producción]),
IF(TRIM(D253)="Desarrollo",
   _xlfn.XLOOKUP(C253,Cartera1017[ID Mantenimiento],Cartera1017[Fin Desarrollo]),
IF(TRIM(D253)="Calidad",
   _xlfn.XLOOKUP(C253,Cartera1017[ID Mantenimiento],Cartera1017[Fin Calidad]),
IF(TRIM(D253)="Producción",
   _xlfn.XLOOKUP(C253,Cartera1017[ID Mantenimiento],Cartera1017[Fin Producción]),
""))))</f>
        <v>46037</v>
      </c>
    </row>
    <row r="254" spans="1:8" hidden="1" outlineLevel="1">
      <c r="A254" t="str">
        <f ca="1"/>
        <v>Banca Digital</v>
      </c>
      <c r="B254" t="str">
        <f ca="1"/>
        <v>06. Calidad Finalizado</v>
      </c>
      <c r="C254" t="str">
        <f ca="1"/>
        <v>2025-M0116</v>
      </c>
      <c r="D254" t="str">
        <f ca="1"/>
        <v xml:space="preserve">   Calidad</v>
      </c>
      <c r="E254" s="255">
        <f ca="1"/>
        <v>0.85</v>
      </c>
      <c r="F254" s="255">
        <f ca="1"/>
        <v>1</v>
      </c>
      <c r="G254" s="356">
        <f ca="1">IF(TRIM(D254)=C254,
   _xlfn.XLOOKUP(C254, Cartera1017[ID Mantenimiento],Cartera1017[Comienzo Desarrollo]),
IF(TRIM(D254)="Desarrollo",
   _xlfn.XLOOKUP(C254,Cartera1017[ID Mantenimiento],Cartera1017[Comienzo Desarrollo]),
IF(TRIM(D254)="Calidad",
   _xlfn.XLOOKUP(C254,Cartera1017[ID Mantenimiento],Cartera1017[Comienzo Calidad]),
IF(TRIM(D254)="Producción",
   _xlfn.XLOOKUP(C254,Cartera1017[ID Mantenimiento],Cartera1017[Comienzo Producción]),
""))))</f>
        <v>46037</v>
      </c>
      <c r="H254" s="160">
        <f ca="1">IF(TRIM(D254)=C254,
   _xlfn.XLOOKUP(C254, Cartera1017[ID Mantenimiento],Cartera1017[Fin Producción]),
IF(TRIM(D254)="Desarrollo",
   _xlfn.XLOOKUP(C254,Cartera1017[ID Mantenimiento],Cartera1017[Fin Desarrollo]),
IF(TRIM(D254)="Calidad",
   _xlfn.XLOOKUP(C254,Cartera1017[ID Mantenimiento],Cartera1017[Fin Calidad]),
IF(TRIM(D254)="Producción",
   _xlfn.XLOOKUP(C254,Cartera1017[ID Mantenimiento],Cartera1017[Fin Producción]),
""))))</f>
        <v>46043</v>
      </c>
    </row>
    <row r="255" spans="1:8" hidden="1" outlineLevel="1">
      <c r="A255" t="str">
        <f ca="1"/>
        <v>Banca Digital</v>
      </c>
      <c r="B255" t="str">
        <f ca="1"/>
        <v>06. Calidad Finalizado</v>
      </c>
      <c r="C255" t="str">
        <f ca="1"/>
        <v>2025-M0116</v>
      </c>
      <c r="D255" t="str">
        <f ca="1"/>
        <v xml:space="preserve">   Producción</v>
      </c>
      <c r="E255" s="255">
        <f ca="1"/>
        <v>0.85</v>
      </c>
      <c r="F255" s="255">
        <f ca="1"/>
        <v>1</v>
      </c>
      <c r="G255" s="356">
        <f ca="1">IF(TRIM(D255)=C255,
   _xlfn.XLOOKUP(C255, Cartera1017[ID Mantenimiento],Cartera1017[Comienzo Desarrollo]),
IF(TRIM(D255)="Desarrollo",
   _xlfn.XLOOKUP(C255,Cartera1017[ID Mantenimiento],Cartera1017[Comienzo Desarrollo]),
IF(TRIM(D255)="Calidad",
   _xlfn.XLOOKUP(C255,Cartera1017[ID Mantenimiento],Cartera1017[Comienzo Calidad]),
IF(TRIM(D255)="Producción",
   _xlfn.XLOOKUP(C255,Cartera1017[ID Mantenimiento],Cartera1017[Comienzo Producción]),
""))))</f>
        <v>46072</v>
      </c>
      <c r="H255" s="160">
        <f ca="1">IF(TRIM(D255)=C255,
   _xlfn.XLOOKUP(C255, Cartera1017[ID Mantenimiento],Cartera1017[Fin Producción]),
IF(TRIM(D255)="Desarrollo",
   _xlfn.XLOOKUP(C255,Cartera1017[ID Mantenimiento],Cartera1017[Fin Desarrollo]),
IF(TRIM(D255)="Calidad",
   _xlfn.XLOOKUP(C255,Cartera1017[ID Mantenimiento],Cartera1017[Fin Calidad]),
IF(TRIM(D255)="Producción",
   _xlfn.XLOOKUP(C255,Cartera1017[ID Mantenimiento],Cartera1017[Fin Producción]),
""))))</f>
        <v>46108</v>
      </c>
    </row>
    <row r="256" spans="1:8" hidden="1" collapsed="1">
      <c r="A256" t="str">
        <f ca="1"/>
        <v>Banca Digital</v>
      </c>
      <c r="B256" t="str">
        <f ca="1"/>
        <v>10. Paralizado</v>
      </c>
      <c r="C256" t="str">
        <f ca="1"/>
        <v>2025-M0086</v>
      </c>
      <c r="D256" t="str">
        <f ca="1"/>
        <v>2025-M0086</v>
      </c>
      <c r="E256" s="255">
        <f ca="1"/>
        <v>0.12</v>
      </c>
      <c r="F256" s="255" t="str">
        <f ca="1"/>
        <v/>
      </c>
      <c r="G256" s="356">
        <f ca="1">IF(TRIM(D256)=C256,
   _xlfn.XLOOKUP(C256, Cartera1017[ID Mantenimiento],Cartera1017[Comienzo Desarrollo]),
IF(TRIM(D256)="Desarrollo",
   _xlfn.XLOOKUP(C256,Cartera1017[ID Mantenimiento],Cartera1017[Comienzo Desarrollo]),
IF(TRIM(D256)="Calidad",
   _xlfn.XLOOKUP(C256,Cartera1017[ID Mantenimiento],Cartera1017[Comienzo Calidad]),
IF(TRIM(D256)="Producción",
   _xlfn.XLOOKUP(C256,Cartera1017[ID Mantenimiento],Cartera1017[Comienzo Producción]),
""))))</f>
        <v>0</v>
      </c>
      <c r="H256" s="160">
        <f ca="1">IF(TRIM(D256)=C256,
   _xlfn.XLOOKUP(C256, Cartera1017[ID Mantenimiento],Cartera1017[Fin Producción]),
IF(TRIM(D256)="Desarrollo",
   _xlfn.XLOOKUP(C256,Cartera1017[ID Mantenimiento],Cartera1017[Fin Desarrollo]),
IF(TRIM(D256)="Calidad",
   _xlfn.XLOOKUP(C256,Cartera1017[ID Mantenimiento],Cartera1017[Fin Calidad]),
IF(TRIM(D256)="Producción",
   _xlfn.XLOOKUP(C256,Cartera1017[ID Mantenimiento],Cartera1017[Fin Producción]),
""))))</f>
        <v>46477</v>
      </c>
    </row>
    <row r="257" spans="1:8" hidden="1" outlineLevel="1">
      <c r="A257" t="str">
        <f ca="1"/>
        <v>Banca Digital</v>
      </c>
      <c r="B257" t="str">
        <f ca="1"/>
        <v>10. Paralizado</v>
      </c>
      <c r="C257" t="str">
        <f ca="1"/>
        <v>2025-M0086</v>
      </c>
      <c r="D257" t="str">
        <f ca="1"/>
        <v xml:space="preserve">   Desarrollo</v>
      </c>
      <c r="E257" s="255">
        <f ca="1"/>
        <v>0.12</v>
      </c>
      <c r="F257" s="255" t="str">
        <f ca="1"/>
        <v/>
      </c>
      <c r="G257" s="356">
        <f ca="1">IF(TRIM(D257)=C257,
   _xlfn.XLOOKUP(C257, Cartera1017[ID Mantenimiento],Cartera1017[Comienzo Desarrollo]),
IF(TRIM(D257)="Desarrollo",
   _xlfn.XLOOKUP(C257,Cartera1017[ID Mantenimiento],Cartera1017[Comienzo Desarrollo]),
IF(TRIM(D257)="Calidad",
   _xlfn.XLOOKUP(C257,Cartera1017[ID Mantenimiento],Cartera1017[Comienzo Calidad]),
IF(TRIM(D257)="Producción",
   _xlfn.XLOOKUP(C257,Cartera1017[ID Mantenimiento],Cartera1017[Comienzo Producción]),
""))))</f>
        <v>0</v>
      </c>
      <c r="H257" s="160">
        <f ca="1">IF(TRIM(D257)=C257,
   _xlfn.XLOOKUP(C257, Cartera1017[ID Mantenimiento],Cartera1017[Fin Producción]),
IF(TRIM(D257)="Desarrollo",
   _xlfn.XLOOKUP(C257,Cartera1017[ID Mantenimiento],Cartera1017[Fin Desarrollo]),
IF(TRIM(D257)="Calidad",
   _xlfn.XLOOKUP(C257,Cartera1017[ID Mantenimiento],Cartera1017[Fin Calidad]),
IF(TRIM(D257)="Producción",
   _xlfn.XLOOKUP(C257,Cartera1017[ID Mantenimiento],Cartera1017[Fin Producción]),
""))))</f>
        <v>0</v>
      </c>
    </row>
    <row r="258" spans="1:8" hidden="1" outlineLevel="1">
      <c r="A258" t="str">
        <f ca="1"/>
        <v>Banca Digital</v>
      </c>
      <c r="B258" t="str">
        <f ca="1"/>
        <v>10. Paralizado</v>
      </c>
      <c r="C258" t="str">
        <f ca="1"/>
        <v>2025-M0086</v>
      </c>
      <c r="D258" t="str">
        <f ca="1"/>
        <v xml:space="preserve">   Calidad</v>
      </c>
      <c r="E258" s="255">
        <f ca="1"/>
        <v>0.12</v>
      </c>
      <c r="F258" s="255" t="str">
        <f ca="1"/>
        <v/>
      </c>
      <c r="G258" s="356">
        <f ca="1">IF(TRIM(D258)=C258,
   _xlfn.XLOOKUP(C258, Cartera1017[ID Mantenimiento],Cartera1017[Comienzo Desarrollo]),
IF(TRIM(D258)="Desarrollo",
   _xlfn.XLOOKUP(C258,Cartera1017[ID Mantenimiento],Cartera1017[Comienzo Desarrollo]),
IF(TRIM(D258)="Calidad",
   _xlfn.XLOOKUP(C258,Cartera1017[ID Mantenimiento],Cartera1017[Comienzo Calidad]),
IF(TRIM(D258)="Producción",
   _xlfn.XLOOKUP(C258,Cartera1017[ID Mantenimiento],Cartera1017[Comienzo Producción]),
""))))</f>
        <v>0</v>
      </c>
      <c r="H258" s="160">
        <f ca="1">IF(TRIM(D258)=C258,
   _xlfn.XLOOKUP(C258, Cartera1017[ID Mantenimiento],Cartera1017[Fin Producción]),
IF(TRIM(D258)="Desarrollo",
   _xlfn.XLOOKUP(C258,Cartera1017[ID Mantenimiento],Cartera1017[Fin Desarrollo]),
IF(TRIM(D258)="Calidad",
   _xlfn.XLOOKUP(C258,Cartera1017[ID Mantenimiento],Cartera1017[Fin Calidad]),
IF(TRIM(D258)="Producción",
   _xlfn.XLOOKUP(C258,Cartera1017[ID Mantenimiento],Cartera1017[Fin Producción]),
""))))</f>
        <v>0</v>
      </c>
    </row>
    <row r="259" spans="1:8" hidden="1" outlineLevel="1">
      <c r="A259" t="str">
        <f ca="1"/>
        <v>Banca Digital</v>
      </c>
      <c r="B259" t="str">
        <f ca="1"/>
        <v>10. Paralizado</v>
      </c>
      <c r="C259" t="str">
        <f ca="1"/>
        <v>2025-M0086</v>
      </c>
      <c r="D259" t="str">
        <f ca="1"/>
        <v xml:space="preserve">   Producción</v>
      </c>
      <c r="E259" s="255">
        <f ca="1"/>
        <v>0.12</v>
      </c>
      <c r="F259" s="255" t="str">
        <f ca="1"/>
        <v/>
      </c>
      <c r="G259" s="356">
        <f ca="1">IF(TRIM(D259)=C259,
   _xlfn.XLOOKUP(C259, Cartera1017[ID Mantenimiento],Cartera1017[Comienzo Desarrollo]),
IF(TRIM(D259)="Desarrollo",
   _xlfn.XLOOKUP(C259,Cartera1017[ID Mantenimiento],Cartera1017[Comienzo Desarrollo]),
IF(TRIM(D259)="Calidad",
   _xlfn.XLOOKUP(C259,Cartera1017[ID Mantenimiento],Cartera1017[Comienzo Calidad]),
IF(TRIM(D259)="Producción",
   _xlfn.XLOOKUP(C259,Cartera1017[ID Mantenimiento],Cartera1017[Comienzo Producción]),
""))))</f>
        <v>0</v>
      </c>
      <c r="H259" s="160">
        <f ca="1">IF(TRIM(D259)=C259,
   _xlfn.XLOOKUP(C259, Cartera1017[ID Mantenimiento],Cartera1017[Fin Producción]),
IF(TRIM(D259)="Desarrollo",
   _xlfn.XLOOKUP(C259,Cartera1017[ID Mantenimiento],Cartera1017[Fin Desarrollo]),
IF(TRIM(D259)="Calidad",
   _xlfn.XLOOKUP(C259,Cartera1017[ID Mantenimiento],Cartera1017[Fin Calidad]),
IF(TRIM(D259)="Producción",
   _xlfn.XLOOKUP(C259,Cartera1017[ID Mantenimiento],Cartera1017[Fin Producción]),
""))))</f>
        <v>46477</v>
      </c>
    </row>
    <row r="260" spans="1:8" hidden="1" collapsed="1">
      <c r="A260" t="str">
        <f ca="1"/>
        <v>Operaciones</v>
      </c>
      <c r="B260" t="str">
        <f ca="1"/>
        <v>09. Descartado</v>
      </c>
      <c r="C260" t="str">
        <f ca="1"/>
        <v>2025-M0278</v>
      </c>
      <c r="D260" t="str">
        <f ca="1"/>
        <v>2025-M0278</v>
      </c>
      <c r="E260" s="255">
        <f ca="1"/>
        <v>-0.01</v>
      </c>
      <c r="F260" s="255" t="str">
        <f ca="1"/>
        <v/>
      </c>
      <c r="G260" s="356">
        <f ca="1">IF(TRIM(D260)=C260,
   _xlfn.XLOOKUP(C260, Cartera1017[ID Mantenimiento],Cartera1017[Comienzo Desarrollo]),
IF(TRIM(D260)="Desarrollo",
   _xlfn.XLOOKUP(C260,Cartera1017[ID Mantenimiento],Cartera1017[Comienzo Desarrollo]),
IF(TRIM(D260)="Calidad",
   _xlfn.XLOOKUP(C260,Cartera1017[ID Mantenimiento],Cartera1017[Comienzo Calidad]),
IF(TRIM(D260)="Producción",
   _xlfn.XLOOKUP(C260,Cartera1017[ID Mantenimiento],Cartera1017[Comienzo Producción]),
""))))</f>
        <v>0</v>
      </c>
      <c r="H260" s="160">
        <f ca="1">IF(TRIM(D260)=C260,
   _xlfn.XLOOKUP(C260, Cartera1017[ID Mantenimiento],Cartera1017[Fin Producción]),
IF(TRIM(D260)="Desarrollo",
   _xlfn.XLOOKUP(C260,Cartera1017[ID Mantenimiento],Cartera1017[Fin Desarrollo]),
IF(TRIM(D260)="Calidad",
   _xlfn.XLOOKUP(C260,Cartera1017[ID Mantenimiento],Cartera1017[Fin Calidad]),
IF(TRIM(D260)="Producción",
   _xlfn.XLOOKUP(C260,Cartera1017[ID Mantenimiento],Cartera1017[Fin Producción]),
""))))</f>
        <v>0</v>
      </c>
    </row>
    <row r="261" spans="1:8" hidden="1" outlineLevel="1">
      <c r="A261" t="str">
        <f ca="1"/>
        <v>Operaciones</v>
      </c>
      <c r="B261" t="str">
        <f ca="1"/>
        <v>09. Descartado</v>
      </c>
      <c r="C261" t="str">
        <f ca="1"/>
        <v>2025-M0278</v>
      </c>
      <c r="D261" t="str">
        <f ca="1"/>
        <v xml:space="preserve">   Desarrollo</v>
      </c>
      <c r="E261" s="255">
        <f ca="1"/>
        <v>-0.01</v>
      </c>
      <c r="F261" s="255" t="str">
        <f ca="1"/>
        <v/>
      </c>
      <c r="G261" s="356">
        <f ca="1">IF(TRIM(D261)=C261,
   _xlfn.XLOOKUP(C261, Cartera1017[ID Mantenimiento],Cartera1017[Comienzo Desarrollo]),
IF(TRIM(D261)="Desarrollo",
   _xlfn.XLOOKUP(C261,Cartera1017[ID Mantenimiento],Cartera1017[Comienzo Desarrollo]),
IF(TRIM(D261)="Calidad",
   _xlfn.XLOOKUP(C261,Cartera1017[ID Mantenimiento],Cartera1017[Comienzo Calidad]),
IF(TRIM(D261)="Producción",
   _xlfn.XLOOKUP(C261,Cartera1017[ID Mantenimiento],Cartera1017[Comienzo Producción]),
""))))</f>
        <v>0</v>
      </c>
      <c r="H261" s="160">
        <f ca="1">IF(TRIM(D261)=C261,
   _xlfn.XLOOKUP(C261, Cartera1017[ID Mantenimiento],Cartera1017[Fin Producción]),
IF(TRIM(D261)="Desarrollo",
   _xlfn.XLOOKUP(C261,Cartera1017[ID Mantenimiento],Cartera1017[Fin Desarrollo]),
IF(TRIM(D261)="Calidad",
   _xlfn.XLOOKUP(C261,Cartera1017[ID Mantenimiento],Cartera1017[Fin Calidad]),
IF(TRIM(D261)="Producción",
   _xlfn.XLOOKUP(C261,Cartera1017[ID Mantenimiento],Cartera1017[Fin Producción]),
""))))</f>
        <v>0</v>
      </c>
    </row>
    <row r="262" spans="1:8" hidden="1" outlineLevel="1">
      <c r="A262" t="str">
        <f ca="1"/>
        <v>Operaciones</v>
      </c>
      <c r="B262" t="str">
        <f ca="1"/>
        <v>09. Descartado</v>
      </c>
      <c r="C262" t="str">
        <f ca="1"/>
        <v>2025-M0278</v>
      </c>
      <c r="D262" t="str">
        <f ca="1"/>
        <v xml:space="preserve">   Calidad</v>
      </c>
      <c r="E262" s="255">
        <f ca="1"/>
        <v>-0.01</v>
      </c>
      <c r="F262" s="255" t="str">
        <f ca="1"/>
        <v/>
      </c>
      <c r="G262" s="356">
        <f ca="1">IF(TRIM(D262)=C262,
   _xlfn.XLOOKUP(C262, Cartera1017[ID Mantenimiento],Cartera1017[Comienzo Desarrollo]),
IF(TRIM(D262)="Desarrollo",
   _xlfn.XLOOKUP(C262,Cartera1017[ID Mantenimiento],Cartera1017[Comienzo Desarrollo]),
IF(TRIM(D262)="Calidad",
   _xlfn.XLOOKUP(C262,Cartera1017[ID Mantenimiento],Cartera1017[Comienzo Calidad]),
IF(TRIM(D262)="Producción",
   _xlfn.XLOOKUP(C262,Cartera1017[ID Mantenimiento],Cartera1017[Comienzo Producción]),
""))))</f>
        <v>0</v>
      </c>
      <c r="H262" s="160">
        <f ca="1">IF(TRIM(D262)=C262,
   _xlfn.XLOOKUP(C262, Cartera1017[ID Mantenimiento],Cartera1017[Fin Producción]),
IF(TRIM(D262)="Desarrollo",
   _xlfn.XLOOKUP(C262,Cartera1017[ID Mantenimiento],Cartera1017[Fin Desarrollo]),
IF(TRIM(D262)="Calidad",
   _xlfn.XLOOKUP(C262,Cartera1017[ID Mantenimiento],Cartera1017[Fin Calidad]),
IF(TRIM(D262)="Producción",
   _xlfn.XLOOKUP(C262,Cartera1017[ID Mantenimiento],Cartera1017[Fin Producción]),
""))))</f>
        <v>0</v>
      </c>
    </row>
    <row r="263" spans="1:8" hidden="1" outlineLevel="1">
      <c r="A263" t="str">
        <f ca="1"/>
        <v>Operaciones</v>
      </c>
      <c r="B263" t="str">
        <f ca="1"/>
        <v>09. Descartado</v>
      </c>
      <c r="C263" t="str">
        <f ca="1"/>
        <v>2025-M0278</v>
      </c>
      <c r="D263" t="str">
        <f ca="1"/>
        <v xml:space="preserve">   Producción</v>
      </c>
      <c r="E263" s="255">
        <f ca="1"/>
        <v>-0.01</v>
      </c>
      <c r="F263" s="255" t="str">
        <f ca="1"/>
        <v/>
      </c>
      <c r="G263" s="356">
        <f ca="1">IF(TRIM(D263)=C263,
   _xlfn.XLOOKUP(C263, Cartera1017[ID Mantenimiento],Cartera1017[Comienzo Desarrollo]),
IF(TRIM(D263)="Desarrollo",
   _xlfn.XLOOKUP(C263,Cartera1017[ID Mantenimiento],Cartera1017[Comienzo Desarrollo]),
IF(TRIM(D263)="Calidad",
   _xlfn.XLOOKUP(C263,Cartera1017[ID Mantenimiento],Cartera1017[Comienzo Calidad]),
IF(TRIM(D263)="Producción",
   _xlfn.XLOOKUP(C263,Cartera1017[ID Mantenimiento],Cartera1017[Comienzo Producción]),
""))))</f>
        <v>0</v>
      </c>
      <c r="H263" s="160">
        <f ca="1">IF(TRIM(D263)=C263,
   _xlfn.XLOOKUP(C263, Cartera1017[ID Mantenimiento],Cartera1017[Fin Producción]),
IF(TRIM(D263)="Desarrollo",
   _xlfn.XLOOKUP(C263,Cartera1017[ID Mantenimiento],Cartera1017[Fin Desarrollo]),
IF(TRIM(D263)="Calidad",
   _xlfn.XLOOKUP(C263,Cartera1017[ID Mantenimiento],Cartera1017[Fin Calidad]),
IF(TRIM(D263)="Producción",
   _xlfn.XLOOKUP(C263,Cartera1017[ID Mantenimiento],Cartera1017[Fin Producción]),
""))))</f>
        <v>0</v>
      </c>
    </row>
    <row r="264" spans="1:8" hidden="1" collapsed="1">
      <c r="A264" t="str">
        <f ca="1"/>
        <v>Operaciones</v>
      </c>
      <c r="B264" t="str">
        <f ca="1"/>
        <v>03. En Desarrollo</v>
      </c>
      <c r="C264" t="str">
        <f ca="1"/>
        <v>2025-M0182</v>
      </c>
      <c r="D264" t="str">
        <f ca="1"/>
        <v>2025-M0182</v>
      </c>
      <c r="E264" s="255">
        <f ca="1"/>
        <v>0.15</v>
      </c>
      <c r="F264" s="255">
        <f ca="1"/>
        <v>0.13793103448275862</v>
      </c>
      <c r="G264" s="356">
        <f ca="1">IF(TRIM(D264)=C264,
   _xlfn.XLOOKUP(C264, Cartera1017[ID Mantenimiento],Cartera1017[Comienzo Desarrollo]),
IF(TRIM(D264)="Desarrollo",
   _xlfn.XLOOKUP(C264,Cartera1017[ID Mantenimiento],Cartera1017[Comienzo Desarrollo]),
IF(TRIM(D264)="Calidad",
   _xlfn.XLOOKUP(C264,Cartera1017[ID Mantenimiento],Cartera1017[Comienzo Calidad]),
IF(TRIM(D264)="Producción",
   _xlfn.XLOOKUP(C264,Cartera1017[ID Mantenimiento],Cartera1017[Comienzo Producción]),
""))))</f>
        <v>46153</v>
      </c>
      <c r="H264" s="160">
        <f ca="1">IF(TRIM(D264)=C264,
   _xlfn.XLOOKUP(C264, Cartera1017[ID Mantenimiento],Cartera1017[Fin Producción]),
IF(TRIM(D264)="Desarrollo",
   _xlfn.XLOOKUP(C264,Cartera1017[ID Mantenimiento],Cartera1017[Fin Desarrollo]),
IF(TRIM(D264)="Calidad",
   _xlfn.XLOOKUP(C264,Cartera1017[ID Mantenimiento],Cartera1017[Fin Calidad]),
IF(TRIM(D264)="Producción",
   _xlfn.XLOOKUP(C264,Cartera1017[ID Mantenimiento],Cartera1017[Fin Producción]),
""))))</f>
        <v>46237</v>
      </c>
    </row>
    <row r="265" spans="1:8" hidden="1" outlineLevel="1">
      <c r="A265" t="str">
        <f ca="1"/>
        <v>Operaciones</v>
      </c>
      <c r="B265" t="str">
        <f ca="1"/>
        <v>03. En Desarrollo</v>
      </c>
      <c r="C265" t="str">
        <f ca="1"/>
        <v>2025-M0182</v>
      </c>
      <c r="D265" t="str">
        <f ca="1"/>
        <v xml:space="preserve">   Desarrollo</v>
      </c>
      <c r="E265" s="255">
        <f ca="1"/>
        <v>0.15</v>
      </c>
      <c r="F265" s="255">
        <f ca="1"/>
        <v>0.13793103448275862</v>
      </c>
      <c r="G265" s="356">
        <f ca="1">IF(TRIM(D265)=C265,
   _xlfn.XLOOKUP(C265, Cartera1017[ID Mantenimiento],Cartera1017[Comienzo Desarrollo]),
IF(TRIM(D265)="Desarrollo",
   _xlfn.XLOOKUP(C265,Cartera1017[ID Mantenimiento],Cartera1017[Comienzo Desarrollo]),
IF(TRIM(D265)="Calidad",
   _xlfn.XLOOKUP(C265,Cartera1017[ID Mantenimiento],Cartera1017[Comienzo Calidad]),
IF(TRIM(D265)="Producción",
   _xlfn.XLOOKUP(C265,Cartera1017[ID Mantenimiento],Cartera1017[Comienzo Producción]),
""))))</f>
        <v>46153</v>
      </c>
      <c r="H265" s="160">
        <f ca="1">IF(TRIM(D265)=C265,
   _xlfn.XLOOKUP(C265, Cartera1017[ID Mantenimiento],Cartera1017[Fin Producción]),
IF(TRIM(D265)="Desarrollo",
   _xlfn.XLOOKUP(C265,Cartera1017[ID Mantenimiento],Cartera1017[Fin Desarrollo]),
IF(TRIM(D265)="Calidad",
   _xlfn.XLOOKUP(C265,Cartera1017[ID Mantenimiento],Cartera1017[Fin Calidad]),
IF(TRIM(D265)="Producción",
   _xlfn.XLOOKUP(C265,Cartera1017[ID Mantenimiento],Cartera1017[Fin Producción]),
""))))</f>
        <v>46195</v>
      </c>
    </row>
    <row r="266" spans="1:8" hidden="1" outlineLevel="1">
      <c r="A266" t="str">
        <f ca="1"/>
        <v>Operaciones</v>
      </c>
      <c r="B266" t="str">
        <f ca="1"/>
        <v>03. En Desarrollo</v>
      </c>
      <c r="C266" t="str">
        <f ca="1"/>
        <v>2025-M0182</v>
      </c>
      <c r="D266" t="str">
        <f ca="1"/>
        <v xml:space="preserve">   Calidad</v>
      </c>
      <c r="E266" s="255">
        <f ca="1"/>
        <v>0.15</v>
      </c>
      <c r="F266" s="255">
        <f ca="1"/>
        <v>0.13793103448275862</v>
      </c>
      <c r="G266" s="356">
        <f ca="1">IF(TRIM(D266)=C266,
   _xlfn.XLOOKUP(C266, Cartera1017[ID Mantenimiento],Cartera1017[Comienzo Desarrollo]),
IF(TRIM(D266)="Desarrollo",
   _xlfn.XLOOKUP(C266,Cartera1017[ID Mantenimiento],Cartera1017[Comienzo Desarrollo]),
IF(TRIM(D266)="Calidad",
   _xlfn.XLOOKUP(C266,Cartera1017[ID Mantenimiento],Cartera1017[Comienzo Calidad]),
IF(TRIM(D266)="Producción",
   _xlfn.XLOOKUP(C266,Cartera1017[ID Mantenimiento],Cartera1017[Comienzo Producción]),
""))))</f>
        <v>46196</v>
      </c>
      <c r="H266" s="160">
        <f ca="1">IF(TRIM(D266)=C266,
   _xlfn.XLOOKUP(C266, Cartera1017[ID Mantenimiento],Cartera1017[Fin Producción]),
IF(TRIM(D266)="Desarrollo",
   _xlfn.XLOOKUP(C266,Cartera1017[ID Mantenimiento],Cartera1017[Fin Desarrollo]),
IF(TRIM(D266)="Calidad",
   _xlfn.XLOOKUP(C266,Cartera1017[ID Mantenimiento],Cartera1017[Fin Calidad]),
IF(TRIM(D266)="Producción",
   _xlfn.XLOOKUP(C266,Cartera1017[ID Mantenimiento],Cartera1017[Fin Producción]),
""))))</f>
        <v>46227</v>
      </c>
    </row>
    <row r="267" spans="1:8" hidden="1" outlineLevel="1">
      <c r="A267" t="str">
        <f ca="1"/>
        <v>Operaciones</v>
      </c>
      <c r="B267" t="str">
        <f ca="1"/>
        <v>03. En Desarrollo</v>
      </c>
      <c r="C267" t="str">
        <f ca="1"/>
        <v>2025-M0182</v>
      </c>
      <c r="D267" t="str">
        <f ca="1"/>
        <v xml:space="preserve">   Producción</v>
      </c>
      <c r="E267" s="255">
        <f ca="1"/>
        <v>0.15</v>
      </c>
      <c r="F267" s="255">
        <f ca="1"/>
        <v>0.13793103448275862</v>
      </c>
      <c r="G267" s="356">
        <f ca="1">IF(TRIM(D267)=C267,
   _xlfn.XLOOKUP(C267, Cartera1017[ID Mantenimiento],Cartera1017[Comienzo Desarrollo]),
IF(TRIM(D267)="Desarrollo",
   _xlfn.XLOOKUP(C267,Cartera1017[ID Mantenimiento],Cartera1017[Comienzo Desarrollo]),
IF(TRIM(D267)="Calidad",
   _xlfn.XLOOKUP(C267,Cartera1017[ID Mantenimiento],Cartera1017[Comienzo Calidad]),
IF(TRIM(D267)="Producción",
   _xlfn.XLOOKUP(C267,Cartera1017[ID Mantenimiento],Cartera1017[Comienzo Producción]),
""))))</f>
        <v>46230</v>
      </c>
      <c r="H267" s="160">
        <f ca="1">IF(TRIM(D267)=C267,
   _xlfn.XLOOKUP(C267, Cartera1017[ID Mantenimiento],Cartera1017[Fin Producción]),
IF(TRIM(D267)="Desarrollo",
   _xlfn.XLOOKUP(C267,Cartera1017[ID Mantenimiento],Cartera1017[Fin Desarrollo]),
IF(TRIM(D267)="Calidad",
   _xlfn.XLOOKUP(C267,Cartera1017[ID Mantenimiento],Cartera1017[Fin Calidad]),
IF(TRIM(D267)="Producción",
   _xlfn.XLOOKUP(C267,Cartera1017[ID Mantenimiento],Cartera1017[Fin Producción]),
""))))</f>
        <v>46237</v>
      </c>
    </row>
    <row r="268" spans="1:8" hidden="1" collapsed="1">
      <c r="A268" t="str">
        <f ca="1"/>
        <v>Tecnologías de Información</v>
      </c>
      <c r="B268" t="str">
        <f ca="1"/>
        <v>08. Producción Finalizada</v>
      </c>
      <c r="C268" t="str">
        <f ca="1"/>
        <v>2025-M0538</v>
      </c>
      <c r="D268" t="str">
        <f ca="1"/>
        <v>2025-M0538</v>
      </c>
      <c r="E268" s="255">
        <f ca="1"/>
        <v>1</v>
      </c>
      <c r="F268" s="255">
        <f ca="1"/>
        <v>1</v>
      </c>
      <c r="G268" s="356">
        <f ca="1">IF(TRIM(D268)=C268,
   _xlfn.XLOOKUP(C268, Cartera1017[ID Mantenimiento],Cartera1017[Comienzo Desarrollo]),
IF(TRIM(D268)="Desarrollo",
   _xlfn.XLOOKUP(C268,Cartera1017[ID Mantenimiento],Cartera1017[Comienzo Desarrollo]),
IF(TRIM(D268)="Calidad",
   _xlfn.XLOOKUP(C268,Cartera1017[ID Mantenimiento],Cartera1017[Comienzo Calidad]),
IF(TRIM(D268)="Producción",
   _xlfn.XLOOKUP(C268,Cartera1017[ID Mantenimiento],Cartera1017[Comienzo Producción]),
""))))</f>
        <v>45873</v>
      </c>
      <c r="H268" s="160">
        <f ca="1">IF(TRIM(D268)=C268,
   _xlfn.XLOOKUP(C268, Cartera1017[ID Mantenimiento],Cartera1017[Fin Producción]),
IF(TRIM(D268)="Desarrollo",
   _xlfn.XLOOKUP(C268,Cartera1017[ID Mantenimiento],Cartera1017[Fin Desarrollo]),
IF(TRIM(D268)="Calidad",
   _xlfn.XLOOKUP(C268,Cartera1017[ID Mantenimiento],Cartera1017[Fin Calidad]),
IF(TRIM(D268)="Producción",
   _xlfn.XLOOKUP(C268,Cartera1017[ID Mantenimiento],Cartera1017[Fin Producción]),
""))))</f>
        <v>46108</v>
      </c>
    </row>
    <row r="269" spans="1:8" hidden="1" outlineLevel="1">
      <c r="A269" t="str">
        <f ca="1"/>
        <v>Tecnologías de Información</v>
      </c>
      <c r="B269" t="str">
        <f ca="1"/>
        <v>08. Producción Finalizada</v>
      </c>
      <c r="C269" t="str">
        <f ca="1"/>
        <v>2025-M0538</v>
      </c>
      <c r="D269" t="str">
        <f ca="1"/>
        <v xml:space="preserve">   Desarrollo</v>
      </c>
      <c r="E269" s="255">
        <f ca="1"/>
        <v>1</v>
      </c>
      <c r="F269" s="255">
        <f ca="1"/>
        <v>1</v>
      </c>
      <c r="G269" s="356">
        <f ca="1">IF(TRIM(D269)=C269,
   _xlfn.XLOOKUP(C269, Cartera1017[ID Mantenimiento],Cartera1017[Comienzo Desarrollo]),
IF(TRIM(D269)="Desarrollo",
   _xlfn.XLOOKUP(C269,Cartera1017[ID Mantenimiento],Cartera1017[Comienzo Desarrollo]),
IF(TRIM(D269)="Calidad",
   _xlfn.XLOOKUP(C269,Cartera1017[ID Mantenimiento],Cartera1017[Comienzo Calidad]),
IF(TRIM(D269)="Producción",
   _xlfn.XLOOKUP(C269,Cartera1017[ID Mantenimiento],Cartera1017[Comienzo Producción]),
""))))</f>
        <v>45873</v>
      </c>
      <c r="H269" s="160">
        <f ca="1">IF(TRIM(D269)=C269,
   _xlfn.XLOOKUP(C269, Cartera1017[ID Mantenimiento],Cartera1017[Fin Producción]),
IF(TRIM(D269)="Desarrollo",
   _xlfn.XLOOKUP(C269,Cartera1017[ID Mantenimiento],Cartera1017[Fin Desarrollo]),
IF(TRIM(D269)="Calidad",
   _xlfn.XLOOKUP(C269,Cartera1017[ID Mantenimiento],Cartera1017[Fin Calidad]),
IF(TRIM(D269)="Producción",
   _xlfn.XLOOKUP(C269,Cartera1017[ID Mantenimiento],Cartera1017[Fin Producción]),
""))))</f>
        <v>45938</v>
      </c>
    </row>
    <row r="270" spans="1:8" hidden="1" outlineLevel="1">
      <c r="A270" t="str">
        <f ca="1"/>
        <v>Tecnologías de Información</v>
      </c>
      <c r="B270" t="str">
        <f ca="1"/>
        <v>08. Producción Finalizada</v>
      </c>
      <c r="C270" t="str">
        <f ca="1"/>
        <v>2025-M0538</v>
      </c>
      <c r="D270" t="str">
        <f ca="1"/>
        <v xml:space="preserve">   Calidad</v>
      </c>
      <c r="E270" s="255">
        <f ca="1"/>
        <v>1</v>
      </c>
      <c r="F270" s="255">
        <f ca="1"/>
        <v>1</v>
      </c>
      <c r="G270" s="356">
        <f ca="1">IF(TRIM(D270)=C270,
   _xlfn.XLOOKUP(C270, Cartera1017[ID Mantenimiento],Cartera1017[Comienzo Desarrollo]),
IF(TRIM(D270)="Desarrollo",
   _xlfn.XLOOKUP(C270,Cartera1017[ID Mantenimiento],Cartera1017[Comienzo Desarrollo]),
IF(TRIM(D270)="Calidad",
   _xlfn.XLOOKUP(C270,Cartera1017[ID Mantenimiento],Cartera1017[Comienzo Calidad]),
IF(TRIM(D270)="Producción",
   _xlfn.XLOOKUP(C270,Cartera1017[ID Mantenimiento],Cartera1017[Comienzo Producción]),
""))))</f>
        <v>45950</v>
      </c>
      <c r="H270" s="160">
        <f ca="1">IF(TRIM(D270)=C270,
   _xlfn.XLOOKUP(C270, Cartera1017[ID Mantenimiento],Cartera1017[Fin Producción]),
IF(TRIM(D270)="Desarrollo",
   _xlfn.XLOOKUP(C270,Cartera1017[ID Mantenimiento],Cartera1017[Fin Desarrollo]),
IF(TRIM(D270)="Calidad",
   _xlfn.XLOOKUP(C270,Cartera1017[ID Mantenimiento],Cartera1017[Fin Calidad]),
IF(TRIM(D270)="Producción",
   _xlfn.XLOOKUP(C270,Cartera1017[ID Mantenimiento],Cartera1017[Fin Producción]),
""))))</f>
        <v>46021</v>
      </c>
    </row>
    <row r="271" spans="1:8" hidden="1" outlineLevel="1">
      <c r="A271" t="str">
        <f ca="1"/>
        <v>Tecnologías de Información</v>
      </c>
      <c r="B271" t="str">
        <f ca="1"/>
        <v>08. Producción Finalizada</v>
      </c>
      <c r="C271" t="str">
        <f ca="1"/>
        <v>2025-M0538</v>
      </c>
      <c r="D271" t="str">
        <f ca="1"/>
        <v xml:space="preserve">   Producción</v>
      </c>
      <c r="E271" s="255">
        <f ca="1"/>
        <v>1</v>
      </c>
      <c r="F271" s="255">
        <f ca="1"/>
        <v>1</v>
      </c>
      <c r="G271" s="356">
        <f ca="1">IF(TRIM(D271)=C271,
   _xlfn.XLOOKUP(C271, Cartera1017[ID Mantenimiento],Cartera1017[Comienzo Desarrollo]),
IF(TRIM(D271)="Desarrollo",
   _xlfn.XLOOKUP(C271,Cartera1017[ID Mantenimiento],Cartera1017[Comienzo Desarrollo]),
IF(TRIM(D271)="Calidad",
   _xlfn.XLOOKUP(C271,Cartera1017[ID Mantenimiento],Cartera1017[Comienzo Calidad]),
IF(TRIM(D271)="Producción",
   _xlfn.XLOOKUP(C271,Cartera1017[ID Mantenimiento],Cartera1017[Comienzo Producción]),
""))))</f>
        <v>46053</v>
      </c>
      <c r="H271" s="160">
        <f ca="1">IF(TRIM(D271)=C271,
   _xlfn.XLOOKUP(C271, Cartera1017[ID Mantenimiento],Cartera1017[Fin Producción]),
IF(TRIM(D271)="Desarrollo",
   _xlfn.XLOOKUP(C271,Cartera1017[ID Mantenimiento],Cartera1017[Fin Desarrollo]),
IF(TRIM(D271)="Calidad",
   _xlfn.XLOOKUP(C271,Cartera1017[ID Mantenimiento],Cartera1017[Fin Calidad]),
IF(TRIM(D271)="Producción",
   _xlfn.XLOOKUP(C271,Cartera1017[ID Mantenimiento],Cartera1017[Fin Producción]),
""))))</f>
        <v>46108</v>
      </c>
    </row>
    <row r="272" spans="1:8" hidden="1" collapsed="1">
      <c r="A272" t="str">
        <f ca="1"/>
        <v>Tecnologías de Información</v>
      </c>
      <c r="B272" t="str">
        <f ca="1"/>
        <v>08. Producción Finalizada</v>
      </c>
      <c r="C272" t="str">
        <f ca="1"/>
        <v>2025-M0537</v>
      </c>
      <c r="D272" t="str">
        <f ca="1"/>
        <v>2025-M0537</v>
      </c>
      <c r="E272" s="255">
        <f ca="1"/>
        <v>1</v>
      </c>
      <c r="F272" s="255">
        <f ca="1"/>
        <v>1</v>
      </c>
      <c r="G272" s="356">
        <f ca="1">IF(TRIM(D272)=C272,
   _xlfn.XLOOKUP(C272, Cartera1017[ID Mantenimiento],Cartera1017[Comienzo Desarrollo]),
IF(TRIM(D272)="Desarrollo",
   _xlfn.XLOOKUP(C272,Cartera1017[ID Mantenimiento],Cartera1017[Comienzo Desarrollo]),
IF(TRIM(D272)="Calidad",
   _xlfn.XLOOKUP(C272,Cartera1017[ID Mantenimiento],Cartera1017[Comienzo Calidad]),
IF(TRIM(D272)="Producción",
   _xlfn.XLOOKUP(C272,Cartera1017[ID Mantenimiento],Cartera1017[Comienzo Producción]),
""))))</f>
        <v>45873</v>
      </c>
      <c r="H272" s="160">
        <f ca="1">IF(TRIM(D272)=C272,
   _xlfn.XLOOKUP(C272, Cartera1017[ID Mantenimiento],Cartera1017[Fin Producción]),
IF(TRIM(D272)="Desarrollo",
   _xlfn.XLOOKUP(C272,Cartera1017[ID Mantenimiento],Cartera1017[Fin Desarrollo]),
IF(TRIM(D272)="Calidad",
   _xlfn.XLOOKUP(C272,Cartera1017[ID Mantenimiento],Cartera1017[Fin Calidad]),
IF(TRIM(D272)="Producción",
   _xlfn.XLOOKUP(C272,Cartera1017[ID Mantenimiento],Cartera1017[Fin Producción]),
""))))</f>
        <v>46108</v>
      </c>
    </row>
    <row r="273" spans="1:8" hidden="1" outlineLevel="1">
      <c r="A273" t="str">
        <f ca="1"/>
        <v>Tecnologías de Información</v>
      </c>
      <c r="B273" t="str">
        <f ca="1"/>
        <v>08. Producción Finalizada</v>
      </c>
      <c r="C273" t="str">
        <f ca="1"/>
        <v>2025-M0537</v>
      </c>
      <c r="D273" t="str">
        <f ca="1"/>
        <v xml:space="preserve">   Desarrollo</v>
      </c>
      <c r="E273" s="255">
        <f ca="1"/>
        <v>1</v>
      </c>
      <c r="F273" s="255">
        <f ca="1"/>
        <v>1</v>
      </c>
      <c r="G273" s="356">
        <f ca="1">IF(TRIM(D273)=C273,
   _xlfn.XLOOKUP(C273, Cartera1017[ID Mantenimiento],Cartera1017[Comienzo Desarrollo]),
IF(TRIM(D273)="Desarrollo",
   _xlfn.XLOOKUP(C273,Cartera1017[ID Mantenimiento],Cartera1017[Comienzo Desarrollo]),
IF(TRIM(D273)="Calidad",
   _xlfn.XLOOKUP(C273,Cartera1017[ID Mantenimiento],Cartera1017[Comienzo Calidad]),
IF(TRIM(D273)="Producción",
   _xlfn.XLOOKUP(C273,Cartera1017[ID Mantenimiento],Cartera1017[Comienzo Producción]),
""))))</f>
        <v>45873</v>
      </c>
      <c r="H273" s="160">
        <f ca="1">IF(TRIM(D273)=C273,
   _xlfn.XLOOKUP(C273, Cartera1017[ID Mantenimiento],Cartera1017[Fin Producción]),
IF(TRIM(D273)="Desarrollo",
   _xlfn.XLOOKUP(C273,Cartera1017[ID Mantenimiento],Cartera1017[Fin Desarrollo]),
IF(TRIM(D273)="Calidad",
   _xlfn.XLOOKUP(C273,Cartera1017[ID Mantenimiento],Cartera1017[Fin Calidad]),
IF(TRIM(D273)="Producción",
   _xlfn.XLOOKUP(C273,Cartera1017[ID Mantenimiento],Cartera1017[Fin Producción]),
""))))</f>
        <v>45938</v>
      </c>
    </row>
    <row r="274" spans="1:8" hidden="1" outlineLevel="1">
      <c r="A274" t="str">
        <f ca="1"/>
        <v>Tecnologías de Información</v>
      </c>
      <c r="B274" t="str">
        <f ca="1"/>
        <v>08. Producción Finalizada</v>
      </c>
      <c r="C274" t="str">
        <f ca="1"/>
        <v>2025-M0537</v>
      </c>
      <c r="D274" t="str">
        <f ca="1"/>
        <v xml:space="preserve">   Calidad</v>
      </c>
      <c r="E274" s="255">
        <f ca="1"/>
        <v>1</v>
      </c>
      <c r="F274" s="255">
        <f ca="1"/>
        <v>1</v>
      </c>
      <c r="G274" s="356">
        <f ca="1">IF(TRIM(D274)=C274,
   _xlfn.XLOOKUP(C274, Cartera1017[ID Mantenimiento],Cartera1017[Comienzo Desarrollo]),
IF(TRIM(D274)="Desarrollo",
   _xlfn.XLOOKUP(C274,Cartera1017[ID Mantenimiento],Cartera1017[Comienzo Desarrollo]),
IF(TRIM(D274)="Calidad",
   _xlfn.XLOOKUP(C274,Cartera1017[ID Mantenimiento],Cartera1017[Comienzo Calidad]),
IF(TRIM(D274)="Producción",
   _xlfn.XLOOKUP(C274,Cartera1017[ID Mantenimiento],Cartera1017[Comienzo Producción]),
""))))</f>
        <v>45950</v>
      </c>
      <c r="H274" s="160">
        <f ca="1">IF(TRIM(D274)=C274,
   _xlfn.XLOOKUP(C274, Cartera1017[ID Mantenimiento],Cartera1017[Fin Producción]),
IF(TRIM(D274)="Desarrollo",
   _xlfn.XLOOKUP(C274,Cartera1017[ID Mantenimiento],Cartera1017[Fin Desarrollo]),
IF(TRIM(D274)="Calidad",
   _xlfn.XLOOKUP(C274,Cartera1017[ID Mantenimiento],Cartera1017[Fin Calidad]),
IF(TRIM(D274)="Producción",
   _xlfn.XLOOKUP(C274,Cartera1017[ID Mantenimiento],Cartera1017[Fin Producción]),
""))))</f>
        <v>46021</v>
      </c>
    </row>
    <row r="275" spans="1:8" hidden="1" outlineLevel="1">
      <c r="A275" t="str">
        <f ca="1"/>
        <v>Tecnologías de Información</v>
      </c>
      <c r="B275" t="str">
        <f ca="1"/>
        <v>08. Producción Finalizada</v>
      </c>
      <c r="C275" t="str">
        <f ca="1"/>
        <v>2025-M0537</v>
      </c>
      <c r="D275" t="str">
        <f ca="1"/>
        <v xml:space="preserve">   Producción</v>
      </c>
      <c r="E275" s="255">
        <f ca="1"/>
        <v>1</v>
      </c>
      <c r="F275" s="255">
        <f ca="1"/>
        <v>1</v>
      </c>
      <c r="G275" s="356">
        <f ca="1">IF(TRIM(D275)=C275,
   _xlfn.XLOOKUP(C275, Cartera1017[ID Mantenimiento],Cartera1017[Comienzo Desarrollo]),
IF(TRIM(D275)="Desarrollo",
   _xlfn.XLOOKUP(C275,Cartera1017[ID Mantenimiento],Cartera1017[Comienzo Desarrollo]),
IF(TRIM(D275)="Calidad",
   _xlfn.XLOOKUP(C275,Cartera1017[ID Mantenimiento],Cartera1017[Comienzo Calidad]),
IF(TRIM(D275)="Producción",
   _xlfn.XLOOKUP(C275,Cartera1017[ID Mantenimiento],Cartera1017[Comienzo Producción]),
""))))</f>
        <v>46052</v>
      </c>
      <c r="H275" s="160">
        <f ca="1">IF(TRIM(D275)=C275,
   _xlfn.XLOOKUP(C275, Cartera1017[ID Mantenimiento],Cartera1017[Fin Producción]),
IF(TRIM(D275)="Desarrollo",
   _xlfn.XLOOKUP(C275,Cartera1017[ID Mantenimiento],Cartera1017[Fin Desarrollo]),
IF(TRIM(D275)="Calidad",
   _xlfn.XLOOKUP(C275,Cartera1017[ID Mantenimiento],Cartera1017[Fin Calidad]),
IF(TRIM(D275)="Producción",
   _xlfn.XLOOKUP(C275,Cartera1017[ID Mantenimiento],Cartera1017[Fin Producción]),
""))))</f>
        <v>46108</v>
      </c>
    </row>
    <row r="276" spans="1:8" hidden="1" collapsed="1">
      <c r="A276" t="str">
        <f ca="1"/>
        <v>Operaciones</v>
      </c>
      <c r="B276" t="str">
        <f ca="1"/>
        <v>08. Producción Finalizada</v>
      </c>
      <c r="C276" t="str">
        <f ca="1"/>
        <v>2025-M0148</v>
      </c>
      <c r="D276" t="str">
        <f ca="1"/>
        <v>2025-M0148</v>
      </c>
      <c r="E276" s="255">
        <f ca="1"/>
        <v>1</v>
      </c>
      <c r="F276" s="255">
        <f ca="1"/>
        <v>1</v>
      </c>
      <c r="G276" s="356">
        <f ca="1">IF(TRIM(D276)=C276,
   _xlfn.XLOOKUP(C276, Cartera1017[ID Mantenimiento],Cartera1017[Comienzo Desarrollo]),
IF(TRIM(D276)="Desarrollo",
   _xlfn.XLOOKUP(C276,Cartera1017[ID Mantenimiento],Cartera1017[Comienzo Desarrollo]),
IF(TRIM(D276)="Calidad",
   _xlfn.XLOOKUP(C276,Cartera1017[ID Mantenimiento],Cartera1017[Comienzo Calidad]),
IF(TRIM(D276)="Producción",
   _xlfn.XLOOKUP(C276,Cartera1017[ID Mantenimiento],Cartera1017[Comienzo Producción]),
""))))</f>
        <v>45712</v>
      </c>
      <c r="H276" s="160">
        <f ca="1">IF(TRIM(D276)=C276,
   _xlfn.XLOOKUP(C276, Cartera1017[ID Mantenimiento],Cartera1017[Fin Producción]),
IF(TRIM(D276)="Desarrollo",
   _xlfn.XLOOKUP(C276,Cartera1017[ID Mantenimiento],Cartera1017[Fin Desarrollo]),
IF(TRIM(D276)="Calidad",
   _xlfn.XLOOKUP(C276,Cartera1017[ID Mantenimiento],Cartera1017[Fin Calidad]),
IF(TRIM(D276)="Producción",
   _xlfn.XLOOKUP(C276,Cartera1017[ID Mantenimiento],Cartera1017[Fin Producción]),
""))))</f>
        <v>46035</v>
      </c>
    </row>
    <row r="277" spans="1:8" hidden="1" outlineLevel="1">
      <c r="A277" t="str">
        <f ca="1"/>
        <v>Operaciones</v>
      </c>
      <c r="B277" t="str">
        <f ca="1"/>
        <v>08. Producción Finalizada</v>
      </c>
      <c r="C277" t="str">
        <f ca="1"/>
        <v>2025-M0148</v>
      </c>
      <c r="D277" t="str">
        <f ca="1"/>
        <v xml:space="preserve">   Desarrollo</v>
      </c>
      <c r="E277" s="255">
        <f ca="1"/>
        <v>1</v>
      </c>
      <c r="F277" s="255">
        <f ca="1"/>
        <v>1</v>
      </c>
      <c r="G277" s="356">
        <f ca="1">IF(TRIM(D277)=C277,
   _xlfn.XLOOKUP(C277, Cartera1017[ID Mantenimiento],Cartera1017[Comienzo Desarrollo]),
IF(TRIM(D277)="Desarrollo",
   _xlfn.XLOOKUP(C277,Cartera1017[ID Mantenimiento],Cartera1017[Comienzo Desarrollo]),
IF(TRIM(D277)="Calidad",
   _xlfn.XLOOKUP(C277,Cartera1017[ID Mantenimiento],Cartera1017[Comienzo Calidad]),
IF(TRIM(D277)="Producción",
   _xlfn.XLOOKUP(C277,Cartera1017[ID Mantenimiento],Cartera1017[Comienzo Producción]),
""))))</f>
        <v>45712</v>
      </c>
      <c r="H277" s="160" t="str">
        <f ca="1">IF(TRIM(D277)=C277,
   _xlfn.XLOOKUP(C277, Cartera1017[ID Mantenimiento],Cartera1017[Fin Producción]),
IF(TRIM(D277)="Desarrollo",
   _xlfn.XLOOKUP(C277,Cartera1017[ID Mantenimiento],Cartera1017[Fin Desarrollo]),
IF(TRIM(D277)="Calidad",
   _xlfn.XLOOKUP(C277,Cartera1017[ID Mantenimiento],Cartera1017[Fin Calidad]),
IF(TRIM(D277)="Producción",
   _xlfn.XLOOKUP(C277,Cartera1017[ID Mantenimiento],Cartera1017[Fin Producción]),
""))))</f>
        <v/>
      </c>
    </row>
    <row r="278" spans="1:8" hidden="1" outlineLevel="1">
      <c r="A278" t="str">
        <f ca="1"/>
        <v>Operaciones</v>
      </c>
      <c r="B278" t="str">
        <f ca="1"/>
        <v>08. Producción Finalizada</v>
      </c>
      <c r="C278" t="str">
        <f ca="1"/>
        <v>2025-M0148</v>
      </c>
      <c r="D278" t="str">
        <f ca="1"/>
        <v xml:space="preserve">   Calidad</v>
      </c>
      <c r="E278" s="255">
        <f ca="1"/>
        <v>1</v>
      </c>
      <c r="F278" s="255">
        <f ca="1"/>
        <v>1</v>
      </c>
      <c r="G278" s="356" t="str">
        <f ca="1">IF(TRIM(D278)=C278,
   _xlfn.XLOOKUP(C278, Cartera1017[ID Mantenimiento],Cartera1017[Comienzo Desarrollo]),
IF(TRIM(D278)="Desarrollo",
   _xlfn.XLOOKUP(C278,Cartera1017[ID Mantenimiento],Cartera1017[Comienzo Desarrollo]),
IF(TRIM(D278)="Calidad",
   _xlfn.XLOOKUP(C278,Cartera1017[ID Mantenimiento],Cartera1017[Comienzo Calidad]),
IF(TRIM(D278)="Producción",
   _xlfn.XLOOKUP(C278,Cartera1017[ID Mantenimiento],Cartera1017[Comienzo Producción]),
""))))</f>
        <v/>
      </c>
      <c r="H278" s="160" t="str">
        <f ca="1">IF(TRIM(D278)=C278,
   _xlfn.XLOOKUP(C278, Cartera1017[ID Mantenimiento],Cartera1017[Fin Producción]),
IF(TRIM(D278)="Desarrollo",
   _xlfn.XLOOKUP(C278,Cartera1017[ID Mantenimiento],Cartera1017[Fin Desarrollo]),
IF(TRIM(D278)="Calidad",
   _xlfn.XLOOKUP(C278,Cartera1017[ID Mantenimiento],Cartera1017[Fin Calidad]),
IF(TRIM(D278)="Producción",
   _xlfn.XLOOKUP(C278,Cartera1017[ID Mantenimiento],Cartera1017[Fin Producción]),
""))))</f>
        <v/>
      </c>
    </row>
    <row r="279" spans="1:8" hidden="1" outlineLevel="1">
      <c r="A279" t="str">
        <f ca="1"/>
        <v>Operaciones</v>
      </c>
      <c r="B279" t="str">
        <f ca="1"/>
        <v>08. Producción Finalizada</v>
      </c>
      <c r="C279" t="str">
        <f ca="1"/>
        <v>2025-M0148</v>
      </c>
      <c r="D279" t="str">
        <f ca="1"/>
        <v xml:space="preserve">   Producción</v>
      </c>
      <c r="E279" s="255">
        <f ca="1"/>
        <v>1</v>
      </c>
      <c r="F279" s="255">
        <f ca="1"/>
        <v>1</v>
      </c>
      <c r="G279" s="356">
        <f ca="1">IF(TRIM(D279)=C279,
   _xlfn.XLOOKUP(C279, Cartera1017[ID Mantenimiento],Cartera1017[Comienzo Desarrollo]),
IF(TRIM(D279)="Desarrollo",
   _xlfn.XLOOKUP(C279,Cartera1017[ID Mantenimiento],Cartera1017[Comienzo Desarrollo]),
IF(TRIM(D279)="Calidad",
   _xlfn.XLOOKUP(C279,Cartera1017[ID Mantenimiento],Cartera1017[Comienzo Calidad]),
IF(TRIM(D279)="Producción",
   _xlfn.XLOOKUP(C279,Cartera1017[ID Mantenimiento],Cartera1017[Comienzo Producción]),
""))))</f>
        <v>45856</v>
      </c>
      <c r="H279" s="160">
        <f ca="1">IF(TRIM(D279)=C279,
   _xlfn.XLOOKUP(C279, Cartera1017[ID Mantenimiento],Cartera1017[Fin Producción]),
IF(TRIM(D279)="Desarrollo",
   _xlfn.XLOOKUP(C279,Cartera1017[ID Mantenimiento],Cartera1017[Fin Desarrollo]),
IF(TRIM(D279)="Calidad",
   _xlfn.XLOOKUP(C279,Cartera1017[ID Mantenimiento],Cartera1017[Fin Calidad]),
IF(TRIM(D279)="Producción",
   _xlfn.XLOOKUP(C279,Cartera1017[ID Mantenimiento],Cartera1017[Fin Producción]),
""))))</f>
        <v>46035</v>
      </c>
    </row>
    <row r="280" spans="1:8" hidden="1" collapsed="1">
      <c r="A280" t="str">
        <f ca="1"/>
        <v>Productos e Inclusión Financiera</v>
      </c>
      <c r="B280" t="str">
        <f ca="1"/>
        <v>08. Producción Finalizada</v>
      </c>
      <c r="C280" t="str">
        <f ca="1"/>
        <v>2025-M0171</v>
      </c>
      <c r="D280" t="str">
        <f ca="1"/>
        <v>2025-M0171</v>
      </c>
      <c r="E280" s="255">
        <f ca="1"/>
        <v>1</v>
      </c>
      <c r="F280" s="255">
        <f ca="1"/>
        <v>1</v>
      </c>
      <c r="G280" s="356">
        <f ca="1">IF(TRIM(D280)=C280,
   _xlfn.XLOOKUP(C280, Cartera1017[ID Mantenimiento],Cartera1017[Comienzo Desarrollo]),
IF(TRIM(D280)="Desarrollo",
   _xlfn.XLOOKUP(C280,Cartera1017[ID Mantenimiento],Cartera1017[Comienzo Desarrollo]),
IF(TRIM(D280)="Calidad",
   _xlfn.XLOOKUP(C280,Cartera1017[ID Mantenimiento],Cartera1017[Comienzo Calidad]),
IF(TRIM(D280)="Producción",
   _xlfn.XLOOKUP(C280,Cartera1017[ID Mantenimiento],Cartera1017[Comienzo Producción]),
""))))</f>
        <v>45719</v>
      </c>
      <c r="H280" s="160">
        <f ca="1">IF(TRIM(D280)=C280,
   _xlfn.XLOOKUP(C280, Cartera1017[ID Mantenimiento],Cartera1017[Fin Producción]),
IF(TRIM(D280)="Desarrollo",
   _xlfn.XLOOKUP(C280,Cartera1017[ID Mantenimiento],Cartera1017[Fin Desarrollo]),
IF(TRIM(D280)="Calidad",
   _xlfn.XLOOKUP(C280,Cartera1017[ID Mantenimiento],Cartera1017[Fin Calidad]),
IF(TRIM(D280)="Producción",
   _xlfn.XLOOKUP(C280,Cartera1017[ID Mantenimiento],Cartera1017[Fin Producción]),
""))))</f>
        <v>46043</v>
      </c>
    </row>
    <row r="281" spans="1:8" hidden="1" outlineLevel="1">
      <c r="A281" t="str">
        <f ca="1"/>
        <v>Productos e Inclusión Financiera</v>
      </c>
      <c r="B281" t="str">
        <f ca="1"/>
        <v>08. Producción Finalizada</v>
      </c>
      <c r="C281" t="str">
        <f ca="1"/>
        <v>2025-M0171</v>
      </c>
      <c r="D281" t="str">
        <f ca="1"/>
        <v xml:space="preserve">   Desarrollo</v>
      </c>
      <c r="E281" s="255">
        <f ca="1"/>
        <v>1</v>
      </c>
      <c r="F281" s="255">
        <f ca="1"/>
        <v>1</v>
      </c>
      <c r="G281" s="356">
        <f ca="1">IF(TRIM(D281)=C281,
   _xlfn.XLOOKUP(C281, Cartera1017[ID Mantenimiento],Cartera1017[Comienzo Desarrollo]),
IF(TRIM(D281)="Desarrollo",
   _xlfn.XLOOKUP(C281,Cartera1017[ID Mantenimiento],Cartera1017[Comienzo Desarrollo]),
IF(TRIM(D281)="Calidad",
   _xlfn.XLOOKUP(C281,Cartera1017[ID Mantenimiento],Cartera1017[Comienzo Calidad]),
IF(TRIM(D281)="Producción",
   _xlfn.XLOOKUP(C281,Cartera1017[ID Mantenimiento],Cartera1017[Comienzo Producción]),
""))))</f>
        <v>45719</v>
      </c>
      <c r="H281" s="160">
        <f ca="1">IF(TRIM(D281)=C281,
   _xlfn.XLOOKUP(C281, Cartera1017[ID Mantenimiento],Cartera1017[Fin Producción]),
IF(TRIM(D281)="Desarrollo",
   _xlfn.XLOOKUP(C281,Cartera1017[ID Mantenimiento],Cartera1017[Fin Desarrollo]),
IF(TRIM(D281)="Calidad",
   _xlfn.XLOOKUP(C281,Cartera1017[ID Mantenimiento],Cartera1017[Fin Calidad]),
IF(TRIM(D281)="Producción",
   _xlfn.XLOOKUP(C281,Cartera1017[ID Mantenimiento],Cartera1017[Fin Producción]),
""))))</f>
        <v>45862</v>
      </c>
    </row>
    <row r="282" spans="1:8" hidden="1" outlineLevel="1">
      <c r="A282" t="str">
        <f ca="1"/>
        <v>Productos e Inclusión Financiera</v>
      </c>
      <c r="B282" t="str">
        <f ca="1"/>
        <v>08. Producción Finalizada</v>
      </c>
      <c r="C282" t="str">
        <f ca="1"/>
        <v>2025-M0171</v>
      </c>
      <c r="D282" t="str">
        <f ca="1"/>
        <v xml:space="preserve">   Calidad</v>
      </c>
      <c r="E282" s="255">
        <f ca="1"/>
        <v>1</v>
      </c>
      <c r="F282" s="255">
        <f ca="1"/>
        <v>1</v>
      </c>
      <c r="G282" s="356">
        <f ca="1">IF(TRIM(D282)=C282,
   _xlfn.XLOOKUP(C282, Cartera1017[ID Mantenimiento],Cartera1017[Comienzo Desarrollo]),
IF(TRIM(D282)="Desarrollo",
   _xlfn.XLOOKUP(C282,Cartera1017[ID Mantenimiento],Cartera1017[Comienzo Desarrollo]),
IF(TRIM(D282)="Calidad",
   _xlfn.XLOOKUP(C282,Cartera1017[ID Mantenimiento],Cartera1017[Comienzo Calidad]),
IF(TRIM(D282)="Producción",
   _xlfn.XLOOKUP(C282,Cartera1017[ID Mantenimiento],Cartera1017[Comienzo Producción]),
""))))</f>
        <v>45900</v>
      </c>
      <c r="H282" s="160">
        <f ca="1">IF(TRIM(D282)=C282,
   _xlfn.XLOOKUP(C282, Cartera1017[ID Mantenimiento],Cartera1017[Fin Producción]),
IF(TRIM(D282)="Desarrollo",
   _xlfn.XLOOKUP(C282,Cartera1017[ID Mantenimiento],Cartera1017[Fin Desarrollo]),
IF(TRIM(D282)="Calidad",
   _xlfn.XLOOKUP(C282,Cartera1017[ID Mantenimiento],Cartera1017[Fin Calidad]),
IF(TRIM(D282)="Producción",
   _xlfn.XLOOKUP(C282,Cartera1017[ID Mantenimiento],Cartera1017[Fin Producción]),
""))))</f>
        <v>45926</v>
      </c>
    </row>
    <row r="283" spans="1:8" hidden="1" outlineLevel="1">
      <c r="A283" t="str">
        <f ca="1"/>
        <v>Productos e Inclusión Financiera</v>
      </c>
      <c r="B283" t="str">
        <f ca="1"/>
        <v>08. Producción Finalizada</v>
      </c>
      <c r="C283" t="str">
        <f ca="1"/>
        <v>2025-M0171</v>
      </c>
      <c r="D283" t="str">
        <f ca="1"/>
        <v xml:space="preserve">   Producción</v>
      </c>
      <c r="E283" s="255">
        <f ca="1"/>
        <v>1</v>
      </c>
      <c r="F283" s="255">
        <f ca="1"/>
        <v>1</v>
      </c>
      <c r="G283" s="356">
        <f ca="1">IF(TRIM(D283)=C283,
   _xlfn.XLOOKUP(C283, Cartera1017[ID Mantenimiento],Cartera1017[Comienzo Desarrollo]),
IF(TRIM(D283)="Desarrollo",
   _xlfn.XLOOKUP(C283,Cartera1017[ID Mantenimiento],Cartera1017[Comienzo Desarrollo]),
IF(TRIM(D283)="Calidad",
   _xlfn.XLOOKUP(C283,Cartera1017[ID Mantenimiento],Cartera1017[Comienzo Calidad]),
IF(TRIM(D283)="Producción",
   _xlfn.XLOOKUP(C283,Cartera1017[ID Mantenimiento],Cartera1017[Comienzo Producción]),
""))))</f>
        <v>46041</v>
      </c>
      <c r="H283" s="160">
        <f ca="1">IF(TRIM(D283)=C283,
   _xlfn.XLOOKUP(C283, Cartera1017[ID Mantenimiento],Cartera1017[Fin Producción]),
IF(TRIM(D283)="Desarrollo",
   _xlfn.XLOOKUP(C283,Cartera1017[ID Mantenimiento],Cartera1017[Fin Desarrollo]),
IF(TRIM(D283)="Calidad",
   _xlfn.XLOOKUP(C283,Cartera1017[ID Mantenimiento],Cartera1017[Fin Calidad]),
IF(TRIM(D283)="Producción",
   _xlfn.XLOOKUP(C283,Cartera1017[ID Mantenimiento],Cartera1017[Fin Producción]),
""))))</f>
        <v>46043</v>
      </c>
    </row>
    <row r="284" spans="1:8" hidden="1" collapsed="1">
      <c r="A284" t="str">
        <f ca="1"/>
        <v>Operaciones</v>
      </c>
      <c r="B284" t="str">
        <f ca="1"/>
        <v>10. Paralizado</v>
      </c>
      <c r="C284" t="str">
        <f ca="1"/>
        <v>2025-M0199</v>
      </c>
      <c r="D284" t="str">
        <f ca="1"/>
        <v>2025-M0199</v>
      </c>
      <c r="E284" s="255">
        <f ca="1"/>
        <v>0.12</v>
      </c>
      <c r="F284" s="255" t="str">
        <f ca="1"/>
        <v/>
      </c>
      <c r="G284" s="356">
        <f ca="1">IF(TRIM(D284)=C284,
   _xlfn.XLOOKUP(C284, Cartera1017[ID Mantenimiento],Cartera1017[Comienzo Desarrollo]),
IF(TRIM(D284)="Desarrollo",
   _xlfn.XLOOKUP(C284,Cartera1017[ID Mantenimiento],Cartera1017[Comienzo Desarrollo]),
IF(TRIM(D284)="Calidad",
   _xlfn.XLOOKUP(C284,Cartera1017[ID Mantenimiento],Cartera1017[Comienzo Calidad]),
IF(TRIM(D284)="Producción",
   _xlfn.XLOOKUP(C284,Cartera1017[ID Mantenimiento],Cartera1017[Comienzo Producción]),
""))))</f>
        <v>0</v>
      </c>
      <c r="H284" s="160">
        <f ca="1">IF(TRIM(D284)=C284,
   _xlfn.XLOOKUP(C284, Cartera1017[ID Mantenimiento],Cartera1017[Fin Producción]),
IF(TRIM(D284)="Desarrollo",
   _xlfn.XLOOKUP(C284,Cartera1017[ID Mantenimiento],Cartera1017[Fin Desarrollo]),
IF(TRIM(D284)="Calidad",
   _xlfn.XLOOKUP(C284,Cartera1017[ID Mantenimiento],Cartera1017[Fin Calidad]),
IF(TRIM(D284)="Producción",
   _xlfn.XLOOKUP(C284,Cartera1017[ID Mantenimiento],Cartera1017[Fin Producción]),
""))))</f>
        <v>46356</v>
      </c>
    </row>
    <row r="285" spans="1:8" hidden="1" outlineLevel="1">
      <c r="A285" t="str">
        <f ca="1"/>
        <v>Operaciones</v>
      </c>
      <c r="B285" t="str">
        <f ca="1"/>
        <v>10. Paralizado</v>
      </c>
      <c r="C285" t="str">
        <f ca="1"/>
        <v>2025-M0199</v>
      </c>
      <c r="D285" t="str">
        <f ca="1"/>
        <v xml:space="preserve">   Desarrollo</v>
      </c>
      <c r="E285" s="255">
        <f ca="1"/>
        <v>0.12</v>
      </c>
      <c r="F285" s="255" t="str">
        <f ca="1"/>
        <v/>
      </c>
      <c r="G285" s="356">
        <f ca="1">IF(TRIM(D285)=C285,
   _xlfn.XLOOKUP(C285, Cartera1017[ID Mantenimiento],Cartera1017[Comienzo Desarrollo]),
IF(TRIM(D285)="Desarrollo",
   _xlfn.XLOOKUP(C285,Cartera1017[ID Mantenimiento],Cartera1017[Comienzo Desarrollo]),
IF(TRIM(D285)="Calidad",
   _xlfn.XLOOKUP(C285,Cartera1017[ID Mantenimiento],Cartera1017[Comienzo Calidad]),
IF(TRIM(D285)="Producción",
   _xlfn.XLOOKUP(C285,Cartera1017[ID Mantenimiento],Cartera1017[Comienzo Producción]),
""))))</f>
        <v>0</v>
      </c>
      <c r="H285" s="160">
        <f ca="1">IF(TRIM(D285)=C285,
   _xlfn.XLOOKUP(C285, Cartera1017[ID Mantenimiento],Cartera1017[Fin Producción]),
IF(TRIM(D285)="Desarrollo",
   _xlfn.XLOOKUP(C285,Cartera1017[ID Mantenimiento],Cartera1017[Fin Desarrollo]),
IF(TRIM(D285)="Calidad",
   _xlfn.XLOOKUP(C285,Cartera1017[ID Mantenimiento],Cartera1017[Fin Calidad]),
IF(TRIM(D285)="Producción",
   _xlfn.XLOOKUP(C285,Cartera1017[ID Mantenimiento],Cartera1017[Fin Producción]),
""))))</f>
        <v>0</v>
      </c>
    </row>
    <row r="286" spans="1:8" hidden="1" outlineLevel="1">
      <c r="A286" t="str">
        <f ca="1"/>
        <v>Operaciones</v>
      </c>
      <c r="B286" t="str">
        <f ca="1"/>
        <v>10. Paralizado</v>
      </c>
      <c r="C286" t="str">
        <f ca="1"/>
        <v>2025-M0199</v>
      </c>
      <c r="D286" t="str">
        <f ca="1"/>
        <v xml:space="preserve">   Calidad</v>
      </c>
      <c r="E286" s="255">
        <f ca="1"/>
        <v>0.12</v>
      </c>
      <c r="F286" s="255" t="str">
        <f ca="1"/>
        <v/>
      </c>
      <c r="G286" s="356">
        <f ca="1">IF(TRIM(D286)=C286,
   _xlfn.XLOOKUP(C286, Cartera1017[ID Mantenimiento],Cartera1017[Comienzo Desarrollo]),
IF(TRIM(D286)="Desarrollo",
   _xlfn.XLOOKUP(C286,Cartera1017[ID Mantenimiento],Cartera1017[Comienzo Desarrollo]),
IF(TRIM(D286)="Calidad",
   _xlfn.XLOOKUP(C286,Cartera1017[ID Mantenimiento],Cartera1017[Comienzo Calidad]),
IF(TRIM(D286)="Producción",
   _xlfn.XLOOKUP(C286,Cartera1017[ID Mantenimiento],Cartera1017[Comienzo Producción]),
""))))</f>
        <v>0</v>
      </c>
      <c r="H286" s="160">
        <f ca="1">IF(TRIM(D286)=C286,
   _xlfn.XLOOKUP(C286, Cartera1017[ID Mantenimiento],Cartera1017[Fin Producción]),
IF(TRIM(D286)="Desarrollo",
   _xlfn.XLOOKUP(C286,Cartera1017[ID Mantenimiento],Cartera1017[Fin Desarrollo]),
IF(TRIM(D286)="Calidad",
   _xlfn.XLOOKUP(C286,Cartera1017[ID Mantenimiento],Cartera1017[Fin Calidad]),
IF(TRIM(D286)="Producción",
   _xlfn.XLOOKUP(C286,Cartera1017[ID Mantenimiento],Cartera1017[Fin Producción]),
""))))</f>
        <v>0</v>
      </c>
    </row>
    <row r="287" spans="1:8" hidden="1" outlineLevel="1">
      <c r="A287" t="str">
        <f ca="1"/>
        <v>Operaciones</v>
      </c>
      <c r="B287" t="str">
        <f ca="1"/>
        <v>10. Paralizado</v>
      </c>
      <c r="C287" t="str">
        <f ca="1"/>
        <v>2025-M0199</v>
      </c>
      <c r="D287" t="str">
        <f ca="1"/>
        <v xml:space="preserve">   Producción</v>
      </c>
      <c r="E287" s="255">
        <f ca="1"/>
        <v>0.12</v>
      </c>
      <c r="F287" s="255" t="str">
        <f ca="1"/>
        <v/>
      </c>
      <c r="G287" s="356">
        <f ca="1">IF(TRIM(D287)=C287,
   _xlfn.XLOOKUP(C287, Cartera1017[ID Mantenimiento],Cartera1017[Comienzo Desarrollo]),
IF(TRIM(D287)="Desarrollo",
   _xlfn.XLOOKUP(C287,Cartera1017[ID Mantenimiento],Cartera1017[Comienzo Desarrollo]),
IF(TRIM(D287)="Calidad",
   _xlfn.XLOOKUP(C287,Cartera1017[ID Mantenimiento],Cartera1017[Comienzo Calidad]),
IF(TRIM(D287)="Producción",
   _xlfn.XLOOKUP(C287,Cartera1017[ID Mantenimiento],Cartera1017[Comienzo Producción]),
""))))</f>
        <v>0</v>
      </c>
      <c r="H287" s="160">
        <f ca="1">IF(TRIM(D287)=C287,
   _xlfn.XLOOKUP(C287, Cartera1017[ID Mantenimiento],Cartera1017[Fin Producción]),
IF(TRIM(D287)="Desarrollo",
   _xlfn.XLOOKUP(C287,Cartera1017[ID Mantenimiento],Cartera1017[Fin Desarrollo]),
IF(TRIM(D287)="Calidad",
   _xlfn.XLOOKUP(C287,Cartera1017[ID Mantenimiento],Cartera1017[Fin Calidad]),
IF(TRIM(D287)="Producción",
   _xlfn.XLOOKUP(C287,Cartera1017[ID Mantenimiento],Cartera1017[Fin Producción]),
""))))</f>
        <v>46356</v>
      </c>
    </row>
    <row r="288" spans="1:8" hidden="1" collapsed="1">
      <c r="A288" t="str">
        <f ca="1"/>
        <v>Riesgos</v>
      </c>
      <c r="B288" t="str">
        <f ca="1"/>
        <v>03. En Desarrollo</v>
      </c>
      <c r="C288" t="str">
        <f ca="1"/>
        <v>2025-M0306</v>
      </c>
      <c r="D288" t="str">
        <f ca="1"/>
        <v>2025-M0306</v>
      </c>
      <c r="E288" s="255">
        <f ca="1"/>
        <v>0.15</v>
      </c>
      <c r="F288" s="255">
        <f ca="1"/>
        <v>0</v>
      </c>
      <c r="G288" s="356">
        <f ca="1">IF(TRIM(D288)=C288,
   _xlfn.XLOOKUP(C288, Cartera1017[ID Mantenimiento],Cartera1017[Comienzo Desarrollo]),
IF(TRIM(D288)="Desarrollo",
   _xlfn.XLOOKUP(C288,Cartera1017[ID Mantenimiento],Cartera1017[Comienzo Desarrollo]),
IF(TRIM(D288)="Calidad",
   _xlfn.XLOOKUP(C288,Cartera1017[ID Mantenimiento],Cartera1017[Comienzo Calidad]),
IF(TRIM(D288)="Producción",
   _xlfn.XLOOKUP(C288,Cartera1017[ID Mantenimiento],Cartera1017[Comienzo Producción]),
""))))</f>
        <v>46266</v>
      </c>
      <c r="H288" s="160">
        <f ca="1">IF(TRIM(D288)=C288,
   _xlfn.XLOOKUP(C288, Cartera1017[ID Mantenimiento],Cartera1017[Fin Producción]),
IF(TRIM(D288)="Desarrollo",
   _xlfn.XLOOKUP(C288,Cartera1017[ID Mantenimiento],Cartera1017[Fin Desarrollo]),
IF(TRIM(D288)="Calidad",
   _xlfn.XLOOKUP(C288,Cartera1017[ID Mantenimiento],Cartera1017[Fin Calidad]),
IF(TRIM(D288)="Producción",
   _xlfn.XLOOKUP(C288,Cartera1017[ID Mantenimiento],Cartera1017[Fin Producción]),
""))))</f>
        <v>46454</v>
      </c>
    </row>
    <row r="289" spans="1:8" hidden="1" outlineLevel="1">
      <c r="A289" t="str">
        <f ca="1"/>
        <v>Riesgos</v>
      </c>
      <c r="B289" t="str">
        <f ca="1"/>
        <v>03. En Desarrollo</v>
      </c>
      <c r="C289" t="str">
        <f ca="1"/>
        <v>2025-M0306</v>
      </c>
      <c r="D289" t="str">
        <f ca="1"/>
        <v xml:space="preserve">   Desarrollo</v>
      </c>
      <c r="E289" s="255">
        <f ca="1"/>
        <v>0.15</v>
      </c>
      <c r="F289" s="255">
        <f ca="1"/>
        <v>0</v>
      </c>
      <c r="G289" s="356">
        <f ca="1">IF(TRIM(D289)=C289,
   _xlfn.XLOOKUP(C289, Cartera1017[ID Mantenimiento],Cartera1017[Comienzo Desarrollo]),
IF(TRIM(D289)="Desarrollo",
   _xlfn.XLOOKUP(C289,Cartera1017[ID Mantenimiento],Cartera1017[Comienzo Desarrollo]),
IF(TRIM(D289)="Calidad",
   _xlfn.XLOOKUP(C289,Cartera1017[ID Mantenimiento],Cartera1017[Comienzo Calidad]),
IF(TRIM(D289)="Producción",
   _xlfn.XLOOKUP(C289,Cartera1017[ID Mantenimiento],Cartera1017[Comienzo Producción]),
""))))</f>
        <v>46266</v>
      </c>
      <c r="H289" s="160">
        <f ca="1">IF(TRIM(D289)=C289,
   _xlfn.XLOOKUP(C289, Cartera1017[ID Mantenimiento],Cartera1017[Fin Producción]),
IF(TRIM(D289)="Desarrollo",
   _xlfn.XLOOKUP(C289,Cartera1017[ID Mantenimiento],Cartera1017[Fin Desarrollo]),
IF(TRIM(D289)="Calidad",
   _xlfn.XLOOKUP(C289,Cartera1017[ID Mantenimiento],Cartera1017[Fin Calidad]),
IF(TRIM(D289)="Producción",
   _xlfn.XLOOKUP(C289,Cartera1017[ID Mantenimiento],Cartera1017[Fin Producción]),
""))))</f>
        <v>46310</v>
      </c>
    </row>
    <row r="290" spans="1:8" hidden="1" outlineLevel="1">
      <c r="A290" t="str">
        <f ca="1"/>
        <v>Riesgos</v>
      </c>
      <c r="B290" t="str">
        <f ca="1"/>
        <v>03. En Desarrollo</v>
      </c>
      <c r="C290" t="str">
        <f ca="1"/>
        <v>2025-M0306</v>
      </c>
      <c r="D290" t="str">
        <f ca="1"/>
        <v xml:space="preserve">   Calidad</v>
      </c>
      <c r="E290" s="255">
        <f ca="1"/>
        <v>0.15</v>
      </c>
      <c r="F290" s="255">
        <f ca="1"/>
        <v>0</v>
      </c>
      <c r="G290" s="356">
        <f ca="1">IF(TRIM(D290)=C290,
   _xlfn.XLOOKUP(C290, Cartera1017[ID Mantenimiento],Cartera1017[Comienzo Desarrollo]),
IF(TRIM(D290)="Desarrollo",
   _xlfn.XLOOKUP(C290,Cartera1017[ID Mantenimiento],Cartera1017[Comienzo Desarrollo]),
IF(TRIM(D290)="Calidad",
   _xlfn.XLOOKUP(C290,Cartera1017[ID Mantenimiento],Cartera1017[Comienzo Calidad]),
IF(TRIM(D290)="Producción",
   _xlfn.XLOOKUP(C290,Cartera1017[ID Mantenimiento],Cartera1017[Comienzo Producción]),
""))))</f>
        <v>46310</v>
      </c>
      <c r="H290" s="160">
        <f ca="1">IF(TRIM(D290)=C290,
   _xlfn.XLOOKUP(C290, Cartera1017[ID Mantenimiento],Cartera1017[Fin Producción]),
IF(TRIM(D290)="Desarrollo",
   _xlfn.XLOOKUP(C290,Cartera1017[ID Mantenimiento],Cartera1017[Fin Desarrollo]),
IF(TRIM(D290)="Calidad",
   _xlfn.XLOOKUP(C290,Cartera1017[ID Mantenimiento],Cartera1017[Fin Calidad]),
IF(TRIM(D290)="Producción",
   _xlfn.XLOOKUP(C290,Cartera1017[ID Mantenimiento],Cartera1017[Fin Producción]),
""))))</f>
        <v>46343</v>
      </c>
    </row>
    <row r="291" spans="1:8" hidden="1" outlineLevel="1">
      <c r="A291" t="str">
        <f ca="1"/>
        <v>Riesgos</v>
      </c>
      <c r="B291" t="str">
        <f ca="1"/>
        <v>03. En Desarrollo</v>
      </c>
      <c r="C291" t="str">
        <f ca="1"/>
        <v>2025-M0306</v>
      </c>
      <c r="D291" t="str">
        <f ca="1"/>
        <v xml:space="preserve">   Producción</v>
      </c>
      <c r="E291" s="255">
        <f ca="1"/>
        <v>0.15</v>
      </c>
      <c r="F291" s="255">
        <f ca="1"/>
        <v>0</v>
      </c>
      <c r="G291" s="356">
        <f ca="1">IF(TRIM(D291)=C291,
   _xlfn.XLOOKUP(C291, Cartera1017[ID Mantenimiento],Cartera1017[Comienzo Desarrollo]),
IF(TRIM(D291)="Desarrollo",
   _xlfn.XLOOKUP(C291,Cartera1017[ID Mantenimiento],Cartera1017[Comienzo Desarrollo]),
IF(TRIM(D291)="Calidad",
   _xlfn.XLOOKUP(C291,Cartera1017[ID Mantenimiento],Cartera1017[Comienzo Calidad]),
IF(TRIM(D291)="Producción",
   _xlfn.XLOOKUP(C291,Cartera1017[ID Mantenimiento],Cartera1017[Comienzo Producción]),
""))))</f>
        <v>46343</v>
      </c>
      <c r="H291" s="160">
        <f ca="1">IF(TRIM(D291)=C291,
   _xlfn.XLOOKUP(C291, Cartera1017[ID Mantenimiento],Cartera1017[Fin Producción]),
IF(TRIM(D291)="Desarrollo",
   _xlfn.XLOOKUP(C291,Cartera1017[ID Mantenimiento],Cartera1017[Fin Desarrollo]),
IF(TRIM(D291)="Calidad",
   _xlfn.XLOOKUP(C291,Cartera1017[ID Mantenimiento],Cartera1017[Fin Calidad]),
IF(TRIM(D291)="Producción",
   _xlfn.XLOOKUP(C291,Cartera1017[ID Mantenimiento],Cartera1017[Fin Producción]),
""))))</f>
        <v>46454</v>
      </c>
    </row>
    <row r="292" spans="1:8" hidden="1" collapsed="1">
      <c r="A292" t="str">
        <f ca="1"/>
        <v>Recursos Humanos y Cultura</v>
      </c>
      <c r="B292" t="str">
        <f ca="1"/>
        <v>08. Producción Finalizada</v>
      </c>
      <c r="C292" t="str">
        <f ca="1"/>
        <v>2025-M0180</v>
      </c>
      <c r="D292" t="str">
        <f ca="1"/>
        <v>2025-M0180</v>
      </c>
      <c r="E292" s="255">
        <f ca="1"/>
        <v>1</v>
      </c>
      <c r="F292" s="255">
        <f ca="1"/>
        <v>1</v>
      </c>
      <c r="G292" s="356">
        <f ca="1">IF(TRIM(D292)=C292,
   _xlfn.XLOOKUP(C292, Cartera1017[ID Mantenimiento],Cartera1017[Comienzo Desarrollo]),
IF(TRIM(D292)="Desarrollo",
   _xlfn.XLOOKUP(C292,Cartera1017[ID Mantenimiento],Cartera1017[Comienzo Desarrollo]),
IF(TRIM(D292)="Calidad",
   _xlfn.XLOOKUP(C292,Cartera1017[ID Mantenimiento],Cartera1017[Comienzo Calidad]),
IF(TRIM(D292)="Producción",
   _xlfn.XLOOKUP(C292,Cartera1017[ID Mantenimiento],Cartera1017[Comienzo Producción]),
""))))</f>
        <v>45943</v>
      </c>
      <c r="H292" s="160">
        <f ca="1">IF(TRIM(D292)=C292,
   _xlfn.XLOOKUP(C292, Cartera1017[ID Mantenimiento],Cartera1017[Fin Producción]),
IF(TRIM(D292)="Desarrollo",
   _xlfn.XLOOKUP(C292,Cartera1017[ID Mantenimiento],Cartera1017[Fin Desarrollo]),
IF(TRIM(D292)="Calidad",
   _xlfn.XLOOKUP(C292,Cartera1017[ID Mantenimiento],Cartera1017[Fin Calidad]),
IF(TRIM(D292)="Producción",
   _xlfn.XLOOKUP(C292,Cartera1017[ID Mantenimiento],Cartera1017[Fin Producción]),
""))))</f>
        <v>46052</v>
      </c>
    </row>
    <row r="293" spans="1:8" hidden="1" outlineLevel="1">
      <c r="A293" t="str">
        <f ca="1"/>
        <v>Recursos Humanos y Cultura</v>
      </c>
      <c r="B293" t="str">
        <f ca="1"/>
        <v>08. Producción Finalizada</v>
      </c>
      <c r="C293" t="str">
        <f ca="1"/>
        <v>2025-M0180</v>
      </c>
      <c r="D293" t="str">
        <f ca="1"/>
        <v xml:space="preserve">   Desarrollo</v>
      </c>
      <c r="E293" s="255">
        <f ca="1"/>
        <v>1</v>
      </c>
      <c r="F293" s="255">
        <f ca="1"/>
        <v>1</v>
      </c>
      <c r="G293" s="356">
        <f ca="1">IF(TRIM(D293)=C293,
   _xlfn.XLOOKUP(C293, Cartera1017[ID Mantenimiento],Cartera1017[Comienzo Desarrollo]),
IF(TRIM(D293)="Desarrollo",
   _xlfn.XLOOKUP(C293,Cartera1017[ID Mantenimiento],Cartera1017[Comienzo Desarrollo]),
IF(TRIM(D293)="Calidad",
   _xlfn.XLOOKUP(C293,Cartera1017[ID Mantenimiento],Cartera1017[Comienzo Calidad]),
IF(TRIM(D293)="Producción",
   _xlfn.XLOOKUP(C293,Cartera1017[ID Mantenimiento],Cartera1017[Comienzo Producción]),
""))))</f>
        <v>45943</v>
      </c>
      <c r="H293" s="160">
        <v>46112</v>
      </c>
    </row>
    <row r="294" spans="1:8" hidden="1" outlineLevel="1">
      <c r="A294" t="str">
        <f ca="1"/>
        <v>Recursos Humanos y Cultura</v>
      </c>
      <c r="B294" t="str">
        <f ca="1"/>
        <v>08. Producción Finalizada</v>
      </c>
      <c r="C294" t="str">
        <f ca="1"/>
        <v>2025-M0180</v>
      </c>
      <c r="D294" t="str">
        <f ca="1"/>
        <v xml:space="preserve">   Calidad</v>
      </c>
      <c r="E294" s="255">
        <f ca="1"/>
        <v>1</v>
      </c>
      <c r="F294" s="255">
        <f ca="1"/>
        <v>1</v>
      </c>
      <c r="G294" s="356">
        <v>46127</v>
      </c>
      <c r="H294" s="356">
        <v>46132</v>
      </c>
    </row>
    <row r="295" spans="1:8" hidden="1" outlineLevel="1">
      <c r="A295" t="str">
        <f ca="1"/>
        <v>Recursos Humanos y Cultura</v>
      </c>
      <c r="B295" t="str">
        <f ca="1"/>
        <v>08. Producción Finalizada</v>
      </c>
      <c r="C295" t="str">
        <f ca="1"/>
        <v>2025-M0180</v>
      </c>
      <c r="D295" t="str">
        <f ca="1"/>
        <v xml:space="preserve">   Producción</v>
      </c>
      <c r="E295" s="255">
        <f ca="1"/>
        <v>1</v>
      </c>
      <c r="F295" s="255">
        <f ca="1"/>
        <v>1</v>
      </c>
      <c r="G295" s="356">
        <v>46132</v>
      </c>
      <c r="H295" s="160">
        <f ca="1">IF(TRIM(D295)=C295,
   _xlfn.XLOOKUP(C295, Cartera1017[ID Mantenimiento],Cartera1017[Fin Producción]),
IF(TRIM(D295)="Desarrollo",
   _xlfn.XLOOKUP(C295,Cartera1017[ID Mantenimiento],Cartera1017[Fin Desarrollo]),
IF(TRIM(D295)="Calidad",
   _xlfn.XLOOKUP(C295,Cartera1017[ID Mantenimiento],Cartera1017[Fin Calidad]),
IF(TRIM(D295)="Producción",
   _xlfn.XLOOKUP(C295,Cartera1017[ID Mantenimiento],Cartera1017[Fin Producción]),
""))))</f>
        <v>46052</v>
      </c>
    </row>
    <row r="296" spans="1:8" hidden="1" collapsed="1">
      <c r="A296" t="str">
        <f ca="1"/>
        <v>Recursos Humanos y Cultura</v>
      </c>
      <c r="B296" t="str">
        <f ca="1"/>
        <v>08. Producción Finalizada</v>
      </c>
      <c r="C296" t="str">
        <f ca="1"/>
        <v>2025-M0203</v>
      </c>
      <c r="D296" t="str">
        <f ca="1"/>
        <v>2025-M0203</v>
      </c>
      <c r="E296" s="255">
        <f ca="1"/>
        <v>1</v>
      </c>
      <c r="F296" s="255">
        <f ca="1"/>
        <v>1</v>
      </c>
      <c r="G296" s="356">
        <f ca="1">IF(TRIM(D296)=C296,
   _xlfn.XLOOKUP(C296, Cartera1017[ID Mantenimiento],Cartera1017[Comienzo Desarrollo]),
IF(TRIM(D296)="Desarrollo",
   _xlfn.XLOOKUP(C296,Cartera1017[ID Mantenimiento],Cartera1017[Comienzo Desarrollo]),
IF(TRIM(D296)="Calidad",
   _xlfn.XLOOKUP(C296,Cartera1017[ID Mantenimiento],Cartera1017[Comienzo Calidad]),
IF(TRIM(D296)="Producción",
   _xlfn.XLOOKUP(C296,Cartera1017[ID Mantenimiento],Cartera1017[Comienzo Producción]),
""))))</f>
        <v>45943</v>
      </c>
      <c r="H296" s="160">
        <f ca="1">IF(TRIM(D296)=C296,
   _xlfn.XLOOKUP(C296, Cartera1017[ID Mantenimiento],Cartera1017[Fin Producción]),
IF(TRIM(D296)="Desarrollo",
   _xlfn.XLOOKUP(C296,Cartera1017[ID Mantenimiento],Cartera1017[Fin Desarrollo]),
IF(TRIM(D296)="Calidad",
   _xlfn.XLOOKUP(C296,Cartera1017[ID Mantenimiento],Cartera1017[Fin Calidad]),
IF(TRIM(D296)="Producción",
   _xlfn.XLOOKUP(C296,Cartera1017[ID Mantenimiento],Cartera1017[Fin Producción]),
""))))</f>
        <v>46108</v>
      </c>
    </row>
    <row r="297" spans="1:8" hidden="1" outlineLevel="1">
      <c r="A297" t="str">
        <f ca="1"/>
        <v>Recursos Humanos y Cultura</v>
      </c>
      <c r="B297" t="str">
        <f ca="1"/>
        <v>08. Producción Finalizada</v>
      </c>
      <c r="C297" t="str">
        <f ca="1"/>
        <v>2025-M0203</v>
      </c>
      <c r="D297" t="str">
        <f ca="1"/>
        <v xml:space="preserve">   Desarrollo</v>
      </c>
      <c r="E297" s="255">
        <f ca="1"/>
        <v>1</v>
      </c>
      <c r="F297" s="255">
        <f ca="1"/>
        <v>1</v>
      </c>
      <c r="G297" s="356">
        <f ca="1">IF(TRIM(D297)=C297,
   _xlfn.XLOOKUP(C297, Cartera1017[ID Mantenimiento],Cartera1017[Comienzo Desarrollo]),
IF(TRIM(D297)="Desarrollo",
   _xlfn.XLOOKUP(C297,Cartera1017[ID Mantenimiento],Cartera1017[Comienzo Desarrollo]),
IF(TRIM(D297)="Calidad",
   _xlfn.XLOOKUP(C297,Cartera1017[ID Mantenimiento],Cartera1017[Comienzo Calidad]),
IF(TRIM(D297)="Producción",
   _xlfn.XLOOKUP(C297,Cartera1017[ID Mantenimiento],Cartera1017[Comienzo Producción]),
""))))</f>
        <v>45943</v>
      </c>
      <c r="H297" s="160">
        <f ca="1">IF(TRIM(D297)=C297,
   _xlfn.XLOOKUP(C297, Cartera1017[ID Mantenimiento],Cartera1017[Fin Producción]),
IF(TRIM(D297)="Desarrollo",
   _xlfn.XLOOKUP(C297,Cartera1017[ID Mantenimiento],Cartera1017[Fin Desarrollo]),
IF(TRIM(D297)="Calidad",
   _xlfn.XLOOKUP(C297,Cartera1017[ID Mantenimiento],Cartera1017[Fin Calidad]),
IF(TRIM(D297)="Producción",
   _xlfn.XLOOKUP(C297,Cartera1017[ID Mantenimiento],Cartera1017[Fin Producción]),
""))))</f>
        <v>45945</v>
      </c>
    </row>
    <row r="298" spans="1:8" hidden="1" outlineLevel="1">
      <c r="A298" t="str">
        <f ca="1"/>
        <v>Recursos Humanos y Cultura</v>
      </c>
      <c r="B298" t="str">
        <f ca="1"/>
        <v>08. Producción Finalizada</v>
      </c>
      <c r="C298" t="str">
        <f ca="1"/>
        <v>2025-M0203</v>
      </c>
      <c r="D298" t="str">
        <f ca="1"/>
        <v xml:space="preserve">   Calidad</v>
      </c>
      <c r="E298" s="255">
        <f ca="1"/>
        <v>1</v>
      </c>
      <c r="F298" s="255">
        <f ca="1"/>
        <v>1</v>
      </c>
      <c r="G298" s="356">
        <f ca="1">IF(TRIM(D298)=C298,
   _xlfn.XLOOKUP(C298, Cartera1017[ID Mantenimiento],Cartera1017[Comienzo Desarrollo]),
IF(TRIM(D298)="Desarrollo",
   _xlfn.XLOOKUP(C298,Cartera1017[ID Mantenimiento],Cartera1017[Comienzo Desarrollo]),
IF(TRIM(D298)="Calidad",
   _xlfn.XLOOKUP(C298,Cartera1017[ID Mantenimiento],Cartera1017[Comienzo Calidad]),
IF(TRIM(D298)="Producción",
   _xlfn.XLOOKUP(C298,Cartera1017[ID Mantenimiento],Cartera1017[Comienzo Producción]),
""))))</f>
        <v>45953</v>
      </c>
      <c r="H298" s="160">
        <f ca="1">IF(TRIM(D298)=C298,
   _xlfn.XLOOKUP(C298, Cartera1017[ID Mantenimiento],Cartera1017[Fin Producción]),
IF(TRIM(D298)="Desarrollo",
   _xlfn.XLOOKUP(C298,Cartera1017[ID Mantenimiento],Cartera1017[Fin Desarrollo]),
IF(TRIM(D298)="Calidad",
   _xlfn.XLOOKUP(C298,Cartera1017[ID Mantenimiento],Cartera1017[Fin Calidad]),
IF(TRIM(D298)="Producción",
   _xlfn.XLOOKUP(C298,Cartera1017[ID Mantenimiento],Cartera1017[Fin Producción]),
""))))</f>
        <v>45980</v>
      </c>
    </row>
    <row r="299" spans="1:8" hidden="1" outlineLevel="1">
      <c r="A299" t="str">
        <f ca="1"/>
        <v>Recursos Humanos y Cultura</v>
      </c>
      <c r="B299" t="str">
        <f ca="1"/>
        <v>08. Producción Finalizada</v>
      </c>
      <c r="C299" t="str">
        <f ca="1"/>
        <v>2025-M0203</v>
      </c>
      <c r="D299" t="str">
        <f ca="1"/>
        <v xml:space="preserve">   Producción</v>
      </c>
      <c r="E299" s="255">
        <f ca="1"/>
        <v>1</v>
      </c>
      <c r="F299" s="255">
        <f ca="1"/>
        <v>1</v>
      </c>
      <c r="G299" s="356">
        <f ca="1">IF(TRIM(D299)=C299,
   _xlfn.XLOOKUP(C299, Cartera1017[ID Mantenimiento],Cartera1017[Comienzo Desarrollo]),
IF(TRIM(D299)="Desarrollo",
   _xlfn.XLOOKUP(C299,Cartera1017[ID Mantenimiento],Cartera1017[Comienzo Desarrollo]),
IF(TRIM(D299)="Calidad",
   _xlfn.XLOOKUP(C299,Cartera1017[ID Mantenimiento],Cartera1017[Comienzo Calidad]),
IF(TRIM(D299)="Producción",
   _xlfn.XLOOKUP(C299,Cartera1017[ID Mantenimiento],Cartera1017[Comienzo Producción]),
""))))</f>
        <v>46051</v>
      </c>
      <c r="H299" s="160">
        <f ca="1">IF(TRIM(D299)=C299,
   _xlfn.XLOOKUP(C299, Cartera1017[ID Mantenimiento],Cartera1017[Fin Producción]),
IF(TRIM(D299)="Desarrollo",
   _xlfn.XLOOKUP(C299,Cartera1017[ID Mantenimiento],Cartera1017[Fin Desarrollo]),
IF(TRIM(D299)="Calidad",
   _xlfn.XLOOKUP(C299,Cartera1017[ID Mantenimiento],Cartera1017[Fin Calidad]),
IF(TRIM(D299)="Producción",
   _xlfn.XLOOKUP(C299,Cartera1017[ID Mantenimiento],Cartera1017[Fin Producción]),
""))))</f>
        <v>46108</v>
      </c>
    </row>
    <row r="300" spans="1:8" hidden="1" collapsed="1">
      <c r="A300" t="str">
        <f ca="1"/>
        <v>Recursos Humanos y Cultura</v>
      </c>
      <c r="B300" t="str">
        <f ca="1"/>
        <v>08. Producción Finalizada</v>
      </c>
      <c r="C300" t="str">
        <f ca="1"/>
        <v>2025-M0204</v>
      </c>
      <c r="D300" t="str">
        <f ca="1"/>
        <v>2025-M0204</v>
      </c>
      <c r="E300" s="255">
        <f ca="1"/>
        <v>1</v>
      </c>
      <c r="F300" s="255">
        <f ca="1"/>
        <v>1</v>
      </c>
      <c r="G300" s="356">
        <f ca="1">IF(TRIM(D300)=C300,
   _xlfn.XLOOKUP(C300, Cartera1017[ID Mantenimiento],Cartera1017[Comienzo Desarrollo]),
IF(TRIM(D300)="Desarrollo",
   _xlfn.XLOOKUP(C300,Cartera1017[ID Mantenimiento],Cartera1017[Comienzo Desarrollo]),
IF(TRIM(D300)="Calidad",
   _xlfn.XLOOKUP(C300,Cartera1017[ID Mantenimiento],Cartera1017[Comienzo Calidad]),
IF(TRIM(D300)="Producción",
   _xlfn.XLOOKUP(C300,Cartera1017[ID Mantenimiento],Cartera1017[Comienzo Producción]),
""))))</f>
        <v>45943</v>
      </c>
      <c r="H300" s="160">
        <f ca="1">IF(TRIM(D300)=C300,
   _xlfn.XLOOKUP(C300, Cartera1017[ID Mantenimiento],Cartera1017[Fin Producción]),
IF(TRIM(D300)="Desarrollo",
   _xlfn.XLOOKUP(C300,Cartera1017[ID Mantenimiento],Cartera1017[Fin Desarrollo]),
IF(TRIM(D300)="Calidad",
   _xlfn.XLOOKUP(C300,Cartera1017[ID Mantenimiento],Cartera1017[Fin Calidad]),
IF(TRIM(D300)="Producción",
   _xlfn.XLOOKUP(C300,Cartera1017[ID Mantenimiento],Cartera1017[Fin Producción]),
""))))</f>
        <v>46051</v>
      </c>
    </row>
    <row r="301" spans="1:8" hidden="1" outlineLevel="1">
      <c r="A301" t="str">
        <f ca="1"/>
        <v>Recursos Humanos y Cultura</v>
      </c>
      <c r="B301" t="str">
        <f ca="1"/>
        <v>08. Producción Finalizada</v>
      </c>
      <c r="C301" t="str">
        <f ca="1"/>
        <v>2025-M0204</v>
      </c>
      <c r="D301" t="str">
        <f ca="1"/>
        <v xml:space="preserve">   Desarrollo</v>
      </c>
      <c r="E301" s="255">
        <f ca="1"/>
        <v>1</v>
      </c>
      <c r="F301" s="255">
        <f ca="1"/>
        <v>1</v>
      </c>
      <c r="G301" s="356">
        <f ca="1">IF(TRIM(D301)=C301,
   _xlfn.XLOOKUP(C301, Cartera1017[ID Mantenimiento],Cartera1017[Comienzo Desarrollo]),
IF(TRIM(D301)="Desarrollo",
   _xlfn.XLOOKUP(C301,Cartera1017[ID Mantenimiento],Cartera1017[Comienzo Desarrollo]),
IF(TRIM(D301)="Calidad",
   _xlfn.XLOOKUP(C301,Cartera1017[ID Mantenimiento],Cartera1017[Comienzo Calidad]),
IF(TRIM(D301)="Producción",
   _xlfn.XLOOKUP(C301,Cartera1017[ID Mantenimiento],Cartera1017[Comienzo Producción]),
""))))</f>
        <v>45943</v>
      </c>
      <c r="H301" s="160">
        <f ca="1">IF(TRIM(D301)=C301,
   _xlfn.XLOOKUP(C301, Cartera1017[ID Mantenimiento],Cartera1017[Fin Producción]),
IF(TRIM(D301)="Desarrollo",
   _xlfn.XLOOKUP(C301,Cartera1017[ID Mantenimiento],Cartera1017[Fin Desarrollo]),
IF(TRIM(D301)="Calidad",
   _xlfn.XLOOKUP(C301,Cartera1017[ID Mantenimiento],Cartera1017[Fin Calidad]),
IF(TRIM(D301)="Producción",
   _xlfn.XLOOKUP(C301,Cartera1017[ID Mantenimiento],Cartera1017[Fin Producción]),
""))))</f>
        <v>45954</v>
      </c>
    </row>
    <row r="302" spans="1:8" hidden="1" outlineLevel="1">
      <c r="A302" t="str">
        <f ca="1"/>
        <v>Recursos Humanos y Cultura</v>
      </c>
      <c r="B302" t="str">
        <f ca="1"/>
        <v>08. Producción Finalizada</v>
      </c>
      <c r="C302" t="str">
        <f ca="1"/>
        <v>2025-M0204</v>
      </c>
      <c r="D302" t="str">
        <f ca="1"/>
        <v xml:space="preserve">   Calidad</v>
      </c>
      <c r="E302" s="255">
        <f ca="1"/>
        <v>1</v>
      </c>
      <c r="F302" s="255">
        <f ca="1"/>
        <v>1</v>
      </c>
      <c r="G302" s="356">
        <f ca="1">IF(TRIM(D302)=C302,
   _xlfn.XLOOKUP(C302, Cartera1017[ID Mantenimiento],Cartera1017[Comienzo Desarrollo]),
IF(TRIM(D302)="Desarrollo",
   _xlfn.XLOOKUP(C302,Cartera1017[ID Mantenimiento],Cartera1017[Comienzo Desarrollo]),
IF(TRIM(D302)="Calidad",
   _xlfn.XLOOKUP(C302,Cartera1017[ID Mantenimiento],Cartera1017[Comienzo Calidad]),
IF(TRIM(D302)="Producción",
   _xlfn.XLOOKUP(C302,Cartera1017[ID Mantenimiento],Cartera1017[Comienzo Producción]),
""))))</f>
        <v>45957</v>
      </c>
      <c r="H302" s="160">
        <f ca="1">IF(TRIM(D302)=C302,
   _xlfn.XLOOKUP(C302, Cartera1017[ID Mantenimiento],Cartera1017[Fin Producción]),
IF(TRIM(D302)="Desarrollo",
   _xlfn.XLOOKUP(C302,Cartera1017[ID Mantenimiento],Cartera1017[Fin Desarrollo]),
IF(TRIM(D302)="Calidad",
   _xlfn.XLOOKUP(C302,Cartera1017[ID Mantenimiento],Cartera1017[Fin Calidad]),
IF(TRIM(D302)="Producción",
   _xlfn.XLOOKUP(C302,Cartera1017[ID Mantenimiento],Cartera1017[Fin Producción]),
""))))</f>
        <v>46007</v>
      </c>
    </row>
    <row r="303" spans="1:8" hidden="1" outlineLevel="1">
      <c r="A303" t="str">
        <f ca="1"/>
        <v>Recursos Humanos y Cultura</v>
      </c>
      <c r="B303" t="str">
        <f ca="1"/>
        <v>08. Producción Finalizada</v>
      </c>
      <c r="C303" t="str">
        <f ca="1"/>
        <v>2025-M0204</v>
      </c>
      <c r="D303" t="str">
        <f ca="1"/>
        <v xml:space="preserve">   Producción</v>
      </c>
      <c r="E303" s="255">
        <f ca="1"/>
        <v>1</v>
      </c>
      <c r="F303" s="255">
        <f ca="1"/>
        <v>1</v>
      </c>
      <c r="G303" s="356">
        <f ca="1">IF(TRIM(D303)=C303,
   _xlfn.XLOOKUP(C303, Cartera1017[ID Mantenimiento],Cartera1017[Comienzo Desarrollo]),
IF(TRIM(D303)="Desarrollo",
   _xlfn.XLOOKUP(C303,Cartera1017[ID Mantenimiento],Cartera1017[Comienzo Desarrollo]),
IF(TRIM(D303)="Calidad",
   _xlfn.XLOOKUP(C303,Cartera1017[ID Mantenimiento],Cartera1017[Comienzo Calidad]),
IF(TRIM(D303)="Producción",
   _xlfn.XLOOKUP(C303,Cartera1017[ID Mantenimiento],Cartera1017[Comienzo Producción]),
""))))</f>
        <v>46050</v>
      </c>
      <c r="H303" s="160">
        <f ca="1">IF(TRIM(D303)=C303,
   _xlfn.XLOOKUP(C303, Cartera1017[ID Mantenimiento],Cartera1017[Fin Producción]),
IF(TRIM(D303)="Desarrollo",
   _xlfn.XLOOKUP(C303,Cartera1017[ID Mantenimiento],Cartera1017[Fin Desarrollo]),
IF(TRIM(D303)="Calidad",
   _xlfn.XLOOKUP(C303,Cartera1017[ID Mantenimiento],Cartera1017[Fin Calidad]),
IF(TRIM(D303)="Producción",
   _xlfn.XLOOKUP(C303,Cartera1017[ID Mantenimiento],Cartera1017[Fin Producción]),
""))))</f>
        <v>46051</v>
      </c>
    </row>
    <row r="304" spans="1:8" hidden="1" collapsed="1">
      <c r="A304" t="str">
        <f ca="1"/>
        <v>Recursos Humanos y Cultura</v>
      </c>
      <c r="B304" t="str">
        <f ca="1"/>
        <v>08. Producción Finalizada</v>
      </c>
      <c r="C304" t="str">
        <f ca="1"/>
        <v>2025-M0206</v>
      </c>
      <c r="D304" t="str">
        <f ca="1"/>
        <v>2025-M0206</v>
      </c>
      <c r="E304" s="255">
        <f ca="1"/>
        <v>1</v>
      </c>
      <c r="F304" s="255">
        <f ca="1"/>
        <v>1</v>
      </c>
      <c r="G304" s="356">
        <f ca="1">IF(TRIM(D304)=C304,
   _xlfn.XLOOKUP(C304, Cartera1017[ID Mantenimiento],Cartera1017[Comienzo Desarrollo]),
IF(TRIM(D304)="Desarrollo",
   _xlfn.XLOOKUP(C304,Cartera1017[ID Mantenimiento],Cartera1017[Comienzo Desarrollo]),
IF(TRIM(D304)="Calidad",
   _xlfn.XLOOKUP(C304,Cartera1017[ID Mantenimiento],Cartera1017[Comienzo Calidad]),
IF(TRIM(D304)="Producción",
   _xlfn.XLOOKUP(C304,Cartera1017[ID Mantenimiento],Cartera1017[Comienzo Producción]),
""))))</f>
        <v>45804</v>
      </c>
      <c r="H304" s="160">
        <f ca="1">IF(TRIM(D304)=C304,
   _xlfn.XLOOKUP(C304, Cartera1017[ID Mantenimiento],Cartera1017[Fin Producción]),
IF(TRIM(D304)="Desarrollo",
   _xlfn.XLOOKUP(C304,Cartera1017[ID Mantenimiento],Cartera1017[Fin Desarrollo]),
IF(TRIM(D304)="Calidad",
   _xlfn.XLOOKUP(C304,Cartera1017[ID Mantenimiento],Cartera1017[Fin Calidad]),
IF(TRIM(D304)="Producción",
   _xlfn.XLOOKUP(C304,Cartera1017[ID Mantenimiento],Cartera1017[Fin Producción]),
""))))</f>
        <v>46108</v>
      </c>
    </row>
    <row r="305" spans="1:8" hidden="1" outlineLevel="1">
      <c r="A305" t="str">
        <f ca="1"/>
        <v>Recursos Humanos y Cultura</v>
      </c>
      <c r="B305" t="str">
        <f ca="1"/>
        <v>08. Producción Finalizada</v>
      </c>
      <c r="C305" t="str">
        <f ca="1"/>
        <v>2025-M0206</v>
      </c>
      <c r="D305" t="str">
        <f ca="1"/>
        <v xml:space="preserve">   Desarrollo</v>
      </c>
      <c r="E305" s="255">
        <f ca="1"/>
        <v>1</v>
      </c>
      <c r="F305" s="255">
        <f ca="1"/>
        <v>1</v>
      </c>
      <c r="G305" s="356">
        <f ca="1">IF(TRIM(D305)=C305,
   _xlfn.XLOOKUP(C305, Cartera1017[ID Mantenimiento],Cartera1017[Comienzo Desarrollo]),
IF(TRIM(D305)="Desarrollo",
   _xlfn.XLOOKUP(C305,Cartera1017[ID Mantenimiento],Cartera1017[Comienzo Desarrollo]),
IF(TRIM(D305)="Calidad",
   _xlfn.XLOOKUP(C305,Cartera1017[ID Mantenimiento],Cartera1017[Comienzo Calidad]),
IF(TRIM(D305)="Producción",
   _xlfn.XLOOKUP(C305,Cartera1017[ID Mantenimiento],Cartera1017[Comienzo Producción]),
""))))</f>
        <v>45804</v>
      </c>
      <c r="H305" s="160">
        <f ca="1">IF(TRIM(D305)=C305,
   _xlfn.XLOOKUP(C305, Cartera1017[ID Mantenimiento],Cartera1017[Fin Producción]),
IF(TRIM(D305)="Desarrollo",
   _xlfn.XLOOKUP(C305,Cartera1017[ID Mantenimiento],Cartera1017[Fin Desarrollo]),
IF(TRIM(D305)="Calidad",
   _xlfn.XLOOKUP(C305,Cartera1017[ID Mantenimiento],Cartera1017[Fin Calidad]),
IF(TRIM(D305)="Producción",
   _xlfn.XLOOKUP(C305,Cartera1017[ID Mantenimiento],Cartera1017[Fin Producción]),
""))))</f>
        <v>46003</v>
      </c>
    </row>
    <row r="306" spans="1:8" hidden="1" outlineLevel="1">
      <c r="A306" t="str">
        <f ca="1"/>
        <v>Recursos Humanos y Cultura</v>
      </c>
      <c r="B306" t="str">
        <f ca="1"/>
        <v>08. Producción Finalizada</v>
      </c>
      <c r="C306" t="str">
        <f ca="1"/>
        <v>2025-M0206</v>
      </c>
      <c r="D306" t="str">
        <f ca="1"/>
        <v xml:space="preserve">   Calidad</v>
      </c>
      <c r="E306" s="255">
        <f ca="1"/>
        <v>1</v>
      </c>
      <c r="F306" s="255">
        <f ca="1"/>
        <v>1</v>
      </c>
      <c r="G306" s="356">
        <f ca="1">IF(TRIM(D306)=C306,
   _xlfn.XLOOKUP(C306, Cartera1017[ID Mantenimiento],Cartera1017[Comienzo Desarrollo]),
IF(TRIM(D306)="Desarrollo",
   _xlfn.XLOOKUP(C306,Cartera1017[ID Mantenimiento],Cartera1017[Comienzo Desarrollo]),
IF(TRIM(D306)="Calidad",
   _xlfn.XLOOKUP(C306,Cartera1017[ID Mantenimiento],Cartera1017[Comienzo Calidad]),
IF(TRIM(D306)="Producción",
   _xlfn.XLOOKUP(C306,Cartera1017[ID Mantenimiento],Cartera1017[Comienzo Producción]),
""))))</f>
        <v>46013</v>
      </c>
      <c r="H306" s="160">
        <f ca="1">IF(TRIM(D306)=C306,
   _xlfn.XLOOKUP(C306, Cartera1017[ID Mantenimiento],Cartera1017[Fin Producción]),
IF(TRIM(D306)="Desarrollo",
   _xlfn.XLOOKUP(C306,Cartera1017[ID Mantenimiento],Cartera1017[Fin Desarrollo]),
IF(TRIM(D306)="Calidad",
   _xlfn.XLOOKUP(C306,Cartera1017[ID Mantenimiento],Cartera1017[Fin Calidad]),
IF(TRIM(D306)="Producción",
   _xlfn.XLOOKUP(C306,Cartera1017[ID Mantenimiento],Cartera1017[Fin Producción]),
""))))</f>
        <v>46064</v>
      </c>
    </row>
    <row r="307" spans="1:8" hidden="1" outlineLevel="1">
      <c r="A307" t="str">
        <f ca="1"/>
        <v>Recursos Humanos y Cultura</v>
      </c>
      <c r="B307" t="str">
        <f ca="1"/>
        <v>08. Producción Finalizada</v>
      </c>
      <c r="C307" t="str">
        <f ca="1"/>
        <v>2025-M0206</v>
      </c>
      <c r="D307" t="str">
        <f ca="1"/>
        <v xml:space="preserve">   Producción</v>
      </c>
      <c r="E307" s="255">
        <f ca="1"/>
        <v>1</v>
      </c>
      <c r="F307" s="255">
        <f ca="1"/>
        <v>1</v>
      </c>
      <c r="G307" s="356">
        <f ca="1">IF(TRIM(D307)=C307,
   _xlfn.XLOOKUP(C307, Cartera1017[ID Mantenimiento],Cartera1017[Comienzo Desarrollo]),
IF(TRIM(D307)="Desarrollo",
   _xlfn.XLOOKUP(C307,Cartera1017[ID Mantenimiento],Cartera1017[Comienzo Desarrollo]),
IF(TRIM(D307)="Calidad",
   _xlfn.XLOOKUP(C307,Cartera1017[ID Mantenimiento],Cartera1017[Comienzo Calidad]),
IF(TRIM(D307)="Producción",
   _xlfn.XLOOKUP(C307,Cartera1017[ID Mantenimiento],Cartera1017[Comienzo Producción]),
""))))</f>
        <v>46072</v>
      </c>
      <c r="H307" s="160">
        <f ca="1">IF(TRIM(D307)=C307,
   _xlfn.XLOOKUP(C307, Cartera1017[ID Mantenimiento],Cartera1017[Fin Producción]),
IF(TRIM(D307)="Desarrollo",
   _xlfn.XLOOKUP(C307,Cartera1017[ID Mantenimiento],Cartera1017[Fin Desarrollo]),
IF(TRIM(D307)="Calidad",
   _xlfn.XLOOKUP(C307,Cartera1017[ID Mantenimiento],Cartera1017[Fin Calidad]),
IF(TRIM(D307)="Producción",
   _xlfn.XLOOKUP(C307,Cartera1017[ID Mantenimiento],Cartera1017[Fin Producción]),
""))))</f>
        <v>46108</v>
      </c>
    </row>
    <row r="308" spans="1:8" hidden="1" collapsed="1">
      <c r="A308" t="str">
        <f ca="1"/>
        <v>Recursos Humanos y Cultura</v>
      </c>
      <c r="B308" t="str">
        <f ca="1"/>
        <v>08. Producción Finalizada</v>
      </c>
      <c r="C308" t="str">
        <f ca="1"/>
        <v>2025-M0207</v>
      </c>
      <c r="D308" t="str">
        <f ca="1"/>
        <v>2025-M0207</v>
      </c>
      <c r="E308" s="255">
        <f ca="1"/>
        <v>1</v>
      </c>
      <c r="F308" s="255">
        <f ca="1"/>
        <v>1</v>
      </c>
      <c r="G308" s="356">
        <f ca="1">IF(TRIM(D308)=C308,
   _xlfn.XLOOKUP(C308, Cartera1017[ID Mantenimiento],Cartera1017[Comienzo Desarrollo]),
IF(TRIM(D308)="Desarrollo",
   _xlfn.XLOOKUP(C308,Cartera1017[ID Mantenimiento],Cartera1017[Comienzo Desarrollo]),
IF(TRIM(D308)="Calidad",
   _xlfn.XLOOKUP(C308,Cartera1017[ID Mantenimiento],Cartera1017[Comienzo Calidad]),
IF(TRIM(D308)="Producción",
   _xlfn.XLOOKUP(C308,Cartera1017[ID Mantenimiento],Cartera1017[Comienzo Producción]),
""))))</f>
        <v>45804</v>
      </c>
      <c r="H308" s="160">
        <f ca="1">IF(TRIM(D308)=C308,
   _xlfn.XLOOKUP(C308, Cartera1017[ID Mantenimiento],Cartera1017[Fin Producción]),
IF(TRIM(D308)="Desarrollo",
   _xlfn.XLOOKUP(C308,Cartera1017[ID Mantenimiento],Cartera1017[Fin Desarrollo]),
IF(TRIM(D308)="Calidad",
   _xlfn.XLOOKUP(C308,Cartera1017[ID Mantenimiento],Cartera1017[Fin Calidad]),
IF(TRIM(D308)="Producción",
   _xlfn.XLOOKUP(C308,Cartera1017[ID Mantenimiento],Cartera1017[Fin Producción]),
""))))</f>
        <v>46108</v>
      </c>
    </row>
    <row r="309" spans="1:8" hidden="1" outlineLevel="1">
      <c r="A309" t="str">
        <f ca="1"/>
        <v>Recursos Humanos y Cultura</v>
      </c>
      <c r="B309" t="str">
        <f ca="1"/>
        <v>08. Producción Finalizada</v>
      </c>
      <c r="C309" t="str">
        <f ca="1"/>
        <v>2025-M0207</v>
      </c>
      <c r="D309" t="str">
        <f ca="1"/>
        <v xml:space="preserve">   Desarrollo</v>
      </c>
      <c r="E309" s="255">
        <f ca="1"/>
        <v>1</v>
      </c>
      <c r="F309" s="255">
        <f ca="1"/>
        <v>1</v>
      </c>
      <c r="G309" s="356">
        <f ca="1">IF(TRIM(D309)=C309,
   _xlfn.XLOOKUP(C309, Cartera1017[ID Mantenimiento],Cartera1017[Comienzo Desarrollo]),
IF(TRIM(D309)="Desarrollo",
   _xlfn.XLOOKUP(C309,Cartera1017[ID Mantenimiento],Cartera1017[Comienzo Desarrollo]),
IF(TRIM(D309)="Calidad",
   _xlfn.XLOOKUP(C309,Cartera1017[ID Mantenimiento],Cartera1017[Comienzo Calidad]),
IF(TRIM(D309)="Producción",
   _xlfn.XLOOKUP(C309,Cartera1017[ID Mantenimiento],Cartera1017[Comienzo Producción]),
""))))</f>
        <v>45804</v>
      </c>
      <c r="H309" s="160">
        <f ca="1">IF(TRIM(D309)=C309,
   _xlfn.XLOOKUP(C309, Cartera1017[ID Mantenimiento],Cartera1017[Fin Producción]),
IF(TRIM(D309)="Desarrollo",
   _xlfn.XLOOKUP(C309,Cartera1017[ID Mantenimiento],Cartera1017[Fin Desarrollo]),
IF(TRIM(D309)="Calidad",
   _xlfn.XLOOKUP(C309,Cartera1017[ID Mantenimiento],Cartera1017[Fin Calidad]),
IF(TRIM(D309)="Producción",
   _xlfn.XLOOKUP(C309,Cartera1017[ID Mantenimiento],Cartera1017[Fin Producción]),
""))))</f>
        <v>46003</v>
      </c>
    </row>
    <row r="310" spans="1:8" hidden="1" outlineLevel="1">
      <c r="A310" t="str">
        <f ca="1"/>
        <v>Recursos Humanos y Cultura</v>
      </c>
      <c r="B310" t="str">
        <f ca="1"/>
        <v>08. Producción Finalizada</v>
      </c>
      <c r="C310" t="str">
        <f ca="1"/>
        <v>2025-M0207</v>
      </c>
      <c r="D310" t="str">
        <f ca="1"/>
        <v xml:space="preserve">   Calidad</v>
      </c>
      <c r="E310" s="255">
        <f ca="1"/>
        <v>1</v>
      </c>
      <c r="F310" s="255">
        <f ca="1"/>
        <v>1</v>
      </c>
      <c r="G310" s="356">
        <f ca="1">IF(TRIM(D310)=C310,
   _xlfn.XLOOKUP(C310, Cartera1017[ID Mantenimiento],Cartera1017[Comienzo Desarrollo]),
IF(TRIM(D310)="Desarrollo",
   _xlfn.XLOOKUP(C310,Cartera1017[ID Mantenimiento],Cartera1017[Comienzo Desarrollo]),
IF(TRIM(D310)="Calidad",
   _xlfn.XLOOKUP(C310,Cartera1017[ID Mantenimiento],Cartera1017[Comienzo Calidad]),
IF(TRIM(D310)="Producción",
   _xlfn.XLOOKUP(C310,Cartera1017[ID Mantenimiento],Cartera1017[Comienzo Producción]),
""))))</f>
        <v>46013</v>
      </c>
      <c r="H310" s="160">
        <f ca="1">IF(TRIM(D310)=C310,
   _xlfn.XLOOKUP(C310, Cartera1017[ID Mantenimiento],Cartera1017[Fin Producción]),
IF(TRIM(D310)="Desarrollo",
   _xlfn.XLOOKUP(C310,Cartera1017[ID Mantenimiento],Cartera1017[Fin Desarrollo]),
IF(TRIM(D310)="Calidad",
   _xlfn.XLOOKUP(C310,Cartera1017[ID Mantenimiento],Cartera1017[Fin Calidad]),
IF(TRIM(D310)="Producción",
   _xlfn.XLOOKUP(C310,Cartera1017[ID Mantenimiento],Cartera1017[Fin Producción]),
""))))</f>
        <v>46064</v>
      </c>
    </row>
    <row r="311" spans="1:8" hidden="1" outlineLevel="1">
      <c r="A311" t="str">
        <f ca="1"/>
        <v>Recursos Humanos y Cultura</v>
      </c>
      <c r="B311" t="str">
        <f ca="1"/>
        <v>08. Producción Finalizada</v>
      </c>
      <c r="C311" t="str">
        <f ca="1"/>
        <v>2025-M0207</v>
      </c>
      <c r="D311" t="str">
        <f ca="1"/>
        <v xml:space="preserve">   Producción</v>
      </c>
      <c r="E311" s="255">
        <f ca="1"/>
        <v>1</v>
      </c>
      <c r="F311" s="255">
        <f ca="1"/>
        <v>1</v>
      </c>
      <c r="G311" s="356">
        <f ca="1">IF(TRIM(D311)=C311,
   _xlfn.XLOOKUP(C311, Cartera1017[ID Mantenimiento],Cartera1017[Comienzo Desarrollo]),
IF(TRIM(D311)="Desarrollo",
   _xlfn.XLOOKUP(C311,Cartera1017[ID Mantenimiento],Cartera1017[Comienzo Desarrollo]),
IF(TRIM(D311)="Calidad",
   _xlfn.XLOOKUP(C311,Cartera1017[ID Mantenimiento],Cartera1017[Comienzo Calidad]),
IF(TRIM(D311)="Producción",
   _xlfn.XLOOKUP(C311,Cartera1017[ID Mantenimiento],Cartera1017[Comienzo Producción]),
""))))</f>
        <v>46072</v>
      </c>
      <c r="H311" s="160">
        <f ca="1">IF(TRIM(D311)=C311,
   _xlfn.XLOOKUP(C311, Cartera1017[ID Mantenimiento],Cartera1017[Fin Producción]),
IF(TRIM(D311)="Desarrollo",
   _xlfn.XLOOKUP(C311,Cartera1017[ID Mantenimiento],Cartera1017[Fin Desarrollo]),
IF(TRIM(D311)="Calidad",
   _xlfn.XLOOKUP(C311,Cartera1017[ID Mantenimiento],Cartera1017[Fin Calidad]),
IF(TRIM(D311)="Producción",
   _xlfn.XLOOKUP(C311,Cartera1017[ID Mantenimiento],Cartera1017[Fin Producción]),
""))))</f>
        <v>46108</v>
      </c>
    </row>
    <row r="312" spans="1:8" hidden="1" collapsed="1">
      <c r="A312" t="str">
        <f ca="1"/>
        <v>Recursos Humanos y Cultura</v>
      </c>
      <c r="B312" t="str">
        <f ca="1"/>
        <v>08. Producción Finalizada</v>
      </c>
      <c r="C312" t="str">
        <f ca="1"/>
        <v>2025-M0186</v>
      </c>
      <c r="D312" t="str">
        <f ca="1"/>
        <v>2025-M0186</v>
      </c>
      <c r="E312" s="255">
        <f ca="1"/>
        <v>1</v>
      </c>
      <c r="F312" s="255">
        <f ca="1"/>
        <v>1</v>
      </c>
      <c r="G312" s="356">
        <f ca="1">IF(TRIM(D312)=C312,
   _xlfn.XLOOKUP(C312, Cartera1017[ID Mantenimiento],Cartera1017[Comienzo Desarrollo]),
IF(TRIM(D312)="Desarrollo",
   _xlfn.XLOOKUP(C312,Cartera1017[ID Mantenimiento],Cartera1017[Comienzo Desarrollo]),
IF(TRIM(D312)="Calidad",
   _xlfn.XLOOKUP(C312,Cartera1017[ID Mantenimiento],Cartera1017[Comienzo Calidad]),
IF(TRIM(D312)="Producción",
   _xlfn.XLOOKUP(C312,Cartera1017[ID Mantenimiento],Cartera1017[Comienzo Producción]),
""))))</f>
        <v>45721</v>
      </c>
      <c r="H312" s="160">
        <f ca="1">IF(TRIM(D312)=C312,
   _xlfn.XLOOKUP(C312, Cartera1017[ID Mantenimiento],Cartera1017[Fin Producción]),
IF(TRIM(D312)="Desarrollo",
   _xlfn.XLOOKUP(C312,Cartera1017[ID Mantenimiento],Cartera1017[Fin Desarrollo]),
IF(TRIM(D312)="Calidad",
   _xlfn.XLOOKUP(C312,Cartera1017[ID Mantenimiento],Cartera1017[Fin Calidad]),
IF(TRIM(D312)="Producción",
   _xlfn.XLOOKUP(C312,Cartera1017[ID Mantenimiento],Cartera1017[Fin Producción]),
""))))</f>
        <v>46108</v>
      </c>
    </row>
    <row r="313" spans="1:8" hidden="1" outlineLevel="1">
      <c r="A313" t="str">
        <f ca="1"/>
        <v>Recursos Humanos y Cultura</v>
      </c>
      <c r="B313" t="str">
        <f ca="1"/>
        <v>08. Producción Finalizada</v>
      </c>
      <c r="C313" t="str">
        <f ca="1"/>
        <v>2025-M0186</v>
      </c>
      <c r="D313" t="str">
        <f ca="1"/>
        <v xml:space="preserve">   Desarrollo</v>
      </c>
      <c r="E313" s="255">
        <f ca="1"/>
        <v>1</v>
      </c>
      <c r="F313" s="255">
        <f ca="1"/>
        <v>1</v>
      </c>
      <c r="G313" s="356">
        <f ca="1">IF(TRIM(D313)=C313,
   _xlfn.XLOOKUP(C313, Cartera1017[ID Mantenimiento],Cartera1017[Comienzo Desarrollo]),
IF(TRIM(D313)="Desarrollo",
   _xlfn.XLOOKUP(C313,Cartera1017[ID Mantenimiento],Cartera1017[Comienzo Desarrollo]),
IF(TRIM(D313)="Calidad",
   _xlfn.XLOOKUP(C313,Cartera1017[ID Mantenimiento],Cartera1017[Comienzo Calidad]),
IF(TRIM(D313)="Producción",
   _xlfn.XLOOKUP(C313,Cartera1017[ID Mantenimiento],Cartera1017[Comienzo Producción]),
""))))</f>
        <v>45721</v>
      </c>
      <c r="H313" s="160">
        <f ca="1">IF(TRIM(D313)=C313,
   _xlfn.XLOOKUP(C313, Cartera1017[ID Mantenimiento],Cartera1017[Fin Producción]),
IF(TRIM(D313)="Desarrollo",
   _xlfn.XLOOKUP(C313,Cartera1017[ID Mantenimiento],Cartera1017[Fin Desarrollo]),
IF(TRIM(D313)="Calidad",
   _xlfn.XLOOKUP(C313,Cartera1017[ID Mantenimiento],Cartera1017[Fin Calidad]),
IF(TRIM(D313)="Producción",
   _xlfn.XLOOKUP(C313,Cartera1017[ID Mantenimiento],Cartera1017[Fin Producción]),
""))))</f>
        <v>46003</v>
      </c>
    </row>
    <row r="314" spans="1:8" hidden="1" outlineLevel="1">
      <c r="A314" t="str">
        <f ca="1"/>
        <v>Recursos Humanos y Cultura</v>
      </c>
      <c r="B314" t="str">
        <f ca="1"/>
        <v>08. Producción Finalizada</v>
      </c>
      <c r="C314" t="str">
        <f ca="1"/>
        <v>2025-M0186</v>
      </c>
      <c r="D314" t="str">
        <f ca="1"/>
        <v xml:space="preserve">   Calidad</v>
      </c>
      <c r="E314" s="255">
        <f ca="1"/>
        <v>1</v>
      </c>
      <c r="F314" s="255">
        <f ca="1"/>
        <v>1</v>
      </c>
      <c r="G314" s="356">
        <f ca="1">IF(TRIM(D314)=C314,
   _xlfn.XLOOKUP(C314, Cartera1017[ID Mantenimiento],Cartera1017[Comienzo Desarrollo]),
IF(TRIM(D314)="Desarrollo",
   _xlfn.XLOOKUP(C314,Cartera1017[ID Mantenimiento],Cartera1017[Comienzo Desarrollo]),
IF(TRIM(D314)="Calidad",
   _xlfn.XLOOKUP(C314,Cartera1017[ID Mantenimiento],Cartera1017[Comienzo Calidad]),
IF(TRIM(D314)="Producción",
   _xlfn.XLOOKUP(C314,Cartera1017[ID Mantenimiento],Cartera1017[Comienzo Producción]),
""))))</f>
        <v>46013</v>
      </c>
      <c r="H314" s="160">
        <f ca="1">IF(TRIM(D314)=C314,
   _xlfn.XLOOKUP(C314, Cartera1017[ID Mantenimiento],Cartera1017[Fin Producción]),
IF(TRIM(D314)="Desarrollo",
   _xlfn.XLOOKUP(C314,Cartera1017[ID Mantenimiento],Cartera1017[Fin Desarrollo]),
IF(TRIM(D314)="Calidad",
   _xlfn.XLOOKUP(C314,Cartera1017[ID Mantenimiento],Cartera1017[Fin Calidad]),
IF(TRIM(D314)="Producción",
   _xlfn.XLOOKUP(C314,Cartera1017[ID Mantenimiento],Cartera1017[Fin Producción]),
""))))</f>
        <v>46064</v>
      </c>
    </row>
    <row r="315" spans="1:8" hidden="1" outlineLevel="1">
      <c r="A315" t="str">
        <f ca="1"/>
        <v>Recursos Humanos y Cultura</v>
      </c>
      <c r="B315" t="str">
        <f ca="1"/>
        <v>08. Producción Finalizada</v>
      </c>
      <c r="C315" t="str">
        <f ca="1"/>
        <v>2025-M0186</v>
      </c>
      <c r="D315" t="str">
        <f ca="1"/>
        <v xml:space="preserve">   Producción</v>
      </c>
      <c r="E315" s="255">
        <f ca="1"/>
        <v>1</v>
      </c>
      <c r="F315" s="255">
        <f ca="1"/>
        <v>1</v>
      </c>
      <c r="G315" s="356">
        <f ca="1">IF(TRIM(D315)=C315,
   _xlfn.XLOOKUP(C315, Cartera1017[ID Mantenimiento],Cartera1017[Comienzo Desarrollo]),
IF(TRIM(D315)="Desarrollo",
   _xlfn.XLOOKUP(C315,Cartera1017[ID Mantenimiento],Cartera1017[Comienzo Desarrollo]),
IF(TRIM(D315)="Calidad",
   _xlfn.XLOOKUP(C315,Cartera1017[ID Mantenimiento],Cartera1017[Comienzo Calidad]),
IF(TRIM(D315)="Producción",
   _xlfn.XLOOKUP(C315,Cartera1017[ID Mantenimiento],Cartera1017[Comienzo Producción]),
""))))</f>
        <v>46072</v>
      </c>
      <c r="H315" s="160">
        <f ca="1">IF(TRIM(D315)=C315,
   _xlfn.XLOOKUP(C315, Cartera1017[ID Mantenimiento],Cartera1017[Fin Producción]),
IF(TRIM(D315)="Desarrollo",
   _xlfn.XLOOKUP(C315,Cartera1017[ID Mantenimiento],Cartera1017[Fin Desarrollo]),
IF(TRIM(D315)="Calidad",
   _xlfn.XLOOKUP(C315,Cartera1017[ID Mantenimiento],Cartera1017[Fin Calidad]),
IF(TRIM(D315)="Producción",
   _xlfn.XLOOKUP(C315,Cartera1017[ID Mantenimiento],Cartera1017[Fin Producción]),
""))))</f>
        <v>46108</v>
      </c>
    </row>
    <row r="316" spans="1:8" hidden="1" collapsed="1">
      <c r="A316" t="str">
        <f ca="1"/>
        <v>Productos e Inclusión Financiera</v>
      </c>
      <c r="B316" t="str">
        <f ca="1"/>
        <v>10. Paralizado</v>
      </c>
      <c r="C316" t="str">
        <f ca="1"/>
        <v>2025-M0618</v>
      </c>
      <c r="D316" t="str">
        <f ca="1"/>
        <v>2025-M0618</v>
      </c>
      <c r="E316" s="255">
        <f ca="1"/>
        <v>0.12</v>
      </c>
      <c r="F316" s="255" t="str">
        <f ca="1"/>
        <v/>
      </c>
      <c r="G316" s="356">
        <f ca="1">IF(TRIM(D316)=C316,
   _xlfn.XLOOKUP(C316, Cartera1017[ID Mantenimiento],Cartera1017[Comienzo Desarrollo]),
IF(TRIM(D316)="Desarrollo",
   _xlfn.XLOOKUP(C316,Cartera1017[ID Mantenimiento],Cartera1017[Comienzo Desarrollo]),
IF(TRIM(D316)="Calidad",
   _xlfn.XLOOKUP(C316,Cartera1017[ID Mantenimiento],Cartera1017[Comienzo Calidad]),
IF(TRIM(D316)="Producción",
   _xlfn.XLOOKUP(C316,Cartera1017[ID Mantenimiento],Cartera1017[Comienzo Producción]),
""))))</f>
        <v>0</v>
      </c>
      <c r="H316" s="160">
        <f ca="1">IF(TRIM(D316)=C316,
   _xlfn.XLOOKUP(C316, Cartera1017[ID Mantenimiento],Cartera1017[Fin Producción]),
IF(TRIM(D316)="Desarrollo",
   _xlfn.XLOOKUP(C316,Cartera1017[ID Mantenimiento],Cartera1017[Fin Desarrollo]),
IF(TRIM(D316)="Calidad",
   _xlfn.XLOOKUP(C316,Cartera1017[ID Mantenimiento],Cartera1017[Fin Calidad]),
IF(TRIM(D316)="Producción",
   _xlfn.XLOOKUP(C316,Cartera1017[ID Mantenimiento],Cartera1017[Fin Producción]),
""))))</f>
        <v>46265</v>
      </c>
    </row>
    <row r="317" spans="1:8" hidden="1" outlineLevel="1">
      <c r="A317" t="str">
        <f ca="1"/>
        <v>Productos e Inclusión Financiera</v>
      </c>
      <c r="B317" t="str">
        <f ca="1"/>
        <v>10. Paralizado</v>
      </c>
      <c r="C317" t="str">
        <f ca="1"/>
        <v>2025-M0618</v>
      </c>
      <c r="D317" t="str">
        <f ca="1"/>
        <v xml:space="preserve">   Desarrollo</v>
      </c>
      <c r="E317" s="255">
        <f ca="1"/>
        <v>0.12</v>
      </c>
      <c r="F317" s="255" t="str">
        <f ca="1"/>
        <v/>
      </c>
      <c r="G317" s="356">
        <f ca="1">IF(TRIM(D317)=C317,
   _xlfn.XLOOKUP(C317, Cartera1017[ID Mantenimiento],Cartera1017[Comienzo Desarrollo]),
IF(TRIM(D317)="Desarrollo",
   _xlfn.XLOOKUP(C317,Cartera1017[ID Mantenimiento],Cartera1017[Comienzo Desarrollo]),
IF(TRIM(D317)="Calidad",
   _xlfn.XLOOKUP(C317,Cartera1017[ID Mantenimiento],Cartera1017[Comienzo Calidad]),
IF(TRIM(D317)="Producción",
   _xlfn.XLOOKUP(C317,Cartera1017[ID Mantenimiento],Cartera1017[Comienzo Producción]),
""))))</f>
        <v>0</v>
      </c>
      <c r="H317" s="160">
        <f ca="1">IF(TRIM(D317)=C317,
   _xlfn.XLOOKUP(C317, Cartera1017[ID Mantenimiento],Cartera1017[Fin Producción]),
IF(TRIM(D317)="Desarrollo",
   _xlfn.XLOOKUP(C317,Cartera1017[ID Mantenimiento],Cartera1017[Fin Desarrollo]),
IF(TRIM(D317)="Calidad",
   _xlfn.XLOOKUP(C317,Cartera1017[ID Mantenimiento],Cartera1017[Fin Calidad]),
IF(TRIM(D317)="Producción",
   _xlfn.XLOOKUP(C317,Cartera1017[ID Mantenimiento],Cartera1017[Fin Producción]),
""))))</f>
        <v>0</v>
      </c>
    </row>
    <row r="318" spans="1:8" hidden="1" outlineLevel="1">
      <c r="A318" t="str">
        <f ca="1"/>
        <v>Productos e Inclusión Financiera</v>
      </c>
      <c r="B318" t="str">
        <f ca="1"/>
        <v>10. Paralizado</v>
      </c>
      <c r="C318" t="str">
        <f ca="1"/>
        <v>2025-M0618</v>
      </c>
      <c r="D318" t="str">
        <f ca="1"/>
        <v xml:space="preserve">   Calidad</v>
      </c>
      <c r="E318" s="255">
        <f ca="1"/>
        <v>0.12</v>
      </c>
      <c r="F318" s="255" t="str">
        <f ca="1"/>
        <v/>
      </c>
      <c r="G318" s="356">
        <f ca="1">IF(TRIM(D318)=C318,
   _xlfn.XLOOKUP(C318, Cartera1017[ID Mantenimiento],Cartera1017[Comienzo Desarrollo]),
IF(TRIM(D318)="Desarrollo",
   _xlfn.XLOOKUP(C318,Cartera1017[ID Mantenimiento],Cartera1017[Comienzo Desarrollo]),
IF(TRIM(D318)="Calidad",
   _xlfn.XLOOKUP(C318,Cartera1017[ID Mantenimiento],Cartera1017[Comienzo Calidad]),
IF(TRIM(D318)="Producción",
   _xlfn.XLOOKUP(C318,Cartera1017[ID Mantenimiento],Cartera1017[Comienzo Producción]),
""))))</f>
        <v>0</v>
      </c>
      <c r="H318" s="160">
        <f ca="1">IF(TRIM(D318)=C318,
   _xlfn.XLOOKUP(C318, Cartera1017[ID Mantenimiento],Cartera1017[Fin Producción]),
IF(TRIM(D318)="Desarrollo",
   _xlfn.XLOOKUP(C318,Cartera1017[ID Mantenimiento],Cartera1017[Fin Desarrollo]),
IF(TRIM(D318)="Calidad",
   _xlfn.XLOOKUP(C318,Cartera1017[ID Mantenimiento],Cartera1017[Fin Calidad]),
IF(TRIM(D318)="Producción",
   _xlfn.XLOOKUP(C318,Cartera1017[ID Mantenimiento],Cartera1017[Fin Producción]),
""))))</f>
        <v>0</v>
      </c>
    </row>
    <row r="319" spans="1:8" hidden="1" outlineLevel="1">
      <c r="A319" t="str">
        <f ca="1"/>
        <v>Productos e Inclusión Financiera</v>
      </c>
      <c r="B319" t="str">
        <f ca="1"/>
        <v>10. Paralizado</v>
      </c>
      <c r="C319" t="str">
        <f ca="1"/>
        <v>2025-M0618</v>
      </c>
      <c r="D319" t="str">
        <f ca="1"/>
        <v xml:space="preserve">   Producción</v>
      </c>
      <c r="E319" s="255">
        <f ca="1"/>
        <v>0.12</v>
      </c>
      <c r="F319" s="255" t="str">
        <f ca="1"/>
        <v/>
      </c>
      <c r="G319" s="356">
        <f ca="1">IF(TRIM(D319)=C319,
   _xlfn.XLOOKUP(C319, Cartera1017[ID Mantenimiento],Cartera1017[Comienzo Desarrollo]),
IF(TRIM(D319)="Desarrollo",
   _xlfn.XLOOKUP(C319,Cartera1017[ID Mantenimiento],Cartera1017[Comienzo Desarrollo]),
IF(TRIM(D319)="Calidad",
   _xlfn.XLOOKUP(C319,Cartera1017[ID Mantenimiento],Cartera1017[Comienzo Calidad]),
IF(TRIM(D319)="Producción",
   _xlfn.XLOOKUP(C319,Cartera1017[ID Mantenimiento],Cartera1017[Comienzo Producción]),
""))))</f>
        <v>0</v>
      </c>
      <c r="H319" s="160">
        <f ca="1">IF(TRIM(D319)=C319,
   _xlfn.XLOOKUP(C319, Cartera1017[ID Mantenimiento],Cartera1017[Fin Producción]),
IF(TRIM(D319)="Desarrollo",
   _xlfn.XLOOKUP(C319,Cartera1017[ID Mantenimiento],Cartera1017[Fin Desarrollo]),
IF(TRIM(D319)="Calidad",
   _xlfn.XLOOKUP(C319,Cartera1017[ID Mantenimiento],Cartera1017[Fin Calidad]),
IF(TRIM(D319)="Producción",
   _xlfn.XLOOKUP(C319,Cartera1017[ID Mantenimiento],Cartera1017[Fin Producción]),
""))))</f>
        <v>46265</v>
      </c>
    </row>
    <row r="320" spans="1:8" hidden="1" collapsed="1">
      <c r="A320" t="str">
        <f ca="1"/>
        <v>Banca Digital</v>
      </c>
      <c r="B320" t="str">
        <f ca="1"/>
        <v>09. Descartado</v>
      </c>
      <c r="C320" t="str">
        <f ca="1"/>
        <v>2025-M0312</v>
      </c>
      <c r="D320" t="str">
        <f ca="1"/>
        <v>2025-M0312</v>
      </c>
      <c r="E320" s="255">
        <f ca="1"/>
        <v>-0.01</v>
      </c>
      <c r="F320" s="255" t="str">
        <f ca="1"/>
        <v/>
      </c>
      <c r="G320" s="356">
        <f ca="1">IF(TRIM(D320)=C320,
   _xlfn.XLOOKUP(C320, Cartera1017[ID Mantenimiento],Cartera1017[Comienzo Desarrollo]),
IF(TRIM(D320)="Desarrollo",
   _xlfn.XLOOKUP(C320,Cartera1017[ID Mantenimiento],Cartera1017[Comienzo Desarrollo]),
IF(TRIM(D320)="Calidad",
   _xlfn.XLOOKUP(C320,Cartera1017[ID Mantenimiento],Cartera1017[Comienzo Calidad]),
IF(TRIM(D320)="Producción",
   _xlfn.XLOOKUP(C320,Cartera1017[ID Mantenimiento],Cartera1017[Comienzo Producción]),
""))))</f>
        <v>0</v>
      </c>
      <c r="H320" s="160">
        <f ca="1">IF(TRIM(D320)=C320,
   _xlfn.XLOOKUP(C320, Cartera1017[ID Mantenimiento],Cartera1017[Fin Producción]),
IF(TRIM(D320)="Desarrollo",
   _xlfn.XLOOKUP(C320,Cartera1017[ID Mantenimiento],Cartera1017[Fin Desarrollo]),
IF(TRIM(D320)="Calidad",
   _xlfn.XLOOKUP(C320,Cartera1017[ID Mantenimiento],Cartera1017[Fin Calidad]),
IF(TRIM(D320)="Producción",
   _xlfn.XLOOKUP(C320,Cartera1017[ID Mantenimiento],Cartera1017[Fin Producción]),
""))))</f>
        <v>0</v>
      </c>
    </row>
    <row r="321" spans="1:8" hidden="1" outlineLevel="1">
      <c r="A321" t="str">
        <f ca="1"/>
        <v>Banca Digital</v>
      </c>
      <c r="B321" t="str">
        <f ca="1"/>
        <v>09. Descartado</v>
      </c>
      <c r="C321" t="str">
        <f ca="1"/>
        <v>2025-M0312</v>
      </c>
      <c r="D321" t="str">
        <f ca="1"/>
        <v xml:space="preserve">   Desarrollo</v>
      </c>
      <c r="E321" s="255">
        <f ca="1"/>
        <v>-0.01</v>
      </c>
      <c r="F321" s="255" t="str">
        <f ca="1"/>
        <v/>
      </c>
      <c r="G321" s="356">
        <f ca="1">IF(TRIM(D321)=C321,
   _xlfn.XLOOKUP(C321, Cartera1017[ID Mantenimiento],Cartera1017[Comienzo Desarrollo]),
IF(TRIM(D321)="Desarrollo",
   _xlfn.XLOOKUP(C321,Cartera1017[ID Mantenimiento],Cartera1017[Comienzo Desarrollo]),
IF(TRIM(D321)="Calidad",
   _xlfn.XLOOKUP(C321,Cartera1017[ID Mantenimiento],Cartera1017[Comienzo Calidad]),
IF(TRIM(D321)="Producción",
   _xlfn.XLOOKUP(C321,Cartera1017[ID Mantenimiento],Cartera1017[Comienzo Producción]),
""))))</f>
        <v>0</v>
      </c>
      <c r="H321" s="160">
        <f ca="1">IF(TRIM(D321)=C321,
   _xlfn.XLOOKUP(C321, Cartera1017[ID Mantenimiento],Cartera1017[Fin Producción]),
IF(TRIM(D321)="Desarrollo",
   _xlfn.XLOOKUP(C321,Cartera1017[ID Mantenimiento],Cartera1017[Fin Desarrollo]),
IF(TRIM(D321)="Calidad",
   _xlfn.XLOOKUP(C321,Cartera1017[ID Mantenimiento],Cartera1017[Fin Calidad]),
IF(TRIM(D321)="Producción",
   _xlfn.XLOOKUP(C321,Cartera1017[ID Mantenimiento],Cartera1017[Fin Producción]),
""))))</f>
        <v>0</v>
      </c>
    </row>
    <row r="322" spans="1:8" hidden="1" outlineLevel="1">
      <c r="A322" t="str">
        <f ca="1"/>
        <v>Banca Digital</v>
      </c>
      <c r="B322" t="str">
        <f ca="1"/>
        <v>09. Descartado</v>
      </c>
      <c r="C322" t="str">
        <f ca="1"/>
        <v>2025-M0312</v>
      </c>
      <c r="D322" t="str">
        <f ca="1"/>
        <v xml:space="preserve">   Calidad</v>
      </c>
      <c r="E322" s="255">
        <f ca="1"/>
        <v>-0.01</v>
      </c>
      <c r="F322" s="255" t="str">
        <f ca="1"/>
        <v/>
      </c>
      <c r="G322" s="356">
        <f ca="1">IF(TRIM(D322)=C322,
   _xlfn.XLOOKUP(C322, Cartera1017[ID Mantenimiento],Cartera1017[Comienzo Desarrollo]),
IF(TRIM(D322)="Desarrollo",
   _xlfn.XLOOKUP(C322,Cartera1017[ID Mantenimiento],Cartera1017[Comienzo Desarrollo]),
IF(TRIM(D322)="Calidad",
   _xlfn.XLOOKUP(C322,Cartera1017[ID Mantenimiento],Cartera1017[Comienzo Calidad]),
IF(TRIM(D322)="Producción",
   _xlfn.XLOOKUP(C322,Cartera1017[ID Mantenimiento],Cartera1017[Comienzo Producción]),
""))))</f>
        <v>0</v>
      </c>
      <c r="H322" s="160">
        <f ca="1">IF(TRIM(D322)=C322,
   _xlfn.XLOOKUP(C322, Cartera1017[ID Mantenimiento],Cartera1017[Fin Producción]),
IF(TRIM(D322)="Desarrollo",
   _xlfn.XLOOKUP(C322,Cartera1017[ID Mantenimiento],Cartera1017[Fin Desarrollo]),
IF(TRIM(D322)="Calidad",
   _xlfn.XLOOKUP(C322,Cartera1017[ID Mantenimiento],Cartera1017[Fin Calidad]),
IF(TRIM(D322)="Producción",
   _xlfn.XLOOKUP(C322,Cartera1017[ID Mantenimiento],Cartera1017[Fin Producción]),
""))))</f>
        <v>0</v>
      </c>
    </row>
    <row r="323" spans="1:8" hidden="1" outlineLevel="1">
      <c r="A323" t="str">
        <f ca="1"/>
        <v>Banca Digital</v>
      </c>
      <c r="B323" t="str">
        <f ca="1"/>
        <v>09. Descartado</v>
      </c>
      <c r="C323" t="str">
        <f ca="1"/>
        <v>2025-M0312</v>
      </c>
      <c r="D323" t="str">
        <f ca="1"/>
        <v xml:space="preserve">   Producción</v>
      </c>
      <c r="E323" s="255">
        <f ca="1"/>
        <v>-0.01</v>
      </c>
      <c r="F323" s="255" t="str">
        <f ca="1"/>
        <v/>
      </c>
      <c r="G323" s="356">
        <f ca="1">IF(TRIM(D323)=C323,
   _xlfn.XLOOKUP(C323, Cartera1017[ID Mantenimiento],Cartera1017[Comienzo Desarrollo]),
IF(TRIM(D323)="Desarrollo",
   _xlfn.XLOOKUP(C323,Cartera1017[ID Mantenimiento],Cartera1017[Comienzo Desarrollo]),
IF(TRIM(D323)="Calidad",
   _xlfn.XLOOKUP(C323,Cartera1017[ID Mantenimiento],Cartera1017[Comienzo Calidad]),
IF(TRIM(D323)="Producción",
   _xlfn.XLOOKUP(C323,Cartera1017[ID Mantenimiento],Cartera1017[Comienzo Producción]),
""))))</f>
        <v>0</v>
      </c>
      <c r="H323" s="160">
        <f ca="1">IF(TRIM(D323)=C323,
   _xlfn.XLOOKUP(C323, Cartera1017[ID Mantenimiento],Cartera1017[Fin Producción]),
IF(TRIM(D323)="Desarrollo",
   _xlfn.XLOOKUP(C323,Cartera1017[ID Mantenimiento],Cartera1017[Fin Desarrollo]),
IF(TRIM(D323)="Calidad",
   _xlfn.XLOOKUP(C323,Cartera1017[ID Mantenimiento],Cartera1017[Fin Calidad]),
IF(TRIM(D323)="Producción",
   _xlfn.XLOOKUP(C323,Cartera1017[ID Mantenimiento],Cartera1017[Fin Producción]),
""))))</f>
        <v>0</v>
      </c>
    </row>
    <row r="324" spans="1:8" hidden="1" collapsed="1">
      <c r="A324" t="str">
        <f ca="1"/>
        <v>Operaciones</v>
      </c>
      <c r="B324" t="str">
        <f ca="1"/>
        <v>03. En Desarrollo</v>
      </c>
      <c r="C324" t="str">
        <f ca="1"/>
        <v>2025-M0322</v>
      </c>
      <c r="D324" t="str">
        <f ca="1"/>
        <v>2025-M0322</v>
      </c>
      <c r="E324" s="255">
        <f ca="1"/>
        <v>0.45</v>
      </c>
      <c r="F324" s="255">
        <f ca="1"/>
        <v>1</v>
      </c>
      <c r="G324" s="356">
        <f ca="1">IF(TRIM(D324)=C324,
   _xlfn.XLOOKUP(C324, Cartera1017[ID Mantenimiento],Cartera1017[Comienzo Desarrollo]),
IF(TRIM(D324)="Desarrollo",
   _xlfn.XLOOKUP(C324,Cartera1017[ID Mantenimiento],Cartera1017[Comienzo Desarrollo]),
IF(TRIM(D324)="Calidad",
   _xlfn.XLOOKUP(C324,Cartera1017[ID Mantenimiento],Cartera1017[Comienzo Calidad]),
IF(TRIM(D324)="Producción",
   _xlfn.XLOOKUP(C324,Cartera1017[ID Mantenimiento],Cartera1017[Comienzo Producción]),
""))))</f>
        <v>45769</v>
      </c>
      <c r="H324" s="160">
        <f ca="1">IF(TRIM(D324)=C324,
   _xlfn.XLOOKUP(C324, Cartera1017[ID Mantenimiento],Cartera1017[Fin Producción]),
IF(TRIM(D324)="Desarrollo",
   _xlfn.XLOOKUP(C324,Cartera1017[ID Mantenimiento],Cartera1017[Fin Desarrollo]),
IF(TRIM(D324)="Calidad",
   _xlfn.XLOOKUP(C324,Cartera1017[ID Mantenimiento],Cartera1017[Fin Calidad]),
IF(TRIM(D324)="Producción",
   _xlfn.XLOOKUP(C324,Cartera1017[ID Mantenimiento],Cartera1017[Fin Producción]),
""))))</f>
        <v>46139</v>
      </c>
    </row>
    <row r="325" spans="1:8" hidden="1" outlineLevel="1">
      <c r="A325" t="str">
        <f ca="1"/>
        <v>Operaciones</v>
      </c>
      <c r="B325" t="str">
        <f ca="1"/>
        <v>03. En Desarrollo</v>
      </c>
      <c r="C325" t="str">
        <f ca="1"/>
        <v>2025-M0322</v>
      </c>
      <c r="D325" t="str">
        <f ca="1"/>
        <v xml:space="preserve">   Desarrollo</v>
      </c>
      <c r="E325" s="255">
        <f ca="1"/>
        <v>0.45</v>
      </c>
      <c r="F325" s="255">
        <f ca="1"/>
        <v>1</v>
      </c>
      <c r="G325" s="356">
        <f ca="1">IF(TRIM(D325)=C325,
   _xlfn.XLOOKUP(C325, Cartera1017[ID Mantenimiento],Cartera1017[Comienzo Desarrollo]),
IF(TRIM(D325)="Desarrollo",
   _xlfn.XLOOKUP(C325,Cartera1017[ID Mantenimiento],Cartera1017[Comienzo Desarrollo]),
IF(TRIM(D325)="Calidad",
   _xlfn.XLOOKUP(C325,Cartera1017[ID Mantenimiento],Cartera1017[Comienzo Calidad]),
IF(TRIM(D325)="Producción",
   _xlfn.XLOOKUP(C325,Cartera1017[ID Mantenimiento],Cartera1017[Comienzo Producción]),
""))))</f>
        <v>45769</v>
      </c>
      <c r="H325" s="160">
        <f ca="1">IF(TRIM(D325)=C325,
   _xlfn.XLOOKUP(C325, Cartera1017[ID Mantenimiento],Cartera1017[Fin Producción]),
IF(TRIM(D325)="Desarrollo",
   _xlfn.XLOOKUP(C325,Cartera1017[ID Mantenimiento],Cartera1017[Fin Desarrollo]),
IF(TRIM(D325)="Calidad",
   _xlfn.XLOOKUP(C325,Cartera1017[ID Mantenimiento],Cartera1017[Fin Calidad]),
IF(TRIM(D325)="Producción",
   _xlfn.XLOOKUP(C325,Cartera1017[ID Mantenimiento],Cartera1017[Fin Producción]),
""))))</f>
        <v>45877</v>
      </c>
    </row>
    <row r="326" spans="1:8" hidden="1" outlineLevel="1">
      <c r="A326" t="str">
        <f ca="1"/>
        <v>Operaciones</v>
      </c>
      <c r="B326" t="str">
        <f ca="1"/>
        <v>03. En Desarrollo</v>
      </c>
      <c r="C326" t="str">
        <f ca="1"/>
        <v>2025-M0322</v>
      </c>
      <c r="D326" t="str">
        <f ca="1"/>
        <v xml:space="preserve">   Calidad</v>
      </c>
      <c r="E326" s="255">
        <f ca="1"/>
        <v>0.45</v>
      </c>
      <c r="F326" s="255">
        <f ca="1"/>
        <v>1</v>
      </c>
      <c r="G326" s="356">
        <f ca="1">IF(TRIM(D326)=C326,
   _xlfn.XLOOKUP(C326, Cartera1017[ID Mantenimiento],Cartera1017[Comienzo Desarrollo]),
IF(TRIM(D326)="Desarrollo",
   _xlfn.XLOOKUP(C326,Cartera1017[ID Mantenimiento],Cartera1017[Comienzo Desarrollo]),
IF(TRIM(D326)="Calidad",
   _xlfn.XLOOKUP(C326,Cartera1017[ID Mantenimiento],Cartera1017[Comienzo Calidad]),
IF(TRIM(D326)="Producción",
   _xlfn.XLOOKUP(C326,Cartera1017[ID Mantenimiento],Cartera1017[Comienzo Producción]),
""))))</f>
        <v>45884</v>
      </c>
      <c r="H326" s="160">
        <f ca="1">IF(TRIM(D326)=C326,
   _xlfn.XLOOKUP(C326, Cartera1017[ID Mantenimiento],Cartera1017[Fin Producción]),
IF(TRIM(D326)="Desarrollo",
   _xlfn.XLOOKUP(C326,Cartera1017[ID Mantenimiento],Cartera1017[Fin Desarrollo]),
IF(TRIM(D326)="Calidad",
   _xlfn.XLOOKUP(C326,Cartera1017[ID Mantenimiento],Cartera1017[Fin Calidad]),
IF(TRIM(D326)="Producción",
   _xlfn.XLOOKUP(C326,Cartera1017[ID Mantenimiento],Cartera1017[Fin Producción]),
""))))</f>
        <v>45889</v>
      </c>
    </row>
    <row r="327" spans="1:8" hidden="1" outlineLevel="1">
      <c r="A327" t="str">
        <f ca="1"/>
        <v>Operaciones</v>
      </c>
      <c r="B327" t="str">
        <f ca="1"/>
        <v>03. En Desarrollo</v>
      </c>
      <c r="C327" t="str">
        <f ca="1"/>
        <v>2025-M0322</v>
      </c>
      <c r="D327" t="str">
        <f ca="1"/>
        <v xml:space="preserve">   Producción</v>
      </c>
      <c r="E327" s="255">
        <f ca="1"/>
        <v>0.45</v>
      </c>
      <c r="F327" s="255">
        <f ca="1"/>
        <v>1</v>
      </c>
      <c r="G327" s="356">
        <f ca="1">IF(TRIM(D327)=C327,
   _xlfn.XLOOKUP(C327, Cartera1017[ID Mantenimiento],Cartera1017[Comienzo Desarrollo]),
IF(TRIM(D327)="Desarrollo",
   _xlfn.XLOOKUP(C327,Cartera1017[ID Mantenimiento],Cartera1017[Comienzo Desarrollo]),
IF(TRIM(D327)="Calidad",
   _xlfn.XLOOKUP(C327,Cartera1017[ID Mantenimiento],Cartera1017[Comienzo Calidad]),
IF(TRIM(D327)="Producción",
   _xlfn.XLOOKUP(C327,Cartera1017[ID Mantenimiento],Cartera1017[Comienzo Producción]),
""))))</f>
        <v>46036</v>
      </c>
      <c r="H327" s="160">
        <f ca="1">IF(TRIM(D327)=C327,
   _xlfn.XLOOKUP(C327, Cartera1017[ID Mantenimiento],Cartera1017[Fin Producción]),
IF(TRIM(D327)="Desarrollo",
   _xlfn.XLOOKUP(C327,Cartera1017[ID Mantenimiento],Cartera1017[Fin Desarrollo]),
IF(TRIM(D327)="Calidad",
   _xlfn.XLOOKUP(C327,Cartera1017[ID Mantenimiento],Cartera1017[Fin Calidad]),
IF(TRIM(D327)="Producción",
   _xlfn.XLOOKUP(C327,Cartera1017[ID Mantenimiento],Cartera1017[Fin Producción]),
""))))</f>
        <v>46139</v>
      </c>
    </row>
    <row r="328" spans="1:8" hidden="1" collapsed="1">
      <c r="A328" t="str">
        <f ca="1"/>
        <v>Operaciones</v>
      </c>
      <c r="B328" t="str">
        <f ca="1"/>
        <v>03. En Desarrollo</v>
      </c>
      <c r="C328" t="str">
        <f ca="1"/>
        <v>2025-M0653</v>
      </c>
      <c r="D328" t="str">
        <f ca="1"/>
        <v>2025-M0653</v>
      </c>
      <c r="E328" s="255">
        <f ca="1"/>
        <v>0.15</v>
      </c>
      <c r="F328" s="255">
        <f ca="1"/>
        <v>0.15</v>
      </c>
      <c r="G328" s="356">
        <f ca="1">IF(TRIM(D328)=C328,
   _xlfn.XLOOKUP(C328, Cartera1017[ID Mantenimiento],Cartera1017[Comienzo Desarrollo]),
IF(TRIM(D328)="Desarrollo",
   _xlfn.XLOOKUP(C328,Cartera1017[ID Mantenimiento],Cartera1017[Comienzo Desarrollo]),
IF(TRIM(D328)="Calidad",
   _xlfn.XLOOKUP(C328,Cartera1017[ID Mantenimiento],Cartera1017[Comienzo Calidad]),
IF(TRIM(D328)="Producción",
   _xlfn.XLOOKUP(C328,Cartera1017[ID Mantenimiento],Cartera1017[Comienzo Producción]),
""))))</f>
        <v>46083</v>
      </c>
      <c r="H328" s="160">
        <f ca="1">IF(TRIM(D328)=C328,
   _xlfn.XLOOKUP(C328, Cartera1017[ID Mantenimiento],Cartera1017[Fin Producción]),
IF(TRIM(D328)="Desarrollo",
   _xlfn.XLOOKUP(C328,Cartera1017[ID Mantenimiento],Cartera1017[Fin Desarrollo]),
IF(TRIM(D328)="Calidad",
   _xlfn.XLOOKUP(C328,Cartera1017[ID Mantenimiento],Cartera1017[Fin Calidad]),
IF(TRIM(D328)="Producción",
   _xlfn.XLOOKUP(C328,Cartera1017[ID Mantenimiento],Cartera1017[Fin Producción]),
""))))</f>
        <v>46241</v>
      </c>
    </row>
    <row r="329" spans="1:8" hidden="1" outlineLevel="1">
      <c r="A329" t="str">
        <f ca="1"/>
        <v>Operaciones</v>
      </c>
      <c r="B329" t="str">
        <f ca="1"/>
        <v>03. En Desarrollo</v>
      </c>
      <c r="C329" t="str">
        <f ca="1"/>
        <v>2025-M0653</v>
      </c>
      <c r="D329" t="str">
        <f ca="1"/>
        <v xml:space="preserve">   Desarrollo</v>
      </c>
      <c r="E329" s="255">
        <f ca="1"/>
        <v>0.15</v>
      </c>
      <c r="F329" s="255">
        <f ca="1"/>
        <v>0.15</v>
      </c>
      <c r="G329" s="356">
        <f ca="1">IF(TRIM(D329)=C329,
   _xlfn.XLOOKUP(C329, Cartera1017[ID Mantenimiento],Cartera1017[Comienzo Desarrollo]),
IF(TRIM(D329)="Desarrollo",
   _xlfn.XLOOKUP(C329,Cartera1017[ID Mantenimiento],Cartera1017[Comienzo Desarrollo]),
IF(TRIM(D329)="Calidad",
   _xlfn.XLOOKUP(C329,Cartera1017[ID Mantenimiento],Cartera1017[Comienzo Calidad]),
IF(TRIM(D329)="Producción",
   _xlfn.XLOOKUP(C329,Cartera1017[ID Mantenimiento],Cartera1017[Comienzo Producción]),
""))))</f>
        <v>46083</v>
      </c>
      <c r="H329" s="160">
        <f ca="1">IF(TRIM(D329)=C329,
   _xlfn.XLOOKUP(C329, Cartera1017[ID Mantenimiento],Cartera1017[Fin Producción]),
IF(TRIM(D329)="Desarrollo",
   _xlfn.XLOOKUP(C329,Cartera1017[ID Mantenimiento],Cartera1017[Fin Desarrollo]),
IF(TRIM(D329)="Calidad",
   _xlfn.XLOOKUP(C329,Cartera1017[ID Mantenimiento],Cartera1017[Fin Calidad]),
IF(TRIM(D329)="Producción",
   _xlfn.XLOOKUP(C329,Cartera1017[ID Mantenimiento],Cartera1017[Fin Producción]),
""))))</f>
        <v>46203</v>
      </c>
    </row>
    <row r="330" spans="1:8" hidden="1" outlineLevel="1">
      <c r="A330" t="str">
        <f ca="1"/>
        <v>Operaciones</v>
      </c>
      <c r="B330" t="str">
        <f ca="1"/>
        <v>03. En Desarrollo</v>
      </c>
      <c r="C330" t="str">
        <f ca="1"/>
        <v>2025-M0653</v>
      </c>
      <c r="D330" t="str">
        <f ca="1"/>
        <v xml:space="preserve">   Calidad</v>
      </c>
      <c r="E330" s="255">
        <f ca="1"/>
        <v>0.15</v>
      </c>
      <c r="F330" s="255">
        <f ca="1"/>
        <v>0.15</v>
      </c>
      <c r="G330" s="356">
        <f ca="1">IF(TRIM(D330)=C330,
   _xlfn.XLOOKUP(C330, Cartera1017[ID Mantenimiento],Cartera1017[Comienzo Desarrollo]),
IF(TRIM(D330)="Desarrollo",
   _xlfn.XLOOKUP(C330,Cartera1017[ID Mantenimiento],Cartera1017[Comienzo Desarrollo]),
IF(TRIM(D330)="Calidad",
   _xlfn.XLOOKUP(C330,Cartera1017[ID Mantenimiento],Cartera1017[Comienzo Calidad]),
IF(TRIM(D330)="Producción",
   _xlfn.XLOOKUP(C330,Cartera1017[ID Mantenimiento],Cartera1017[Comienzo Producción]),
""))))</f>
        <v>46204</v>
      </c>
      <c r="H330" s="160">
        <f ca="1">IF(TRIM(D330)=C330,
   _xlfn.XLOOKUP(C330, Cartera1017[ID Mantenimiento],Cartera1017[Fin Producción]),
IF(TRIM(D330)="Desarrollo",
   _xlfn.XLOOKUP(C330,Cartera1017[ID Mantenimiento],Cartera1017[Fin Desarrollo]),
IF(TRIM(D330)="Calidad",
   _xlfn.XLOOKUP(C330,Cartera1017[ID Mantenimiento],Cartera1017[Fin Calidad]),
IF(TRIM(D330)="Producción",
   _xlfn.XLOOKUP(C330,Cartera1017[ID Mantenimiento],Cartera1017[Fin Producción]),
""))))</f>
        <v>46234</v>
      </c>
    </row>
    <row r="331" spans="1:8" hidden="1" outlineLevel="1">
      <c r="A331" t="str">
        <f ca="1"/>
        <v>Operaciones</v>
      </c>
      <c r="B331" t="str">
        <f ca="1"/>
        <v>03. En Desarrollo</v>
      </c>
      <c r="C331" t="str">
        <f ca="1"/>
        <v>2025-M0653</v>
      </c>
      <c r="D331" t="str">
        <f ca="1"/>
        <v xml:space="preserve">   Producción</v>
      </c>
      <c r="E331" s="255">
        <f ca="1"/>
        <v>0.15</v>
      </c>
      <c r="F331" s="255">
        <f ca="1"/>
        <v>0.15</v>
      </c>
      <c r="G331" s="356">
        <f ca="1">IF(TRIM(D331)=C331,
   _xlfn.XLOOKUP(C331, Cartera1017[ID Mantenimiento],Cartera1017[Comienzo Desarrollo]),
IF(TRIM(D331)="Desarrollo",
   _xlfn.XLOOKUP(C331,Cartera1017[ID Mantenimiento],Cartera1017[Comienzo Desarrollo]),
IF(TRIM(D331)="Calidad",
   _xlfn.XLOOKUP(C331,Cartera1017[ID Mantenimiento],Cartera1017[Comienzo Calidad]),
IF(TRIM(D331)="Producción",
   _xlfn.XLOOKUP(C331,Cartera1017[ID Mantenimiento],Cartera1017[Comienzo Producción]),
""))))</f>
        <v>46237</v>
      </c>
      <c r="H331" s="160">
        <f ca="1">IF(TRIM(D331)=C331,
   _xlfn.XLOOKUP(C331, Cartera1017[ID Mantenimiento],Cartera1017[Fin Producción]),
IF(TRIM(D331)="Desarrollo",
   _xlfn.XLOOKUP(C331,Cartera1017[ID Mantenimiento],Cartera1017[Fin Desarrollo]),
IF(TRIM(D331)="Calidad",
   _xlfn.XLOOKUP(C331,Cartera1017[ID Mantenimiento],Cartera1017[Fin Calidad]),
IF(TRIM(D331)="Producción",
   _xlfn.XLOOKUP(C331,Cartera1017[ID Mantenimiento],Cartera1017[Fin Producción]),
""))))</f>
        <v>46241</v>
      </c>
    </row>
    <row r="332" spans="1:8" hidden="1" collapsed="1">
      <c r="A332" t="str">
        <f ca="1"/>
        <v>Banca Digital</v>
      </c>
      <c r="B332" t="str">
        <f ca="1"/>
        <v>08. Producción Finalizada</v>
      </c>
      <c r="C332" t="str">
        <f ca="1"/>
        <v>2025-M0298</v>
      </c>
      <c r="D332" t="str">
        <f ca="1"/>
        <v>2025-M0298</v>
      </c>
      <c r="E332" s="255">
        <f ca="1"/>
        <v>1</v>
      </c>
      <c r="F332" s="255">
        <f ca="1"/>
        <v>1</v>
      </c>
      <c r="G332" s="356">
        <f ca="1">IF(TRIM(D332)=C332,
   _xlfn.XLOOKUP(C332, Cartera1017[ID Mantenimiento],Cartera1017[Comienzo Desarrollo]),
IF(TRIM(D332)="Desarrollo",
   _xlfn.XLOOKUP(C332,Cartera1017[ID Mantenimiento],Cartera1017[Comienzo Desarrollo]),
IF(TRIM(D332)="Calidad",
   _xlfn.XLOOKUP(C332,Cartera1017[ID Mantenimiento],Cartera1017[Comienzo Calidad]),
IF(TRIM(D332)="Producción",
   _xlfn.XLOOKUP(C332,Cartera1017[ID Mantenimiento],Cartera1017[Comienzo Producción]),
""))))</f>
        <v>45757</v>
      </c>
      <c r="H332" s="160">
        <f ca="1">IF(TRIM(D332)=C332,
   _xlfn.XLOOKUP(C332, Cartera1017[ID Mantenimiento],Cartera1017[Fin Producción]),
IF(TRIM(D332)="Desarrollo",
   _xlfn.XLOOKUP(C332,Cartera1017[ID Mantenimiento],Cartera1017[Fin Desarrollo]),
IF(TRIM(D332)="Calidad",
   _xlfn.XLOOKUP(C332,Cartera1017[ID Mantenimiento],Cartera1017[Fin Calidad]),
IF(TRIM(D332)="Producción",
   _xlfn.XLOOKUP(C332,Cartera1017[ID Mantenimiento],Cartera1017[Fin Producción]),
""))))</f>
        <v>46035</v>
      </c>
    </row>
    <row r="333" spans="1:8" hidden="1" outlineLevel="1">
      <c r="A333" t="str">
        <f ca="1"/>
        <v>Banca Digital</v>
      </c>
      <c r="B333" t="str">
        <f ca="1"/>
        <v>08. Producción Finalizada</v>
      </c>
      <c r="C333" t="str">
        <f ca="1"/>
        <v>2025-M0298</v>
      </c>
      <c r="D333" t="str">
        <f ca="1"/>
        <v xml:space="preserve">   Desarrollo</v>
      </c>
      <c r="E333" s="255">
        <f ca="1"/>
        <v>1</v>
      </c>
      <c r="F333" s="255">
        <f ca="1"/>
        <v>1</v>
      </c>
      <c r="G333" s="356">
        <f ca="1">IF(TRIM(D333)=C333,
   _xlfn.XLOOKUP(C333, Cartera1017[ID Mantenimiento],Cartera1017[Comienzo Desarrollo]),
IF(TRIM(D333)="Desarrollo",
   _xlfn.XLOOKUP(C333,Cartera1017[ID Mantenimiento],Cartera1017[Comienzo Desarrollo]),
IF(TRIM(D333)="Calidad",
   _xlfn.XLOOKUP(C333,Cartera1017[ID Mantenimiento],Cartera1017[Comienzo Calidad]),
IF(TRIM(D333)="Producción",
   _xlfn.XLOOKUP(C333,Cartera1017[ID Mantenimiento],Cartera1017[Comienzo Producción]),
""))))</f>
        <v>45757</v>
      </c>
      <c r="H333" s="160" t="str">
        <f ca="1">IF(TRIM(D333)=C333,
   _xlfn.XLOOKUP(C333, Cartera1017[ID Mantenimiento],Cartera1017[Fin Producción]),
IF(TRIM(D333)="Desarrollo",
   _xlfn.XLOOKUP(C333,Cartera1017[ID Mantenimiento],Cartera1017[Fin Desarrollo]),
IF(TRIM(D333)="Calidad",
   _xlfn.XLOOKUP(C333,Cartera1017[ID Mantenimiento],Cartera1017[Fin Calidad]),
IF(TRIM(D333)="Producción",
   _xlfn.XLOOKUP(C333,Cartera1017[ID Mantenimiento],Cartera1017[Fin Producción]),
""))))</f>
        <v/>
      </c>
    </row>
    <row r="334" spans="1:8" hidden="1" outlineLevel="1">
      <c r="A334" t="str">
        <f ca="1"/>
        <v>Banca Digital</v>
      </c>
      <c r="B334" t="str">
        <f ca="1"/>
        <v>08. Producción Finalizada</v>
      </c>
      <c r="C334" t="str">
        <f ca="1"/>
        <v>2025-M0298</v>
      </c>
      <c r="D334" t="str">
        <f ca="1"/>
        <v xml:space="preserve">   Calidad</v>
      </c>
      <c r="E334" s="255">
        <f ca="1"/>
        <v>1</v>
      </c>
      <c r="F334" s="255">
        <f ca="1"/>
        <v>1</v>
      </c>
      <c r="G334" s="356" t="str">
        <f ca="1">IF(TRIM(D334)=C334,
   _xlfn.XLOOKUP(C334, Cartera1017[ID Mantenimiento],Cartera1017[Comienzo Desarrollo]),
IF(TRIM(D334)="Desarrollo",
   _xlfn.XLOOKUP(C334,Cartera1017[ID Mantenimiento],Cartera1017[Comienzo Desarrollo]),
IF(TRIM(D334)="Calidad",
   _xlfn.XLOOKUP(C334,Cartera1017[ID Mantenimiento],Cartera1017[Comienzo Calidad]),
IF(TRIM(D334)="Producción",
   _xlfn.XLOOKUP(C334,Cartera1017[ID Mantenimiento],Cartera1017[Comienzo Producción]),
""))))</f>
        <v/>
      </c>
      <c r="H334" s="160" t="str">
        <f ca="1">IF(TRIM(D334)=C334,
   _xlfn.XLOOKUP(C334, Cartera1017[ID Mantenimiento],Cartera1017[Fin Producción]),
IF(TRIM(D334)="Desarrollo",
   _xlfn.XLOOKUP(C334,Cartera1017[ID Mantenimiento],Cartera1017[Fin Desarrollo]),
IF(TRIM(D334)="Calidad",
   _xlfn.XLOOKUP(C334,Cartera1017[ID Mantenimiento],Cartera1017[Fin Calidad]),
IF(TRIM(D334)="Producción",
   _xlfn.XLOOKUP(C334,Cartera1017[ID Mantenimiento],Cartera1017[Fin Producción]),
""))))</f>
        <v/>
      </c>
    </row>
    <row r="335" spans="1:8" hidden="1" outlineLevel="1">
      <c r="A335" t="str">
        <f ca="1"/>
        <v>Banca Digital</v>
      </c>
      <c r="B335" t="str">
        <f ca="1"/>
        <v>08. Producción Finalizada</v>
      </c>
      <c r="C335" t="str">
        <f ca="1"/>
        <v>2025-M0298</v>
      </c>
      <c r="D335" t="str">
        <f ca="1"/>
        <v xml:space="preserve">   Producción</v>
      </c>
      <c r="E335" s="255">
        <f ca="1"/>
        <v>1</v>
      </c>
      <c r="F335" s="255">
        <f ca="1"/>
        <v>1</v>
      </c>
      <c r="G335" s="356">
        <f ca="1">IF(TRIM(D335)=C335,
   _xlfn.XLOOKUP(C335, Cartera1017[ID Mantenimiento],Cartera1017[Comienzo Desarrollo]),
IF(TRIM(D335)="Desarrollo",
   _xlfn.XLOOKUP(C335,Cartera1017[ID Mantenimiento],Cartera1017[Comienzo Desarrollo]),
IF(TRIM(D335)="Calidad",
   _xlfn.XLOOKUP(C335,Cartera1017[ID Mantenimiento],Cartera1017[Comienzo Calidad]),
IF(TRIM(D335)="Producción",
   _xlfn.XLOOKUP(C335,Cartera1017[ID Mantenimiento],Cartera1017[Comienzo Producción]),
""))))</f>
        <v>45763</v>
      </c>
      <c r="H335" s="160">
        <f ca="1">IF(TRIM(D335)=C335,
   _xlfn.XLOOKUP(C335, Cartera1017[ID Mantenimiento],Cartera1017[Fin Producción]),
IF(TRIM(D335)="Desarrollo",
   _xlfn.XLOOKUP(C335,Cartera1017[ID Mantenimiento],Cartera1017[Fin Desarrollo]),
IF(TRIM(D335)="Calidad",
   _xlfn.XLOOKUP(C335,Cartera1017[ID Mantenimiento],Cartera1017[Fin Calidad]),
IF(TRIM(D335)="Producción",
   _xlfn.XLOOKUP(C335,Cartera1017[ID Mantenimiento],Cartera1017[Fin Producción]),
""))))</f>
        <v>46035</v>
      </c>
    </row>
    <row r="336" spans="1:8" hidden="1" collapsed="1">
      <c r="A336" t="str">
        <f ca="1"/>
        <v>Operaciones</v>
      </c>
      <c r="B336" t="str">
        <f ca="1"/>
        <v>08. Producción Finalizada</v>
      </c>
      <c r="C336" t="str">
        <f ca="1"/>
        <v>2025-M0268</v>
      </c>
      <c r="D336" t="str">
        <f ca="1"/>
        <v>2025-M0268</v>
      </c>
      <c r="E336" s="255">
        <f ca="1"/>
        <v>1</v>
      </c>
      <c r="F336" s="255">
        <f ca="1"/>
        <v>1</v>
      </c>
      <c r="G336" s="356">
        <f ca="1">IF(TRIM(D336)=C336,
   _xlfn.XLOOKUP(C336, Cartera1017[ID Mantenimiento],Cartera1017[Comienzo Desarrollo]),
IF(TRIM(D336)="Desarrollo",
   _xlfn.XLOOKUP(C336,Cartera1017[ID Mantenimiento],Cartera1017[Comienzo Desarrollo]),
IF(TRIM(D336)="Calidad",
   _xlfn.XLOOKUP(C336,Cartera1017[ID Mantenimiento],Cartera1017[Comienzo Calidad]),
IF(TRIM(D336)="Producción",
   _xlfn.XLOOKUP(C336,Cartera1017[ID Mantenimiento],Cartera1017[Comienzo Producción]),
""))))</f>
        <v>45743</v>
      </c>
      <c r="H336" s="160">
        <f ca="1">IF(TRIM(D336)=C336,
   _xlfn.XLOOKUP(C336, Cartera1017[ID Mantenimiento],Cartera1017[Fin Producción]),
IF(TRIM(D336)="Desarrollo",
   _xlfn.XLOOKUP(C336,Cartera1017[ID Mantenimiento],Cartera1017[Fin Desarrollo]),
IF(TRIM(D336)="Calidad",
   _xlfn.XLOOKUP(C336,Cartera1017[ID Mantenimiento],Cartera1017[Fin Calidad]),
IF(TRIM(D336)="Producción",
   _xlfn.XLOOKUP(C336,Cartera1017[ID Mantenimiento],Cartera1017[Fin Producción]),
""))))</f>
        <v>46108</v>
      </c>
    </row>
    <row r="337" spans="1:8" hidden="1" outlineLevel="1">
      <c r="A337" t="str">
        <f ca="1"/>
        <v>Operaciones</v>
      </c>
      <c r="B337" t="str">
        <f ca="1"/>
        <v>08. Producción Finalizada</v>
      </c>
      <c r="C337" t="str">
        <f ca="1"/>
        <v>2025-M0268</v>
      </c>
      <c r="D337" t="str">
        <f ca="1"/>
        <v xml:space="preserve">   Desarrollo</v>
      </c>
      <c r="E337" s="255">
        <f ca="1"/>
        <v>1</v>
      </c>
      <c r="F337" s="255">
        <f ca="1"/>
        <v>1</v>
      </c>
      <c r="G337" s="356">
        <f ca="1">IF(TRIM(D337)=C337,
   _xlfn.XLOOKUP(C337, Cartera1017[ID Mantenimiento],Cartera1017[Comienzo Desarrollo]),
IF(TRIM(D337)="Desarrollo",
   _xlfn.XLOOKUP(C337,Cartera1017[ID Mantenimiento],Cartera1017[Comienzo Desarrollo]),
IF(TRIM(D337)="Calidad",
   _xlfn.XLOOKUP(C337,Cartera1017[ID Mantenimiento],Cartera1017[Comienzo Calidad]),
IF(TRIM(D337)="Producción",
   _xlfn.XLOOKUP(C337,Cartera1017[ID Mantenimiento],Cartera1017[Comienzo Producción]),
""))))</f>
        <v>45743</v>
      </c>
      <c r="H337" s="160">
        <f ca="1">IF(TRIM(D337)=C337,
   _xlfn.XLOOKUP(C337, Cartera1017[ID Mantenimiento],Cartera1017[Fin Producción]),
IF(TRIM(D337)="Desarrollo",
   _xlfn.XLOOKUP(C337,Cartera1017[ID Mantenimiento],Cartera1017[Fin Desarrollo]),
IF(TRIM(D337)="Calidad",
   _xlfn.XLOOKUP(C337,Cartera1017[ID Mantenimiento],Cartera1017[Fin Calidad]),
IF(TRIM(D337)="Producción",
   _xlfn.XLOOKUP(C337,Cartera1017[ID Mantenimiento],Cartera1017[Fin Producción]),
""))))</f>
        <v>45863</v>
      </c>
    </row>
    <row r="338" spans="1:8" hidden="1" outlineLevel="1">
      <c r="A338" t="str">
        <f ca="1"/>
        <v>Operaciones</v>
      </c>
      <c r="B338" t="str">
        <f ca="1"/>
        <v>08. Producción Finalizada</v>
      </c>
      <c r="C338" t="str">
        <f ca="1"/>
        <v>2025-M0268</v>
      </c>
      <c r="D338" t="str">
        <f ca="1"/>
        <v xml:space="preserve">   Calidad</v>
      </c>
      <c r="E338" s="255">
        <f ca="1"/>
        <v>1</v>
      </c>
      <c r="F338" s="255">
        <f ca="1"/>
        <v>1</v>
      </c>
      <c r="G338" s="356">
        <f ca="1">IF(TRIM(D338)=C338,
   _xlfn.XLOOKUP(C338, Cartera1017[ID Mantenimiento],Cartera1017[Comienzo Desarrollo]),
IF(TRIM(D338)="Desarrollo",
   _xlfn.XLOOKUP(C338,Cartera1017[ID Mantenimiento],Cartera1017[Comienzo Desarrollo]),
IF(TRIM(D338)="Calidad",
   _xlfn.XLOOKUP(C338,Cartera1017[ID Mantenimiento],Cartera1017[Comienzo Calidad]),
IF(TRIM(D338)="Producción",
   _xlfn.XLOOKUP(C338,Cartera1017[ID Mantenimiento],Cartera1017[Comienzo Producción]),
""))))</f>
        <v>45866</v>
      </c>
      <c r="H338" s="160">
        <f ca="1">IF(TRIM(D338)=C338,
   _xlfn.XLOOKUP(C338, Cartera1017[ID Mantenimiento],Cartera1017[Fin Producción]),
IF(TRIM(D338)="Desarrollo",
   _xlfn.XLOOKUP(C338,Cartera1017[ID Mantenimiento],Cartera1017[Fin Desarrollo]),
IF(TRIM(D338)="Calidad",
   _xlfn.XLOOKUP(C338,Cartera1017[ID Mantenimiento],Cartera1017[Fin Calidad]),
IF(TRIM(D338)="Producción",
   _xlfn.XLOOKUP(C338,Cartera1017[ID Mantenimiento],Cartera1017[Fin Producción]),
""))))</f>
        <v>45877</v>
      </c>
    </row>
    <row r="339" spans="1:8" hidden="1" outlineLevel="1">
      <c r="A339" t="str">
        <f ca="1"/>
        <v>Operaciones</v>
      </c>
      <c r="B339" t="str">
        <f ca="1"/>
        <v>08. Producción Finalizada</v>
      </c>
      <c r="C339" t="str">
        <f ca="1"/>
        <v>2025-M0268</v>
      </c>
      <c r="D339" t="str">
        <f ca="1"/>
        <v xml:space="preserve">   Producción</v>
      </c>
      <c r="E339" s="255">
        <f ca="1"/>
        <v>1</v>
      </c>
      <c r="F339" s="255">
        <f ca="1"/>
        <v>1</v>
      </c>
      <c r="G339" s="356">
        <f ca="1">IF(TRIM(D339)=C339,
   _xlfn.XLOOKUP(C339, Cartera1017[ID Mantenimiento],Cartera1017[Comienzo Desarrollo]),
IF(TRIM(D339)="Desarrollo",
   _xlfn.XLOOKUP(C339,Cartera1017[ID Mantenimiento],Cartera1017[Comienzo Desarrollo]),
IF(TRIM(D339)="Calidad",
   _xlfn.XLOOKUP(C339,Cartera1017[ID Mantenimiento],Cartera1017[Comienzo Calidad]),
IF(TRIM(D339)="Producción",
   _xlfn.XLOOKUP(C339,Cartera1017[ID Mantenimiento],Cartera1017[Comienzo Producción]),
""))))</f>
        <v>45905</v>
      </c>
      <c r="H339" s="160">
        <f ca="1">IF(TRIM(D339)=C339,
   _xlfn.XLOOKUP(C339, Cartera1017[ID Mantenimiento],Cartera1017[Fin Producción]),
IF(TRIM(D339)="Desarrollo",
   _xlfn.XLOOKUP(C339,Cartera1017[ID Mantenimiento],Cartera1017[Fin Desarrollo]),
IF(TRIM(D339)="Calidad",
   _xlfn.XLOOKUP(C339,Cartera1017[ID Mantenimiento],Cartera1017[Fin Calidad]),
IF(TRIM(D339)="Producción",
   _xlfn.XLOOKUP(C339,Cartera1017[ID Mantenimiento],Cartera1017[Fin Producción]),
""))))</f>
        <v>46108</v>
      </c>
    </row>
    <row r="340" spans="1:8" hidden="1" collapsed="1">
      <c r="A340" t="str">
        <f ca="1"/>
        <v>Operaciones</v>
      </c>
      <c r="B340" t="str">
        <f ca="1"/>
        <v>07. En Despliegue</v>
      </c>
      <c r="C340" t="str">
        <f ca="1"/>
        <v>2025-M0255</v>
      </c>
      <c r="D340" t="str">
        <f ca="1"/>
        <v>2025-M0255</v>
      </c>
      <c r="E340" s="255">
        <f ca="1"/>
        <v>0.9</v>
      </c>
      <c r="F340" s="255">
        <f ca="1"/>
        <v>1</v>
      </c>
      <c r="G340" s="356">
        <f ca="1">IF(TRIM(D340)=C340,
   _xlfn.XLOOKUP(C340, Cartera1017[ID Mantenimiento],Cartera1017[Comienzo Desarrollo]),
IF(TRIM(D340)="Desarrollo",
   _xlfn.XLOOKUP(C340,Cartera1017[ID Mantenimiento],Cartera1017[Comienzo Desarrollo]),
IF(TRIM(D340)="Calidad",
   _xlfn.XLOOKUP(C340,Cartera1017[ID Mantenimiento],Cartera1017[Comienzo Calidad]),
IF(TRIM(D340)="Producción",
   _xlfn.XLOOKUP(C340,Cartera1017[ID Mantenimiento],Cartera1017[Comienzo Producción]),
""))))</f>
        <v>46083</v>
      </c>
      <c r="H340" s="160">
        <f ca="1">IF(TRIM(D340)=C340,
   _xlfn.XLOOKUP(C340, Cartera1017[ID Mantenimiento],Cartera1017[Fin Producción]),
IF(TRIM(D340)="Desarrollo",
   _xlfn.XLOOKUP(C340,Cartera1017[ID Mantenimiento],Cartera1017[Fin Desarrollo]),
IF(TRIM(D340)="Calidad",
   _xlfn.XLOOKUP(C340,Cartera1017[ID Mantenimiento],Cartera1017[Fin Calidad]),
IF(TRIM(D340)="Producción",
   _xlfn.XLOOKUP(C340,Cartera1017[ID Mantenimiento],Cartera1017[Fin Producción]),
""))))</f>
        <v>46125</v>
      </c>
    </row>
    <row r="341" spans="1:8" hidden="1" outlineLevel="1">
      <c r="A341" t="str">
        <f ca="1"/>
        <v>Operaciones</v>
      </c>
      <c r="B341" t="str">
        <f ca="1"/>
        <v>07. En Despliegue</v>
      </c>
      <c r="C341" t="str">
        <f ca="1"/>
        <v>2025-M0255</v>
      </c>
      <c r="D341" t="str">
        <f ca="1"/>
        <v xml:space="preserve">   Desarrollo</v>
      </c>
      <c r="E341" s="255">
        <f ca="1"/>
        <v>0.9</v>
      </c>
      <c r="F341" s="255">
        <f ca="1"/>
        <v>1</v>
      </c>
      <c r="G341" s="356">
        <f ca="1">IF(TRIM(D341)=C341,
   _xlfn.XLOOKUP(C341, Cartera1017[ID Mantenimiento],Cartera1017[Comienzo Desarrollo]),
IF(TRIM(D341)="Desarrollo",
   _xlfn.XLOOKUP(C341,Cartera1017[ID Mantenimiento],Cartera1017[Comienzo Desarrollo]),
IF(TRIM(D341)="Calidad",
   _xlfn.XLOOKUP(C341,Cartera1017[ID Mantenimiento],Cartera1017[Comienzo Calidad]),
IF(TRIM(D341)="Producción",
   _xlfn.XLOOKUP(C341,Cartera1017[ID Mantenimiento],Cartera1017[Comienzo Producción]),
""))))</f>
        <v>46083</v>
      </c>
      <c r="H341" s="160">
        <f ca="1">IF(TRIM(D341)=C341,
   _xlfn.XLOOKUP(C341, Cartera1017[ID Mantenimiento],Cartera1017[Fin Producción]),
IF(TRIM(D341)="Desarrollo",
   _xlfn.XLOOKUP(C341,Cartera1017[ID Mantenimiento],Cartera1017[Fin Desarrollo]),
IF(TRIM(D341)="Calidad",
   _xlfn.XLOOKUP(C341,Cartera1017[ID Mantenimiento],Cartera1017[Fin Calidad]),
IF(TRIM(D341)="Producción",
   _xlfn.XLOOKUP(C341,Cartera1017[ID Mantenimiento],Cartera1017[Fin Producción]),
""))))</f>
        <v>46090</v>
      </c>
    </row>
    <row r="342" spans="1:8" hidden="1" outlineLevel="1">
      <c r="A342" t="str">
        <f ca="1"/>
        <v>Operaciones</v>
      </c>
      <c r="B342" t="str">
        <f ca="1"/>
        <v>07. En Despliegue</v>
      </c>
      <c r="C342" t="str">
        <f ca="1"/>
        <v>2025-M0255</v>
      </c>
      <c r="D342" t="str">
        <f ca="1"/>
        <v xml:space="preserve">   Calidad</v>
      </c>
      <c r="E342" s="255">
        <f ca="1"/>
        <v>0.9</v>
      </c>
      <c r="F342" s="255">
        <f ca="1"/>
        <v>1</v>
      </c>
      <c r="G342" s="356">
        <f ca="1">IF(TRIM(D342)=C342,
   _xlfn.XLOOKUP(C342, Cartera1017[ID Mantenimiento],Cartera1017[Comienzo Desarrollo]),
IF(TRIM(D342)="Desarrollo",
   _xlfn.XLOOKUP(C342,Cartera1017[ID Mantenimiento],Cartera1017[Comienzo Desarrollo]),
IF(TRIM(D342)="Calidad",
   _xlfn.XLOOKUP(C342,Cartera1017[ID Mantenimiento],Cartera1017[Comienzo Calidad]),
IF(TRIM(D342)="Producción",
   _xlfn.XLOOKUP(C342,Cartera1017[ID Mantenimiento],Cartera1017[Comienzo Producción]),
""))))</f>
        <v>46092</v>
      </c>
      <c r="H342" s="160">
        <f ca="1">IF(TRIM(D342)=C342,
   _xlfn.XLOOKUP(C342, Cartera1017[ID Mantenimiento],Cartera1017[Fin Producción]),
IF(TRIM(D342)="Desarrollo",
   _xlfn.XLOOKUP(C342,Cartera1017[ID Mantenimiento],Cartera1017[Fin Desarrollo]),
IF(TRIM(D342)="Calidad",
   _xlfn.XLOOKUP(C342,Cartera1017[ID Mantenimiento],Cartera1017[Fin Calidad]),
IF(TRIM(D342)="Producción",
   _xlfn.XLOOKUP(C342,Cartera1017[ID Mantenimiento],Cartera1017[Fin Producción]),
""))))</f>
        <v>46118</v>
      </c>
    </row>
    <row r="343" spans="1:8" hidden="1" outlineLevel="1">
      <c r="A343" t="str">
        <f ca="1"/>
        <v>Operaciones</v>
      </c>
      <c r="B343" t="str">
        <f ca="1"/>
        <v>07. En Despliegue</v>
      </c>
      <c r="C343" t="str">
        <f ca="1"/>
        <v>2025-M0255</v>
      </c>
      <c r="D343" t="str">
        <f ca="1"/>
        <v xml:space="preserve">   Producción</v>
      </c>
      <c r="E343" s="255">
        <f ca="1"/>
        <v>0.9</v>
      </c>
      <c r="F343" s="255">
        <f ca="1"/>
        <v>1</v>
      </c>
      <c r="G343" s="356">
        <f ca="1">IF(TRIM(D343)=C343,
   _xlfn.XLOOKUP(C343, Cartera1017[ID Mantenimiento],Cartera1017[Comienzo Desarrollo]),
IF(TRIM(D343)="Desarrollo",
   _xlfn.XLOOKUP(C343,Cartera1017[ID Mantenimiento],Cartera1017[Comienzo Desarrollo]),
IF(TRIM(D343)="Calidad",
   _xlfn.XLOOKUP(C343,Cartera1017[ID Mantenimiento],Cartera1017[Comienzo Calidad]),
IF(TRIM(D343)="Producción",
   _xlfn.XLOOKUP(C343,Cartera1017[ID Mantenimiento],Cartera1017[Comienzo Producción]),
""))))</f>
        <v>46119</v>
      </c>
      <c r="H343" s="160">
        <f ca="1">IF(TRIM(D343)=C343,
   _xlfn.XLOOKUP(C343, Cartera1017[ID Mantenimiento],Cartera1017[Fin Producción]),
IF(TRIM(D343)="Desarrollo",
   _xlfn.XLOOKUP(C343,Cartera1017[ID Mantenimiento],Cartera1017[Fin Desarrollo]),
IF(TRIM(D343)="Calidad",
   _xlfn.XLOOKUP(C343,Cartera1017[ID Mantenimiento],Cartera1017[Fin Calidad]),
IF(TRIM(D343)="Producción",
   _xlfn.XLOOKUP(C343,Cartera1017[ID Mantenimiento],Cartera1017[Fin Producción]),
""))))</f>
        <v>46125</v>
      </c>
    </row>
    <row r="344" spans="1:8" hidden="1" collapsed="1">
      <c r="A344" t="str">
        <f ca="1"/>
        <v>Operaciones</v>
      </c>
      <c r="B344" t="str">
        <f ca="1"/>
        <v>08. Producción Finalizada</v>
      </c>
      <c r="C344" t="str">
        <f ca="1"/>
        <v>2025-M0293</v>
      </c>
      <c r="D344" t="str">
        <f ca="1"/>
        <v>2025-M0293</v>
      </c>
      <c r="E344" s="255">
        <f ca="1"/>
        <v>1</v>
      </c>
      <c r="F344" s="255">
        <f ca="1"/>
        <v>1</v>
      </c>
      <c r="G344" s="356">
        <f ca="1">IF(TRIM(D344)=C344,
   _xlfn.XLOOKUP(C344, Cartera1017[ID Mantenimiento],Cartera1017[Comienzo Desarrollo]),
IF(TRIM(D344)="Desarrollo",
   _xlfn.XLOOKUP(C344,Cartera1017[ID Mantenimiento],Cartera1017[Comienzo Desarrollo]),
IF(TRIM(D344)="Calidad",
   _xlfn.XLOOKUP(C344,Cartera1017[ID Mantenimiento],Cartera1017[Comienzo Calidad]),
IF(TRIM(D344)="Producción",
   _xlfn.XLOOKUP(C344,Cartera1017[ID Mantenimiento],Cartera1017[Comienzo Producción]),
""))))</f>
        <v>45756</v>
      </c>
      <c r="H344" s="160">
        <f ca="1">IF(TRIM(D344)=C344,
   _xlfn.XLOOKUP(C344, Cartera1017[ID Mantenimiento],Cartera1017[Fin Producción]),
IF(TRIM(D344)="Desarrollo",
   _xlfn.XLOOKUP(C344,Cartera1017[ID Mantenimiento],Cartera1017[Fin Desarrollo]),
IF(TRIM(D344)="Calidad",
   _xlfn.XLOOKUP(C344,Cartera1017[ID Mantenimiento],Cartera1017[Fin Calidad]),
IF(TRIM(D344)="Producción",
   _xlfn.XLOOKUP(C344,Cartera1017[ID Mantenimiento],Cartera1017[Fin Producción]),
""))))</f>
        <v>46035</v>
      </c>
    </row>
    <row r="345" spans="1:8" hidden="1" outlineLevel="1">
      <c r="A345" t="str">
        <f ca="1"/>
        <v>Operaciones</v>
      </c>
      <c r="B345" t="str">
        <f ca="1"/>
        <v>08. Producción Finalizada</v>
      </c>
      <c r="C345" t="str">
        <f ca="1"/>
        <v>2025-M0293</v>
      </c>
      <c r="D345" t="str">
        <f ca="1"/>
        <v xml:space="preserve">   Desarrollo</v>
      </c>
      <c r="E345" s="255">
        <f ca="1"/>
        <v>1</v>
      </c>
      <c r="F345" s="255">
        <f ca="1"/>
        <v>1</v>
      </c>
      <c r="G345" s="356">
        <f ca="1">IF(TRIM(D345)=C345,
   _xlfn.XLOOKUP(C345, Cartera1017[ID Mantenimiento],Cartera1017[Comienzo Desarrollo]),
IF(TRIM(D345)="Desarrollo",
   _xlfn.XLOOKUP(C345,Cartera1017[ID Mantenimiento],Cartera1017[Comienzo Desarrollo]),
IF(TRIM(D345)="Calidad",
   _xlfn.XLOOKUP(C345,Cartera1017[ID Mantenimiento],Cartera1017[Comienzo Calidad]),
IF(TRIM(D345)="Producción",
   _xlfn.XLOOKUP(C345,Cartera1017[ID Mantenimiento],Cartera1017[Comienzo Producción]),
""))))</f>
        <v>45756</v>
      </c>
      <c r="H345" s="160">
        <f ca="1">IF(TRIM(D345)=C345,
   _xlfn.XLOOKUP(C345, Cartera1017[ID Mantenimiento],Cartera1017[Fin Producción]),
IF(TRIM(D345)="Desarrollo",
   _xlfn.XLOOKUP(C345,Cartera1017[ID Mantenimiento],Cartera1017[Fin Desarrollo]),
IF(TRIM(D345)="Calidad",
   _xlfn.XLOOKUP(C345,Cartera1017[ID Mantenimiento],Cartera1017[Fin Calidad]),
IF(TRIM(D345)="Producción",
   _xlfn.XLOOKUP(C345,Cartera1017[ID Mantenimiento],Cartera1017[Fin Producción]),
""))))</f>
        <v>45877</v>
      </c>
    </row>
    <row r="346" spans="1:8" hidden="1" outlineLevel="1">
      <c r="A346" t="str">
        <f ca="1"/>
        <v>Operaciones</v>
      </c>
      <c r="B346" t="str">
        <f ca="1"/>
        <v>08. Producción Finalizada</v>
      </c>
      <c r="C346" t="str">
        <f ca="1"/>
        <v>2025-M0293</v>
      </c>
      <c r="D346" t="str">
        <f ca="1"/>
        <v xml:space="preserve">   Calidad</v>
      </c>
      <c r="E346" s="255">
        <f ca="1"/>
        <v>1</v>
      </c>
      <c r="F346" s="255">
        <f ca="1"/>
        <v>1</v>
      </c>
      <c r="G346" s="356" t="str">
        <f ca="1">IF(TRIM(D346)=C346,
   _xlfn.XLOOKUP(C346, Cartera1017[ID Mantenimiento],Cartera1017[Comienzo Desarrollo]),
IF(TRIM(D346)="Desarrollo",
   _xlfn.XLOOKUP(C346,Cartera1017[ID Mantenimiento],Cartera1017[Comienzo Desarrollo]),
IF(TRIM(D346)="Calidad",
   _xlfn.XLOOKUP(C346,Cartera1017[ID Mantenimiento],Cartera1017[Comienzo Calidad]),
IF(TRIM(D346)="Producción",
   _xlfn.XLOOKUP(C346,Cartera1017[ID Mantenimiento],Cartera1017[Comienzo Producción]),
""))))</f>
        <v/>
      </c>
      <c r="H346" s="160" t="str">
        <f ca="1">IF(TRIM(D346)=C346,
   _xlfn.XLOOKUP(C346, Cartera1017[ID Mantenimiento],Cartera1017[Fin Producción]),
IF(TRIM(D346)="Desarrollo",
   _xlfn.XLOOKUP(C346,Cartera1017[ID Mantenimiento],Cartera1017[Fin Desarrollo]),
IF(TRIM(D346)="Calidad",
   _xlfn.XLOOKUP(C346,Cartera1017[ID Mantenimiento],Cartera1017[Fin Calidad]),
IF(TRIM(D346)="Producción",
   _xlfn.XLOOKUP(C346,Cartera1017[ID Mantenimiento],Cartera1017[Fin Producción]),
""))))</f>
        <v/>
      </c>
    </row>
    <row r="347" spans="1:8" hidden="1" outlineLevel="1">
      <c r="A347" t="str">
        <f ca="1"/>
        <v>Operaciones</v>
      </c>
      <c r="B347" t="str">
        <f ca="1"/>
        <v>08. Producción Finalizada</v>
      </c>
      <c r="C347" t="str">
        <f ca="1"/>
        <v>2025-M0293</v>
      </c>
      <c r="D347" t="str">
        <f ca="1"/>
        <v xml:space="preserve">   Producción</v>
      </c>
      <c r="E347" s="255">
        <f ca="1"/>
        <v>1</v>
      </c>
      <c r="F347" s="255">
        <f ca="1"/>
        <v>1</v>
      </c>
      <c r="G347" s="356">
        <f ca="1">IF(TRIM(D347)=C347,
   _xlfn.XLOOKUP(C347, Cartera1017[ID Mantenimiento],Cartera1017[Comienzo Desarrollo]),
IF(TRIM(D347)="Desarrollo",
   _xlfn.XLOOKUP(C347,Cartera1017[ID Mantenimiento],Cartera1017[Comienzo Desarrollo]),
IF(TRIM(D347)="Calidad",
   _xlfn.XLOOKUP(C347,Cartera1017[ID Mantenimiento],Cartera1017[Comienzo Calidad]),
IF(TRIM(D347)="Producción",
   _xlfn.XLOOKUP(C347,Cartera1017[ID Mantenimiento],Cartera1017[Comienzo Producción]),
""))))</f>
        <v>45757</v>
      </c>
      <c r="H347" s="160">
        <f ca="1">IF(TRIM(D347)=C347,
   _xlfn.XLOOKUP(C347, Cartera1017[ID Mantenimiento],Cartera1017[Fin Producción]),
IF(TRIM(D347)="Desarrollo",
   _xlfn.XLOOKUP(C347,Cartera1017[ID Mantenimiento],Cartera1017[Fin Desarrollo]),
IF(TRIM(D347)="Calidad",
   _xlfn.XLOOKUP(C347,Cartera1017[ID Mantenimiento],Cartera1017[Fin Calidad]),
IF(TRIM(D347)="Producción",
   _xlfn.XLOOKUP(C347,Cartera1017[ID Mantenimiento],Cartera1017[Fin Producción]),
""))))</f>
        <v>46035</v>
      </c>
    </row>
    <row r="348" spans="1:8" hidden="1" collapsed="1">
      <c r="A348" t="str">
        <f ca="1"/>
        <v>Recursos Humanos y Cultura</v>
      </c>
      <c r="B348" t="str">
        <f ca="1"/>
        <v>03. En Desarrollo</v>
      </c>
      <c r="C348" t="str">
        <f ca="1"/>
        <v>2025-M0301</v>
      </c>
      <c r="D348" t="str">
        <f ca="1"/>
        <v>2025-M0301</v>
      </c>
      <c r="E348" s="255">
        <f ca="1"/>
        <v>0.15</v>
      </c>
      <c r="F348" s="255">
        <f ca="1"/>
        <v>0.77922077922077926</v>
      </c>
      <c r="G348" s="356">
        <f ca="1">IF(TRIM(D348)=C348,
   _xlfn.XLOOKUP(C348, Cartera1017[ID Mantenimiento],Cartera1017[Comienzo Desarrollo]),
IF(TRIM(D348)="Desarrollo",
   _xlfn.XLOOKUP(C348,Cartera1017[ID Mantenimiento],Cartera1017[Comienzo Desarrollo]),
IF(TRIM(D348)="Calidad",
   _xlfn.XLOOKUP(C348,Cartera1017[ID Mantenimiento],Cartera1017[Comienzo Calidad]),
IF(TRIM(D348)="Producción",
   _xlfn.XLOOKUP(C348,Cartera1017[ID Mantenimiento],Cartera1017[Comienzo Producción]),
""))))</f>
        <v>46078</v>
      </c>
      <c r="H348" s="160">
        <f ca="1">IF(TRIM(D348)=C348,
   _xlfn.XLOOKUP(C348, Cartera1017[ID Mantenimiento],Cartera1017[Fin Producción]),
IF(TRIM(D348)="Desarrollo",
   _xlfn.XLOOKUP(C348,Cartera1017[ID Mantenimiento],Cartera1017[Fin Desarrollo]),
IF(TRIM(D348)="Calidad",
   _xlfn.XLOOKUP(C348,Cartera1017[ID Mantenimiento],Cartera1017[Fin Calidad]),
IF(TRIM(D348)="Producción",
   _xlfn.XLOOKUP(C348,Cartera1017[ID Mantenimiento],Cartera1017[Fin Producción]),
""))))</f>
        <v>46185</v>
      </c>
    </row>
    <row r="349" spans="1:8" hidden="1" outlineLevel="1">
      <c r="A349" t="str">
        <f ca="1"/>
        <v>Recursos Humanos y Cultura</v>
      </c>
      <c r="B349" t="str">
        <f ca="1"/>
        <v>03. En Desarrollo</v>
      </c>
      <c r="C349" t="str">
        <f ca="1"/>
        <v>2025-M0301</v>
      </c>
      <c r="D349" t="str">
        <f ca="1"/>
        <v xml:space="preserve">   Desarrollo</v>
      </c>
      <c r="E349" s="255">
        <f ca="1"/>
        <v>0.15</v>
      </c>
      <c r="F349" s="255">
        <f ca="1"/>
        <v>0.77922077922077926</v>
      </c>
      <c r="G349" s="356">
        <f ca="1">IF(TRIM(D349)=C349,
   _xlfn.XLOOKUP(C349, Cartera1017[ID Mantenimiento],Cartera1017[Comienzo Desarrollo]),
IF(TRIM(D349)="Desarrollo",
   _xlfn.XLOOKUP(C349,Cartera1017[ID Mantenimiento],Cartera1017[Comienzo Desarrollo]),
IF(TRIM(D349)="Calidad",
   _xlfn.XLOOKUP(C349,Cartera1017[ID Mantenimiento],Cartera1017[Comienzo Calidad]),
IF(TRIM(D349)="Producción",
   _xlfn.XLOOKUP(C349,Cartera1017[ID Mantenimiento],Cartera1017[Comienzo Producción]),
""))))</f>
        <v>46078</v>
      </c>
      <c r="H349" s="160">
        <f ca="1">IF(TRIM(D349)=C349,
   _xlfn.XLOOKUP(C349, Cartera1017[ID Mantenimiento],Cartera1017[Fin Producción]),
IF(TRIM(D349)="Desarrollo",
   _xlfn.XLOOKUP(C349,Cartera1017[ID Mantenimiento],Cartera1017[Fin Desarrollo]),
IF(TRIM(D349)="Calidad",
   _xlfn.XLOOKUP(C349,Cartera1017[ID Mantenimiento],Cartera1017[Fin Calidad]),
IF(TRIM(D349)="Producción",
   _xlfn.XLOOKUP(C349,Cartera1017[ID Mantenimiento],Cartera1017[Fin Producción]),
""))))</f>
        <v>46150</v>
      </c>
    </row>
    <row r="350" spans="1:8" hidden="1" outlineLevel="1">
      <c r="A350" t="str">
        <f ca="1"/>
        <v>Recursos Humanos y Cultura</v>
      </c>
      <c r="B350" t="str">
        <f ca="1"/>
        <v>03. En Desarrollo</v>
      </c>
      <c r="C350" t="str">
        <f ca="1"/>
        <v>2025-M0301</v>
      </c>
      <c r="D350" t="str">
        <f ca="1"/>
        <v xml:space="preserve">   Calidad</v>
      </c>
      <c r="E350" s="255">
        <f ca="1"/>
        <v>0.15</v>
      </c>
      <c r="F350" s="255">
        <f ca="1"/>
        <v>0.77922077922077926</v>
      </c>
      <c r="G350" s="356">
        <f ca="1">IF(TRIM(D350)=C350,
   _xlfn.XLOOKUP(C350, Cartera1017[ID Mantenimiento],Cartera1017[Comienzo Desarrollo]),
IF(TRIM(D350)="Desarrollo",
   _xlfn.XLOOKUP(C350,Cartera1017[ID Mantenimiento],Cartera1017[Comienzo Desarrollo]),
IF(TRIM(D350)="Calidad",
   _xlfn.XLOOKUP(C350,Cartera1017[ID Mantenimiento],Cartera1017[Comienzo Calidad]),
IF(TRIM(D350)="Producción",
   _xlfn.XLOOKUP(C350,Cartera1017[ID Mantenimiento],Cartera1017[Comienzo Producción]),
""))))</f>
        <v>46151</v>
      </c>
      <c r="H350" s="160">
        <f ca="1">IF(TRIM(D350)=C350,
   _xlfn.XLOOKUP(C350, Cartera1017[ID Mantenimiento],Cartera1017[Fin Producción]),
IF(TRIM(D350)="Desarrollo",
   _xlfn.XLOOKUP(C350,Cartera1017[ID Mantenimiento],Cartera1017[Fin Desarrollo]),
IF(TRIM(D350)="Calidad",
   _xlfn.XLOOKUP(C350,Cartera1017[ID Mantenimiento],Cartera1017[Fin Calidad]),
IF(TRIM(D350)="Producción",
   _xlfn.XLOOKUP(C350,Cartera1017[ID Mantenimiento],Cartera1017[Fin Producción]),
""))))</f>
        <v>46178</v>
      </c>
    </row>
    <row r="351" spans="1:8" hidden="1" outlineLevel="1">
      <c r="A351" t="str">
        <f ca="1"/>
        <v>Recursos Humanos y Cultura</v>
      </c>
      <c r="B351" t="str">
        <f ca="1"/>
        <v>03. En Desarrollo</v>
      </c>
      <c r="C351" t="str">
        <f ca="1"/>
        <v>2025-M0301</v>
      </c>
      <c r="D351" t="str">
        <f ca="1"/>
        <v xml:space="preserve">   Producción</v>
      </c>
      <c r="E351" s="255">
        <f ca="1"/>
        <v>0.15</v>
      </c>
      <c r="F351" s="255">
        <f ca="1"/>
        <v>0.77922077922077926</v>
      </c>
      <c r="G351" s="356">
        <f ca="1">IF(TRIM(D351)=C351,
   _xlfn.XLOOKUP(C351, Cartera1017[ID Mantenimiento],Cartera1017[Comienzo Desarrollo]),
IF(TRIM(D351)="Desarrollo",
   _xlfn.XLOOKUP(C351,Cartera1017[ID Mantenimiento],Cartera1017[Comienzo Desarrollo]),
IF(TRIM(D351)="Calidad",
   _xlfn.XLOOKUP(C351,Cartera1017[ID Mantenimiento],Cartera1017[Comienzo Calidad]),
IF(TRIM(D351)="Producción",
   _xlfn.XLOOKUP(C351,Cartera1017[ID Mantenimiento],Cartera1017[Comienzo Producción]),
""))))</f>
        <v>46179</v>
      </c>
      <c r="H351" s="160">
        <f ca="1">IF(TRIM(D351)=C351,
   _xlfn.XLOOKUP(C351, Cartera1017[ID Mantenimiento],Cartera1017[Fin Producción]),
IF(TRIM(D351)="Desarrollo",
   _xlfn.XLOOKUP(C351,Cartera1017[ID Mantenimiento],Cartera1017[Fin Desarrollo]),
IF(TRIM(D351)="Calidad",
   _xlfn.XLOOKUP(C351,Cartera1017[ID Mantenimiento],Cartera1017[Fin Calidad]),
IF(TRIM(D351)="Producción",
   _xlfn.XLOOKUP(C351,Cartera1017[ID Mantenimiento],Cartera1017[Fin Producción]),
""))))</f>
        <v>46185</v>
      </c>
    </row>
    <row r="352" spans="1:8" hidden="1" collapsed="1">
      <c r="A352" t="str">
        <f ca="1"/>
        <v>Operaciones</v>
      </c>
      <c r="B352" t="str">
        <f ca="1"/>
        <v>03. En Desarrollo</v>
      </c>
      <c r="C352" t="str">
        <f ca="1"/>
        <v>2025-M0282</v>
      </c>
      <c r="D352" t="str">
        <f ca="1"/>
        <v>2025-M0282</v>
      </c>
      <c r="E352" s="255">
        <f ca="1"/>
        <v>0.15</v>
      </c>
      <c r="F352" s="255">
        <f ca="1"/>
        <v>1</v>
      </c>
      <c r="G352" s="356">
        <f ca="1">IF(TRIM(D352)=C352,
   _xlfn.XLOOKUP(C352, Cartera1017[ID Mantenimiento],Cartera1017[Comienzo Desarrollo]),
IF(TRIM(D352)="Desarrollo",
   _xlfn.XLOOKUP(C352,Cartera1017[ID Mantenimiento],Cartera1017[Comienzo Desarrollo]),
IF(TRIM(D352)="Calidad",
   _xlfn.XLOOKUP(C352,Cartera1017[ID Mantenimiento],Cartera1017[Comienzo Calidad]),
IF(TRIM(D352)="Producción",
   _xlfn.XLOOKUP(C352,Cartera1017[ID Mantenimiento],Cartera1017[Comienzo Producción]),
""))))</f>
        <v>46083</v>
      </c>
      <c r="H352" s="160">
        <f ca="1">IF(TRIM(D352)=C352,
   _xlfn.XLOOKUP(C352, Cartera1017[ID Mantenimiento],Cartera1017[Fin Producción]),
IF(TRIM(D352)="Desarrollo",
   _xlfn.XLOOKUP(C352,Cartera1017[ID Mantenimiento],Cartera1017[Fin Desarrollo]),
IF(TRIM(D352)="Calidad",
   _xlfn.XLOOKUP(C352,Cartera1017[ID Mantenimiento],Cartera1017[Fin Calidad]),
IF(TRIM(D352)="Producción",
   _xlfn.XLOOKUP(C352,Cartera1017[ID Mantenimiento],Cartera1017[Fin Producción]),
""))))</f>
        <v>46129</v>
      </c>
    </row>
    <row r="353" spans="1:8" hidden="1" outlineLevel="1">
      <c r="A353" t="str">
        <f ca="1"/>
        <v>Operaciones</v>
      </c>
      <c r="B353" t="str">
        <f ca="1"/>
        <v>03. En Desarrollo</v>
      </c>
      <c r="C353" t="str">
        <f ca="1"/>
        <v>2025-M0282</v>
      </c>
      <c r="D353" t="str">
        <f ca="1"/>
        <v xml:space="preserve">   Desarrollo</v>
      </c>
      <c r="E353" s="255">
        <f ca="1"/>
        <v>0.15</v>
      </c>
      <c r="F353" s="255">
        <f ca="1"/>
        <v>1</v>
      </c>
      <c r="G353" s="356">
        <f ca="1">IF(TRIM(D353)=C353,
   _xlfn.XLOOKUP(C353, Cartera1017[ID Mantenimiento],Cartera1017[Comienzo Desarrollo]),
IF(TRIM(D353)="Desarrollo",
   _xlfn.XLOOKUP(C353,Cartera1017[ID Mantenimiento],Cartera1017[Comienzo Desarrollo]),
IF(TRIM(D353)="Calidad",
   _xlfn.XLOOKUP(C353,Cartera1017[ID Mantenimiento],Cartera1017[Comienzo Calidad]),
IF(TRIM(D353)="Producción",
   _xlfn.XLOOKUP(C353,Cartera1017[ID Mantenimiento],Cartera1017[Comienzo Producción]),
""))))</f>
        <v>46083</v>
      </c>
      <c r="H353" s="160">
        <f ca="1">IF(TRIM(D353)=C353,
   _xlfn.XLOOKUP(C353, Cartera1017[ID Mantenimiento],Cartera1017[Fin Producción]),
IF(TRIM(D353)="Desarrollo",
   _xlfn.XLOOKUP(C353,Cartera1017[ID Mantenimiento],Cartera1017[Fin Desarrollo]),
IF(TRIM(D353)="Calidad",
   _xlfn.XLOOKUP(C353,Cartera1017[ID Mantenimiento],Cartera1017[Fin Calidad]),
IF(TRIM(D353)="Producción",
   _xlfn.XLOOKUP(C353,Cartera1017[ID Mantenimiento],Cartera1017[Fin Producción]),
""))))</f>
        <v>46090</v>
      </c>
    </row>
    <row r="354" spans="1:8" hidden="1" outlineLevel="1">
      <c r="A354" t="str">
        <f ca="1"/>
        <v>Operaciones</v>
      </c>
      <c r="B354" t="str">
        <f ca="1"/>
        <v>03. En Desarrollo</v>
      </c>
      <c r="C354" t="str">
        <f ca="1"/>
        <v>2025-M0282</v>
      </c>
      <c r="D354" t="str">
        <f ca="1"/>
        <v xml:space="preserve">   Calidad</v>
      </c>
      <c r="E354" s="255">
        <f ca="1"/>
        <v>0.15</v>
      </c>
      <c r="F354" s="255">
        <f ca="1"/>
        <v>1</v>
      </c>
      <c r="G354" s="356">
        <f ca="1">IF(TRIM(D354)=C354,
   _xlfn.XLOOKUP(C354, Cartera1017[ID Mantenimiento],Cartera1017[Comienzo Desarrollo]),
IF(TRIM(D354)="Desarrollo",
   _xlfn.XLOOKUP(C354,Cartera1017[ID Mantenimiento],Cartera1017[Comienzo Desarrollo]),
IF(TRIM(D354)="Calidad",
   _xlfn.XLOOKUP(C354,Cartera1017[ID Mantenimiento],Cartera1017[Comienzo Calidad]),
IF(TRIM(D354)="Producción",
   _xlfn.XLOOKUP(C354,Cartera1017[ID Mantenimiento],Cartera1017[Comienzo Producción]),
""))))</f>
        <v>46092</v>
      </c>
      <c r="H354" s="160">
        <f ca="1">IF(TRIM(D354)=C354,
   _xlfn.XLOOKUP(C354, Cartera1017[ID Mantenimiento],Cartera1017[Fin Producción]),
IF(TRIM(D354)="Desarrollo",
   _xlfn.XLOOKUP(C354,Cartera1017[ID Mantenimiento],Cartera1017[Fin Desarrollo]),
IF(TRIM(D354)="Calidad",
   _xlfn.XLOOKUP(C354,Cartera1017[ID Mantenimiento],Cartera1017[Fin Calidad]),
IF(TRIM(D354)="Producción",
   _xlfn.XLOOKUP(C354,Cartera1017[ID Mantenimiento],Cartera1017[Fin Producción]),
""))))</f>
        <v>46122</v>
      </c>
    </row>
    <row r="355" spans="1:8" hidden="1" outlineLevel="1">
      <c r="A355" t="str">
        <f ca="1"/>
        <v>Operaciones</v>
      </c>
      <c r="B355" t="str">
        <f ca="1"/>
        <v>03. En Desarrollo</v>
      </c>
      <c r="C355" t="str">
        <f ca="1"/>
        <v>2025-M0282</v>
      </c>
      <c r="D355" t="str">
        <f ca="1"/>
        <v xml:space="preserve">   Producción</v>
      </c>
      <c r="E355" s="255">
        <f ca="1"/>
        <v>0.15</v>
      </c>
      <c r="F355" s="255">
        <f ca="1"/>
        <v>1</v>
      </c>
      <c r="G355" s="356">
        <f ca="1">IF(TRIM(D355)=C355,
   _xlfn.XLOOKUP(C355, Cartera1017[ID Mantenimiento],Cartera1017[Comienzo Desarrollo]),
IF(TRIM(D355)="Desarrollo",
   _xlfn.XLOOKUP(C355,Cartera1017[ID Mantenimiento],Cartera1017[Comienzo Desarrollo]),
IF(TRIM(D355)="Calidad",
   _xlfn.XLOOKUP(C355,Cartera1017[ID Mantenimiento],Cartera1017[Comienzo Calidad]),
IF(TRIM(D355)="Producción",
   _xlfn.XLOOKUP(C355,Cartera1017[ID Mantenimiento],Cartera1017[Comienzo Producción]),
""))))</f>
        <v>46125</v>
      </c>
      <c r="H355" s="160">
        <f ca="1">IF(TRIM(D355)=C355,
   _xlfn.XLOOKUP(C355, Cartera1017[ID Mantenimiento],Cartera1017[Fin Producción]),
IF(TRIM(D355)="Desarrollo",
   _xlfn.XLOOKUP(C355,Cartera1017[ID Mantenimiento],Cartera1017[Fin Desarrollo]),
IF(TRIM(D355)="Calidad",
   _xlfn.XLOOKUP(C355,Cartera1017[ID Mantenimiento],Cartera1017[Fin Calidad]),
IF(TRIM(D355)="Producción",
   _xlfn.XLOOKUP(C355,Cartera1017[ID Mantenimiento],Cartera1017[Fin Producción]),
""))))</f>
        <v>46129</v>
      </c>
    </row>
    <row r="356" spans="1:8" hidden="1" collapsed="1">
      <c r="A356" t="str">
        <f ca="1"/>
        <v>Tecnologías de Información</v>
      </c>
      <c r="B356" t="str">
        <f ca="1"/>
        <v>07. En Despliegue</v>
      </c>
      <c r="C356" t="str">
        <f ca="1"/>
        <v>2025-M0299</v>
      </c>
      <c r="D356" t="str">
        <f ca="1"/>
        <v>2025-M0299</v>
      </c>
      <c r="E356" s="255">
        <f ca="1"/>
        <v>0.9</v>
      </c>
      <c r="F356" s="255">
        <f ca="1"/>
        <v>1</v>
      </c>
      <c r="G356" s="356">
        <f ca="1">IF(TRIM(D356)=C356,
   _xlfn.XLOOKUP(C356, Cartera1017[ID Mantenimiento],Cartera1017[Comienzo Desarrollo]),
IF(TRIM(D356)="Desarrollo",
   _xlfn.XLOOKUP(C356,Cartera1017[ID Mantenimiento],Cartera1017[Comienzo Desarrollo]),
IF(TRIM(D356)="Calidad",
   _xlfn.XLOOKUP(C356,Cartera1017[ID Mantenimiento],Cartera1017[Comienzo Calidad]),
IF(TRIM(D356)="Producción",
   _xlfn.XLOOKUP(C356,Cartera1017[ID Mantenimiento],Cartera1017[Comienzo Producción]),
""))))</f>
        <v>45757</v>
      </c>
      <c r="H356" s="160">
        <f ca="1">IF(TRIM(D356)=C356,
   _xlfn.XLOOKUP(C356, Cartera1017[ID Mantenimiento],Cartera1017[Fin Producción]),
IF(TRIM(D356)="Desarrollo",
   _xlfn.XLOOKUP(C356,Cartera1017[ID Mantenimiento],Cartera1017[Fin Desarrollo]),
IF(TRIM(D356)="Calidad",
   _xlfn.XLOOKUP(C356,Cartera1017[ID Mantenimiento],Cartera1017[Fin Calidad]),
IF(TRIM(D356)="Producción",
   _xlfn.XLOOKUP(C356,Cartera1017[ID Mantenimiento],Cartera1017[Fin Producción]),
""))))</f>
        <v>46108</v>
      </c>
    </row>
    <row r="357" spans="1:8" hidden="1" outlineLevel="1">
      <c r="A357" t="str">
        <f ca="1"/>
        <v>Tecnologías de Información</v>
      </c>
      <c r="B357" t="str">
        <f ca="1"/>
        <v>07. En Despliegue</v>
      </c>
      <c r="C357" t="str">
        <f ca="1"/>
        <v>2025-M0299</v>
      </c>
      <c r="D357" t="str">
        <f ca="1"/>
        <v xml:space="preserve">   Desarrollo</v>
      </c>
      <c r="E357" s="255">
        <f ca="1"/>
        <v>0.9</v>
      </c>
      <c r="F357" s="255">
        <f ca="1"/>
        <v>1</v>
      </c>
      <c r="G357" s="356">
        <f ca="1">IF(TRIM(D357)=C357,
   _xlfn.XLOOKUP(C357, Cartera1017[ID Mantenimiento],Cartera1017[Comienzo Desarrollo]),
IF(TRIM(D357)="Desarrollo",
   _xlfn.XLOOKUP(C357,Cartera1017[ID Mantenimiento],Cartera1017[Comienzo Desarrollo]),
IF(TRIM(D357)="Calidad",
   _xlfn.XLOOKUP(C357,Cartera1017[ID Mantenimiento],Cartera1017[Comienzo Calidad]),
IF(TRIM(D357)="Producción",
   _xlfn.XLOOKUP(C357,Cartera1017[ID Mantenimiento],Cartera1017[Comienzo Producción]),
""))))</f>
        <v>45757</v>
      </c>
      <c r="H357" s="160">
        <f ca="1">IF(TRIM(D357)=C357,
   _xlfn.XLOOKUP(C357, Cartera1017[ID Mantenimiento],Cartera1017[Fin Producción]),
IF(TRIM(D357)="Desarrollo",
   _xlfn.XLOOKUP(C357,Cartera1017[ID Mantenimiento],Cartera1017[Fin Desarrollo]),
IF(TRIM(D357)="Calidad",
   _xlfn.XLOOKUP(C357,Cartera1017[ID Mantenimiento],Cartera1017[Fin Calidad]),
IF(TRIM(D357)="Producción",
   _xlfn.XLOOKUP(C357,Cartera1017[ID Mantenimiento],Cartera1017[Fin Producción]),
""))))</f>
        <v>45760</v>
      </c>
    </row>
    <row r="358" spans="1:8" hidden="1" outlineLevel="1">
      <c r="A358" t="str">
        <f ca="1"/>
        <v>Tecnologías de Información</v>
      </c>
      <c r="B358" t="str">
        <f ca="1"/>
        <v>07. En Despliegue</v>
      </c>
      <c r="C358" t="str">
        <f ca="1"/>
        <v>2025-M0299</v>
      </c>
      <c r="D358" t="str">
        <f ca="1"/>
        <v xml:space="preserve">   Calidad</v>
      </c>
      <c r="E358" s="255">
        <f ca="1"/>
        <v>0.9</v>
      </c>
      <c r="F358" s="255">
        <f ca="1"/>
        <v>1</v>
      </c>
      <c r="G358" s="356">
        <f ca="1">IF(TRIM(D358)=C358,
   _xlfn.XLOOKUP(C358, Cartera1017[ID Mantenimiento],Cartera1017[Comienzo Desarrollo]),
IF(TRIM(D358)="Desarrollo",
   _xlfn.XLOOKUP(C358,Cartera1017[ID Mantenimiento],Cartera1017[Comienzo Desarrollo]),
IF(TRIM(D358)="Calidad",
   _xlfn.XLOOKUP(C358,Cartera1017[ID Mantenimiento],Cartera1017[Comienzo Calidad]),
IF(TRIM(D358)="Producción",
   _xlfn.XLOOKUP(C358,Cartera1017[ID Mantenimiento],Cartera1017[Comienzo Producción]),
""))))</f>
        <v>45761</v>
      </c>
      <c r="H358" s="160">
        <f ca="1">IF(TRIM(D358)=C358,
   _xlfn.XLOOKUP(C358, Cartera1017[ID Mantenimiento],Cartera1017[Fin Producción]),
IF(TRIM(D358)="Desarrollo",
   _xlfn.XLOOKUP(C358,Cartera1017[ID Mantenimiento],Cartera1017[Fin Desarrollo]),
IF(TRIM(D358)="Calidad",
   _xlfn.XLOOKUP(C358,Cartera1017[ID Mantenimiento],Cartera1017[Fin Calidad]),
IF(TRIM(D358)="Producción",
   _xlfn.XLOOKUP(C358,Cartera1017[ID Mantenimiento],Cartera1017[Fin Producción]),
""))))</f>
        <v>45762</v>
      </c>
    </row>
    <row r="359" spans="1:8" hidden="1" outlineLevel="1">
      <c r="A359" t="str">
        <f ca="1"/>
        <v>Tecnologías de Información</v>
      </c>
      <c r="B359" t="str">
        <f ca="1"/>
        <v>07. En Despliegue</v>
      </c>
      <c r="C359" t="str">
        <f ca="1"/>
        <v>2025-M0299</v>
      </c>
      <c r="D359" t="str">
        <f ca="1"/>
        <v xml:space="preserve">   Producción</v>
      </c>
      <c r="E359" s="255">
        <f ca="1"/>
        <v>0.9</v>
      </c>
      <c r="F359" s="255">
        <f ca="1"/>
        <v>1</v>
      </c>
      <c r="G359" s="356">
        <f ca="1">IF(TRIM(D359)=C359,
   _xlfn.XLOOKUP(C359, Cartera1017[ID Mantenimiento],Cartera1017[Comienzo Desarrollo]),
IF(TRIM(D359)="Desarrollo",
   _xlfn.XLOOKUP(C359,Cartera1017[ID Mantenimiento],Cartera1017[Comienzo Desarrollo]),
IF(TRIM(D359)="Calidad",
   _xlfn.XLOOKUP(C359,Cartera1017[ID Mantenimiento],Cartera1017[Comienzo Calidad]),
IF(TRIM(D359)="Producción",
   _xlfn.XLOOKUP(C359,Cartera1017[ID Mantenimiento],Cartera1017[Comienzo Producción]),
""))))</f>
        <v>45763</v>
      </c>
      <c r="H359" s="160">
        <f ca="1">IF(TRIM(D359)=C359,
   _xlfn.XLOOKUP(C359, Cartera1017[ID Mantenimiento],Cartera1017[Fin Producción]),
IF(TRIM(D359)="Desarrollo",
   _xlfn.XLOOKUP(C359,Cartera1017[ID Mantenimiento],Cartera1017[Fin Desarrollo]),
IF(TRIM(D359)="Calidad",
   _xlfn.XLOOKUP(C359,Cartera1017[ID Mantenimiento],Cartera1017[Fin Calidad]),
IF(TRIM(D359)="Producción",
   _xlfn.XLOOKUP(C359,Cartera1017[ID Mantenimiento],Cartera1017[Fin Producción]),
""))))</f>
        <v>46108</v>
      </c>
    </row>
    <row r="360" spans="1:8" hidden="1" collapsed="1">
      <c r="A360" t="str">
        <f ca="1"/>
        <v>Recursos Humanos y Cultura</v>
      </c>
      <c r="B360" t="str">
        <f ca="1"/>
        <v>03. En Desarrollo</v>
      </c>
      <c r="C360" t="str">
        <f ca="1"/>
        <v>2025-M0328</v>
      </c>
      <c r="D360" t="str">
        <f ca="1"/>
        <v>2025-M0328</v>
      </c>
      <c r="E360" s="255">
        <f ca="1"/>
        <v>0.15</v>
      </c>
      <c r="F360" s="255">
        <f ca="1"/>
        <v>3.8461538461538464E-2</v>
      </c>
      <c r="G360" s="356">
        <f ca="1">IF(TRIM(D360)=C360,
   _xlfn.XLOOKUP(C360, Cartera1017[ID Mantenimiento],Cartera1017[Comienzo Desarrollo]),
IF(TRIM(D360)="Desarrollo",
   _xlfn.XLOOKUP(C360,Cartera1017[ID Mantenimiento],Cartera1017[Comienzo Desarrollo]),
IF(TRIM(D360)="Calidad",
   _xlfn.XLOOKUP(C360,Cartera1017[ID Mantenimiento],Cartera1017[Comienzo Calidad]),
IF(TRIM(D360)="Producción",
   _xlfn.XLOOKUP(C360,Cartera1017[ID Mantenimiento],Cartera1017[Comienzo Producción]),
""))))</f>
        <v>46160</v>
      </c>
      <c r="H360" s="160">
        <f ca="1">IF(TRIM(D360)=C360,
   _xlfn.XLOOKUP(C360, Cartera1017[ID Mantenimiento],Cartera1017[Fin Producción]),
IF(TRIM(D360)="Desarrollo",
   _xlfn.XLOOKUP(C360,Cartera1017[ID Mantenimiento],Cartera1017[Fin Desarrollo]),
IF(TRIM(D360)="Calidad",
   _xlfn.XLOOKUP(C360,Cartera1017[ID Mantenimiento],Cartera1017[Fin Calidad]),
IF(TRIM(D360)="Producción",
   _xlfn.XLOOKUP(C360,Cartera1017[ID Mantenimiento],Cartera1017[Fin Producción]),
""))))</f>
        <v>46272</v>
      </c>
    </row>
    <row r="361" spans="1:8" hidden="1" outlineLevel="1">
      <c r="A361" t="str">
        <f ca="1"/>
        <v>Recursos Humanos y Cultura</v>
      </c>
      <c r="B361" t="str">
        <f ca="1"/>
        <v>03. En Desarrollo</v>
      </c>
      <c r="C361" t="str">
        <f ca="1"/>
        <v>2025-M0328</v>
      </c>
      <c r="D361" t="str">
        <f ca="1"/>
        <v xml:space="preserve">   Desarrollo</v>
      </c>
      <c r="E361" s="255">
        <f ca="1"/>
        <v>0.15</v>
      </c>
      <c r="F361" s="255">
        <f ca="1"/>
        <v>3.8461538461538464E-2</v>
      </c>
      <c r="G361" s="356">
        <f ca="1">IF(TRIM(D361)=C361,
   _xlfn.XLOOKUP(C361, Cartera1017[ID Mantenimiento],Cartera1017[Comienzo Desarrollo]),
IF(TRIM(D361)="Desarrollo",
   _xlfn.XLOOKUP(C361,Cartera1017[ID Mantenimiento],Cartera1017[Comienzo Desarrollo]),
IF(TRIM(D361)="Calidad",
   _xlfn.XLOOKUP(C361,Cartera1017[ID Mantenimiento],Cartera1017[Comienzo Calidad]),
IF(TRIM(D361)="Producción",
   _xlfn.XLOOKUP(C361,Cartera1017[ID Mantenimiento],Cartera1017[Comienzo Producción]),
""))))</f>
        <v>46160</v>
      </c>
      <c r="H361" s="160">
        <f ca="1">IF(TRIM(D361)=C361,
   _xlfn.XLOOKUP(C361, Cartera1017[ID Mantenimiento],Cartera1017[Fin Producción]),
IF(TRIM(D361)="Desarrollo",
   _xlfn.XLOOKUP(C361,Cartera1017[ID Mantenimiento],Cartera1017[Fin Desarrollo]),
IF(TRIM(D361)="Calidad",
   _xlfn.XLOOKUP(C361,Cartera1017[ID Mantenimiento],Cartera1017[Fin Calidad]),
IF(TRIM(D361)="Producción",
   _xlfn.XLOOKUP(C361,Cartera1017[ID Mantenimiento],Cartera1017[Fin Producción]),
""))))</f>
        <v>46234</v>
      </c>
    </row>
    <row r="362" spans="1:8" hidden="1" outlineLevel="1">
      <c r="A362" t="str">
        <f ca="1"/>
        <v>Recursos Humanos y Cultura</v>
      </c>
      <c r="B362" t="str">
        <f ca="1"/>
        <v>03. En Desarrollo</v>
      </c>
      <c r="C362" t="str">
        <f ca="1"/>
        <v>2025-M0328</v>
      </c>
      <c r="D362" t="str">
        <f ca="1"/>
        <v xml:space="preserve">   Calidad</v>
      </c>
      <c r="E362" s="255">
        <f ca="1"/>
        <v>0.15</v>
      </c>
      <c r="F362" s="255">
        <f ca="1"/>
        <v>3.8461538461538464E-2</v>
      </c>
      <c r="G362" s="356">
        <f ca="1">IF(TRIM(D362)=C362,
   _xlfn.XLOOKUP(C362, Cartera1017[ID Mantenimiento],Cartera1017[Comienzo Desarrollo]),
IF(TRIM(D362)="Desarrollo",
   _xlfn.XLOOKUP(C362,Cartera1017[ID Mantenimiento],Cartera1017[Comienzo Desarrollo]),
IF(TRIM(D362)="Calidad",
   _xlfn.XLOOKUP(C362,Cartera1017[ID Mantenimiento],Cartera1017[Comienzo Calidad]),
IF(TRIM(D362)="Producción",
   _xlfn.XLOOKUP(C362,Cartera1017[ID Mantenimiento],Cartera1017[Comienzo Producción]),
""))))</f>
        <v>46235</v>
      </c>
      <c r="H362" s="160">
        <f ca="1">IF(TRIM(D362)=C362,
   _xlfn.XLOOKUP(C362, Cartera1017[ID Mantenimiento],Cartera1017[Fin Producción]),
IF(TRIM(D362)="Desarrollo",
   _xlfn.XLOOKUP(C362,Cartera1017[ID Mantenimiento],Cartera1017[Fin Desarrollo]),
IF(TRIM(D362)="Calidad",
   _xlfn.XLOOKUP(C362,Cartera1017[ID Mantenimiento],Cartera1017[Fin Calidad]),
IF(TRIM(D362)="Producción",
   _xlfn.XLOOKUP(C362,Cartera1017[ID Mantenimiento],Cartera1017[Fin Producción]),
""))))</f>
        <v>46254</v>
      </c>
    </row>
    <row r="363" spans="1:8" hidden="1" outlineLevel="1">
      <c r="A363" t="str">
        <f ca="1"/>
        <v>Recursos Humanos y Cultura</v>
      </c>
      <c r="B363" t="str">
        <f ca="1"/>
        <v>03. En Desarrollo</v>
      </c>
      <c r="C363" t="str">
        <f ca="1"/>
        <v>2025-M0328</v>
      </c>
      <c r="D363" t="str">
        <f ca="1"/>
        <v xml:space="preserve">   Producción</v>
      </c>
      <c r="E363" s="255">
        <f ca="1"/>
        <v>0.15</v>
      </c>
      <c r="F363" s="255">
        <f ca="1"/>
        <v>3.8461538461538464E-2</v>
      </c>
      <c r="G363" s="356">
        <f ca="1">IF(TRIM(D363)=C363,
   _xlfn.XLOOKUP(C363, Cartera1017[ID Mantenimiento],Cartera1017[Comienzo Desarrollo]),
IF(TRIM(D363)="Desarrollo",
   _xlfn.XLOOKUP(C363,Cartera1017[ID Mantenimiento],Cartera1017[Comienzo Desarrollo]),
IF(TRIM(D363)="Calidad",
   _xlfn.XLOOKUP(C363,Cartera1017[ID Mantenimiento],Cartera1017[Comienzo Calidad]),
IF(TRIM(D363)="Producción",
   _xlfn.XLOOKUP(C363,Cartera1017[ID Mantenimiento],Cartera1017[Comienzo Producción]),
""))))</f>
        <v>46266</v>
      </c>
      <c r="H363" s="160">
        <f ca="1">IF(TRIM(D363)=C363,
   _xlfn.XLOOKUP(C363, Cartera1017[ID Mantenimiento],Cartera1017[Fin Producción]),
IF(TRIM(D363)="Desarrollo",
   _xlfn.XLOOKUP(C363,Cartera1017[ID Mantenimiento],Cartera1017[Fin Desarrollo]),
IF(TRIM(D363)="Calidad",
   _xlfn.XLOOKUP(C363,Cartera1017[ID Mantenimiento],Cartera1017[Fin Calidad]),
IF(TRIM(D363)="Producción",
   _xlfn.XLOOKUP(C363,Cartera1017[ID Mantenimiento],Cartera1017[Fin Producción]),
""))))</f>
        <v>46272</v>
      </c>
    </row>
    <row r="364" spans="1:8" hidden="1" collapsed="1">
      <c r="A364" t="str">
        <f ca="1"/>
        <v>Tecnologías de Información</v>
      </c>
      <c r="B364" t="str">
        <f ca="1"/>
        <v>05. En Calidad</v>
      </c>
      <c r="C364" t="str">
        <f ca="1"/>
        <v>2025-M0266</v>
      </c>
      <c r="D364" t="str">
        <f ca="1"/>
        <v>2025-M0266</v>
      </c>
      <c r="E364" s="255">
        <f ca="1"/>
        <v>0.7</v>
      </c>
      <c r="F364" s="255">
        <f ca="1"/>
        <v>1</v>
      </c>
      <c r="G364" s="356">
        <f ca="1">IF(TRIM(D364)=C364,
   _xlfn.XLOOKUP(C364, Cartera1017[ID Mantenimiento],Cartera1017[Comienzo Desarrollo]),
IF(TRIM(D364)="Desarrollo",
   _xlfn.XLOOKUP(C364,Cartera1017[ID Mantenimiento],Cartera1017[Comienzo Desarrollo]),
IF(TRIM(D364)="Calidad",
   _xlfn.XLOOKUP(C364,Cartera1017[ID Mantenimiento],Cartera1017[Comienzo Calidad]),
IF(TRIM(D364)="Producción",
   _xlfn.XLOOKUP(C364,Cartera1017[ID Mantenimiento],Cartera1017[Comienzo Producción]),
""))))</f>
        <v>46030</v>
      </c>
      <c r="H364" s="160">
        <f ca="1">IF(TRIM(D364)=C364,
   _xlfn.XLOOKUP(C364, Cartera1017[ID Mantenimiento],Cartera1017[Fin Producción]),
IF(TRIM(D364)="Desarrollo",
   _xlfn.XLOOKUP(C364,Cartera1017[ID Mantenimiento],Cartera1017[Fin Desarrollo]),
IF(TRIM(D364)="Calidad",
   _xlfn.XLOOKUP(C364,Cartera1017[ID Mantenimiento],Cartera1017[Fin Calidad]),
IF(TRIM(D364)="Producción",
   _xlfn.XLOOKUP(C364,Cartera1017[ID Mantenimiento],Cartera1017[Fin Producción]),
""))))</f>
        <v>46139</v>
      </c>
    </row>
    <row r="365" spans="1:8" hidden="1" outlineLevel="1">
      <c r="A365" t="str">
        <f ca="1"/>
        <v>Tecnologías de Información</v>
      </c>
      <c r="B365" t="str">
        <f ca="1"/>
        <v>05. En Calidad</v>
      </c>
      <c r="C365" t="str">
        <f ca="1"/>
        <v>2025-M0266</v>
      </c>
      <c r="D365" t="str">
        <f ca="1"/>
        <v xml:space="preserve">   Desarrollo</v>
      </c>
      <c r="E365" s="255">
        <f ca="1"/>
        <v>0.7</v>
      </c>
      <c r="F365" s="255">
        <f ca="1"/>
        <v>1</v>
      </c>
      <c r="G365" s="356">
        <f ca="1">IF(TRIM(D365)=C365,
   _xlfn.XLOOKUP(C365, Cartera1017[ID Mantenimiento],Cartera1017[Comienzo Desarrollo]),
IF(TRIM(D365)="Desarrollo",
   _xlfn.XLOOKUP(C365,Cartera1017[ID Mantenimiento],Cartera1017[Comienzo Desarrollo]),
IF(TRIM(D365)="Calidad",
   _xlfn.XLOOKUP(C365,Cartera1017[ID Mantenimiento],Cartera1017[Comienzo Calidad]),
IF(TRIM(D365)="Producción",
   _xlfn.XLOOKUP(C365,Cartera1017[ID Mantenimiento],Cartera1017[Comienzo Producción]),
""))))</f>
        <v>46030</v>
      </c>
      <c r="H365" s="160">
        <f ca="1">IF(TRIM(D365)=C365,
   _xlfn.XLOOKUP(C365, Cartera1017[ID Mantenimiento],Cartera1017[Fin Producción]),
IF(TRIM(D365)="Desarrollo",
   _xlfn.XLOOKUP(C365,Cartera1017[ID Mantenimiento],Cartera1017[Fin Desarrollo]),
IF(TRIM(D365)="Calidad",
   _xlfn.XLOOKUP(C365,Cartera1017[ID Mantenimiento],Cartera1017[Fin Calidad]),
IF(TRIM(D365)="Producción",
   _xlfn.XLOOKUP(C365,Cartera1017[ID Mantenimiento],Cartera1017[Fin Producción]),
""))))</f>
        <v>46031</v>
      </c>
    </row>
    <row r="366" spans="1:8" hidden="1" outlineLevel="1">
      <c r="A366" t="str">
        <f ca="1"/>
        <v>Tecnologías de Información</v>
      </c>
      <c r="B366" t="str">
        <f ca="1"/>
        <v>05. En Calidad</v>
      </c>
      <c r="C366" t="str">
        <f ca="1"/>
        <v>2025-M0266</v>
      </c>
      <c r="D366" t="str">
        <f ca="1"/>
        <v xml:space="preserve">   Calidad</v>
      </c>
      <c r="E366" s="255">
        <f ca="1"/>
        <v>0.7</v>
      </c>
      <c r="F366" s="255">
        <f ca="1"/>
        <v>1</v>
      </c>
      <c r="G366" s="356">
        <f ca="1">IF(TRIM(D366)=C366,
   _xlfn.XLOOKUP(C366, Cartera1017[ID Mantenimiento],Cartera1017[Comienzo Desarrollo]),
IF(TRIM(D366)="Desarrollo",
   _xlfn.XLOOKUP(C366,Cartera1017[ID Mantenimiento],Cartera1017[Comienzo Desarrollo]),
IF(TRIM(D366)="Calidad",
   _xlfn.XLOOKUP(C366,Cartera1017[ID Mantenimiento],Cartera1017[Comienzo Calidad]),
IF(TRIM(D366)="Producción",
   _xlfn.XLOOKUP(C366,Cartera1017[ID Mantenimiento],Cartera1017[Comienzo Producción]),
""))))</f>
        <v>46051</v>
      </c>
      <c r="H366" s="160">
        <f ca="1">IF(TRIM(D366)=C366,
   _xlfn.XLOOKUP(C366, Cartera1017[ID Mantenimiento],Cartera1017[Fin Producción]),
IF(TRIM(D366)="Desarrollo",
   _xlfn.XLOOKUP(C366,Cartera1017[ID Mantenimiento],Cartera1017[Fin Desarrollo]),
IF(TRIM(D366)="Calidad",
   _xlfn.XLOOKUP(C366,Cartera1017[ID Mantenimiento],Cartera1017[Fin Calidad]),
IF(TRIM(D366)="Producción",
   _xlfn.XLOOKUP(C366,Cartera1017[ID Mantenimiento],Cartera1017[Fin Producción]),
""))))</f>
        <v>46080</v>
      </c>
    </row>
    <row r="367" spans="1:8" hidden="1" outlineLevel="1">
      <c r="A367" t="str">
        <f ca="1"/>
        <v>Tecnologías de Información</v>
      </c>
      <c r="B367" t="str">
        <f ca="1"/>
        <v>05. En Calidad</v>
      </c>
      <c r="C367" t="str">
        <f ca="1"/>
        <v>2025-M0266</v>
      </c>
      <c r="D367" t="str">
        <f ca="1"/>
        <v xml:space="preserve">   Producción</v>
      </c>
      <c r="E367" s="255">
        <f ca="1"/>
        <v>0.7</v>
      </c>
      <c r="F367" s="255">
        <f ca="1"/>
        <v>1</v>
      </c>
      <c r="G367" s="356">
        <f ca="1">IF(TRIM(D367)=C367,
   _xlfn.XLOOKUP(C367, Cartera1017[ID Mantenimiento],Cartera1017[Comienzo Desarrollo]),
IF(TRIM(D367)="Desarrollo",
   _xlfn.XLOOKUP(C367,Cartera1017[ID Mantenimiento],Cartera1017[Comienzo Desarrollo]),
IF(TRIM(D367)="Calidad",
   _xlfn.XLOOKUP(C367,Cartera1017[ID Mantenimiento],Cartera1017[Comienzo Calidad]),
IF(TRIM(D367)="Producción",
   _xlfn.XLOOKUP(C367,Cartera1017[ID Mantenimiento],Cartera1017[Comienzo Producción]),
""))))</f>
        <v>46083</v>
      </c>
      <c r="H367" s="160">
        <f ca="1">IF(TRIM(D367)=C367,
   _xlfn.XLOOKUP(C367, Cartera1017[ID Mantenimiento],Cartera1017[Fin Producción]),
IF(TRIM(D367)="Desarrollo",
   _xlfn.XLOOKUP(C367,Cartera1017[ID Mantenimiento],Cartera1017[Fin Desarrollo]),
IF(TRIM(D367)="Calidad",
   _xlfn.XLOOKUP(C367,Cartera1017[ID Mantenimiento],Cartera1017[Fin Calidad]),
IF(TRIM(D367)="Producción",
   _xlfn.XLOOKUP(C367,Cartera1017[ID Mantenimiento],Cartera1017[Fin Producción]),
""))))</f>
        <v>46139</v>
      </c>
    </row>
    <row r="368" spans="1:8" hidden="1" collapsed="1">
      <c r="A368" t="str">
        <f ca="1"/>
        <v>Operaciones</v>
      </c>
      <c r="B368" t="str">
        <f ca="1"/>
        <v>10. Paralizado</v>
      </c>
      <c r="C368" t="str">
        <f ca="1"/>
        <v>2025-M0364</v>
      </c>
      <c r="D368" t="str">
        <f ca="1"/>
        <v>2025-M0364</v>
      </c>
      <c r="E368" s="255">
        <f ca="1"/>
        <v>0.12</v>
      </c>
      <c r="F368" s="255" t="str">
        <f ca="1"/>
        <v/>
      </c>
      <c r="G368" s="356">
        <f ca="1">IF(TRIM(D368)=C368,
   _xlfn.XLOOKUP(C368, Cartera1017[ID Mantenimiento],Cartera1017[Comienzo Desarrollo]),
IF(TRIM(D368)="Desarrollo",
   _xlfn.XLOOKUP(C368,Cartera1017[ID Mantenimiento],Cartera1017[Comienzo Desarrollo]),
IF(TRIM(D368)="Calidad",
   _xlfn.XLOOKUP(C368,Cartera1017[ID Mantenimiento],Cartera1017[Comienzo Calidad]),
IF(TRIM(D368)="Producción",
   _xlfn.XLOOKUP(C368,Cartera1017[ID Mantenimiento],Cartera1017[Comienzo Producción]),
""))))</f>
        <v>0</v>
      </c>
      <c r="H368" s="160">
        <f ca="1">IF(TRIM(D368)=C368,
   _xlfn.XLOOKUP(C368, Cartera1017[ID Mantenimiento],Cartera1017[Fin Producción]),
IF(TRIM(D368)="Desarrollo",
   _xlfn.XLOOKUP(C368,Cartera1017[ID Mantenimiento],Cartera1017[Fin Desarrollo]),
IF(TRIM(D368)="Calidad",
   _xlfn.XLOOKUP(C368,Cartera1017[ID Mantenimiento],Cartera1017[Fin Calidad]),
IF(TRIM(D368)="Producción",
   _xlfn.XLOOKUP(C368,Cartera1017[ID Mantenimiento],Cartera1017[Fin Producción]),
""))))</f>
        <v>0</v>
      </c>
    </row>
    <row r="369" spans="1:8" hidden="1" outlineLevel="1">
      <c r="A369" t="str">
        <f ca="1"/>
        <v>Operaciones</v>
      </c>
      <c r="B369" t="str">
        <f ca="1"/>
        <v>10. Paralizado</v>
      </c>
      <c r="C369" t="str">
        <f ca="1"/>
        <v>2025-M0364</v>
      </c>
      <c r="D369" t="str">
        <f ca="1"/>
        <v xml:space="preserve">   Desarrollo</v>
      </c>
      <c r="E369" s="255">
        <f ca="1"/>
        <v>0.12</v>
      </c>
      <c r="F369" s="255" t="str">
        <f ca="1"/>
        <v/>
      </c>
      <c r="G369" s="356">
        <f ca="1">IF(TRIM(D369)=C369,
   _xlfn.XLOOKUP(C369, Cartera1017[ID Mantenimiento],Cartera1017[Comienzo Desarrollo]),
IF(TRIM(D369)="Desarrollo",
   _xlfn.XLOOKUP(C369,Cartera1017[ID Mantenimiento],Cartera1017[Comienzo Desarrollo]),
IF(TRIM(D369)="Calidad",
   _xlfn.XLOOKUP(C369,Cartera1017[ID Mantenimiento],Cartera1017[Comienzo Calidad]),
IF(TRIM(D369)="Producción",
   _xlfn.XLOOKUP(C369,Cartera1017[ID Mantenimiento],Cartera1017[Comienzo Producción]),
""))))</f>
        <v>0</v>
      </c>
      <c r="H369" s="160">
        <f ca="1">IF(TRIM(D369)=C369,
   _xlfn.XLOOKUP(C369, Cartera1017[ID Mantenimiento],Cartera1017[Fin Producción]),
IF(TRIM(D369)="Desarrollo",
   _xlfn.XLOOKUP(C369,Cartera1017[ID Mantenimiento],Cartera1017[Fin Desarrollo]),
IF(TRIM(D369)="Calidad",
   _xlfn.XLOOKUP(C369,Cartera1017[ID Mantenimiento],Cartera1017[Fin Calidad]),
IF(TRIM(D369)="Producción",
   _xlfn.XLOOKUP(C369,Cartera1017[ID Mantenimiento],Cartera1017[Fin Producción]),
""))))</f>
        <v>0</v>
      </c>
    </row>
    <row r="370" spans="1:8" hidden="1" outlineLevel="1">
      <c r="A370" t="str">
        <f ca="1"/>
        <v>Operaciones</v>
      </c>
      <c r="B370" t="str">
        <f ca="1"/>
        <v>10. Paralizado</v>
      </c>
      <c r="C370" t="str">
        <f ca="1"/>
        <v>2025-M0364</v>
      </c>
      <c r="D370" t="str">
        <f ca="1"/>
        <v xml:space="preserve">   Calidad</v>
      </c>
      <c r="E370" s="255">
        <f ca="1"/>
        <v>0.12</v>
      </c>
      <c r="F370" s="255" t="str">
        <f ca="1"/>
        <v/>
      </c>
      <c r="G370" s="356">
        <f ca="1">IF(TRIM(D370)=C370,
   _xlfn.XLOOKUP(C370, Cartera1017[ID Mantenimiento],Cartera1017[Comienzo Desarrollo]),
IF(TRIM(D370)="Desarrollo",
   _xlfn.XLOOKUP(C370,Cartera1017[ID Mantenimiento],Cartera1017[Comienzo Desarrollo]),
IF(TRIM(D370)="Calidad",
   _xlfn.XLOOKUP(C370,Cartera1017[ID Mantenimiento],Cartera1017[Comienzo Calidad]),
IF(TRIM(D370)="Producción",
   _xlfn.XLOOKUP(C370,Cartera1017[ID Mantenimiento],Cartera1017[Comienzo Producción]),
""))))</f>
        <v>0</v>
      </c>
      <c r="H370" s="160">
        <f ca="1">IF(TRIM(D370)=C370,
   _xlfn.XLOOKUP(C370, Cartera1017[ID Mantenimiento],Cartera1017[Fin Producción]),
IF(TRIM(D370)="Desarrollo",
   _xlfn.XLOOKUP(C370,Cartera1017[ID Mantenimiento],Cartera1017[Fin Desarrollo]),
IF(TRIM(D370)="Calidad",
   _xlfn.XLOOKUP(C370,Cartera1017[ID Mantenimiento],Cartera1017[Fin Calidad]),
IF(TRIM(D370)="Producción",
   _xlfn.XLOOKUP(C370,Cartera1017[ID Mantenimiento],Cartera1017[Fin Producción]),
""))))</f>
        <v>0</v>
      </c>
    </row>
    <row r="371" spans="1:8" hidden="1" outlineLevel="1">
      <c r="A371" t="str">
        <f ca="1"/>
        <v>Operaciones</v>
      </c>
      <c r="B371" t="str">
        <f ca="1"/>
        <v>10. Paralizado</v>
      </c>
      <c r="C371" t="str">
        <f ca="1"/>
        <v>2025-M0364</v>
      </c>
      <c r="D371" t="str">
        <f ca="1"/>
        <v xml:space="preserve">   Producción</v>
      </c>
      <c r="E371" s="255">
        <f ca="1"/>
        <v>0.12</v>
      </c>
      <c r="F371" s="255" t="str">
        <f ca="1"/>
        <v/>
      </c>
      <c r="G371" s="356">
        <f ca="1">IF(TRIM(D371)=C371,
   _xlfn.XLOOKUP(C371, Cartera1017[ID Mantenimiento],Cartera1017[Comienzo Desarrollo]),
IF(TRIM(D371)="Desarrollo",
   _xlfn.XLOOKUP(C371,Cartera1017[ID Mantenimiento],Cartera1017[Comienzo Desarrollo]),
IF(TRIM(D371)="Calidad",
   _xlfn.XLOOKUP(C371,Cartera1017[ID Mantenimiento],Cartera1017[Comienzo Calidad]),
IF(TRIM(D371)="Producción",
   _xlfn.XLOOKUP(C371,Cartera1017[ID Mantenimiento],Cartera1017[Comienzo Producción]),
""))))</f>
        <v>0</v>
      </c>
      <c r="H371" s="160">
        <f ca="1">IF(TRIM(D371)=C371,
   _xlfn.XLOOKUP(C371, Cartera1017[ID Mantenimiento],Cartera1017[Fin Producción]),
IF(TRIM(D371)="Desarrollo",
   _xlfn.XLOOKUP(C371,Cartera1017[ID Mantenimiento],Cartera1017[Fin Desarrollo]),
IF(TRIM(D371)="Calidad",
   _xlfn.XLOOKUP(C371,Cartera1017[ID Mantenimiento],Cartera1017[Fin Calidad]),
IF(TRIM(D371)="Producción",
   _xlfn.XLOOKUP(C371,Cartera1017[ID Mantenimiento],Cartera1017[Fin Producción]),
""))))</f>
        <v>0</v>
      </c>
    </row>
    <row r="372" spans="1:8" hidden="1" collapsed="1">
      <c r="A372" t="str">
        <f ca="1"/>
        <v>Operaciones</v>
      </c>
      <c r="B372" t="str">
        <f ca="1"/>
        <v>10. Paralizado</v>
      </c>
      <c r="C372" t="str">
        <f ca="1"/>
        <v>2025-M0363</v>
      </c>
      <c r="D372" t="str">
        <f ca="1"/>
        <v>2025-M0363</v>
      </c>
      <c r="E372" s="255">
        <f ca="1"/>
        <v>0.12</v>
      </c>
      <c r="F372" s="255" t="str">
        <f ca="1"/>
        <v/>
      </c>
      <c r="G372" s="356">
        <f ca="1">IF(TRIM(D372)=C372,
   _xlfn.XLOOKUP(C372, Cartera1017[ID Mantenimiento],Cartera1017[Comienzo Desarrollo]),
IF(TRIM(D372)="Desarrollo",
   _xlfn.XLOOKUP(C372,Cartera1017[ID Mantenimiento],Cartera1017[Comienzo Desarrollo]),
IF(TRIM(D372)="Calidad",
   _xlfn.XLOOKUP(C372,Cartera1017[ID Mantenimiento],Cartera1017[Comienzo Calidad]),
IF(TRIM(D372)="Producción",
   _xlfn.XLOOKUP(C372,Cartera1017[ID Mantenimiento],Cartera1017[Comienzo Producción]),
""))))</f>
        <v>0</v>
      </c>
      <c r="H372" s="160">
        <f ca="1">IF(TRIM(D372)=C372,
   _xlfn.XLOOKUP(C372, Cartera1017[ID Mantenimiento],Cartera1017[Fin Producción]),
IF(TRIM(D372)="Desarrollo",
   _xlfn.XLOOKUP(C372,Cartera1017[ID Mantenimiento],Cartera1017[Fin Desarrollo]),
IF(TRIM(D372)="Calidad",
   _xlfn.XLOOKUP(C372,Cartera1017[ID Mantenimiento],Cartera1017[Fin Calidad]),
IF(TRIM(D372)="Producción",
   _xlfn.XLOOKUP(C372,Cartera1017[ID Mantenimiento],Cartera1017[Fin Producción]),
""))))</f>
        <v>0</v>
      </c>
    </row>
    <row r="373" spans="1:8" hidden="1" outlineLevel="1">
      <c r="A373" t="str">
        <f ca="1"/>
        <v>Operaciones</v>
      </c>
      <c r="B373" t="str">
        <f ca="1"/>
        <v>10. Paralizado</v>
      </c>
      <c r="C373" t="str">
        <f ca="1"/>
        <v>2025-M0363</v>
      </c>
      <c r="D373" t="str">
        <f ca="1"/>
        <v xml:space="preserve">   Desarrollo</v>
      </c>
      <c r="E373" s="255">
        <f ca="1"/>
        <v>0.12</v>
      </c>
      <c r="F373" s="255" t="str">
        <f ca="1"/>
        <v/>
      </c>
      <c r="G373" s="356">
        <f ca="1">IF(TRIM(D373)=C373,
   _xlfn.XLOOKUP(C373, Cartera1017[ID Mantenimiento],Cartera1017[Comienzo Desarrollo]),
IF(TRIM(D373)="Desarrollo",
   _xlfn.XLOOKUP(C373,Cartera1017[ID Mantenimiento],Cartera1017[Comienzo Desarrollo]),
IF(TRIM(D373)="Calidad",
   _xlfn.XLOOKUP(C373,Cartera1017[ID Mantenimiento],Cartera1017[Comienzo Calidad]),
IF(TRIM(D373)="Producción",
   _xlfn.XLOOKUP(C373,Cartera1017[ID Mantenimiento],Cartera1017[Comienzo Producción]),
""))))</f>
        <v>0</v>
      </c>
      <c r="H373" s="160">
        <f ca="1">IF(TRIM(D373)=C373,
   _xlfn.XLOOKUP(C373, Cartera1017[ID Mantenimiento],Cartera1017[Fin Producción]),
IF(TRIM(D373)="Desarrollo",
   _xlfn.XLOOKUP(C373,Cartera1017[ID Mantenimiento],Cartera1017[Fin Desarrollo]),
IF(TRIM(D373)="Calidad",
   _xlfn.XLOOKUP(C373,Cartera1017[ID Mantenimiento],Cartera1017[Fin Calidad]),
IF(TRIM(D373)="Producción",
   _xlfn.XLOOKUP(C373,Cartera1017[ID Mantenimiento],Cartera1017[Fin Producción]),
""))))</f>
        <v>0</v>
      </c>
    </row>
    <row r="374" spans="1:8" hidden="1" outlineLevel="1">
      <c r="A374" t="str">
        <f ca="1"/>
        <v>Operaciones</v>
      </c>
      <c r="B374" t="str">
        <f ca="1"/>
        <v>10. Paralizado</v>
      </c>
      <c r="C374" t="str">
        <f ca="1"/>
        <v>2025-M0363</v>
      </c>
      <c r="D374" t="str">
        <f ca="1"/>
        <v xml:space="preserve">   Calidad</v>
      </c>
      <c r="E374" s="255">
        <f ca="1"/>
        <v>0.12</v>
      </c>
      <c r="F374" s="255" t="str">
        <f ca="1"/>
        <v/>
      </c>
      <c r="G374" s="356">
        <f ca="1">IF(TRIM(D374)=C374,
   _xlfn.XLOOKUP(C374, Cartera1017[ID Mantenimiento],Cartera1017[Comienzo Desarrollo]),
IF(TRIM(D374)="Desarrollo",
   _xlfn.XLOOKUP(C374,Cartera1017[ID Mantenimiento],Cartera1017[Comienzo Desarrollo]),
IF(TRIM(D374)="Calidad",
   _xlfn.XLOOKUP(C374,Cartera1017[ID Mantenimiento],Cartera1017[Comienzo Calidad]),
IF(TRIM(D374)="Producción",
   _xlfn.XLOOKUP(C374,Cartera1017[ID Mantenimiento],Cartera1017[Comienzo Producción]),
""))))</f>
        <v>0</v>
      </c>
      <c r="H374" s="160">
        <f ca="1">IF(TRIM(D374)=C374,
   _xlfn.XLOOKUP(C374, Cartera1017[ID Mantenimiento],Cartera1017[Fin Producción]),
IF(TRIM(D374)="Desarrollo",
   _xlfn.XLOOKUP(C374,Cartera1017[ID Mantenimiento],Cartera1017[Fin Desarrollo]),
IF(TRIM(D374)="Calidad",
   _xlfn.XLOOKUP(C374,Cartera1017[ID Mantenimiento],Cartera1017[Fin Calidad]),
IF(TRIM(D374)="Producción",
   _xlfn.XLOOKUP(C374,Cartera1017[ID Mantenimiento],Cartera1017[Fin Producción]),
""))))</f>
        <v>0</v>
      </c>
    </row>
    <row r="375" spans="1:8" hidden="1" outlineLevel="1">
      <c r="A375" t="str">
        <f ca="1"/>
        <v>Operaciones</v>
      </c>
      <c r="B375" t="str">
        <f ca="1"/>
        <v>10. Paralizado</v>
      </c>
      <c r="C375" t="str">
        <f ca="1"/>
        <v>2025-M0363</v>
      </c>
      <c r="D375" t="str">
        <f ca="1"/>
        <v xml:space="preserve">   Producción</v>
      </c>
      <c r="E375" s="255">
        <f ca="1"/>
        <v>0.12</v>
      </c>
      <c r="F375" s="255" t="str">
        <f ca="1"/>
        <v/>
      </c>
      <c r="G375" s="356">
        <f ca="1">IF(TRIM(D375)=C375,
   _xlfn.XLOOKUP(C375, Cartera1017[ID Mantenimiento],Cartera1017[Comienzo Desarrollo]),
IF(TRIM(D375)="Desarrollo",
   _xlfn.XLOOKUP(C375,Cartera1017[ID Mantenimiento],Cartera1017[Comienzo Desarrollo]),
IF(TRIM(D375)="Calidad",
   _xlfn.XLOOKUP(C375,Cartera1017[ID Mantenimiento],Cartera1017[Comienzo Calidad]),
IF(TRIM(D375)="Producción",
   _xlfn.XLOOKUP(C375,Cartera1017[ID Mantenimiento],Cartera1017[Comienzo Producción]),
""))))</f>
        <v>0</v>
      </c>
      <c r="H375" s="160">
        <f ca="1">IF(TRIM(D375)=C375,
   _xlfn.XLOOKUP(C375, Cartera1017[ID Mantenimiento],Cartera1017[Fin Producción]),
IF(TRIM(D375)="Desarrollo",
   _xlfn.XLOOKUP(C375,Cartera1017[ID Mantenimiento],Cartera1017[Fin Desarrollo]),
IF(TRIM(D375)="Calidad",
   _xlfn.XLOOKUP(C375,Cartera1017[ID Mantenimiento],Cartera1017[Fin Calidad]),
IF(TRIM(D375)="Producción",
   _xlfn.XLOOKUP(C375,Cartera1017[ID Mantenimiento],Cartera1017[Fin Producción]),
""))))</f>
        <v>0</v>
      </c>
    </row>
    <row r="376" spans="1:8" hidden="1" collapsed="1">
      <c r="A376" t="str">
        <f ca="1"/>
        <v>Operaciones</v>
      </c>
      <c r="B376" t="str">
        <f ca="1"/>
        <v>07. En Despliegue</v>
      </c>
      <c r="C376" t="str">
        <f ca="1"/>
        <v>2025-M0379</v>
      </c>
      <c r="D376" t="str">
        <f ca="1"/>
        <v>2025-M0379</v>
      </c>
      <c r="E376" s="255">
        <f ca="1"/>
        <v>0.9</v>
      </c>
      <c r="F376" s="255">
        <f ca="1"/>
        <v>1</v>
      </c>
      <c r="G376" s="356">
        <f ca="1">IF(TRIM(D376)=C376,
   _xlfn.XLOOKUP(C376, Cartera1017[ID Mantenimiento],Cartera1017[Comienzo Desarrollo]),
IF(TRIM(D376)="Desarrollo",
   _xlfn.XLOOKUP(C376,Cartera1017[ID Mantenimiento],Cartera1017[Comienzo Desarrollo]),
IF(TRIM(D376)="Calidad",
   _xlfn.XLOOKUP(C376,Cartera1017[ID Mantenimiento],Cartera1017[Comienzo Calidad]),
IF(TRIM(D376)="Producción",
   _xlfn.XLOOKUP(C376,Cartera1017[ID Mantenimiento],Cartera1017[Comienzo Producción]),
""))))</f>
        <v>45796</v>
      </c>
      <c r="H376" s="160">
        <f ca="1">IF(TRIM(D376)=C376,
   _xlfn.XLOOKUP(C376, Cartera1017[ID Mantenimiento],Cartera1017[Fin Producción]),
IF(TRIM(D376)="Desarrollo",
   _xlfn.XLOOKUP(C376,Cartera1017[ID Mantenimiento],Cartera1017[Fin Desarrollo]),
IF(TRIM(D376)="Calidad",
   _xlfn.XLOOKUP(C376,Cartera1017[ID Mantenimiento],Cartera1017[Fin Calidad]),
IF(TRIM(D376)="Producción",
   _xlfn.XLOOKUP(C376,Cartera1017[ID Mantenimiento],Cartera1017[Fin Producción]),
""))))</f>
        <v>46108</v>
      </c>
    </row>
    <row r="377" spans="1:8" hidden="1" outlineLevel="1">
      <c r="A377" t="str">
        <f ca="1"/>
        <v>Operaciones</v>
      </c>
      <c r="B377" t="str">
        <f ca="1"/>
        <v>07. En Despliegue</v>
      </c>
      <c r="C377" t="str">
        <f ca="1"/>
        <v>2025-M0379</v>
      </c>
      <c r="D377" t="str">
        <f ca="1"/>
        <v xml:space="preserve">   Desarrollo</v>
      </c>
      <c r="E377" s="255">
        <f ca="1"/>
        <v>0.9</v>
      </c>
      <c r="F377" s="255">
        <f ca="1"/>
        <v>1</v>
      </c>
      <c r="G377" s="356">
        <f ca="1">IF(TRIM(D377)=C377,
   _xlfn.XLOOKUP(C377, Cartera1017[ID Mantenimiento],Cartera1017[Comienzo Desarrollo]),
IF(TRIM(D377)="Desarrollo",
   _xlfn.XLOOKUP(C377,Cartera1017[ID Mantenimiento],Cartera1017[Comienzo Desarrollo]),
IF(TRIM(D377)="Calidad",
   _xlfn.XLOOKUP(C377,Cartera1017[ID Mantenimiento],Cartera1017[Comienzo Calidad]),
IF(TRIM(D377)="Producción",
   _xlfn.XLOOKUP(C377,Cartera1017[ID Mantenimiento],Cartera1017[Comienzo Producción]),
""))))</f>
        <v>45796</v>
      </c>
      <c r="H377" s="160">
        <f ca="1">IF(TRIM(D377)=C377,
   _xlfn.XLOOKUP(C377, Cartera1017[ID Mantenimiento],Cartera1017[Fin Producción]),
IF(TRIM(D377)="Desarrollo",
   _xlfn.XLOOKUP(C377,Cartera1017[ID Mantenimiento],Cartera1017[Fin Desarrollo]),
IF(TRIM(D377)="Calidad",
   _xlfn.XLOOKUP(C377,Cartera1017[ID Mantenimiento],Cartera1017[Fin Calidad]),
IF(TRIM(D377)="Producción",
   _xlfn.XLOOKUP(C377,Cartera1017[ID Mantenimiento],Cartera1017[Fin Producción]),
""))))</f>
        <v>45801</v>
      </c>
    </row>
    <row r="378" spans="1:8" hidden="1" outlineLevel="1">
      <c r="A378" t="str">
        <f ca="1"/>
        <v>Operaciones</v>
      </c>
      <c r="B378" t="str">
        <f ca="1"/>
        <v>07. En Despliegue</v>
      </c>
      <c r="C378" t="str">
        <f ca="1"/>
        <v>2025-M0379</v>
      </c>
      <c r="D378" t="str">
        <f ca="1"/>
        <v xml:space="preserve">   Calidad</v>
      </c>
      <c r="E378" s="255">
        <f ca="1"/>
        <v>0.9</v>
      </c>
      <c r="F378" s="255">
        <f ca="1"/>
        <v>1</v>
      </c>
      <c r="G378" s="356">
        <f ca="1">IF(TRIM(D378)=C378,
   _xlfn.XLOOKUP(C378, Cartera1017[ID Mantenimiento],Cartera1017[Comienzo Desarrollo]),
IF(TRIM(D378)="Desarrollo",
   _xlfn.XLOOKUP(C378,Cartera1017[ID Mantenimiento],Cartera1017[Comienzo Desarrollo]),
IF(TRIM(D378)="Calidad",
   _xlfn.XLOOKUP(C378,Cartera1017[ID Mantenimiento],Cartera1017[Comienzo Calidad]),
IF(TRIM(D378)="Producción",
   _xlfn.XLOOKUP(C378,Cartera1017[ID Mantenimiento],Cartera1017[Comienzo Producción]),
""))))</f>
        <v>45802</v>
      </c>
      <c r="H378" s="160">
        <f ca="1">IF(TRIM(D378)=C378,
   _xlfn.XLOOKUP(C378, Cartera1017[ID Mantenimiento],Cartera1017[Fin Producción]),
IF(TRIM(D378)="Desarrollo",
   _xlfn.XLOOKUP(C378,Cartera1017[ID Mantenimiento],Cartera1017[Fin Desarrollo]),
IF(TRIM(D378)="Calidad",
   _xlfn.XLOOKUP(C378,Cartera1017[ID Mantenimiento],Cartera1017[Fin Calidad]),
IF(TRIM(D378)="Producción",
   _xlfn.XLOOKUP(C378,Cartera1017[ID Mantenimiento],Cartera1017[Fin Producción]),
""))))</f>
        <v>45805</v>
      </c>
    </row>
    <row r="379" spans="1:8" hidden="1" outlineLevel="1">
      <c r="A379" t="str">
        <f ca="1"/>
        <v>Operaciones</v>
      </c>
      <c r="B379" t="str">
        <f ca="1"/>
        <v>07. En Despliegue</v>
      </c>
      <c r="C379" t="str">
        <f ca="1"/>
        <v>2025-M0379</v>
      </c>
      <c r="D379" t="str">
        <f ca="1"/>
        <v xml:space="preserve">   Producción</v>
      </c>
      <c r="E379" s="255">
        <f ca="1"/>
        <v>0.9</v>
      </c>
      <c r="F379" s="255">
        <f ca="1"/>
        <v>1</v>
      </c>
      <c r="G379" s="356">
        <f ca="1">IF(TRIM(D379)=C379,
   _xlfn.XLOOKUP(C379, Cartera1017[ID Mantenimiento],Cartera1017[Comienzo Desarrollo]),
IF(TRIM(D379)="Desarrollo",
   _xlfn.XLOOKUP(C379,Cartera1017[ID Mantenimiento],Cartera1017[Comienzo Desarrollo]),
IF(TRIM(D379)="Calidad",
   _xlfn.XLOOKUP(C379,Cartera1017[ID Mantenimiento],Cartera1017[Comienzo Calidad]),
IF(TRIM(D379)="Producción",
   _xlfn.XLOOKUP(C379,Cartera1017[ID Mantenimiento],Cartera1017[Comienzo Producción]),
""))))</f>
        <v>45807</v>
      </c>
      <c r="H379" s="160">
        <f ca="1">IF(TRIM(D379)=C379,
   _xlfn.XLOOKUP(C379, Cartera1017[ID Mantenimiento],Cartera1017[Fin Producción]),
IF(TRIM(D379)="Desarrollo",
   _xlfn.XLOOKUP(C379,Cartera1017[ID Mantenimiento],Cartera1017[Fin Desarrollo]),
IF(TRIM(D379)="Calidad",
   _xlfn.XLOOKUP(C379,Cartera1017[ID Mantenimiento],Cartera1017[Fin Calidad]),
IF(TRIM(D379)="Producción",
   _xlfn.XLOOKUP(C379,Cartera1017[ID Mantenimiento],Cartera1017[Fin Producción]),
""))))</f>
        <v>46108</v>
      </c>
    </row>
    <row r="380" spans="1:8" hidden="1" collapsed="1">
      <c r="A380" t="str">
        <f ca="1"/>
        <v>Operaciones</v>
      </c>
      <c r="B380" t="str">
        <f ca="1"/>
        <v>04. Desarrollo Finalizado</v>
      </c>
      <c r="C380" t="str">
        <f ca="1"/>
        <v>2025-M0465</v>
      </c>
      <c r="D380" t="str">
        <f ca="1"/>
        <v>2025-M0465</v>
      </c>
      <c r="E380" s="255">
        <f ca="1"/>
        <v>0.5</v>
      </c>
      <c r="F380" s="255">
        <f ca="1"/>
        <v>1</v>
      </c>
      <c r="G380" s="356">
        <f ca="1">IF(TRIM(D380)=C380,
   _xlfn.XLOOKUP(C380, Cartera1017[ID Mantenimiento],Cartera1017[Comienzo Desarrollo]),
IF(TRIM(D380)="Desarrollo",
   _xlfn.XLOOKUP(C380,Cartera1017[ID Mantenimiento],Cartera1017[Comienzo Desarrollo]),
IF(TRIM(D380)="Calidad",
   _xlfn.XLOOKUP(C380,Cartera1017[ID Mantenimiento],Cartera1017[Comienzo Calidad]),
IF(TRIM(D380)="Producción",
   _xlfn.XLOOKUP(C380,Cartera1017[ID Mantenimiento],Cartera1017[Comienzo Producción]),
""))))</f>
        <v>46083</v>
      </c>
      <c r="H380" s="160">
        <f ca="1">IF(TRIM(D380)=C380,
   _xlfn.XLOOKUP(C380, Cartera1017[ID Mantenimiento],Cartera1017[Fin Producción]),
IF(TRIM(D380)="Desarrollo",
   _xlfn.XLOOKUP(C380,Cartera1017[ID Mantenimiento],Cartera1017[Fin Desarrollo]),
IF(TRIM(D380)="Calidad",
   _xlfn.XLOOKUP(C380,Cartera1017[ID Mantenimiento],Cartera1017[Fin Calidad]),
IF(TRIM(D380)="Producción",
   _xlfn.XLOOKUP(C380,Cartera1017[ID Mantenimiento],Cartera1017[Fin Producción]),
""))))</f>
        <v>46152</v>
      </c>
    </row>
    <row r="381" spans="1:8" hidden="1" outlineLevel="1">
      <c r="A381" t="str">
        <f ca="1"/>
        <v>Operaciones</v>
      </c>
      <c r="B381" t="str">
        <f ca="1"/>
        <v>04. Desarrollo Finalizado</v>
      </c>
      <c r="C381" t="str">
        <f ca="1"/>
        <v>2025-M0465</v>
      </c>
      <c r="D381" t="str">
        <f ca="1"/>
        <v xml:space="preserve">   Desarrollo</v>
      </c>
      <c r="E381" s="255">
        <f ca="1"/>
        <v>0.5</v>
      </c>
      <c r="F381" s="255">
        <f ca="1"/>
        <v>1</v>
      </c>
      <c r="G381" s="356">
        <f ca="1">IF(TRIM(D381)=C381,
   _xlfn.XLOOKUP(C381, Cartera1017[ID Mantenimiento],Cartera1017[Comienzo Desarrollo]),
IF(TRIM(D381)="Desarrollo",
   _xlfn.XLOOKUP(C381,Cartera1017[ID Mantenimiento],Cartera1017[Comienzo Desarrollo]),
IF(TRIM(D381)="Calidad",
   _xlfn.XLOOKUP(C381,Cartera1017[ID Mantenimiento],Cartera1017[Comienzo Calidad]),
IF(TRIM(D381)="Producción",
   _xlfn.XLOOKUP(C381,Cartera1017[ID Mantenimiento],Cartera1017[Comienzo Producción]),
""))))</f>
        <v>46083</v>
      </c>
      <c r="H381" s="160">
        <f ca="1">IF(TRIM(D381)=C381,
   _xlfn.XLOOKUP(C381, Cartera1017[ID Mantenimiento],Cartera1017[Fin Producción]),
IF(TRIM(D381)="Desarrollo",
   _xlfn.XLOOKUP(C381,Cartera1017[ID Mantenimiento],Cartera1017[Fin Desarrollo]),
IF(TRIM(D381)="Calidad",
   _xlfn.XLOOKUP(C381,Cartera1017[ID Mantenimiento],Cartera1017[Fin Calidad]),
IF(TRIM(D381)="Producción",
   _xlfn.XLOOKUP(C381,Cartera1017[ID Mantenimiento],Cartera1017[Fin Producción]),
""))))</f>
        <v>46111</v>
      </c>
    </row>
    <row r="382" spans="1:8" hidden="1" outlineLevel="1">
      <c r="A382" t="str">
        <f ca="1"/>
        <v>Operaciones</v>
      </c>
      <c r="B382" t="str">
        <f ca="1"/>
        <v>04. Desarrollo Finalizado</v>
      </c>
      <c r="C382" t="str">
        <f ca="1"/>
        <v>2025-M0465</v>
      </c>
      <c r="D382" t="str">
        <f ca="1"/>
        <v xml:space="preserve">   Calidad</v>
      </c>
      <c r="E382" s="255">
        <f ca="1"/>
        <v>0.5</v>
      </c>
      <c r="F382" s="255">
        <f ca="1"/>
        <v>1</v>
      </c>
      <c r="G382" s="356">
        <f ca="1">IF(TRIM(D382)=C382,
   _xlfn.XLOOKUP(C382, Cartera1017[ID Mantenimiento],Cartera1017[Comienzo Desarrollo]),
IF(TRIM(D382)="Desarrollo",
   _xlfn.XLOOKUP(C382,Cartera1017[ID Mantenimiento],Cartera1017[Comienzo Desarrollo]),
IF(TRIM(D382)="Calidad",
   _xlfn.XLOOKUP(C382,Cartera1017[ID Mantenimiento],Cartera1017[Comienzo Calidad]),
IF(TRIM(D382)="Producción",
   _xlfn.XLOOKUP(C382,Cartera1017[ID Mantenimiento],Cartera1017[Comienzo Producción]),
""))))</f>
        <v>46113</v>
      </c>
      <c r="H382" s="160">
        <f ca="1">IF(TRIM(D382)=C382,
   _xlfn.XLOOKUP(C382, Cartera1017[ID Mantenimiento],Cartera1017[Fin Producción]),
IF(TRIM(D382)="Desarrollo",
   _xlfn.XLOOKUP(C382,Cartera1017[ID Mantenimiento],Cartera1017[Fin Desarrollo]),
IF(TRIM(D382)="Calidad",
   _xlfn.XLOOKUP(C382,Cartera1017[ID Mantenimiento],Cartera1017[Fin Calidad]),
IF(TRIM(D382)="Producción",
   _xlfn.XLOOKUP(C382,Cartera1017[ID Mantenimiento],Cartera1017[Fin Producción]),
""))))</f>
        <v>46142</v>
      </c>
    </row>
    <row r="383" spans="1:8" hidden="1" outlineLevel="1">
      <c r="A383" t="str">
        <f ca="1"/>
        <v>Operaciones</v>
      </c>
      <c r="B383" t="str">
        <f ca="1"/>
        <v>04. Desarrollo Finalizado</v>
      </c>
      <c r="C383" t="str">
        <f ca="1"/>
        <v>2025-M0465</v>
      </c>
      <c r="D383" t="str">
        <f ca="1"/>
        <v xml:space="preserve">   Producción</v>
      </c>
      <c r="E383" s="255">
        <f ca="1"/>
        <v>0.5</v>
      </c>
      <c r="F383" s="255">
        <f ca="1"/>
        <v>1</v>
      </c>
      <c r="G383" s="356">
        <f ca="1">IF(TRIM(D383)=C383,
   _xlfn.XLOOKUP(C383, Cartera1017[ID Mantenimiento],Cartera1017[Comienzo Desarrollo]),
IF(TRIM(D383)="Desarrollo",
   _xlfn.XLOOKUP(C383,Cartera1017[ID Mantenimiento],Cartera1017[Comienzo Desarrollo]),
IF(TRIM(D383)="Calidad",
   _xlfn.XLOOKUP(C383,Cartera1017[ID Mantenimiento],Cartera1017[Comienzo Calidad]),
IF(TRIM(D383)="Producción",
   _xlfn.XLOOKUP(C383,Cartera1017[ID Mantenimiento],Cartera1017[Comienzo Producción]),
""))))</f>
        <v>46148</v>
      </c>
      <c r="H383" s="160">
        <f ca="1">IF(TRIM(D383)=C383,
   _xlfn.XLOOKUP(C383, Cartera1017[ID Mantenimiento],Cartera1017[Fin Producción]),
IF(TRIM(D383)="Desarrollo",
   _xlfn.XLOOKUP(C383,Cartera1017[ID Mantenimiento],Cartera1017[Fin Desarrollo]),
IF(TRIM(D383)="Calidad",
   _xlfn.XLOOKUP(C383,Cartera1017[ID Mantenimiento],Cartera1017[Fin Calidad]),
IF(TRIM(D383)="Producción",
   _xlfn.XLOOKUP(C383,Cartera1017[ID Mantenimiento],Cartera1017[Fin Producción]),
""))))</f>
        <v>46152</v>
      </c>
    </row>
    <row r="384" spans="1:8" hidden="1" collapsed="1">
      <c r="A384" t="str">
        <f ca="1"/>
        <v>Finanzas y Tesorería</v>
      </c>
      <c r="B384" t="str">
        <f ca="1"/>
        <v>08. Producción Finalizada</v>
      </c>
      <c r="C384" t="str">
        <f ca="1"/>
        <v>2025-M0659</v>
      </c>
      <c r="D384" t="str">
        <f ca="1"/>
        <v>2025-M0659</v>
      </c>
      <c r="E384" s="255">
        <f ca="1"/>
        <v>1</v>
      </c>
      <c r="F384" s="255">
        <f ca="1"/>
        <v>1</v>
      </c>
      <c r="G384" s="356">
        <f ca="1">IF(TRIM(D384)=C384,
   _xlfn.XLOOKUP(C384, Cartera1017[ID Mantenimiento],Cartera1017[Comienzo Desarrollo]),
IF(TRIM(D384)="Desarrollo",
   _xlfn.XLOOKUP(C384,Cartera1017[ID Mantenimiento],Cartera1017[Comienzo Desarrollo]),
IF(TRIM(D384)="Calidad",
   _xlfn.XLOOKUP(C384,Cartera1017[ID Mantenimiento],Cartera1017[Comienzo Calidad]),
IF(TRIM(D384)="Producción",
   _xlfn.XLOOKUP(C384,Cartera1017[ID Mantenimiento],Cartera1017[Comienzo Producción]),
""))))</f>
        <v>45932</v>
      </c>
      <c r="H384" s="160">
        <f ca="1">IF(TRIM(D384)=C384,
   _xlfn.XLOOKUP(C384, Cartera1017[ID Mantenimiento],Cartera1017[Fin Producción]),
IF(TRIM(D384)="Desarrollo",
   _xlfn.XLOOKUP(C384,Cartera1017[ID Mantenimiento],Cartera1017[Fin Desarrollo]),
IF(TRIM(D384)="Calidad",
   _xlfn.XLOOKUP(C384,Cartera1017[ID Mantenimiento],Cartera1017[Fin Calidad]),
IF(TRIM(D384)="Producción",
   _xlfn.XLOOKUP(C384,Cartera1017[ID Mantenimiento],Cartera1017[Fin Producción]),
""))))</f>
        <v>46058</v>
      </c>
    </row>
    <row r="385" spans="1:8" hidden="1" outlineLevel="1">
      <c r="A385" t="str">
        <f ca="1"/>
        <v>Finanzas y Tesorería</v>
      </c>
      <c r="B385" t="str">
        <f ca="1"/>
        <v>08. Producción Finalizada</v>
      </c>
      <c r="C385" t="str">
        <f ca="1"/>
        <v>2025-M0659</v>
      </c>
      <c r="D385" t="str">
        <f ca="1"/>
        <v xml:space="preserve">   Desarrollo</v>
      </c>
      <c r="E385" s="255">
        <f ca="1"/>
        <v>1</v>
      </c>
      <c r="F385" s="255">
        <f ca="1"/>
        <v>1</v>
      </c>
      <c r="G385" s="356">
        <f ca="1">IF(TRIM(D385)=C385,
   _xlfn.XLOOKUP(C385, Cartera1017[ID Mantenimiento],Cartera1017[Comienzo Desarrollo]),
IF(TRIM(D385)="Desarrollo",
   _xlfn.XLOOKUP(C385,Cartera1017[ID Mantenimiento],Cartera1017[Comienzo Desarrollo]),
IF(TRIM(D385)="Calidad",
   _xlfn.XLOOKUP(C385,Cartera1017[ID Mantenimiento],Cartera1017[Comienzo Calidad]),
IF(TRIM(D385)="Producción",
   _xlfn.XLOOKUP(C385,Cartera1017[ID Mantenimiento],Cartera1017[Comienzo Producción]),
""))))</f>
        <v>45932</v>
      </c>
      <c r="H385" s="160">
        <f ca="1">IF(TRIM(D385)=C385,
   _xlfn.XLOOKUP(C385, Cartera1017[ID Mantenimiento],Cartera1017[Fin Producción]),
IF(TRIM(D385)="Desarrollo",
   _xlfn.XLOOKUP(C385,Cartera1017[ID Mantenimiento],Cartera1017[Fin Desarrollo]),
IF(TRIM(D385)="Calidad",
   _xlfn.XLOOKUP(C385,Cartera1017[ID Mantenimiento],Cartera1017[Fin Calidad]),
IF(TRIM(D385)="Producción",
   _xlfn.XLOOKUP(C385,Cartera1017[ID Mantenimiento],Cartera1017[Fin Producción]),
""))))</f>
        <v>45988</v>
      </c>
    </row>
    <row r="386" spans="1:8" hidden="1" outlineLevel="1">
      <c r="A386" t="str">
        <f ca="1"/>
        <v>Finanzas y Tesorería</v>
      </c>
      <c r="B386" t="str">
        <f ca="1"/>
        <v>08. Producción Finalizada</v>
      </c>
      <c r="C386" t="str">
        <f ca="1"/>
        <v>2025-M0659</v>
      </c>
      <c r="D386" t="str">
        <f ca="1"/>
        <v xml:space="preserve">   Calidad</v>
      </c>
      <c r="E386" s="255">
        <f ca="1"/>
        <v>1</v>
      </c>
      <c r="F386" s="255">
        <f ca="1"/>
        <v>1</v>
      </c>
      <c r="G386" s="356">
        <f ca="1">IF(TRIM(D386)=C386,
   _xlfn.XLOOKUP(C386, Cartera1017[ID Mantenimiento],Cartera1017[Comienzo Desarrollo]),
IF(TRIM(D386)="Desarrollo",
   _xlfn.XLOOKUP(C386,Cartera1017[ID Mantenimiento],Cartera1017[Comienzo Desarrollo]),
IF(TRIM(D386)="Calidad",
   _xlfn.XLOOKUP(C386,Cartera1017[ID Mantenimiento],Cartera1017[Comienzo Calidad]),
IF(TRIM(D386)="Producción",
   _xlfn.XLOOKUP(C386,Cartera1017[ID Mantenimiento],Cartera1017[Comienzo Producción]),
""))))</f>
        <v>45996</v>
      </c>
      <c r="H386" s="160">
        <f ca="1">IF(TRIM(D386)=C386,
   _xlfn.XLOOKUP(C386, Cartera1017[ID Mantenimiento],Cartera1017[Fin Producción]),
IF(TRIM(D386)="Desarrollo",
   _xlfn.XLOOKUP(C386,Cartera1017[ID Mantenimiento],Cartera1017[Fin Desarrollo]),
IF(TRIM(D386)="Calidad",
   _xlfn.XLOOKUP(C386,Cartera1017[ID Mantenimiento],Cartera1017[Fin Calidad]),
IF(TRIM(D386)="Producción",
   _xlfn.XLOOKUP(C386,Cartera1017[ID Mantenimiento],Cartera1017[Fin Producción]),
""))))</f>
        <v>46035</v>
      </c>
    </row>
    <row r="387" spans="1:8" hidden="1" outlineLevel="1">
      <c r="A387" t="str">
        <f ca="1"/>
        <v>Finanzas y Tesorería</v>
      </c>
      <c r="B387" t="str">
        <f ca="1"/>
        <v>08. Producción Finalizada</v>
      </c>
      <c r="C387" t="str">
        <f ca="1"/>
        <v>2025-M0659</v>
      </c>
      <c r="D387" t="str">
        <f ca="1"/>
        <v xml:space="preserve">   Producción</v>
      </c>
      <c r="E387" s="255">
        <f ca="1"/>
        <v>1</v>
      </c>
      <c r="F387" s="255">
        <f ca="1"/>
        <v>1</v>
      </c>
      <c r="G387" s="356">
        <f ca="1">IF(TRIM(D387)=C387,
   _xlfn.XLOOKUP(C387, Cartera1017[ID Mantenimiento],Cartera1017[Comienzo Desarrollo]),
IF(TRIM(D387)="Desarrollo",
   _xlfn.XLOOKUP(C387,Cartera1017[ID Mantenimiento],Cartera1017[Comienzo Desarrollo]),
IF(TRIM(D387)="Calidad",
   _xlfn.XLOOKUP(C387,Cartera1017[ID Mantenimiento],Cartera1017[Comienzo Calidad]),
IF(TRIM(D387)="Producción",
   _xlfn.XLOOKUP(C387,Cartera1017[ID Mantenimiento],Cartera1017[Comienzo Producción]),
""))))</f>
        <v>46045</v>
      </c>
      <c r="H387" s="160">
        <f ca="1">IF(TRIM(D387)=C387,
   _xlfn.XLOOKUP(C387, Cartera1017[ID Mantenimiento],Cartera1017[Fin Producción]),
IF(TRIM(D387)="Desarrollo",
   _xlfn.XLOOKUP(C387,Cartera1017[ID Mantenimiento],Cartera1017[Fin Desarrollo]),
IF(TRIM(D387)="Calidad",
   _xlfn.XLOOKUP(C387,Cartera1017[ID Mantenimiento],Cartera1017[Fin Calidad]),
IF(TRIM(D387)="Producción",
   _xlfn.XLOOKUP(C387,Cartera1017[ID Mantenimiento],Cartera1017[Fin Producción]),
""))))</f>
        <v>46058</v>
      </c>
    </row>
    <row r="388" spans="1:8" hidden="1" collapsed="1">
      <c r="A388" t="str">
        <f ca="1"/>
        <v>Operaciones</v>
      </c>
      <c r="B388" t="str">
        <f ca="1"/>
        <v>03. En Desarrollo</v>
      </c>
      <c r="C388" t="str">
        <f ca="1"/>
        <v>2025-M0425</v>
      </c>
      <c r="D388" t="str">
        <f ca="1"/>
        <v>2025-M0425</v>
      </c>
      <c r="E388" s="255">
        <f ca="1"/>
        <v>0.25</v>
      </c>
      <c r="F388" s="255">
        <f ca="1"/>
        <v>1</v>
      </c>
      <c r="G388" s="356">
        <f ca="1">IF(TRIM(D388)=C388,
   _xlfn.XLOOKUP(C388, Cartera1017[ID Mantenimiento],Cartera1017[Comienzo Desarrollo]),
IF(TRIM(D388)="Desarrollo",
   _xlfn.XLOOKUP(C388,Cartera1017[ID Mantenimiento],Cartera1017[Comienzo Desarrollo]),
IF(TRIM(D388)="Calidad",
   _xlfn.XLOOKUP(C388,Cartera1017[ID Mantenimiento],Cartera1017[Comienzo Calidad]),
IF(TRIM(D388)="Producción",
   _xlfn.XLOOKUP(C388,Cartera1017[ID Mantenimiento],Cartera1017[Comienzo Producción]),
""))))</f>
        <v>46083</v>
      </c>
      <c r="H388" s="160">
        <f ca="1">IF(TRIM(D388)=C388,
   _xlfn.XLOOKUP(C388, Cartera1017[ID Mantenimiento],Cartera1017[Fin Producción]),
IF(TRIM(D388)="Desarrollo",
   _xlfn.XLOOKUP(C388,Cartera1017[ID Mantenimiento],Cartera1017[Fin Desarrollo]),
IF(TRIM(D388)="Calidad",
   _xlfn.XLOOKUP(C388,Cartera1017[ID Mantenimiento],Cartera1017[Fin Calidad]),
IF(TRIM(D388)="Producción",
   _xlfn.XLOOKUP(C388,Cartera1017[ID Mantenimiento],Cartera1017[Fin Producción]),
""))))</f>
        <v>46150</v>
      </c>
    </row>
    <row r="389" spans="1:8" hidden="1" outlineLevel="1">
      <c r="A389" t="str">
        <f ca="1"/>
        <v>Operaciones</v>
      </c>
      <c r="B389" t="str">
        <f ca="1"/>
        <v>03. En Desarrollo</v>
      </c>
      <c r="C389" t="str">
        <f ca="1"/>
        <v>2025-M0425</v>
      </c>
      <c r="D389" t="str">
        <f ca="1"/>
        <v xml:space="preserve">   Desarrollo</v>
      </c>
      <c r="E389" s="255">
        <f ca="1"/>
        <v>0.25</v>
      </c>
      <c r="F389" s="255">
        <f ca="1"/>
        <v>1</v>
      </c>
      <c r="G389" s="356">
        <f ca="1">IF(TRIM(D389)=C389,
   _xlfn.XLOOKUP(C389, Cartera1017[ID Mantenimiento],Cartera1017[Comienzo Desarrollo]),
IF(TRIM(D389)="Desarrollo",
   _xlfn.XLOOKUP(C389,Cartera1017[ID Mantenimiento],Cartera1017[Comienzo Desarrollo]),
IF(TRIM(D389)="Calidad",
   _xlfn.XLOOKUP(C389,Cartera1017[ID Mantenimiento],Cartera1017[Comienzo Calidad]),
IF(TRIM(D389)="Producción",
   _xlfn.XLOOKUP(C389,Cartera1017[ID Mantenimiento],Cartera1017[Comienzo Producción]),
""))))</f>
        <v>46083</v>
      </c>
      <c r="H389" s="160">
        <f ca="1">IF(TRIM(D389)=C389,
   _xlfn.XLOOKUP(C389, Cartera1017[ID Mantenimiento],Cartera1017[Fin Producción]),
IF(TRIM(D389)="Desarrollo",
   _xlfn.XLOOKUP(C389,Cartera1017[ID Mantenimiento],Cartera1017[Fin Desarrollo]),
IF(TRIM(D389)="Calidad",
   _xlfn.XLOOKUP(C389,Cartera1017[ID Mantenimiento],Cartera1017[Fin Calidad]),
IF(TRIM(D389)="Producción",
   _xlfn.XLOOKUP(C389,Cartera1017[ID Mantenimiento],Cartera1017[Fin Producción]),
""))))</f>
        <v>46111</v>
      </c>
    </row>
    <row r="390" spans="1:8" hidden="1" outlineLevel="1">
      <c r="A390" t="str">
        <f ca="1"/>
        <v>Operaciones</v>
      </c>
      <c r="B390" t="str">
        <f ca="1"/>
        <v>03. En Desarrollo</v>
      </c>
      <c r="C390" t="str">
        <f ca="1"/>
        <v>2025-M0425</v>
      </c>
      <c r="D390" t="str">
        <f ca="1"/>
        <v xml:space="preserve">   Calidad</v>
      </c>
      <c r="E390" s="255">
        <f ca="1"/>
        <v>0.25</v>
      </c>
      <c r="F390" s="255">
        <f ca="1"/>
        <v>1</v>
      </c>
      <c r="G390" s="356">
        <f ca="1">IF(TRIM(D390)=C390,
   _xlfn.XLOOKUP(C390, Cartera1017[ID Mantenimiento],Cartera1017[Comienzo Desarrollo]),
IF(TRIM(D390)="Desarrollo",
   _xlfn.XLOOKUP(C390,Cartera1017[ID Mantenimiento],Cartera1017[Comienzo Desarrollo]),
IF(TRIM(D390)="Calidad",
   _xlfn.XLOOKUP(C390,Cartera1017[ID Mantenimiento],Cartera1017[Comienzo Calidad]),
IF(TRIM(D390)="Producción",
   _xlfn.XLOOKUP(C390,Cartera1017[ID Mantenimiento],Cartera1017[Comienzo Producción]),
""))))</f>
        <v>46113</v>
      </c>
      <c r="H390" s="160">
        <f ca="1">IF(TRIM(D390)=C390,
   _xlfn.XLOOKUP(C390, Cartera1017[ID Mantenimiento],Cartera1017[Fin Producción]),
IF(TRIM(D390)="Desarrollo",
   _xlfn.XLOOKUP(C390,Cartera1017[ID Mantenimiento],Cartera1017[Fin Desarrollo]),
IF(TRIM(D390)="Calidad",
   _xlfn.XLOOKUP(C390,Cartera1017[ID Mantenimiento],Cartera1017[Fin Calidad]),
IF(TRIM(D390)="Producción",
   _xlfn.XLOOKUP(C390,Cartera1017[ID Mantenimiento],Cartera1017[Fin Producción]),
""))))</f>
        <v>46142</v>
      </c>
    </row>
    <row r="391" spans="1:8" hidden="1" outlineLevel="1">
      <c r="A391" t="str">
        <f ca="1"/>
        <v>Operaciones</v>
      </c>
      <c r="B391" t="str">
        <f ca="1"/>
        <v>03. En Desarrollo</v>
      </c>
      <c r="C391" t="str">
        <f ca="1"/>
        <v>2025-M0425</v>
      </c>
      <c r="D391" t="str">
        <f ca="1"/>
        <v xml:space="preserve">   Producción</v>
      </c>
      <c r="E391" s="255">
        <f ca="1"/>
        <v>0.25</v>
      </c>
      <c r="F391" s="255">
        <f ca="1"/>
        <v>1</v>
      </c>
      <c r="G391" s="356">
        <f ca="1">IF(TRIM(D391)=C391,
   _xlfn.XLOOKUP(C391, Cartera1017[ID Mantenimiento],Cartera1017[Comienzo Desarrollo]),
IF(TRIM(D391)="Desarrollo",
   _xlfn.XLOOKUP(C391,Cartera1017[ID Mantenimiento],Cartera1017[Comienzo Desarrollo]),
IF(TRIM(D391)="Calidad",
   _xlfn.XLOOKUP(C391,Cartera1017[ID Mantenimiento],Cartera1017[Comienzo Calidad]),
IF(TRIM(D391)="Producción",
   _xlfn.XLOOKUP(C391,Cartera1017[ID Mantenimiento],Cartera1017[Comienzo Producción]),
""))))</f>
        <v>46146</v>
      </c>
      <c r="H391" s="160">
        <f ca="1">IF(TRIM(D391)=C391,
   _xlfn.XLOOKUP(C391, Cartera1017[ID Mantenimiento],Cartera1017[Fin Producción]),
IF(TRIM(D391)="Desarrollo",
   _xlfn.XLOOKUP(C391,Cartera1017[ID Mantenimiento],Cartera1017[Fin Desarrollo]),
IF(TRIM(D391)="Calidad",
   _xlfn.XLOOKUP(C391,Cartera1017[ID Mantenimiento],Cartera1017[Fin Calidad]),
IF(TRIM(D391)="Producción",
   _xlfn.XLOOKUP(C391,Cartera1017[ID Mantenimiento],Cartera1017[Fin Producción]),
""))))</f>
        <v>46150</v>
      </c>
    </row>
    <row r="392" spans="1:8" hidden="1" collapsed="1">
      <c r="A392" t="str">
        <f ca="1"/>
        <v>Oficialía de PLAFT</v>
      </c>
      <c r="B392" t="str">
        <f ca="1"/>
        <v>07. En Despliegue</v>
      </c>
      <c r="C392" t="str">
        <f ca="1"/>
        <v>2025-M0422</v>
      </c>
      <c r="D392" t="str">
        <f ca="1"/>
        <v>2025-M0422</v>
      </c>
      <c r="E392" s="255">
        <f ca="1"/>
        <v>0.9</v>
      </c>
      <c r="F392" s="255">
        <f ca="1"/>
        <v>1</v>
      </c>
      <c r="G392" s="356">
        <f ca="1">IF(TRIM(D392)=C392,
   _xlfn.XLOOKUP(C392, Cartera1017[ID Mantenimiento],Cartera1017[Comienzo Desarrollo]),
IF(TRIM(D392)="Desarrollo",
   _xlfn.XLOOKUP(C392,Cartera1017[ID Mantenimiento],Cartera1017[Comienzo Desarrollo]),
IF(TRIM(D392)="Calidad",
   _xlfn.XLOOKUP(C392,Cartera1017[ID Mantenimiento],Cartera1017[Comienzo Calidad]),
IF(TRIM(D392)="Producción",
   _xlfn.XLOOKUP(C392,Cartera1017[ID Mantenimiento],Cartera1017[Comienzo Producción]),
""))))</f>
        <v>45806</v>
      </c>
      <c r="H392" s="160">
        <f ca="1">IF(TRIM(D392)=C392,
   _xlfn.XLOOKUP(C392, Cartera1017[ID Mantenimiento],Cartera1017[Fin Producción]),
IF(TRIM(D392)="Desarrollo",
   _xlfn.XLOOKUP(C392,Cartera1017[ID Mantenimiento],Cartera1017[Fin Desarrollo]),
IF(TRIM(D392)="Calidad",
   _xlfn.XLOOKUP(C392,Cartera1017[ID Mantenimiento],Cartera1017[Fin Calidad]),
IF(TRIM(D392)="Producción",
   _xlfn.XLOOKUP(C392,Cartera1017[ID Mantenimiento],Cartera1017[Fin Producción]),
""))))</f>
        <v>46108</v>
      </c>
    </row>
    <row r="393" spans="1:8" hidden="1" outlineLevel="1">
      <c r="A393" t="str">
        <f ca="1"/>
        <v>Oficialía de PLAFT</v>
      </c>
      <c r="B393" t="str">
        <f ca="1"/>
        <v>07. En Despliegue</v>
      </c>
      <c r="C393" t="str">
        <f ca="1"/>
        <v>2025-M0422</v>
      </c>
      <c r="D393" t="str">
        <f ca="1"/>
        <v xml:space="preserve">   Desarrollo</v>
      </c>
      <c r="E393" s="255">
        <f ca="1"/>
        <v>0.9</v>
      </c>
      <c r="F393" s="255">
        <f ca="1"/>
        <v>1</v>
      </c>
      <c r="G393" s="356">
        <f ca="1">IF(TRIM(D393)=C393,
   _xlfn.XLOOKUP(C393, Cartera1017[ID Mantenimiento],Cartera1017[Comienzo Desarrollo]),
IF(TRIM(D393)="Desarrollo",
   _xlfn.XLOOKUP(C393,Cartera1017[ID Mantenimiento],Cartera1017[Comienzo Desarrollo]),
IF(TRIM(D393)="Calidad",
   _xlfn.XLOOKUP(C393,Cartera1017[ID Mantenimiento],Cartera1017[Comienzo Calidad]),
IF(TRIM(D393)="Producción",
   _xlfn.XLOOKUP(C393,Cartera1017[ID Mantenimiento],Cartera1017[Comienzo Producción]),
""))))</f>
        <v>45806</v>
      </c>
      <c r="H393" s="160">
        <f ca="1">IF(TRIM(D393)=C393,
   _xlfn.XLOOKUP(C393, Cartera1017[ID Mantenimiento],Cartera1017[Fin Producción]),
IF(TRIM(D393)="Desarrollo",
   _xlfn.XLOOKUP(C393,Cartera1017[ID Mantenimiento],Cartera1017[Fin Desarrollo]),
IF(TRIM(D393)="Calidad",
   _xlfn.XLOOKUP(C393,Cartera1017[ID Mantenimiento],Cartera1017[Fin Calidad]),
IF(TRIM(D393)="Producción",
   _xlfn.XLOOKUP(C393,Cartera1017[ID Mantenimiento],Cartera1017[Fin Producción]),
""))))</f>
        <v>45915</v>
      </c>
    </row>
    <row r="394" spans="1:8" hidden="1" outlineLevel="1">
      <c r="A394" t="str">
        <f ca="1"/>
        <v>Oficialía de PLAFT</v>
      </c>
      <c r="B394" t="str">
        <f ca="1"/>
        <v>07. En Despliegue</v>
      </c>
      <c r="C394" t="str">
        <f ca="1"/>
        <v>2025-M0422</v>
      </c>
      <c r="D394" t="str">
        <f ca="1"/>
        <v xml:space="preserve">   Calidad</v>
      </c>
      <c r="E394" s="255">
        <f ca="1"/>
        <v>0.9</v>
      </c>
      <c r="F394" s="255">
        <f ca="1"/>
        <v>1</v>
      </c>
      <c r="G394" s="356">
        <f ca="1">IF(TRIM(D394)=C394,
   _xlfn.XLOOKUP(C394, Cartera1017[ID Mantenimiento],Cartera1017[Comienzo Desarrollo]),
IF(TRIM(D394)="Desarrollo",
   _xlfn.XLOOKUP(C394,Cartera1017[ID Mantenimiento],Cartera1017[Comienzo Desarrollo]),
IF(TRIM(D394)="Calidad",
   _xlfn.XLOOKUP(C394,Cartera1017[ID Mantenimiento],Cartera1017[Comienzo Calidad]),
IF(TRIM(D394)="Producción",
   _xlfn.XLOOKUP(C394,Cartera1017[ID Mantenimiento],Cartera1017[Comienzo Producción]),
""))))</f>
        <v>45918</v>
      </c>
      <c r="H394" s="160">
        <f ca="1">IF(TRIM(D394)=C394,
   _xlfn.XLOOKUP(C394, Cartera1017[ID Mantenimiento],Cartera1017[Fin Producción]),
IF(TRIM(D394)="Desarrollo",
   _xlfn.XLOOKUP(C394,Cartera1017[ID Mantenimiento],Cartera1017[Fin Desarrollo]),
IF(TRIM(D394)="Calidad",
   _xlfn.XLOOKUP(C394,Cartera1017[ID Mantenimiento],Cartera1017[Fin Calidad]),
IF(TRIM(D394)="Producción",
   _xlfn.XLOOKUP(C394,Cartera1017[ID Mantenimiento],Cartera1017[Fin Producción]),
""))))</f>
        <v>45940</v>
      </c>
    </row>
    <row r="395" spans="1:8" hidden="1" outlineLevel="1">
      <c r="A395" t="str">
        <f ca="1"/>
        <v>Oficialía de PLAFT</v>
      </c>
      <c r="B395" t="str">
        <f ca="1"/>
        <v>07. En Despliegue</v>
      </c>
      <c r="C395" t="str">
        <f ca="1"/>
        <v>2025-M0422</v>
      </c>
      <c r="D395" t="str">
        <f ca="1"/>
        <v xml:space="preserve">   Producción</v>
      </c>
      <c r="E395" s="255">
        <f ca="1"/>
        <v>0.9</v>
      </c>
      <c r="F395" s="255">
        <f ca="1"/>
        <v>1</v>
      </c>
      <c r="G395" s="356">
        <f ca="1">IF(TRIM(D395)=C395,
   _xlfn.XLOOKUP(C395, Cartera1017[ID Mantenimiento],Cartera1017[Comienzo Desarrollo]),
IF(TRIM(D395)="Desarrollo",
   _xlfn.XLOOKUP(C395,Cartera1017[ID Mantenimiento],Cartera1017[Comienzo Desarrollo]),
IF(TRIM(D395)="Calidad",
   _xlfn.XLOOKUP(C395,Cartera1017[ID Mantenimiento],Cartera1017[Comienzo Calidad]),
IF(TRIM(D395)="Producción",
   _xlfn.XLOOKUP(C395,Cartera1017[ID Mantenimiento],Cartera1017[Comienzo Producción]),
""))))</f>
        <v>45967</v>
      </c>
      <c r="H395" s="160">
        <f ca="1">IF(TRIM(D395)=C395,
   _xlfn.XLOOKUP(C395, Cartera1017[ID Mantenimiento],Cartera1017[Fin Producción]),
IF(TRIM(D395)="Desarrollo",
   _xlfn.XLOOKUP(C395,Cartera1017[ID Mantenimiento],Cartera1017[Fin Desarrollo]),
IF(TRIM(D395)="Calidad",
   _xlfn.XLOOKUP(C395,Cartera1017[ID Mantenimiento],Cartera1017[Fin Calidad]),
IF(TRIM(D395)="Producción",
   _xlfn.XLOOKUP(C395,Cartera1017[ID Mantenimiento],Cartera1017[Fin Producción]),
""))))</f>
        <v>46108</v>
      </c>
    </row>
    <row r="396" spans="1:8" hidden="1" collapsed="1">
      <c r="A396" t="str">
        <f ca="1"/>
        <v>Banca Digital</v>
      </c>
      <c r="B396" t="str">
        <f ca="1"/>
        <v>03. En Desarrollo</v>
      </c>
      <c r="C396" t="str">
        <f ca="1"/>
        <v>2025-M0431</v>
      </c>
      <c r="D396" t="str">
        <f ca="1"/>
        <v>2025-M0431</v>
      </c>
      <c r="E396" s="255">
        <f ca="1"/>
        <v>0.25</v>
      </c>
      <c r="F396" s="255">
        <f ca="1"/>
        <v>0.4351145038167939</v>
      </c>
      <c r="G396" s="356">
        <f ca="1">IF(TRIM(D396)=C396,
   _xlfn.XLOOKUP(C396, Cartera1017[ID Mantenimiento],Cartera1017[Comienzo Desarrollo]),
IF(TRIM(D396)="Desarrollo",
   _xlfn.XLOOKUP(C396,Cartera1017[ID Mantenimiento],Cartera1017[Comienzo Desarrollo]),
IF(TRIM(D396)="Calidad",
   _xlfn.XLOOKUP(C396,Cartera1017[ID Mantenimiento],Cartera1017[Comienzo Calidad]),
IF(TRIM(D396)="Producción",
   _xlfn.XLOOKUP(C396,Cartera1017[ID Mantenimiento],Cartera1017[Comienzo Producción]),
""))))</f>
        <v>46083</v>
      </c>
      <c r="H396" s="160">
        <f ca="1">IF(TRIM(D396)=C396,
   _xlfn.XLOOKUP(C396, Cartera1017[ID Mantenimiento],Cartera1017[Fin Producción]),
IF(TRIM(D396)="Desarrollo",
   _xlfn.XLOOKUP(C396,Cartera1017[ID Mantenimiento],Cartera1017[Fin Desarrollo]),
IF(TRIM(D396)="Calidad",
   _xlfn.XLOOKUP(C396,Cartera1017[ID Mantenimiento],Cartera1017[Fin Calidad]),
IF(TRIM(D396)="Producción",
   _xlfn.XLOOKUP(C396,Cartera1017[ID Mantenimiento],Cartera1017[Fin Producción]),
""))))</f>
        <v>46269</v>
      </c>
    </row>
    <row r="397" spans="1:8" hidden="1" outlineLevel="1">
      <c r="A397" t="str">
        <f ca="1"/>
        <v>Banca Digital</v>
      </c>
      <c r="B397" t="str">
        <f ca="1"/>
        <v>03. En Desarrollo</v>
      </c>
      <c r="C397" t="str">
        <f ca="1"/>
        <v>2025-M0431</v>
      </c>
      <c r="D397" t="str">
        <f ca="1"/>
        <v xml:space="preserve">   Desarrollo</v>
      </c>
      <c r="E397" s="255">
        <f ca="1"/>
        <v>0.25</v>
      </c>
      <c r="F397" s="255">
        <f ca="1"/>
        <v>0.4351145038167939</v>
      </c>
      <c r="G397" s="356">
        <f ca="1">IF(TRIM(D397)=C397,
   _xlfn.XLOOKUP(C397, Cartera1017[ID Mantenimiento],Cartera1017[Comienzo Desarrollo]),
IF(TRIM(D397)="Desarrollo",
   _xlfn.XLOOKUP(C397,Cartera1017[ID Mantenimiento],Cartera1017[Comienzo Desarrollo]),
IF(TRIM(D397)="Calidad",
   _xlfn.XLOOKUP(C397,Cartera1017[ID Mantenimiento],Cartera1017[Comienzo Calidad]),
IF(TRIM(D397)="Producción",
   _xlfn.XLOOKUP(C397,Cartera1017[ID Mantenimiento],Cartera1017[Comienzo Producción]),
""))))</f>
        <v>46083</v>
      </c>
      <c r="H397" s="160">
        <f ca="1">IF(TRIM(D397)=C397,
   _xlfn.XLOOKUP(C397, Cartera1017[ID Mantenimiento],Cartera1017[Fin Producción]),
IF(TRIM(D397)="Desarrollo",
   _xlfn.XLOOKUP(C397,Cartera1017[ID Mantenimiento],Cartera1017[Fin Desarrollo]),
IF(TRIM(D397)="Calidad",
   _xlfn.XLOOKUP(C397,Cartera1017[ID Mantenimiento],Cartera1017[Fin Calidad]),
IF(TRIM(D397)="Producción",
   _xlfn.XLOOKUP(C397,Cartera1017[ID Mantenimiento],Cartera1017[Fin Producción]),
""))))</f>
        <v>46233</v>
      </c>
    </row>
    <row r="398" spans="1:8" hidden="1" outlineLevel="1">
      <c r="A398" t="str">
        <f ca="1"/>
        <v>Banca Digital</v>
      </c>
      <c r="B398" t="str">
        <f ca="1"/>
        <v>03. En Desarrollo</v>
      </c>
      <c r="C398" t="str">
        <f ca="1"/>
        <v>2025-M0431</v>
      </c>
      <c r="D398" t="str">
        <f ca="1"/>
        <v xml:space="preserve">   Calidad</v>
      </c>
      <c r="E398" s="255">
        <f ca="1"/>
        <v>0.25</v>
      </c>
      <c r="F398" s="255">
        <f ca="1"/>
        <v>0.4351145038167939</v>
      </c>
      <c r="G398" s="356">
        <f ca="1">IF(TRIM(D398)=C398,
   _xlfn.XLOOKUP(C398, Cartera1017[ID Mantenimiento],Cartera1017[Comienzo Desarrollo]),
IF(TRIM(D398)="Desarrollo",
   _xlfn.XLOOKUP(C398,Cartera1017[ID Mantenimiento],Cartera1017[Comienzo Desarrollo]),
IF(TRIM(D398)="Calidad",
   _xlfn.XLOOKUP(C398,Cartera1017[ID Mantenimiento],Cartera1017[Comienzo Calidad]),
IF(TRIM(D398)="Producción",
   _xlfn.XLOOKUP(C398,Cartera1017[ID Mantenimiento],Cartera1017[Comienzo Producción]),
""))))</f>
        <v>46237</v>
      </c>
      <c r="H398" s="160">
        <f ca="1">IF(TRIM(D398)=C398,
   _xlfn.XLOOKUP(C398, Cartera1017[ID Mantenimiento],Cartera1017[Fin Producción]),
IF(TRIM(D398)="Desarrollo",
   _xlfn.XLOOKUP(C398,Cartera1017[ID Mantenimiento],Cartera1017[Fin Desarrollo]),
IF(TRIM(D398)="Calidad",
   _xlfn.XLOOKUP(C398,Cartera1017[ID Mantenimiento],Cartera1017[Fin Calidad]),
IF(TRIM(D398)="Producción",
   _xlfn.XLOOKUP(C398,Cartera1017[ID Mantenimiento],Cartera1017[Fin Producción]),
""))))</f>
        <v>46265</v>
      </c>
    </row>
    <row r="399" spans="1:8" hidden="1" outlineLevel="1">
      <c r="A399" t="str">
        <f ca="1"/>
        <v>Banca Digital</v>
      </c>
      <c r="B399" t="str">
        <f ca="1"/>
        <v>03. En Desarrollo</v>
      </c>
      <c r="C399" t="str">
        <f ca="1"/>
        <v>2025-M0431</v>
      </c>
      <c r="D399" t="str">
        <f ca="1"/>
        <v xml:space="preserve">   Producción</v>
      </c>
      <c r="E399" s="255">
        <f ca="1"/>
        <v>0.25</v>
      </c>
      <c r="F399" s="255">
        <f ca="1"/>
        <v>0.4351145038167939</v>
      </c>
      <c r="G399" s="356">
        <f ca="1">IF(TRIM(D399)=C399,
   _xlfn.XLOOKUP(C399, Cartera1017[ID Mantenimiento],Cartera1017[Comienzo Desarrollo]),
IF(TRIM(D399)="Desarrollo",
   _xlfn.XLOOKUP(C399,Cartera1017[ID Mantenimiento],Cartera1017[Comienzo Desarrollo]),
IF(TRIM(D399)="Calidad",
   _xlfn.XLOOKUP(C399,Cartera1017[ID Mantenimiento],Cartera1017[Comienzo Calidad]),
IF(TRIM(D399)="Producción",
   _xlfn.XLOOKUP(C399,Cartera1017[ID Mantenimiento],Cartera1017[Comienzo Producción]),
""))))</f>
        <v>46266</v>
      </c>
      <c r="H399" s="160">
        <f ca="1">IF(TRIM(D399)=C399,
   _xlfn.XLOOKUP(C399, Cartera1017[ID Mantenimiento],Cartera1017[Fin Producción]),
IF(TRIM(D399)="Desarrollo",
   _xlfn.XLOOKUP(C399,Cartera1017[ID Mantenimiento],Cartera1017[Fin Desarrollo]),
IF(TRIM(D399)="Calidad",
   _xlfn.XLOOKUP(C399,Cartera1017[ID Mantenimiento],Cartera1017[Fin Calidad]),
IF(TRIM(D399)="Producción",
   _xlfn.XLOOKUP(C399,Cartera1017[ID Mantenimiento],Cartera1017[Fin Producción]),
""))))</f>
        <v>46269</v>
      </c>
    </row>
    <row r="400" spans="1:8" hidden="1" collapsed="1">
      <c r="A400" t="str">
        <f ca="1"/>
        <v>Productos e Inclusión Financiera</v>
      </c>
      <c r="B400" t="str">
        <f ca="1"/>
        <v>07. En Despliegue</v>
      </c>
      <c r="C400" t="str">
        <f ca="1"/>
        <v>2025-M0370</v>
      </c>
      <c r="D400" t="str">
        <f ca="1"/>
        <v>2025-M0370</v>
      </c>
      <c r="E400" s="255">
        <f ca="1"/>
        <v>0.9</v>
      </c>
      <c r="F400" s="255">
        <f ca="1"/>
        <v>1</v>
      </c>
      <c r="G400" s="356">
        <f ca="1">IF(TRIM(D400)=C400,
   _xlfn.XLOOKUP(C400, Cartera1017[ID Mantenimiento],Cartera1017[Comienzo Desarrollo]),
IF(TRIM(D400)="Desarrollo",
   _xlfn.XLOOKUP(C400,Cartera1017[ID Mantenimiento],Cartera1017[Comienzo Desarrollo]),
IF(TRIM(D400)="Calidad",
   _xlfn.XLOOKUP(C400,Cartera1017[ID Mantenimiento],Cartera1017[Comienzo Calidad]),
IF(TRIM(D400)="Producción",
   _xlfn.XLOOKUP(C400,Cartera1017[ID Mantenimiento],Cartera1017[Comienzo Producción]),
""))))</f>
        <v>45789</v>
      </c>
      <c r="H400" s="160">
        <f ca="1">IF(TRIM(D400)=C400,
   _xlfn.XLOOKUP(C400, Cartera1017[ID Mantenimiento],Cartera1017[Fin Producción]),
IF(TRIM(D400)="Desarrollo",
   _xlfn.XLOOKUP(C400,Cartera1017[ID Mantenimiento],Cartera1017[Fin Desarrollo]),
IF(TRIM(D400)="Calidad",
   _xlfn.XLOOKUP(C400,Cartera1017[ID Mantenimiento],Cartera1017[Fin Calidad]),
IF(TRIM(D400)="Producción",
   _xlfn.XLOOKUP(C400,Cartera1017[ID Mantenimiento],Cartera1017[Fin Producción]),
""))))</f>
        <v>46108</v>
      </c>
    </row>
    <row r="401" spans="1:8" hidden="1" outlineLevel="1">
      <c r="A401" t="str">
        <f ca="1"/>
        <v>Productos e Inclusión Financiera</v>
      </c>
      <c r="B401" t="str">
        <f ca="1"/>
        <v>07. En Despliegue</v>
      </c>
      <c r="C401" t="str">
        <f ca="1"/>
        <v>2025-M0370</v>
      </c>
      <c r="D401" t="str">
        <f ca="1"/>
        <v xml:space="preserve">   Desarrollo</v>
      </c>
      <c r="E401" s="255">
        <f ca="1"/>
        <v>0.9</v>
      </c>
      <c r="F401" s="255">
        <f ca="1"/>
        <v>1</v>
      </c>
      <c r="G401" s="356">
        <f ca="1">IF(TRIM(D401)=C401,
   _xlfn.XLOOKUP(C401, Cartera1017[ID Mantenimiento],Cartera1017[Comienzo Desarrollo]),
IF(TRIM(D401)="Desarrollo",
   _xlfn.XLOOKUP(C401,Cartera1017[ID Mantenimiento],Cartera1017[Comienzo Desarrollo]),
IF(TRIM(D401)="Calidad",
   _xlfn.XLOOKUP(C401,Cartera1017[ID Mantenimiento],Cartera1017[Comienzo Calidad]),
IF(TRIM(D401)="Producción",
   _xlfn.XLOOKUP(C401,Cartera1017[ID Mantenimiento],Cartera1017[Comienzo Producción]),
""))))</f>
        <v>45789</v>
      </c>
      <c r="H401" s="160">
        <f ca="1">IF(TRIM(D401)=C401,
   _xlfn.XLOOKUP(C401, Cartera1017[ID Mantenimiento],Cartera1017[Fin Producción]),
IF(TRIM(D401)="Desarrollo",
   _xlfn.XLOOKUP(C401,Cartera1017[ID Mantenimiento],Cartera1017[Fin Desarrollo]),
IF(TRIM(D401)="Calidad",
   _xlfn.XLOOKUP(C401,Cartera1017[ID Mantenimiento],Cartera1017[Fin Calidad]),
IF(TRIM(D401)="Producción",
   _xlfn.XLOOKUP(C401,Cartera1017[ID Mantenimiento],Cartera1017[Fin Producción]),
""))))</f>
        <v>45801</v>
      </c>
    </row>
    <row r="402" spans="1:8" hidden="1" outlineLevel="1">
      <c r="A402" t="str">
        <f ca="1"/>
        <v>Productos e Inclusión Financiera</v>
      </c>
      <c r="B402" t="str">
        <f ca="1"/>
        <v>07. En Despliegue</v>
      </c>
      <c r="C402" t="str">
        <f ca="1"/>
        <v>2025-M0370</v>
      </c>
      <c r="D402" t="str">
        <f ca="1"/>
        <v xml:space="preserve">   Calidad</v>
      </c>
      <c r="E402" s="255">
        <f ca="1"/>
        <v>0.9</v>
      </c>
      <c r="F402" s="255">
        <f ca="1"/>
        <v>1</v>
      </c>
      <c r="G402" s="356">
        <f ca="1">IF(TRIM(D402)=C402,
   _xlfn.XLOOKUP(C402, Cartera1017[ID Mantenimiento],Cartera1017[Comienzo Desarrollo]),
IF(TRIM(D402)="Desarrollo",
   _xlfn.XLOOKUP(C402,Cartera1017[ID Mantenimiento],Cartera1017[Comienzo Desarrollo]),
IF(TRIM(D402)="Calidad",
   _xlfn.XLOOKUP(C402,Cartera1017[ID Mantenimiento],Cartera1017[Comienzo Calidad]),
IF(TRIM(D402)="Producción",
   _xlfn.XLOOKUP(C402,Cartera1017[ID Mantenimiento],Cartera1017[Comienzo Producción]),
""))))</f>
        <v>45803</v>
      </c>
      <c r="H402" s="160">
        <f ca="1">IF(TRIM(D402)=C402,
   _xlfn.XLOOKUP(C402, Cartera1017[ID Mantenimiento],Cartera1017[Fin Producción]),
IF(TRIM(D402)="Desarrollo",
   _xlfn.XLOOKUP(C402,Cartera1017[ID Mantenimiento],Cartera1017[Fin Desarrollo]),
IF(TRIM(D402)="Calidad",
   _xlfn.XLOOKUP(C402,Cartera1017[ID Mantenimiento],Cartera1017[Fin Calidad]),
IF(TRIM(D402)="Producción",
   _xlfn.XLOOKUP(C402,Cartera1017[ID Mantenimiento],Cartera1017[Fin Producción]),
""))))</f>
        <v>45810</v>
      </c>
    </row>
    <row r="403" spans="1:8" hidden="1" outlineLevel="1">
      <c r="A403" t="str">
        <f ca="1"/>
        <v>Productos e Inclusión Financiera</v>
      </c>
      <c r="B403" t="str">
        <f ca="1"/>
        <v>07. En Despliegue</v>
      </c>
      <c r="C403" t="str">
        <f ca="1"/>
        <v>2025-M0370</v>
      </c>
      <c r="D403" t="str">
        <f ca="1"/>
        <v xml:space="preserve">   Producción</v>
      </c>
      <c r="E403" s="255">
        <f ca="1"/>
        <v>0.9</v>
      </c>
      <c r="F403" s="255">
        <f ca="1"/>
        <v>1</v>
      </c>
      <c r="G403" s="356">
        <f ca="1">IF(TRIM(D403)=C403,
   _xlfn.XLOOKUP(C403, Cartera1017[ID Mantenimiento],Cartera1017[Comienzo Desarrollo]),
IF(TRIM(D403)="Desarrollo",
   _xlfn.XLOOKUP(C403,Cartera1017[ID Mantenimiento],Cartera1017[Comienzo Desarrollo]),
IF(TRIM(D403)="Calidad",
   _xlfn.XLOOKUP(C403,Cartera1017[ID Mantenimiento],Cartera1017[Comienzo Calidad]),
IF(TRIM(D403)="Producción",
   _xlfn.XLOOKUP(C403,Cartera1017[ID Mantenimiento],Cartera1017[Comienzo Producción]),
""))))</f>
        <v>45813</v>
      </c>
      <c r="H403" s="160">
        <f ca="1">IF(TRIM(D403)=C403,
   _xlfn.XLOOKUP(C403, Cartera1017[ID Mantenimiento],Cartera1017[Fin Producción]),
IF(TRIM(D403)="Desarrollo",
   _xlfn.XLOOKUP(C403,Cartera1017[ID Mantenimiento],Cartera1017[Fin Desarrollo]),
IF(TRIM(D403)="Calidad",
   _xlfn.XLOOKUP(C403,Cartera1017[ID Mantenimiento],Cartera1017[Fin Calidad]),
IF(TRIM(D403)="Producción",
   _xlfn.XLOOKUP(C403,Cartera1017[ID Mantenimiento],Cartera1017[Fin Producción]),
""))))</f>
        <v>46108</v>
      </c>
    </row>
    <row r="404" spans="1:8" hidden="1" collapsed="1">
      <c r="A404" t="str">
        <f ca="1"/>
        <v>Administración y Logística</v>
      </c>
      <c r="B404" t="str">
        <f ca="1"/>
        <v>08. Producción Finalizada</v>
      </c>
      <c r="C404" t="str">
        <f ca="1"/>
        <v>2025-M0337</v>
      </c>
      <c r="D404" t="str">
        <f ca="1"/>
        <v>2025-M0337</v>
      </c>
      <c r="E404" s="255">
        <f ca="1"/>
        <v>1</v>
      </c>
      <c r="F404" s="255">
        <f ca="1"/>
        <v>1</v>
      </c>
      <c r="G404" s="356">
        <f ca="1">IF(TRIM(D404)=C404,
   _xlfn.XLOOKUP(C404, Cartera1017[ID Mantenimiento],Cartera1017[Comienzo Desarrollo]),
IF(TRIM(D404)="Desarrollo",
   _xlfn.XLOOKUP(C404,Cartera1017[ID Mantenimiento],Cartera1017[Comienzo Desarrollo]),
IF(TRIM(D404)="Calidad",
   _xlfn.XLOOKUP(C404,Cartera1017[ID Mantenimiento],Cartera1017[Comienzo Calidad]),
IF(TRIM(D404)="Producción",
   _xlfn.XLOOKUP(C404,Cartera1017[ID Mantenimiento],Cartera1017[Comienzo Producción]),
""))))</f>
        <v>45859</v>
      </c>
      <c r="H404" s="160">
        <f ca="1">IF(TRIM(D404)=C404,
   _xlfn.XLOOKUP(C404, Cartera1017[ID Mantenimiento],Cartera1017[Fin Producción]),
IF(TRIM(D404)="Desarrollo",
   _xlfn.XLOOKUP(C404,Cartera1017[ID Mantenimiento],Cartera1017[Fin Desarrollo]),
IF(TRIM(D404)="Calidad",
   _xlfn.XLOOKUP(C404,Cartera1017[ID Mantenimiento],Cartera1017[Fin Calidad]),
IF(TRIM(D404)="Producción",
   _xlfn.XLOOKUP(C404,Cartera1017[ID Mantenimiento],Cartera1017[Fin Producción]),
""))))</f>
        <v>46037</v>
      </c>
    </row>
    <row r="405" spans="1:8" hidden="1" outlineLevel="1">
      <c r="A405" t="str">
        <f ca="1"/>
        <v>Administración y Logística</v>
      </c>
      <c r="B405" t="str">
        <f ca="1"/>
        <v>08. Producción Finalizada</v>
      </c>
      <c r="C405" t="str">
        <f ca="1"/>
        <v>2025-M0337</v>
      </c>
      <c r="D405" t="str">
        <f ca="1"/>
        <v xml:space="preserve">   Desarrollo</v>
      </c>
      <c r="E405" s="255">
        <f ca="1"/>
        <v>1</v>
      </c>
      <c r="F405" s="255">
        <f ca="1"/>
        <v>1</v>
      </c>
      <c r="G405" s="356">
        <f ca="1">IF(TRIM(D405)=C405,
   _xlfn.XLOOKUP(C405, Cartera1017[ID Mantenimiento],Cartera1017[Comienzo Desarrollo]),
IF(TRIM(D405)="Desarrollo",
   _xlfn.XLOOKUP(C405,Cartera1017[ID Mantenimiento],Cartera1017[Comienzo Desarrollo]),
IF(TRIM(D405)="Calidad",
   _xlfn.XLOOKUP(C405,Cartera1017[ID Mantenimiento],Cartera1017[Comienzo Calidad]),
IF(TRIM(D405)="Producción",
   _xlfn.XLOOKUP(C405,Cartera1017[ID Mantenimiento],Cartera1017[Comienzo Producción]),
""))))</f>
        <v>45859</v>
      </c>
      <c r="H405" s="160">
        <f ca="1">IF(TRIM(D405)=C405,
   _xlfn.XLOOKUP(C405, Cartera1017[ID Mantenimiento],Cartera1017[Fin Producción]),
IF(TRIM(D405)="Desarrollo",
   _xlfn.XLOOKUP(C405,Cartera1017[ID Mantenimiento],Cartera1017[Fin Desarrollo]),
IF(TRIM(D405)="Calidad",
   _xlfn.XLOOKUP(C405,Cartera1017[ID Mantenimiento],Cartera1017[Fin Calidad]),
IF(TRIM(D405)="Producción",
   _xlfn.XLOOKUP(C405,Cartera1017[ID Mantenimiento],Cartera1017[Fin Producción]),
""))))</f>
        <v>45869</v>
      </c>
    </row>
    <row r="406" spans="1:8" hidden="1" outlineLevel="1">
      <c r="A406" t="str">
        <f ca="1"/>
        <v>Administración y Logística</v>
      </c>
      <c r="B406" t="str">
        <f ca="1"/>
        <v>08. Producción Finalizada</v>
      </c>
      <c r="C406" t="str">
        <f ca="1"/>
        <v>2025-M0337</v>
      </c>
      <c r="D406" t="str">
        <f ca="1"/>
        <v xml:space="preserve">   Calidad</v>
      </c>
      <c r="E406" s="255">
        <f ca="1"/>
        <v>1</v>
      </c>
      <c r="F406" s="255">
        <f ca="1"/>
        <v>1</v>
      </c>
      <c r="G406" s="356">
        <f ca="1">IF(TRIM(D406)=C406,
   _xlfn.XLOOKUP(C406, Cartera1017[ID Mantenimiento],Cartera1017[Comienzo Desarrollo]),
IF(TRIM(D406)="Desarrollo",
   _xlfn.XLOOKUP(C406,Cartera1017[ID Mantenimiento],Cartera1017[Comienzo Desarrollo]),
IF(TRIM(D406)="Calidad",
   _xlfn.XLOOKUP(C406,Cartera1017[ID Mantenimiento],Cartera1017[Comienzo Calidad]),
IF(TRIM(D406)="Producción",
   _xlfn.XLOOKUP(C406,Cartera1017[ID Mantenimiento],Cartera1017[Comienzo Producción]),
""))))</f>
        <v>45908</v>
      </c>
      <c r="H406" s="160">
        <f ca="1">IF(TRIM(D406)=C406,
   _xlfn.XLOOKUP(C406, Cartera1017[ID Mantenimiento],Cartera1017[Fin Producción]),
IF(TRIM(D406)="Desarrollo",
   _xlfn.XLOOKUP(C406,Cartera1017[ID Mantenimiento],Cartera1017[Fin Desarrollo]),
IF(TRIM(D406)="Calidad",
   _xlfn.XLOOKUP(C406,Cartera1017[ID Mantenimiento],Cartera1017[Fin Calidad]),
IF(TRIM(D406)="Producción",
   _xlfn.XLOOKUP(C406,Cartera1017[ID Mantenimiento],Cartera1017[Fin Producción]),
""))))</f>
        <v>45925</v>
      </c>
    </row>
    <row r="407" spans="1:8" hidden="1" outlineLevel="1">
      <c r="A407" t="str">
        <f ca="1"/>
        <v>Administración y Logística</v>
      </c>
      <c r="B407" t="str">
        <f ca="1"/>
        <v>08. Producción Finalizada</v>
      </c>
      <c r="C407" t="str">
        <f ca="1"/>
        <v>2025-M0337</v>
      </c>
      <c r="D407" t="str">
        <f ca="1"/>
        <v xml:space="preserve">   Producción</v>
      </c>
      <c r="E407" s="255">
        <f ca="1"/>
        <v>1</v>
      </c>
      <c r="F407" s="255">
        <f ca="1"/>
        <v>1</v>
      </c>
      <c r="G407" s="356">
        <f ca="1">IF(TRIM(D407)=C407,
   _xlfn.XLOOKUP(C407, Cartera1017[ID Mantenimiento],Cartera1017[Comienzo Desarrollo]),
IF(TRIM(D407)="Desarrollo",
   _xlfn.XLOOKUP(C407,Cartera1017[ID Mantenimiento],Cartera1017[Comienzo Desarrollo]),
IF(TRIM(D407)="Calidad",
   _xlfn.XLOOKUP(C407,Cartera1017[ID Mantenimiento],Cartera1017[Comienzo Calidad]),
IF(TRIM(D407)="Producción",
   _xlfn.XLOOKUP(C407,Cartera1017[ID Mantenimiento],Cartera1017[Comienzo Producción]),
""))))</f>
        <v>45974</v>
      </c>
      <c r="H407" s="160">
        <f ca="1">IF(TRIM(D407)=C407,
   _xlfn.XLOOKUP(C407, Cartera1017[ID Mantenimiento],Cartera1017[Fin Producción]),
IF(TRIM(D407)="Desarrollo",
   _xlfn.XLOOKUP(C407,Cartera1017[ID Mantenimiento],Cartera1017[Fin Desarrollo]),
IF(TRIM(D407)="Calidad",
   _xlfn.XLOOKUP(C407,Cartera1017[ID Mantenimiento],Cartera1017[Fin Calidad]),
IF(TRIM(D407)="Producción",
   _xlfn.XLOOKUP(C407,Cartera1017[ID Mantenimiento],Cartera1017[Fin Producción]),
""))))</f>
        <v>46037</v>
      </c>
    </row>
    <row r="408" spans="1:8" hidden="1" collapsed="1">
      <c r="A408" t="str">
        <f ca="1"/>
        <v>Operaciones</v>
      </c>
      <c r="B408" t="str">
        <f ca="1"/>
        <v>08. Producción Finalizada</v>
      </c>
      <c r="C408" t="str">
        <f ca="1"/>
        <v>2025-M0404</v>
      </c>
      <c r="D408" t="str">
        <f ca="1"/>
        <v>2025-M0404</v>
      </c>
      <c r="E408" s="255">
        <f ca="1"/>
        <v>1</v>
      </c>
      <c r="F408" s="255">
        <f ca="1"/>
        <v>1</v>
      </c>
      <c r="G408" s="356">
        <f ca="1">IF(TRIM(D408)=C408,
   _xlfn.XLOOKUP(C408, Cartera1017[ID Mantenimiento],Cartera1017[Comienzo Desarrollo]),
IF(TRIM(D408)="Desarrollo",
   _xlfn.XLOOKUP(C408,Cartera1017[ID Mantenimiento],Cartera1017[Comienzo Desarrollo]),
IF(TRIM(D408)="Calidad",
   _xlfn.XLOOKUP(C408,Cartera1017[ID Mantenimiento],Cartera1017[Comienzo Calidad]),
IF(TRIM(D408)="Producción",
   _xlfn.XLOOKUP(C408,Cartera1017[ID Mantenimiento],Cartera1017[Comienzo Producción]),
""))))</f>
        <v>45804</v>
      </c>
      <c r="H408" s="160">
        <f ca="1">IF(TRIM(D408)=C408,
   _xlfn.XLOOKUP(C408, Cartera1017[ID Mantenimiento],Cartera1017[Fin Producción]),
IF(TRIM(D408)="Desarrollo",
   _xlfn.XLOOKUP(C408,Cartera1017[ID Mantenimiento],Cartera1017[Fin Desarrollo]),
IF(TRIM(D408)="Calidad",
   _xlfn.XLOOKUP(C408,Cartera1017[ID Mantenimiento],Cartera1017[Fin Calidad]),
IF(TRIM(D408)="Producción",
   _xlfn.XLOOKUP(C408,Cartera1017[ID Mantenimiento],Cartera1017[Fin Producción]),
""))))</f>
        <v>46108</v>
      </c>
    </row>
    <row r="409" spans="1:8" hidden="1" outlineLevel="1">
      <c r="A409" t="str">
        <f ca="1"/>
        <v>Operaciones</v>
      </c>
      <c r="B409" t="str">
        <f ca="1"/>
        <v>08. Producción Finalizada</v>
      </c>
      <c r="C409" t="str">
        <f ca="1"/>
        <v>2025-M0404</v>
      </c>
      <c r="D409" t="str">
        <f ca="1"/>
        <v xml:space="preserve">   Desarrollo</v>
      </c>
      <c r="E409" s="255">
        <f ca="1"/>
        <v>1</v>
      </c>
      <c r="F409" s="255">
        <f ca="1"/>
        <v>1</v>
      </c>
      <c r="G409" s="356">
        <f ca="1">IF(TRIM(D409)=C409,
   _xlfn.XLOOKUP(C409, Cartera1017[ID Mantenimiento],Cartera1017[Comienzo Desarrollo]),
IF(TRIM(D409)="Desarrollo",
   _xlfn.XLOOKUP(C409,Cartera1017[ID Mantenimiento],Cartera1017[Comienzo Desarrollo]),
IF(TRIM(D409)="Calidad",
   _xlfn.XLOOKUP(C409,Cartera1017[ID Mantenimiento],Cartera1017[Comienzo Calidad]),
IF(TRIM(D409)="Producción",
   _xlfn.XLOOKUP(C409,Cartera1017[ID Mantenimiento],Cartera1017[Comienzo Producción]),
""))))</f>
        <v>45804</v>
      </c>
      <c r="H409" s="160">
        <f ca="1">IF(TRIM(D409)=C409,
   _xlfn.XLOOKUP(C409, Cartera1017[ID Mantenimiento],Cartera1017[Fin Producción]),
IF(TRIM(D409)="Desarrollo",
   _xlfn.XLOOKUP(C409,Cartera1017[ID Mantenimiento],Cartera1017[Fin Desarrollo]),
IF(TRIM(D409)="Calidad",
   _xlfn.XLOOKUP(C409,Cartera1017[ID Mantenimiento],Cartera1017[Fin Calidad]),
IF(TRIM(D409)="Producción",
   _xlfn.XLOOKUP(C409,Cartera1017[ID Mantenimiento],Cartera1017[Fin Producción]),
""))))</f>
        <v>45873</v>
      </c>
    </row>
    <row r="410" spans="1:8" hidden="1" outlineLevel="1">
      <c r="A410" t="str">
        <f ca="1"/>
        <v>Operaciones</v>
      </c>
      <c r="B410" t="str">
        <f ca="1"/>
        <v>08. Producción Finalizada</v>
      </c>
      <c r="C410" t="str">
        <f ca="1"/>
        <v>2025-M0404</v>
      </c>
      <c r="D410" t="str">
        <f ca="1"/>
        <v xml:space="preserve">   Calidad</v>
      </c>
      <c r="E410" s="255">
        <f ca="1"/>
        <v>1</v>
      </c>
      <c r="F410" s="255">
        <f ca="1"/>
        <v>1</v>
      </c>
      <c r="G410" s="356">
        <f ca="1">IF(TRIM(D410)=C410,
   _xlfn.XLOOKUP(C410, Cartera1017[ID Mantenimiento],Cartera1017[Comienzo Desarrollo]),
IF(TRIM(D410)="Desarrollo",
   _xlfn.XLOOKUP(C410,Cartera1017[ID Mantenimiento],Cartera1017[Comienzo Desarrollo]),
IF(TRIM(D410)="Calidad",
   _xlfn.XLOOKUP(C410,Cartera1017[ID Mantenimiento],Cartera1017[Comienzo Calidad]),
IF(TRIM(D410)="Producción",
   _xlfn.XLOOKUP(C410,Cartera1017[ID Mantenimiento],Cartera1017[Comienzo Producción]),
""))))</f>
        <v>45947</v>
      </c>
      <c r="H410" s="160">
        <f ca="1">IF(TRIM(D410)=C410,
   _xlfn.XLOOKUP(C410, Cartera1017[ID Mantenimiento],Cartera1017[Fin Producción]),
IF(TRIM(D410)="Desarrollo",
   _xlfn.XLOOKUP(C410,Cartera1017[ID Mantenimiento],Cartera1017[Fin Desarrollo]),
IF(TRIM(D410)="Calidad",
   _xlfn.XLOOKUP(C410,Cartera1017[ID Mantenimiento],Cartera1017[Fin Calidad]),
IF(TRIM(D410)="Producción",
   _xlfn.XLOOKUP(C410,Cartera1017[ID Mantenimiento],Cartera1017[Fin Producción]),
""))))</f>
        <v>45961</v>
      </c>
    </row>
    <row r="411" spans="1:8" hidden="1" outlineLevel="1">
      <c r="A411" t="str">
        <f ca="1"/>
        <v>Operaciones</v>
      </c>
      <c r="B411" t="str">
        <f ca="1"/>
        <v>08. Producción Finalizada</v>
      </c>
      <c r="C411" t="str">
        <f ca="1"/>
        <v>2025-M0404</v>
      </c>
      <c r="D411" t="str">
        <f ca="1"/>
        <v xml:space="preserve">   Producción</v>
      </c>
      <c r="E411" s="255">
        <f ca="1"/>
        <v>1</v>
      </c>
      <c r="F411" s="255">
        <f ca="1"/>
        <v>1</v>
      </c>
      <c r="G411" s="356">
        <f ca="1">IF(TRIM(D411)=C411,
   _xlfn.XLOOKUP(C411, Cartera1017[ID Mantenimiento],Cartera1017[Comienzo Desarrollo]),
IF(TRIM(D411)="Desarrollo",
   _xlfn.XLOOKUP(C411,Cartera1017[ID Mantenimiento],Cartera1017[Comienzo Desarrollo]),
IF(TRIM(D411)="Calidad",
   _xlfn.XLOOKUP(C411,Cartera1017[ID Mantenimiento],Cartera1017[Comienzo Calidad]),
IF(TRIM(D411)="Producción",
   _xlfn.XLOOKUP(C411,Cartera1017[ID Mantenimiento],Cartera1017[Comienzo Producción]),
""))))</f>
        <v>45974</v>
      </c>
      <c r="H411" s="160">
        <f ca="1">IF(TRIM(D411)=C411,
   _xlfn.XLOOKUP(C411, Cartera1017[ID Mantenimiento],Cartera1017[Fin Producción]),
IF(TRIM(D411)="Desarrollo",
   _xlfn.XLOOKUP(C411,Cartera1017[ID Mantenimiento],Cartera1017[Fin Desarrollo]),
IF(TRIM(D411)="Calidad",
   _xlfn.XLOOKUP(C411,Cartera1017[ID Mantenimiento],Cartera1017[Fin Calidad]),
IF(TRIM(D411)="Producción",
   _xlfn.XLOOKUP(C411,Cartera1017[ID Mantenimiento],Cartera1017[Fin Producción]),
""))))</f>
        <v>46108</v>
      </c>
    </row>
    <row r="412" spans="1:8" hidden="1" collapsed="1">
      <c r="A412" t="str">
        <f ca="1"/>
        <v>Banca Digital</v>
      </c>
      <c r="B412" t="str">
        <f ca="1"/>
        <v>06. Calidad Finalizado</v>
      </c>
      <c r="C412" t="str">
        <f ca="1"/>
        <v>2025-M0426</v>
      </c>
      <c r="D412" t="str">
        <f ca="1"/>
        <v>2025-M0426</v>
      </c>
      <c r="E412" s="255">
        <f ca="1"/>
        <v>0.85</v>
      </c>
      <c r="F412" s="255">
        <f ca="1"/>
        <v>1</v>
      </c>
      <c r="G412" s="356">
        <f ca="1">IF(TRIM(D412)=C412,
   _xlfn.XLOOKUP(C412, Cartera1017[ID Mantenimiento],Cartera1017[Comienzo Desarrollo]),
IF(TRIM(D412)="Desarrollo",
   _xlfn.XLOOKUP(C412,Cartera1017[ID Mantenimiento],Cartera1017[Comienzo Desarrollo]),
IF(TRIM(D412)="Calidad",
   _xlfn.XLOOKUP(C412,Cartera1017[ID Mantenimiento],Cartera1017[Comienzo Calidad]),
IF(TRIM(D412)="Producción",
   _xlfn.XLOOKUP(C412,Cartera1017[ID Mantenimiento],Cartera1017[Comienzo Producción]),
""))))</f>
        <v>45812</v>
      </c>
      <c r="H412" s="160">
        <f ca="1">IF(TRIM(D412)=C412,
   _xlfn.XLOOKUP(C412, Cartera1017[ID Mantenimiento],Cartera1017[Fin Producción]),
IF(TRIM(D412)="Desarrollo",
   _xlfn.XLOOKUP(C412,Cartera1017[ID Mantenimiento],Cartera1017[Fin Desarrollo]),
IF(TRIM(D412)="Calidad",
   _xlfn.XLOOKUP(C412,Cartera1017[ID Mantenimiento],Cartera1017[Fin Calidad]),
IF(TRIM(D412)="Producción",
   _xlfn.XLOOKUP(C412,Cartera1017[ID Mantenimiento],Cartera1017[Fin Producción]),
""))))</f>
        <v>46108</v>
      </c>
    </row>
    <row r="413" spans="1:8" hidden="1" outlineLevel="1">
      <c r="A413" t="str">
        <f ca="1"/>
        <v>Banca Digital</v>
      </c>
      <c r="B413" t="str">
        <f ca="1"/>
        <v>06. Calidad Finalizado</v>
      </c>
      <c r="C413" t="str">
        <f ca="1"/>
        <v>2025-M0426</v>
      </c>
      <c r="D413" t="str">
        <f ca="1"/>
        <v xml:space="preserve">   Desarrollo</v>
      </c>
      <c r="E413" s="255">
        <f ca="1"/>
        <v>0.85</v>
      </c>
      <c r="F413" s="255">
        <f ca="1"/>
        <v>1</v>
      </c>
      <c r="G413" s="356">
        <f ca="1">IF(TRIM(D413)=C413,
   _xlfn.XLOOKUP(C413, Cartera1017[ID Mantenimiento],Cartera1017[Comienzo Desarrollo]),
IF(TRIM(D413)="Desarrollo",
   _xlfn.XLOOKUP(C413,Cartera1017[ID Mantenimiento],Cartera1017[Comienzo Desarrollo]),
IF(TRIM(D413)="Calidad",
   _xlfn.XLOOKUP(C413,Cartera1017[ID Mantenimiento],Cartera1017[Comienzo Calidad]),
IF(TRIM(D413)="Producción",
   _xlfn.XLOOKUP(C413,Cartera1017[ID Mantenimiento],Cartera1017[Comienzo Producción]),
""))))</f>
        <v>45812</v>
      </c>
      <c r="H413" s="160">
        <f ca="1">IF(TRIM(D413)=C413,
   _xlfn.XLOOKUP(C413, Cartera1017[ID Mantenimiento],Cartera1017[Fin Producción]),
IF(TRIM(D413)="Desarrollo",
   _xlfn.XLOOKUP(C413,Cartera1017[ID Mantenimiento],Cartera1017[Fin Desarrollo]),
IF(TRIM(D413)="Calidad",
   _xlfn.XLOOKUP(C413,Cartera1017[ID Mantenimiento],Cartera1017[Fin Calidad]),
IF(TRIM(D413)="Producción",
   _xlfn.XLOOKUP(C413,Cartera1017[ID Mantenimiento],Cartera1017[Fin Producción]),
""))))</f>
        <v>45883</v>
      </c>
    </row>
    <row r="414" spans="1:8" hidden="1" outlineLevel="1">
      <c r="A414" t="str">
        <f ca="1"/>
        <v>Banca Digital</v>
      </c>
      <c r="B414" t="str">
        <f ca="1"/>
        <v>06. Calidad Finalizado</v>
      </c>
      <c r="C414" t="str">
        <f ca="1"/>
        <v>2025-M0426</v>
      </c>
      <c r="D414" t="str">
        <f ca="1"/>
        <v xml:space="preserve">   Calidad</v>
      </c>
      <c r="E414" s="255">
        <f ca="1"/>
        <v>0.85</v>
      </c>
      <c r="F414" s="255">
        <f ca="1"/>
        <v>1</v>
      </c>
      <c r="G414" s="356">
        <f ca="1">IF(TRIM(D414)=C414,
   _xlfn.XLOOKUP(C414, Cartera1017[ID Mantenimiento],Cartera1017[Comienzo Desarrollo]),
IF(TRIM(D414)="Desarrollo",
   _xlfn.XLOOKUP(C414,Cartera1017[ID Mantenimiento],Cartera1017[Comienzo Desarrollo]),
IF(TRIM(D414)="Calidad",
   _xlfn.XLOOKUP(C414,Cartera1017[ID Mantenimiento],Cartera1017[Comienzo Calidad]),
IF(TRIM(D414)="Producción",
   _xlfn.XLOOKUP(C414,Cartera1017[ID Mantenimiento],Cartera1017[Comienzo Producción]),
""))))</f>
        <v>45888</v>
      </c>
      <c r="H414" s="160">
        <f ca="1">IF(TRIM(D414)=C414,
   _xlfn.XLOOKUP(C414, Cartera1017[ID Mantenimiento],Cartera1017[Fin Producción]),
IF(TRIM(D414)="Desarrollo",
   _xlfn.XLOOKUP(C414,Cartera1017[ID Mantenimiento],Cartera1017[Fin Desarrollo]),
IF(TRIM(D414)="Calidad",
   _xlfn.XLOOKUP(C414,Cartera1017[ID Mantenimiento],Cartera1017[Fin Calidad]),
IF(TRIM(D414)="Producción",
   _xlfn.XLOOKUP(C414,Cartera1017[ID Mantenimiento],Cartera1017[Fin Producción]),
""))))</f>
        <v>46094</v>
      </c>
    </row>
    <row r="415" spans="1:8" hidden="1" outlineLevel="1">
      <c r="A415" t="str">
        <f ca="1"/>
        <v>Banca Digital</v>
      </c>
      <c r="B415" t="str">
        <f ca="1"/>
        <v>06. Calidad Finalizado</v>
      </c>
      <c r="C415" t="str">
        <f ca="1"/>
        <v>2025-M0426</v>
      </c>
      <c r="D415" t="str">
        <f ca="1"/>
        <v xml:space="preserve">   Producción</v>
      </c>
      <c r="E415" s="255">
        <f ca="1"/>
        <v>0.85</v>
      </c>
      <c r="F415" s="255">
        <f ca="1"/>
        <v>1</v>
      </c>
      <c r="G415" s="356">
        <f ca="1">IF(TRIM(D415)=C415,
   _xlfn.XLOOKUP(C415, Cartera1017[ID Mantenimiento],Cartera1017[Comienzo Desarrollo]),
IF(TRIM(D415)="Desarrollo",
   _xlfn.XLOOKUP(C415,Cartera1017[ID Mantenimiento],Cartera1017[Comienzo Desarrollo]),
IF(TRIM(D415)="Calidad",
   _xlfn.XLOOKUP(C415,Cartera1017[ID Mantenimiento],Cartera1017[Comienzo Calidad]),
IF(TRIM(D415)="Producción",
   _xlfn.XLOOKUP(C415,Cartera1017[ID Mantenimiento],Cartera1017[Comienzo Producción]),
""))))</f>
        <v>46097</v>
      </c>
      <c r="H415" s="160">
        <f ca="1">IF(TRIM(D415)=C415,
   _xlfn.XLOOKUP(C415, Cartera1017[ID Mantenimiento],Cartera1017[Fin Producción]),
IF(TRIM(D415)="Desarrollo",
   _xlfn.XLOOKUP(C415,Cartera1017[ID Mantenimiento],Cartera1017[Fin Desarrollo]),
IF(TRIM(D415)="Calidad",
   _xlfn.XLOOKUP(C415,Cartera1017[ID Mantenimiento],Cartera1017[Fin Calidad]),
IF(TRIM(D415)="Producción",
   _xlfn.XLOOKUP(C415,Cartera1017[ID Mantenimiento],Cartera1017[Fin Producción]),
""))))</f>
        <v>46108</v>
      </c>
    </row>
    <row r="416" spans="1:8" hidden="1" collapsed="1">
      <c r="A416" t="str">
        <f ca="1"/>
        <v>Banca Digital</v>
      </c>
      <c r="B416" t="str">
        <f ca="1"/>
        <v>06. Calidad Finalizado</v>
      </c>
      <c r="C416" t="str">
        <f ca="1"/>
        <v>2025-M0427</v>
      </c>
      <c r="D416" t="str">
        <f ca="1"/>
        <v>2025-M0427</v>
      </c>
      <c r="E416" s="255">
        <f ca="1"/>
        <v>0.85</v>
      </c>
      <c r="F416" s="255">
        <f ca="1"/>
        <v>1</v>
      </c>
      <c r="G416" s="356">
        <f ca="1">IF(TRIM(D416)=C416,
   _xlfn.XLOOKUP(C416, Cartera1017[ID Mantenimiento],Cartera1017[Comienzo Desarrollo]),
IF(TRIM(D416)="Desarrollo",
   _xlfn.XLOOKUP(C416,Cartera1017[ID Mantenimiento],Cartera1017[Comienzo Desarrollo]),
IF(TRIM(D416)="Calidad",
   _xlfn.XLOOKUP(C416,Cartera1017[ID Mantenimiento],Cartera1017[Comienzo Calidad]),
IF(TRIM(D416)="Producción",
   _xlfn.XLOOKUP(C416,Cartera1017[ID Mantenimiento],Cartera1017[Comienzo Producción]),
""))))</f>
        <v>45812</v>
      </c>
      <c r="H416" s="160">
        <f ca="1">IF(TRIM(D416)=C416,
   _xlfn.XLOOKUP(C416, Cartera1017[ID Mantenimiento],Cartera1017[Fin Producción]),
IF(TRIM(D416)="Desarrollo",
   _xlfn.XLOOKUP(C416,Cartera1017[ID Mantenimiento],Cartera1017[Fin Desarrollo]),
IF(TRIM(D416)="Calidad",
   _xlfn.XLOOKUP(C416,Cartera1017[ID Mantenimiento],Cartera1017[Fin Calidad]),
IF(TRIM(D416)="Producción",
   _xlfn.XLOOKUP(C416,Cartera1017[ID Mantenimiento],Cartera1017[Fin Producción]),
""))))</f>
        <v>46111</v>
      </c>
    </row>
    <row r="417" spans="1:8" hidden="1" outlineLevel="1">
      <c r="A417" t="str">
        <f ca="1"/>
        <v>Banca Digital</v>
      </c>
      <c r="B417" t="str">
        <f ca="1"/>
        <v>06. Calidad Finalizado</v>
      </c>
      <c r="C417" t="str">
        <f ca="1"/>
        <v>2025-M0427</v>
      </c>
      <c r="D417" t="str">
        <f ca="1"/>
        <v xml:space="preserve">   Desarrollo</v>
      </c>
      <c r="E417" s="255">
        <f ca="1"/>
        <v>0.85</v>
      </c>
      <c r="F417" s="255">
        <f ca="1"/>
        <v>1</v>
      </c>
      <c r="G417" s="356">
        <f ca="1">IF(TRIM(D417)=C417,
   _xlfn.XLOOKUP(C417, Cartera1017[ID Mantenimiento],Cartera1017[Comienzo Desarrollo]),
IF(TRIM(D417)="Desarrollo",
   _xlfn.XLOOKUP(C417,Cartera1017[ID Mantenimiento],Cartera1017[Comienzo Desarrollo]),
IF(TRIM(D417)="Calidad",
   _xlfn.XLOOKUP(C417,Cartera1017[ID Mantenimiento],Cartera1017[Comienzo Calidad]),
IF(TRIM(D417)="Producción",
   _xlfn.XLOOKUP(C417,Cartera1017[ID Mantenimiento],Cartera1017[Comienzo Producción]),
""))))</f>
        <v>45812</v>
      </c>
      <c r="H417" s="160">
        <f ca="1">IF(TRIM(D417)=C417,
   _xlfn.XLOOKUP(C417, Cartera1017[ID Mantenimiento],Cartera1017[Fin Producción]),
IF(TRIM(D417)="Desarrollo",
   _xlfn.XLOOKUP(C417,Cartera1017[ID Mantenimiento],Cartera1017[Fin Desarrollo]),
IF(TRIM(D417)="Calidad",
   _xlfn.XLOOKUP(C417,Cartera1017[ID Mantenimiento],Cartera1017[Fin Calidad]),
IF(TRIM(D417)="Producción",
   _xlfn.XLOOKUP(C417,Cartera1017[ID Mantenimiento],Cartera1017[Fin Producción]),
""))))</f>
        <v>45883</v>
      </c>
    </row>
    <row r="418" spans="1:8" hidden="1" outlineLevel="1">
      <c r="A418" t="str">
        <f ca="1"/>
        <v>Banca Digital</v>
      </c>
      <c r="B418" t="str">
        <f ca="1"/>
        <v>06. Calidad Finalizado</v>
      </c>
      <c r="C418" t="str">
        <f ca="1"/>
        <v>2025-M0427</v>
      </c>
      <c r="D418" t="str">
        <f ca="1"/>
        <v xml:space="preserve">   Calidad</v>
      </c>
      <c r="E418" s="255">
        <f ca="1"/>
        <v>0.85</v>
      </c>
      <c r="F418" s="255">
        <f ca="1"/>
        <v>1</v>
      </c>
      <c r="G418" s="356">
        <f ca="1">IF(TRIM(D418)=C418,
   _xlfn.XLOOKUP(C418, Cartera1017[ID Mantenimiento],Cartera1017[Comienzo Desarrollo]),
IF(TRIM(D418)="Desarrollo",
   _xlfn.XLOOKUP(C418,Cartera1017[ID Mantenimiento],Cartera1017[Comienzo Desarrollo]),
IF(TRIM(D418)="Calidad",
   _xlfn.XLOOKUP(C418,Cartera1017[ID Mantenimiento],Cartera1017[Comienzo Calidad]),
IF(TRIM(D418)="Producción",
   _xlfn.XLOOKUP(C418,Cartera1017[ID Mantenimiento],Cartera1017[Comienzo Producción]),
""))))</f>
        <v>45888</v>
      </c>
      <c r="H418" s="160">
        <f ca="1">IF(TRIM(D418)=C418,
   _xlfn.XLOOKUP(C418, Cartera1017[ID Mantenimiento],Cartera1017[Fin Producción]),
IF(TRIM(D418)="Desarrollo",
   _xlfn.XLOOKUP(C418,Cartera1017[ID Mantenimiento],Cartera1017[Fin Desarrollo]),
IF(TRIM(D418)="Calidad",
   _xlfn.XLOOKUP(C418,Cartera1017[ID Mantenimiento],Cartera1017[Fin Calidad]),
IF(TRIM(D418)="Producción",
   _xlfn.XLOOKUP(C418,Cartera1017[ID Mantenimiento],Cartera1017[Fin Producción]),
""))))</f>
        <v>46098</v>
      </c>
    </row>
    <row r="419" spans="1:8" hidden="1" outlineLevel="1">
      <c r="A419" t="str">
        <f ca="1"/>
        <v>Banca Digital</v>
      </c>
      <c r="B419" t="str">
        <f ca="1"/>
        <v>06. Calidad Finalizado</v>
      </c>
      <c r="C419" t="str">
        <f ca="1"/>
        <v>2025-M0427</v>
      </c>
      <c r="D419" t="str">
        <f ca="1"/>
        <v xml:space="preserve">   Producción</v>
      </c>
      <c r="E419" s="255">
        <f ca="1"/>
        <v>0.85</v>
      </c>
      <c r="F419" s="255">
        <f ca="1"/>
        <v>1</v>
      </c>
      <c r="G419" s="356">
        <f ca="1">IF(TRIM(D419)=C419,
   _xlfn.XLOOKUP(C419, Cartera1017[ID Mantenimiento],Cartera1017[Comienzo Desarrollo]),
IF(TRIM(D419)="Desarrollo",
   _xlfn.XLOOKUP(C419,Cartera1017[ID Mantenimiento],Cartera1017[Comienzo Desarrollo]),
IF(TRIM(D419)="Calidad",
   _xlfn.XLOOKUP(C419,Cartera1017[ID Mantenimiento],Cartera1017[Comienzo Calidad]),
IF(TRIM(D419)="Producción",
   _xlfn.XLOOKUP(C419,Cartera1017[ID Mantenimiento],Cartera1017[Comienzo Producción]),
""))))</f>
        <v>46099</v>
      </c>
      <c r="H419" s="160">
        <f ca="1">IF(TRIM(D419)=C419,
   _xlfn.XLOOKUP(C419, Cartera1017[ID Mantenimiento],Cartera1017[Fin Producción]),
IF(TRIM(D419)="Desarrollo",
   _xlfn.XLOOKUP(C419,Cartera1017[ID Mantenimiento],Cartera1017[Fin Desarrollo]),
IF(TRIM(D419)="Calidad",
   _xlfn.XLOOKUP(C419,Cartera1017[ID Mantenimiento],Cartera1017[Fin Calidad]),
IF(TRIM(D419)="Producción",
   _xlfn.XLOOKUP(C419,Cartera1017[ID Mantenimiento],Cartera1017[Fin Producción]),
""))))</f>
        <v>46111</v>
      </c>
    </row>
    <row r="420" spans="1:8" hidden="1" collapsed="1">
      <c r="A420" t="str">
        <f ca="1"/>
        <v>Operaciones</v>
      </c>
      <c r="B420" t="str">
        <f ca="1"/>
        <v>03. En Desarrollo</v>
      </c>
      <c r="C420" t="str">
        <f ca="1"/>
        <v>2025-M0570</v>
      </c>
      <c r="D420" t="str">
        <f ca="1"/>
        <v>2025-M0570</v>
      </c>
      <c r="E420" s="255">
        <f ca="1"/>
        <v>0.25</v>
      </c>
      <c r="F420" s="255">
        <f ca="1"/>
        <v>0</v>
      </c>
      <c r="G420" s="356">
        <f ca="1">IF(TRIM(D420)=C420,
   _xlfn.XLOOKUP(C420, Cartera1017[ID Mantenimiento],Cartera1017[Comienzo Desarrollo]),
IF(TRIM(D420)="Desarrollo",
   _xlfn.XLOOKUP(C420,Cartera1017[ID Mantenimiento],Cartera1017[Comienzo Desarrollo]),
IF(TRIM(D420)="Calidad",
   _xlfn.XLOOKUP(C420,Cartera1017[ID Mantenimiento],Cartera1017[Comienzo Calidad]),
IF(TRIM(D420)="Producción",
   _xlfn.XLOOKUP(C420,Cartera1017[ID Mantenimiento],Cartera1017[Comienzo Producción]),
""))))</f>
        <v>46219</v>
      </c>
      <c r="H420" s="160">
        <f ca="1">IF(TRIM(D420)=C420,
   _xlfn.XLOOKUP(C420, Cartera1017[ID Mantenimiento],Cartera1017[Fin Producción]),
IF(TRIM(D420)="Desarrollo",
   _xlfn.XLOOKUP(C420,Cartera1017[ID Mantenimiento],Cartera1017[Fin Desarrollo]),
IF(TRIM(D420)="Calidad",
   _xlfn.XLOOKUP(C420,Cartera1017[ID Mantenimiento],Cartera1017[Fin Calidad]),
IF(TRIM(D420)="Producción",
   _xlfn.XLOOKUP(C420,Cartera1017[ID Mantenimiento],Cartera1017[Fin Producción]),
""))))</f>
        <v>46305</v>
      </c>
    </row>
    <row r="421" spans="1:8" hidden="1" outlineLevel="1">
      <c r="A421" t="str">
        <f ca="1"/>
        <v>Operaciones</v>
      </c>
      <c r="B421" t="str">
        <f ca="1"/>
        <v>03. En Desarrollo</v>
      </c>
      <c r="C421" t="str">
        <f ca="1"/>
        <v>2025-M0570</v>
      </c>
      <c r="D421" t="str">
        <f ca="1"/>
        <v xml:space="preserve">   Desarrollo</v>
      </c>
      <c r="E421" s="255">
        <f ca="1"/>
        <v>0.25</v>
      </c>
      <c r="F421" s="255">
        <f ca="1"/>
        <v>0</v>
      </c>
      <c r="G421" s="356">
        <f ca="1">IF(TRIM(D421)=C421,
   _xlfn.XLOOKUP(C421, Cartera1017[ID Mantenimiento],Cartera1017[Comienzo Desarrollo]),
IF(TRIM(D421)="Desarrollo",
   _xlfn.XLOOKUP(C421,Cartera1017[ID Mantenimiento],Cartera1017[Comienzo Desarrollo]),
IF(TRIM(D421)="Calidad",
   _xlfn.XLOOKUP(C421,Cartera1017[ID Mantenimiento],Cartera1017[Comienzo Calidad]),
IF(TRIM(D421)="Producción",
   _xlfn.XLOOKUP(C421,Cartera1017[ID Mantenimiento],Cartera1017[Comienzo Producción]),
""))))</f>
        <v>46219</v>
      </c>
      <c r="H421" s="160">
        <f ca="1">IF(TRIM(D421)=C421,
   _xlfn.XLOOKUP(C421, Cartera1017[ID Mantenimiento],Cartera1017[Fin Producción]),
IF(TRIM(D421)="Desarrollo",
   _xlfn.XLOOKUP(C421,Cartera1017[ID Mantenimiento],Cartera1017[Fin Desarrollo]),
IF(TRIM(D421)="Calidad",
   _xlfn.XLOOKUP(C421,Cartera1017[ID Mantenimiento],Cartera1017[Fin Calidad]),
IF(TRIM(D421)="Producción",
   _xlfn.XLOOKUP(C421,Cartera1017[ID Mantenimiento],Cartera1017[Fin Producción]),
""))))</f>
        <v>46265</v>
      </c>
    </row>
    <row r="422" spans="1:8" hidden="1" outlineLevel="1">
      <c r="A422" t="str">
        <f ca="1"/>
        <v>Operaciones</v>
      </c>
      <c r="B422" t="str">
        <f ca="1"/>
        <v>03. En Desarrollo</v>
      </c>
      <c r="C422" t="str">
        <f ca="1"/>
        <v>2025-M0570</v>
      </c>
      <c r="D422" t="str">
        <f ca="1"/>
        <v xml:space="preserve">   Calidad</v>
      </c>
      <c r="E422" s="255">
        <f ca="1"/>
        <v>0.25</v>
      </c>
      <c r="F422" s="255">
        <f ca="1"/>
        <v>0</v>
      </c>
      <c r="G422" s="356">
        <f ca="1">IF(TRIM(D422)=C422,
   _xlfn.XLOOKUP(C422, Cartera1017[ID Mantenimiento],Cartera1017[Comienzo Desarrollo]),
IF(TRIM(D422)="Desarrollo",
   _xlfn.XLOOKUP(C422,Cartera1017[ID Mantenimiento],Cartera1017[Comienzo Desarrollo]),
IF(TRIM(D422)="Calidad",
   _xlfn.XLOOKUP(C422,Cartera1017[ID Mantenimiento],Cartera1017[Comienzo Calidad]),
IF(TRIM(D422)="Producción",
   _xlfn.XLOOKUP(C422,Cartera1017[ID Mantenimiento],Cartera1017[Comienzo Producción]),
""))))</f>
        <v>46266</v>
      </c>
      <c r="H422" s="160">
        <f ca="1">IF(TRIM(D422)=C422,
   _xlfn.XLOOKUP(C422, Cartera1017[ID Mantenimiento],Cartera1017[Fin Producción]),
IF(TRIM(D422)="Desarrollo",
   _xlfn.XLOOKUP(C422,Cartera1017[ID Mantenimiento],Cartera1017[Fin Desarrollo]),
IF(TRIM(D422)="Calidad",
   _xlfn.XLOOKUP(C422,Cartera1017[ID Mantenimiento],Cartera1017[Fin Calidad]),
IF(TRIM(D422)="Producción",
   _xlfn.XLOOKUP(C422,Cartera1017[ID Mantenimiento],Cartera1017[Fin Producción]),
""))))</f>
        <v>46295</v>
      </c>
    </row>
    <row r="423" spans="1:8" hidden="1" outlineLevel="1">
      <c r="A423" t="str">
        <f ca="1"/>
        <v>Operaciones</v>
      </c>
      <c r="B423" t="str">
        <f ca="1"/>
        <v>03. En Desarrollo</v>
      </c>
      <c r="C423" t="str">
        <f ca="1"/>
        <v>2025-M0570</v>
      </c>
      <c r="D423" t="str">
        <f ca="1"/>
        <v xml:space="preserve">   Producción</v>
      </c>
      <c r="E423" s="255">
        <f ca="1"/>
        <v>0.25</v>
      </c>
      <c r="F423" s="255">
        <f ca="1"/>
        <v>0</v>
      </c>
      <c r="G423" s="356">
        <f ca="1">IF(TRIM(D423)=C423,
   _xlfn.XLOOKUP(C423, Cartera1017[ID Mantenimiento],Cartera1017[Comienzo Desarrollo]),
IF(TRIM(D423)="Desarrollo",
   _xlfn.XLOOKUP(C423,Cartera1017[ID Mantenimiento],Cartera1017[Comienzo Desarrollo]),
IF(TRIM(D423)="Calidad",
   _xlfn.XLOOKUP(C423,Cartera1017[ID Mantenimiento],Cartera1017[Comienzo Calidad]),
IF(TRIM(D423)="Producción",
   _xlfn.XLOOKUP(C423,Cartera1017[ID Mantenimiento],Cartera1017[Comienzo Producción]),
""))))</f>
        <v>46296</v>
      </c>
      <c r="H423" s="160">
        <f ca="1">IF(TRIM(D423)=C423,
   _xlfn.XLOOKUP(C423, Cartera1017[ID Mantenimiento],Cartera1017[Fin Producción]),
IF(TRIM(D423)="Desarrollo",
   _xlfn.XLOOKUP(C423,Cartera1017[ID Mantenimiento],Cartera1017[Fin Desarrollo]),
IF(TRIM(D423)="Calidad",
   _xlfn.XLOOKUP(C423,Cartera1017[ID Mantenimiento],Cartera1017[Fin Calidad]),
IF(TRIM(D423)="Producción",
   _xlfn.XLOOKUP(C423,Cartera1017[ID Mantenimiento],Cartera1017[Fin Producción]),
""))))</f>
        <v>46305</v>
      </c>
    </row>
    <row r="424" spans="1:8" hidden="1" collapsed="1">
      <c r="A424" t="str">
        <f ca="1"/>
        <v>Operaciones</v>
      </c>
      <c r="B424" t="str">
        <f ca="1"/>
        <v>08. Producción Finalizada</v>
      </c>
      <c r="C424" t="str">
        <f ca="1"/>
        <v>2025-M0641</v>
      </c>
      <c r="D424" t="str">
        <f ca="1"/>
        <v>2025-M0641</v>
      </c>
      <c r="E424" s="255">
        <f ca="1"/>
        <v>1</v>
      </c>
      <c r="F424" s="255">
        <f ca="1"/>
        <v>1</v>
      </c>
      <c r="G424" s="356">
        <f ca="1">IF(TRIM(D424)=C424,
   _xlfn.XLOOKUP(C424, Cartera1017[ID Mantenimiento],Cartera1017[Comienzo Desarrollo]),
IF(TRIM(D424)="Desarrollo",
   _xlfn.XLOOKUP(C424,Cartera1017[ID Mantenimiento],Cartera1017[Comienzo Desarrollo]),
IF(TRIM(D424)="Calidad",
   _xlfn.XLOOKUP(C424,Cartera1017[ID Mantenimiento],Cartera1017[Comienzo Calidad]),
IF(TRIM(D424)="Producción",
   _xlfn.XLOOKUP(C424,Cartera1017[ID Mantenimiento],Cartera1017[Comienzo Producción]),
""))))</f>
        <v>45992</v>
      </c>
      <c r="H424" s="160">
        <f ca="1">IF(TRIM(D424)=C424,
   _xlfn.XLOOKUP(C424, Cartera1017[ID Mantenimiento],Cartera1017[Fin Producción]),
IF(TRIM(D424)="Desarrollo",
   _xlfn.XLOOKUP(C424,Cartera1017[ID Mantenimiento],Cartera1017[Fin Desarrollo]),
IF(TRIM(D424)="Calidad",
   _xlfn.XLOOKUP(C424,Cartera1017[ID Mantenimiento],Cartera1017[Fin Calidad]),
IF(TRIM(D424)="Producción",
   _xlfn.XLOOKUP(C424,Cartera1017[ID Mantenimiento],Cartera1017[Fin Producción]),
""))))</f>
        <v>46038</v>
      </c>
    </row>
    <row r="425" spans="1:8" hidden="1" outlineLevel="1">
      <c r="A425" t="str">
        <f ca="1"/>
        <v>Operaciones</v>
      </c>
      <c r="B425" t="str">
        <f ca="1"/>
        <v>08. Producción Finalizada</v>
      </c>
      <c r="C425" t="str">
        <f ca="1"/>
        <v>2025-M0641</v>
      </c>
      <c r="D425" t="str">
        <f ca="1"/>
        <v xml:space="preserve">   Desarrollo</v>
      </c>
      <c r="E425" s="255">
        <f ca="1"/>
        <v>1</v>
      </c>
      <c r="F425" s="255">
        <f ca="1"/>
        <v>1</v>
      </c>
      <c r="G425" s="356">
        <f ca="1">IF(TRIM(D425)=C425,
   _xlfn.XLOOKUP(C425, Cartera1017[ID Mantenimiento],Cartera1017[Comienzo Desarrollo]),
IF(TRIM(D425)="Desarrollo",
   _xlfn.XLOOKUP(C425,Cartera1017[ID Mantenimiento],Cartera1017[Comienzo Desarrollo]),
IF(TRIM(D425)="Calidad",
   _xlfn.XLOOKUP(C425,Cartera1017[ID Mantenimiento],Cartera1017[Comienzo Calidad]),
IF(TRIM(D425)="Producción",
   _xlfn.XLOOKUP(C425,Cartera1017[ID Mantenimiento],Cartera1017[Comienzo Producción]),
""))))</f>
        <v>45992</v>
      </c>
      <c r="H425" s="160">
        <f ca="1">IF(TRIM(D425)=C425,
   _xlfn.XLOOKUP(C425, Cartera1017[ID Mantenimiento],Cartera1017[Fin Producción]),
IF(TRIM(D425)="Desarrollo",
   _xlfn.XLOOKUP(C425,Cartera1017[ID Mantenimiento],Cartera1017[Fin Desarrollo]),
IF(TRIM(D425)="Calidad",
   _xlfn.XLOOKUP(C425,Cartera1017[ID Mantenimiento],Cartera1017[Fin Calidad]),
IF(TRIM(D425)="Producción",
   _xlfn.XLOOKUP(C425,Cartera1017[ID Mantenimiento],Cartera1017[Fin Producción]),
""))))</f>
        <v>45992</v>
      </c>
    </row>
    <row r="426" spans="1:8" hidden="1" outlineLevel="1">
      <c r="A426" t="str">
        <f ca="1"/>
        <v>Operaciones</v>
      </c>
      <c r="B426" t="str">
        <f ca="1"/>
        <v>08. Producción Finalizada</v>
      </c>
      <c r="C426" t="str">
        <f ca="1"/>
        <v>2025-M0641</v>
      </c>
      <c r="D426" t="str">
        <f ca="1"/>
        <v xml:space="preserve">   Calidad</v>
      </c>
      <c r="E426" s="255">
        <f ca="1"/>
        <v>1</v>
      </c>
      <c r="F426" s="255">
        <f ca="1"/>
        <v>1</v>
      </c>
      <c r="G426" s="356">
        <f ca="1">IF(TRIM(D426)=C426,
   _xlfn.XLOOKUP(C426, Cartera1017[ID Mantenimiento],Cartera1017[Comienzo Desarrollo]),
IF(TRIM(D426)="Desarrollo",
   _xlfn.XLOOKUP(C426,Cartera1017[ID Mantenimiento],Cartera1017[Comienzo Desarrollo]),
IF(TRIM(D426)="Calidad",
   _xlfn.XLOOKUP(C426,Cartera1017[ID Mantenimiento],Cartera1017[Comienzo Calidad]),
IF(TRIM(D426)="Producción",
   _xlfn.XLOOKUP(C426,Cartera1017[ID Mantenimiento],Cartera1017[Comienzo Producción]),
""))))</f>
        <v>45992</v>
      </c>
      <c r="H426" s="160">
        <f ca="1">IF(TRIM(D426)=C426,
   _xlfn.XLOOKUP(C426, Cartera1017[ID Mantenimiento],Cartera1017[Fin Producción]),
IF(TRIM(D426)="Desarrollo",
   _xlfn.XLOOKUP(C426,Cartera1017[ID Mantenimiento],Cartera1017[Fin Desarrollo]),
IF(TRIM(D426)="Calidad",
   _xlfn.XLOOKUP(C426,Cartera1017[ID Mantenimiento],Cartera1017[Fin Calidad]),
IF(TRIM(D426)="Producción",
   _xlfn.XLOOKUP(C426,Cartera1017[ID Mantenimiento],Cartera1017[Fin Producción]),
""))))</f>
        <v>46002</v>
      </c>
    </row>
    <row r="427" spans="1:8" hidden="1" outlineLevel="1">
      <c r="A427" t="str">
        <f ca="1"/>
        <v>Operaciones</v>
      </c>
      <c r="B427" t="str">
        <f ca="1"/>
        <v>08. Producción Finalizada</v>
      </c>
      <c r="C427" t="str">
        <f ca="1"/>
        <v>2025-M0641</v>
      </c>
      <c r="D427" t="str">
        <f ca="1"/>
        <v xml:space="preserve">   Producción</v>
      </c>
      <c r="E427" s="255">
        <f ca="1"/>
        <v>1</v>
      </c>
      <c r="F427" s="255">
        <f ca="1"/>
        <v>1</v>
      </c>
      <c r="G427" s="356">
        <f ca="1">IF(TRIM(D427)=C427,
   _xlfn.XLOOKUP(C427, Cartera1017[ID Mantenimiento],Cartera1017[Comienzo Desarrollo]),
IF(TRIM(D427)="Desarrollo",
   _xlfn.XLOOKUP(C427,Cartera1017[ID Mantenimiento],Cartera1017[Comienzo Desarrollo]),
IF(TRIM(D427)="Calidad",
   _xlfn.XLOOKUP(C427,Cartera1017[ID Mantenimiento],Cartera1017[Comienzo Calidad]),
IF(TRIM(D427)="Producción",
   _xlfn.XLOOKUP(C427,Cartera1017[ID Mantenimiento],Cartera1017[Comienzo Producción]),
""))))</f>
        <v>46029</v>
      </c>
      <c r="H427" s="160">
        <f ca="1">IF(TRIM(D427)=C427,
   _xlfn.XLOOKUP(C427, Cartera1017[ID Mantenimiento],Cartera1017[Fin Producción]),
IF(TRIM(D427)="Desarrollo",
   _xlfn.XLOOKUP(C427,Cartera1017[ID Mantenimiento],Cartera1017[Fin Desarrollo]),
IF(TRIM(D427)="Calidad",
   _xlfn.XLOOKUP(C427,Cartera1017[ID Mantenimiento],Cartera1017[Fin Calidad]),
IF(TRIM(D427)="Producción",
   _xlfn.XLOOKUP(C427,Cartera1017[ID Mantenimiento],Cartera1017[Fin Producción]),
""))))</f>
        <v>46038</v>
      </c>
    </row>
    <row r="428" spans="1:8" hidden="1" collapsed="1">
      <c r="A428" t="str">
        <f ca="1"/>
        <v>Recursos Humanos y Cultura</v>
      </c>
      <c r="B428" t="str">
        <f ca="1"/>
        <v>10. Paralizado</v>
      </c>
      <c r="C428" t="str">
        <f ca="1"/>
        <v>2025-M0518</v>
      </c>
      <c r="D428" t="str">
        <f ca="1"/>
        <v>2025-M0518</v>
      </c>
      <c r="E428" s="255">
        <f ca="1"/>
        <v>0.12</v>
      </c>
      <c r="F428" s="255">
        <f ca="1"/>
        <v>0</v>
      </c>
      <c r="G428" s="356">
        <f ca="1">IF(TRIM(D428)=C428,
   _xlfn.XLOOKUP(C428, Cartera1017[ID Mantenimiento],Cartera1017[Comienzo Desarrollo]),
IF(TRIM(D428)="Desarrollo",
   _xlfn.XLOOKUP(C428,Cartera1017[ID Mantenimiento],Cartera1017[Comienzo Desarrollo]),
IF(TRIM(D428)="Calidad",
   _xlfn.XLOOKUP(C428,Cartera1017[ID Mantenimiento],Cartera1017[Comienzo Calidad]),
IF(TRIM(D428)="Producción",
   _xlfn.XLOOKUP(C428,Cartera1017[ID Mantenimiento],Cartera1017[Comienzo Producción]),
""))))</f>
        <v>46204</v>
      </c>
      <c r="H428" s="160">
        <f ca="1">IF(TRIM(D428)=C428,
   _xlfn.XLOOKUP(C428, Cartera1017[ID Mantenimiento],Cartera1017[Fin Producción]),
IF(TRIM(D428)="Desarrollo",
   _xlfn.XLOOKUP(C428,Cartera1017[ID Mantenimiento],Cartera1017[Fin Desarrollo]),
IF(TRIM(D428)="Calidad",
   _xlfn.XLOOKUP(C428,Cartera1017[ID Mantenimiento],Cartera1017[Fin Calidad]),
IF(TRIM(D428)="Producción",
   _xlfn.XLOOKUP(C428,Cartera1017[ID Mantenimiento],Cartera1017[Fin Producción]),
""))))</f>
        <v>46300</v>
      </c>
    </row>
    <row r="429" spans="1:8" hidden="1" outlineLevel="1">
      <c r="A429" t="str">
        <f ca="1"/>
        <v>Recursos Humanos y Cultura</v>
      </c>
      <c r="B429" t="str">
        <f ca="1"/>
        <v>10. Paralizado</v>
      </c>
      <c r="C429" t="str">
        <f ca="1"/>
        <v>2025-M0518</v>
      </c>
      <c r="D429" t="str">
        <f ca="1"/>
        <v xml:space="preserve">   Desarrollo</v>
      </c>
      <c r="E429" s="255">
        <f ca="1"/>
        <v>0.12</v>
      </c>
      <c r="F429" s="255">
        <f ca="1"/>
        <v>0</v>
      </c>
      <c r="G429" s="356">
        <f ca="1">IF(TRIM(D429)=C429,
   _xlfn.XLOOKUP(C429, Cartera1017[ID Mantenimiento],Cartera1017[Comienzo Desarrollo]),
IF(TRIM(D429)="Desarrollo",
   _xlfn.XLOOKUP(C429,Cartera1017[ID Mantenimiento],Cartera1017[Comienzo Desarrollo]),
IF(TRIM(D429)="Calidad",
   _xlfn.XLOOKUP(C429,Cartera1017[ID Mantenimiento],Cartera1017[Comienzo Calidad]),
IF(TRIM(D429)="Producción",
   _xlfn.XLOOKUP(C429,Cartera1017[ID Mantenimiento],Cartera1017[Comienzo Producción]),
""))))</f>
        <v>46204</v>
      </c>
      <c r="H429" s="160">
        <f ca="1">IF(TRIM(D429)=C429,
   _xlfn.XLOOKUP(C429, Cartera1017[ID Mantenimiento],Cartera1017[Fin Producción]),
IF(TRIM(D429)="Desarrollo",
   _xlfn.XLOOKUP(C429,Cartera1017[ID Mantenimiento],Cartera1017[Fin Desarrollo]),
IF(TRIM(D429)="Calidad",
   _xlfn.XLOOKUP(C429,Cartera1017[ID Mantenimiento],Cartera1017[Fin Calidad]),
IF(TRIM(D429)="Producción",
   _xlfn.XLOOKUP(C429,Cartera1017[ID Mantenimiento],Cartera1017[Fin Producción]),
""))))</f>
        <v>46264</v>
      </c>
    </row>
    <row r="430" spans="1:8" hidden="1" outlineLevel="1">
      <c r="A430" t="str">
        <f ca="1"/>
        <v>Recursos Humanos y Cultura</v>
      </c>
      <c r="B430" t="str">
        <f ca="1"/>
        <v>10. Paralizado</v>
      </c>
      <c r="C430" t="str">
        <f ca="1"/>
        <v>2025-M0518</v>
      </c>
      <c r="D430" t="str">
        <f ca="1"/>
        <v xml:space="preserve">   Calidad</v>
      </c>
      <c r="E430" s="255">
        <f ca="1"/>
        <v>0.12</v>
      </c>
      <c r="F430" s="255">
        <f ca="1"/>
        <v>0</v>
      </c>
      <c r="G430" s="356">
        <f ca="1">IF(TRIM(D430)=C430,
   _xlfn.XLOOKUP(C430, Cartera1017[ID Mantenimiento],Cartera1017[Comienzo Desarrollo]),
IF(TRIM(D430)="Desarrollo",
   _xlfn.XLOOKUP(C430,Cartera1017[ID Mantenimiento],Cartera1017[Comienzo Desarrollo]),
IF(TRIM(D430)="Calidad",
   _xlfn.XLOOKUP(C430,Cartera1017[ID Mantenimiento],Cartera1017[Comienzo Calidad]),
IF(TRIM(D430)="Producción",
   _xlfn.XLOOKUP(C430,Cartera1017[ID Mantenimiento],Cartera1017[Comienzo Producción]),
""))))</f>
        <v>46266</v>
      </c>
      <c r="H430" s="160">
        <f ca="1">IF(TRIM(D430)=C430,
   _xlfn.XLOOKUP(C430, Cartera1017[ID Mantenimiento],Cartera1017[Fin Producción]),
IF(TRIM(D430)="Desarrollo",
   _xlfn.XLOOKUP(C430,Cartera1017[ID Mantenimiento],Cartera1017[Fin Desarrollo]),
IF(TRIM(D430)="Calidad",
   _xlfn.XLOOKUP(C430,Cartera1017[ID Mantenimiento],Cartera1017[Fin Calidad]),
IF(TRIM(D430)="Producción",
   _xlfn.XLOOKUP(C430,Cartera1017[ID Mantenimiento],Cartera1017[Fin Producción]),
""))))</f>
        <v>46295</v>
      </c>
    </row>
    <row r="431" spans="1:8" hidden="1" outlineLevel="1">
      <c r="A431" t="str">
        <f ca="1"/>
        <v>Recursos Humanos y Cultura</v>
      </c>
      <c r="B431" t="str">
        <f ca="1"/>
        <v>10. Paralizado</v>
      </c>
      <c r="C431" t="str">
        <f ca="1"/>
        <v>2025-M0518</v>
      </c>
      <c r="D431" t="str">
        <f ca="1"/>
        <v xml:space="preserve">   Producción</v>
      </c>
      <c r="E431" s="255">
        <f ca="1"/>
        <v>0.12</v>
      </c>
      <c r="F431" s="255">
        <f ca="1"/>
        <v>0</v>
      </c>
      <c r="G431" s="356">
        <f ca="1">IF(TRIM(D431)=C431,
   _xlfn.XLOOKUP(C431, Cartera1017[ID Mantenimiento],Cartera1017[Comienzo Desarrollo]),
IF(TRIM(D431)="Desarrollo",
   _xlfn.XLOOKUP(C431,Cartera1017[ID Mantenimiento],Cartera1017[Comienzo Desarrollo]),
IF(TRIM(D431)="Calidad",
   _xlfn.XLOOKUP(C431,Cartera1017[ID Mantenimiento],Cartera1017[Comienzo Calidad]),
IF(TRIM(D431)="Producción",
   _xlfn.XLOOKUP(C431,Cartera1017[ID Mantenimiento],Cartera1017[Comienzo Producción]),
""))))</f>
        <v>46296</v>
      </c>
      <c r="H431" s="160">
        <f ca="1">IF(TRIM(D431)=C431,
   _xlfn.XLOOKUP(C431, Cartera1017[ID Mantenimiento],Cartera1017[Fin Producción]),
IF(TRIM(D431)="Desarrollo",
   _xlfn.XLOOKUP(C431,Cartera1017[ID Mantenimiento],Cartera1017[Fin Desarrollo]),
IF(TRIM(D431)="Calidad",
   _xlfn.XLOOKUP(C431,Cartera1017[ID Mantenimiento],Cartera1017[Fin Calidad]),
IF(TRIM(D431)="Producción",
   _xlfn.XLOOKUP(C431,Cartera1017[ID Mantenimiento],Cartera1017[Fin Producción]),
""))))</f>
        <v>46300</v>
      </c>
    </row>
    <row r="432" spans="1:8" hidden="1" collapsed="1">
      <c r="A432" t="str">
        <f ca="1"/>
        <v>Productos e Inclusión Financiera</v>
      </c>
      <c r="B432" t="str">
        <f ca="1"/>
        <v>10. Paralizado</v>
      </c>
      <c r="C432" t="str">
        <f ca="1"/>
        <v>2025-M0419</v>
      </c>
      <c r="D432" t="str">
        <f ca="1"/>
        <v>2025-M0419</v>
      </c>
      <c r="E432" s="255">
        <f ca="1"/>
        <v>0.12</v>
      </c>
      <c r="F432" s="255" t="str">
        <f ca="1"/>
        <v/>
      </c>
      <c r="G432" s="356">
        <f ca="1">IF(TRIM(D432)=C432,
   _xlfn.XLOOKUP(C432, Cartera1017[ID Mantenimiento],Cartera1017[Comienzo Desarrollo]),
IF(TRIM(D432)="Desarrollo",
   _xlfn.XLOOKUP(C432,Cartera1017[ID Mantenimiento],Cartera1017[Comienzo Desarrollo]),
IF(TRIM(D432)="Calidad",
   _xlfn.XLOOKUP(C432,Cartera1017[ID Mantenimiento],Cartera1017[Comienzo Calidad]),
IF(TRIM(D432)="Producción",
   _xlfn.XLOOKUP(C432,Cartera1017[ID Mantenimiento],Cartera1017[Comienzo Producción]),
""))))</f>
        <v>0</v>
      </c>
      <c r="H432" s="160">
        <f ca="1">IF(TRIM(D432)=C432,
   _xlfn.XLOOKUP(C432, Cartera1017[ID Mantenimiento],Cartera1017[Fin Producción]),
IF(TRIM(D432)="Desarrollo",
   _xlfn.XLOOKUP(C432,Cartera1017[ID Mantenimiento],Cartera1017[Fin Desarrollo]),
IF(TRIM(D432)="Calidad",
   _xlfn.XLOOKUP(C432,Cartera1017[ID Mantenimiento],Cartera1017[Fin Calidad]),
IF(TRIM(D432)="Producción",
   _xlfn.XLOOKUP(C432,Cartera1017[ID Mantenimiento],Cartera1017[Fin Producción]),
""))))</f>
        <v>46356</v>
      </c>
    </row>
    <row r="433" spans="1:8" hidden="1" outlineLevel="1">
      <c r="A433" t="str">
        <f ca="1"/>
        <v>Productos e Inclusión Financiera</v>
      </c>
      <c r="B433" t="str">
        <f ca="1"/>
        <v>10. Paralizado</v>
      </c>
      <c r="C433" t="str">
        <f ca="1"/>
        <v>2025-M0419</v>
      </c>
      <c r="D433" t="str">
        <f ca="1"/>
        <v xml:space="preserve">   Desarrollo</v>
      </c>
      <c r="E433" s="255">
        <f ca="1"/>
        <v>0.12</v>
      </c>
      <c r="F433" s="255" t="str">
        <f ca="1"/>
        <v/>
      </c>
      <c r="G433" s="356">
        <f ca="1">IF(TRIM(D433)=C433,
   _xlfn.XLOOKUP(C433, Cartera1017[ID Mantenimiento],Cartera1017[Comienzo Desarrollo]),
IF(TRIM(D433)="Desarrollo",
   _xlfn.XLOOKUP(C433,Cartera1017[ID Mantenimiento],Cartera1017[Comienzo Desarrollo]),
IF(TRIM(D433)="Calidad",
   _xlfn.XLOOKUP(C433,Cartera1017[ID Mantenimiento],Cartera1017[Comienzo Calidad]),
IF(TRIM(D433)="Producción",
   _xlfn.XLOOKUP(C433,Cartera1017[ID Mantenimiento],Cartera1017[Comienzo Producción]),
""))))</f>
        <v>0</v>
      </c>
      <c r="H433" s="160">
        <f ca="1">IF(TRIM(D433)=C433,
   _xlfn.XLOOKUP(C433, Cartera1017[ID Mantenimiento],Cartera1017[Fin Producción]),
IF(TRIM(D433)="Desarrollo",
   _xlfn.XLOOKUP(C433,Cartera1017[ID Mantenimiento],Cartera1017[Fin Desarrollo]),
IF(TRIM(D433)="Calidad",
   _xlfn.XLOOKUP(C433,Cartera1017[ID Mantenimiento],Cartera1017[Fin Calidad]),
IF(TRIM(D433)="Producción",
   _xlfn.XLOOKUP(C433,Cartera1017[ID Mantenimiento],Cartera1017[Fin Producción]),
""))))</f>
        <v>0</v>
      </c>
    </row>
    <row r="434" spans="1:8" hidden="1" outlineLevel="1">
      <c r="A434" t="str">
        <f ca="1"/>
        <v>Productos e Inclusión Financiera</v>
      </c>
      <c r="B434" t="str">
        <f ca="1"/>
        <v>10. Paralizado</v>
      </c>
      <c r="C434" t="str">
        <f ca="1"/>
        <v>2025-M0419</v>
      </c>
      <c r="D434" t="str">
        <f ca="1"/>
        <v xml:space="preserve">   Calidad</v>
      </c>
      <c r="E434" s="255">
        <f ca="1"/>
        <v>0.12</v>
      </c>
      <c r="F434" s="255" t="str">
        <f ca="1"/>
        <v/>
      </c>
      <c r="G434" s="356">
        <f ca="1">IF(TRIM(D434)=C434,
   _xlfn.XLOOKUP(C434, Cartera1017[ID Mantenimiento],Cartera1017[Comienzo Desarrollo]),
IF(TRIM(D434)="Desarrollo",
   _xlfn.XLOOKUP(C434,Cartera1017[ID Mantenimiento],Cartera1017[Comienzo Desarrollo]),
IF(TRIM(D434)="Calidad",
   _xlfn.XLOOKUP(C434,Cartera1017[ID Mantenimiento],Cartera1017[Comienzo Calidad]),
IF(TRIM(D434)="Producción",
   _xlfn.XLOOKUP(C434,Cartera1017[ID Mantenimiento],Cartera1017[Comienzo Producción]),
""))))</f>
        <v>0</v>
      </c>
      <c r="H434" s="160">
        <f ca="1">IF(TRIM(D434)=C434,
   _xlfn.XLOOKUP(C434, Cartera1017[ID Mantenimiento],Cartera1017[Fin Producción]),
IF(TRIM(D434)="Desarrollo",
   _xlfn.XLOOKUP(C434,Cartera1017[ID Mantenimiento],Cartera1017[Fin Desarrollo]),
IF(TRIM(D434)="Calidad",
   _xlfn.XLOOKUP(C434,Cartera1017[ID Mantenimiento],Cartera1017[Fin Calidad]),
IF(TRIM(D434)="Producción",
   _xlfn.XLOOKUP(C434,Cartera1017[ID Mantenimiento],Cartera1017[Fin Producción]),
""))))</f>
        <v>0</v>
      </c>
    </row>
    <row r="435" spans="1:8" hidden="1" outlineLevel="1">
      <c r="A435" t="str">
        <f ca="1"/>
        <v>Productos e Inclusión Financiera</v>
      </c>
      <c r="B435" t="str">
        <f ca="1"/>
        <v>10. Paralizado</v>
      </c>
      <c r="C435" t="str">
        <f ca="1"/>
        <v>2025-M0419</v>
      </c>
      <c r="D435" t="str">
        <f ca="1"/>
        <v xml:space="preserve">   Producción</v>
      </c>
      <c r="E435" s="255">
        <f ca="1"/>
        <v>0.12</v>
      </c>
      <c r="F435" s="255" t="str">
        <f ca="1"/>
        <v/>
      </c>
      <c r="G435" s="356">
        <f ca="1">IF(TRIM(D435)=C435,
   _xlfn.XLOOKUP(C435, Cartera1017[ID Mantenimiento],Cartera1017[Comienzo Desarrollo]),
IF(TRIM(D435)="Desarrollo",
   _xlfn.XLOOKUP(C435,Cartera1017[ID Mantenimiento],Cartera1017[Comienzo Desarrollo]),
IF(TRIM(D435)="Calidad",
   _xlfn.XLOOKUP(C435,Cartera1017[ID Mantenimiento],Cartera1017[Comienzo Calidad]),
IF(TRIM(D435)="Producción",
   _xlfn.XLOOKUP(C435,Cartera1017[ID Mantenimiento],Cartera1017[Comienzo Producción]),
""))))</f>
        <v>0</v>
      </c>
      <c r="H435" s="160">
        <f ca="1">IF(TRIM(D435)=C435,
   _xlfn.XLOOKUP(C435, Cartera1017[ID Mantenimiento],Cartera1017[Fin Producción]),
IF(TRIM(D435)="Desarrollo",
   _xlfn.XLOOKUP(C435,Cartera1017[ID Mantenimiento],Cartera1017[Fin Desarrollo]),
IF(TRIM(D435)="Calidad",
   _xlfn.XLOOKUP(C435,Cartera1017[ID Mantenimiento],Cartera1017[Fin Calidad]),
IF(TRIM(D435)="Producción",
   _xlfn.XLOOKUP(C435,Cartera1017[ID Mantenimiento],Cartera1017[Fin Producción]),
""))))</f>
        <v>46356</v>
      </c>
    </row>
    <row r="436" spans="1:8" hidden="1" collapsed="1">
      <c r="A436" t="str">
        <f ca="1"/>
        <v>Tecnologías de Información</v>
      </c>
      <c r="B436" t="str">
        <f ca="1"/>
        <v>03. En Desarrollo</v>
      </c>
      <c r="C436" t="str">
        <f ca="1"/>
        <v>2025-M0406</v>
      </c>
      <c r="D436" t="str">
        <f ca="1"/>
        <v>2025-M0406</v>
      </c>
      <c r="E436" s="255">
        <f ca="1"/>
        <v>0.55000000000000004</v>
      </c>
      <c r="F436" s="255">
        <f ca="1"/>
        <v>0.6785714285714286</v>
      </c>
      <c r="G436" s="356">
        <f ca="1">IF(TRIM(D436)=C436,
   _xlfn.XLOOKUP(C436, Cartera1017[ID Mantenimiento],Cartera1017[Comienzo Desarrollo]),
IF(TRIM(D436)="Desarrollo",
   _xlfn.XLOOKUP(C436,Cartera1017[ID Mantenimiento],Cartera1017[Comienzo Desarrollo]),
IF(TRIM(D436)="Calidad",
   _xlfn.XLOOKUP(C436,Cartera1017[ID Mantenimiento],Cartera1017[Comienzo Calidad]),
IF(TRIM(D436)="Producción",
   _xlfn.XLOOKUP(C436,Cartera1017[ID Mantenimiento],Cartera1017[Comienzo Producción]),
""))))</f>
        <v>46083</v>
      </c>
      <c r="H436" s="160">
        <f ca="1">IF(TRIM(D436)=C436,
   _xlfn.XLOOKUP(C436, Cartera1017[ID Mantenimiento],Cartera1017[Fin Producción]),
IF(TRIM(D436)="Desarrollo",
   _xlfn.XLOOKUP(C436,Cartera1017[ID Mantenimiento],Cartera1017[Fin Desarrollo]),
IF(TRIM(D436)="Calidad",
   _xlfn.XLOOKUP(C436,Cartera1017[ID Mantenimiento],Cartera1017[Fin Calidad]),
IF(TRIM(D436)="Producción",
   _xlfn.XLOOKUP(C436,Cartera1017[ID Mantenimiento],Cartera1017[Fin Producción]),
""))))</f>
        <v>46199</v>
      </c>
    </row>
    <row r="437" spans="1:8" hidden="1" outlineLevel="1">
      <c r="A437" t="str">
        <f ca="1"/>
        <v>Tecnologías de Información</v>
      </c>
      <c r="B437" t="str">
        <f ca="1"/>
        <v>03. En Desarrollo</v>
      </c>
      <c r="C437" t="str">
        <f ca="1"/>
        <v>2025-M0406</v>
      </c>
      <c r="D437" t="str">
        <f ca="1"/>
        <v xml:space="preserve">   Desarrollo</v>
      </c>
      <c r="E437" s="255">
        <f ca="1"/>
        <v>0.55000000000000004</v>
      </c>
      <c r="F437" s="255">
        <f ca="1"/>
        <v>0.6785714285714286</v>
      </c>
      <c r="G437" s="356">
        <f ca="1">IF(TRIM(D437)=C437,
   _xlfn.XLOOKUP(C437, Cartera1017[ID Mantenimiento],Cartera1017[Comienzo Desarrollo]),
IF(TRIM(D437)="Desarrollo",
   _xlfn.XLOOKUP(C437,Cartera1017[ID Mantenimiento],Cartera1017[Comienzo Desarrollo]),
IF(TRIM(D437)="Calidad",
   _xlfn.XLOOKUP(C437,Cartera1017[ID Mantenimiento],Cartera1017[Comienzo Calidad]),
IF(TRIM(D437)="Producción",
   _xlfn.XLOOKUP(C437,Cartera1017[ID Mantenimiento],Cartera1017[Comienzo Producción]),
""))))</f>
        <v>46083</v>
      </c>
      <c r="H437" s="160">
        <f ca="1">IF(TRIM(D437)=C437,
   _xlfn.XLOOKUP(C437, Cartera1017[ID Mantenimiento],Cartera1017[Fin Producción]),
IF(TRIM(D437)="Desarrollo",
   _xlfn.XLOOKUP(C437,Cartera1017[ID Mantenimiento],Cartera1017[Fin Desarrollo]),
IF(TRIM(D437)="Calidad",
   _xlfn.XLOOKUP(C437,Cartera1017[ID Mantenimiento],Cartera1017[Fin Calidad]),
IF(TRIM(D437)="Producción",
   _xlfn.XLOOKUP(C437,Cartera1017[ID Mantenimiento],Cartera1017[Fin Producción]),
""))))</f>
        <v>46092</v>
      </c>
    </row>
    <row r="438" spans="1:8" hidden="1" outlineLevel="1">
      <c r="A438" t="str">
        <f ca="1"/>
        <v>Tecnologías de Información</v>
      </c>
      <c r="B438" t="str">
        <f ca="1"/>
        <v>03. En Desarrollo</v>
      </c>
      <c r="C438" t="str">
        <f ca="1"/>
        <v>2025-M0406</v>
      </c>
      <c r="D438" t="str">
        <f ca="1"/>
        <v xml:space="preserve">   Calidad</v>
      </c>
      <c r="E438" s="255">
        <f ca="1"/>
        <v>0.55000000000000004</v>
      </c>
      <c r="F438" s="255">
        <f ca="1"/>
        <v>0.6785714285714286</v>
      </c>
      <c r="G438" s="356">
        <f ca="1">IF(TRIM(D438)=C438,
   _xlfn.XLOOKUP(C438, Cartera1017[ID Mantenimiento],Cartera1017[Comienzo Desarrollo]),
IF(TRIM(D438)="Desarrollo",
   _xlfn.XLOOKUP(C438,Cartera1017[ID Mantenimiento],Cartera1017[Comienzo Desarrollo]),
IF(TRIM(D438)="Calidad",
   _xlfn.XLOOKUP(C438,Cartera1017[ID Mantenimiento],Cartera1017[Comienzo Calidad]),
IF(TRIM(D438)="Producción",
   _xlfn.XLOOKUP(C438,Cartera1017[ID Mantenimiento],Cartera1017[Comienzo Producción]),
""))))</f>
        <v>46160</v>
      </c>
      <c r="H438" s="160">
        <f ca="1">IF(TRIM(D438)=C438,
   _xlfn.XLOOKUP(C438, Cartera1017[ID Mantenimiento],Cartera1017[Fin Producción]),
IF(TRIM(D438)="Desarrollo",
   _xlfn.XLOOKUP(C438,Cartera1017[ID Mantenimiento],Cartera1017[Fin Desarrollo]),
IF(TRIM(D438)="Calidad",
   _xlfn.XLOOKUP(C438,Cartera1017[ID Mantenimiento],Cartera1017[Fin Calidad]),
IF(TRIM(D438)="Producción",
   _xlfn.XLOOKUP(C438,Cartera1017[ID Mantenimiento],Cartera1017[Fin Producción]),
""))))</f>
        <v>46192</v>
      </c>
    </row>
    <row r="439" spans="1:8" hidden="1" outlineLevel="1">
      <c r="A439" t="str">
        <f ca="1"/>
        <v>Tecnologías de Información</v>
      </c>
      <c r="B439" t="str">
        <f ca="1"/>
        <v>03. En Desarrollo</v>
      </c>
      <c r="C439" t="str">
        <f ca="1"/>
        <v>2025-M0406</v>
      </c>
      <c r="D439" t="str">
        <f ca="1"/>
        <v xml:space="preserve">   Producción</v>
      </c>
      <c r="E439" s="255">
        <f ca="1"/>
        <v>0.55000000000000004</v>
      </c>
      <c r="F439" s="255">
        <f ca="1"/>
        <v>0.6785714285714286</v>
      </c>
      <c r="G439" s="356">
        <f ca="1">IF(TRIM(D439)=C439,
   _xlfn.XLOOKUP(C439, Cartera1017[ID Mantenimiento],Cartera1017[Comienzo Desarrollo]),
IF(TRIM(D439)="Desarrollo",
   _xlfn.XLOOKUP(C439,Cartera1017[ID Mantenimiento],Cartera1017[Comienzo Desarrollo]),
IF(TRIM(D439)="Calidad",
   _xlfn.XLOOKUP(C439,Cartera1017[ID Mantenimiento],Cartera1017[Comienzo Calidad]),
IF(TRIM(D439)="Producción",
   _xlfn.XLOOKUP(C439,Cartera1017[ID Mantenimiento],Cartera1017[Comienzo Producción]),
""))))</f>
        <v>46195</v>
      </c>
      <c r="H439" s="160">
        <f ca="1">IF(TRIM(D439)=C439,
   _xlfn.XLOOKUP(C439, Cartera1017[ID Mantenimiento],Cartera1017[Fin Producción]),
IF(TRIM(D439)="Desarrollo",
   _xlfn.XLOOKUP(C439,Cartera1017[ID Mantenimiento],Cartera1017[Fin Desarrollo]),
IF(TRIM(D439)="Calidad",
   _xlfn.XLOOKUP(C439,Cartera1017[ID Mantenimiento],Cartera1017[Fin Calidad]),
IF(TRIM(D439)="Producción",
   _xlfn.XLOOKUP(C439,Cartera1017[ID Mantenimiento],Cartera1017[Fin Producción]),
""))))</f>
        <v>46199</v>
      </c>
    </row>
    <row r="440" spans="1:8" hidden="1" collapsed="1">
      <c r="A440" t="str">
        <f ca="1"/>
        <v>Banca Digital</v>
      </c>
      <c r="B440" t="str">
        <f ca="1"/>
        <v>03. En Desarrollo</v>
      </c>
      <c r="C440" t="str">
        <f ca="1"/>
        <v>2025-M0433</v>
      </c>
      <c r="D440" t="str">
        <f ca="1"/>
        <v>2025-M0433</v>
      </c>
      <c r="E440" s="255">
        <f ca="1"/>
        <v>0.25</v>
      </c>
      <c r="F440" s="255">
        <f ca="1"/>
        <v>0.4351145038167939</v>
      </c>
      <c r="G440" s="356">
        <f ca="1">IF(TRIM(D440)=C440,
   _xlfn.XLOOKUP(C440, Cartera1017[ID Mantenimiento],Cartera1017[Comienzo Desarrollo]),
IF(TRIM(D440)="Desarrollo",
   _xlfn.XLOOKUP(C440,Cartera1017[ID Mantenimiento],Cartera1017[Comienzo Desarrollo]),
IF(TRIM(D440)="Calidad",
   _xlfn.XLOOKUP(C440,Cartera1017[ID Mantenimiento],Cartera1017[Comienzo Calidad]),
IF(TRIM(D440)="Producción",
   _xlfn.XLOOKUP(C440,Cartera1017[ID Mantenimiento],Cartera1017[Comienzo Producción]),
""))))</f>
        <v>46083</v>
      </c>
      <c r="H440" s="160">
        <f ca="1">IF(TRIM(D440)=C440,
   _xlfn.XLOOKUP(C440, Cartera1017[ID Mantenimiento],Cartera1017[Fin Producción]),
IF(TRIM(D440)="Desarrollo",
   _xlfn.XLOOKUP(C440,Cartera1017[ID Mantenimiento],Cartera1017[Fin Desarrollo]),
IF(TRIM(D440)="Calidad",
   _xlfn.XLOOKUP(C440,Cartera1017[ID Mantenimiento],Cartera1017[Fin Calidad]),
IF(TRIM(D440)="Producción",
   _xlfn.XLOOKUP(C440,Cartera1017[ID Mantenimiento],Cartera1017[Fin Producción]),
""))))</f>
        <v>46269</v>
      </c>
    </row>
    <row r="441" spans="1:8" hidden="1" outlineLevel="1">
      <c r="A441" t="str">
        <f ca="1"/>
        <v>Banca Digital</v>
      </c>
      <c r="B441" t="str">
        <f ca="1"/>
        <v>03. En Desarrollo</v>
      </c>
      <c r="C441" t="str">
        <f ca="1"/>
        <v>2025-M0433</v>
      </c>
      <c r="D441" t="str">
        <f ca="1"/>
        <v xml:space="preserve">   Desarrollo</v>
      </c>
      <c r="E441" s="255">
        <f ca="1"/>
        <v>0.25</v>
      </c>
      <c r="F441" s="255">
        <f ca="1"/>
        <v>0.4351145038167939</v>
      </c>
      <c r="G441" s="356">
        <f ca="1">IF(TRIM(D441)=C441,
   _xlfn.XLOOKUP(C441, Cartera1017[ID Mantenimiento],Cartera1017[Comienzo Desarrollo]),
IF(TRIM(D441)="Desarrollo",
   _xlfn.XLOOKUP(C441,Cartera1017[ID Mantenimiento],Cartera1017[Comienzo Desarrollo]),
IF(TRIM(D441)="Calidad",
   _xlfn.XLOOKUP(C441,Cartera1017[ID Mantenimiento],Cartera1017[Comienzo Calidad]),
IF(TRIM(D441)="Producción",
   _xlfn.XLOOKUP(C441,Cartera1017[ID Mantenimiento],Cartera1017[Comienzo Producción]),
""))))</f>
        <v>46083</v>
      </c>
      <c r="H441" s="160">
        <f ca="1">IF(TRIM(D441)=C441,
   _xlfn.XLOOKUP(C441, Cartera1017[ID Mantenimiento],Cartera1017[Fin Producción]),
IF(TRIM(D441)="Desarrollo",
   _xlfn.XLOOKUP(C441,Cartera1017[ID Mantenimiento],Cartera1017[Fin Desarrollo]),
IF(TRIM(D441)="Calidad",
   _xlfn.XLOOKUP(C441,Cartera1017[ID Mantenimiento],Cartera1017[Fin Calidad]),
IF(TRIM(D441)="Producción",
   _xlfn.XLOOKUP(C441,Cartera1017[ID Mantenimiento],Cartera1017[Fin Producción]),
""))))</f>
        <v>46233</v>
      </c>
    </row>
    <row r="442" spans="1:8" hidden="1" outlineLevel="1">
      <c r="A442" t="str">
        <f ca="1"/>
        <v>Banca Digital</v>
      </c>
      <c r="B442" t="str">
        <f ca="1"/>
        <v>03. En Desarrollo</v>
      </c>
      <c r="C442" t="str">
        <f ca="1"/>
        <v>2025-M0433</v>
      </c>
      <c r="D442" t="str">
        <f ca="1"/>
        <v xml:space="preserve">   Calidad</v>
      </c>
      <c r="E442" s="255">
        <f ca="1"/>
        <v>0.25</v>
      </c>
      <c r="F442" s="255">
        <f ca="1"/>
        <v>0.4351145038167939</v>
      </c>
      <c r="G442" s="356">
        <f ca="1">IF(TRIM(D442)=C442,
   _xlfn.XLOOKUP(C442, Cartera1017[ID Mantenimiento],Cartera1017[Comienzo Desarrollo]),
IF(TRIM(D442)="Desarrollo",
   _xlfn.XLOOKUP(C442,Cartera1017[ID Mantenimiento],Cartera1017[Comienzo Desarrollo]),
IF(TRIM(D442)="Calidad",
   _xlfn.XLOOKUP(C442,Cartera1017[ID Mantenimiento],Cartera1017[Comienzo Calidad]),
IF(TRIM(D442)="Producción",
   _xlfn.XLOOKUP(C442,Cartera1017[ID Mantenimiento],Cartera1017[Comienzo Producción]),
""))))</f>
        <v>46237</v>
      </c>
      <c r="H442" s="160">
        <f ca="1">IF(TRIM(D442)=C442,
   _xlfn.XLOOKUP(C442, Cartera1017[ID Mantenimiento],Cartera1017[Fin Producción]),
IF(TRIM(D442)="Desarrollo",
   _xlfn.XLOOKUP(C442,Cartera1017[ID Mantenimiento],Cartera1017[Fin Desarrollo]),
IF(TRIM(D442)="Calidad",
   _xlfn.XLOOKUP(C442,Cartera1017[ID Mantenimiento],Cartera1017[Fin Calidad]),
IF(TRIM(D442)="Producción",
   _xlfn.XLOOKUP(C442,Cartera1017[ID Mantenimiento],Cartera1017[Fin Producción]),
""))))</f>
        <v>46265</v>
      </c>
    </row>
    <row r="443" spans="1:8" hidden="1" outlineLevel="1">
      <c r="A443" t="str">
        <f ca="1"/>
        <v>Banca Digital</v>
      </c>
      <c r="B443" t="str">
        <f ca="1"/>
        <v>03. En Desarrollo</v>
      </c>
      <c r="C443" t="str">
        <f ca="1"/>
        <v>2025-M0433</v>
      </c>
      <c r="D443" t="str">
        <f ca="1"/>
        <v xml:space="preserve">   Producción</v>
      </c>
      <c r="E443" s="255">
        <f ca="1"/>
        <v>0.25</v>
      </c>
      <c r="F443" s="255">
        <f ca="1"/>
        <v>0.4351145038167939</v>
      </c>
      <c r="G443" s="356">
        <f ca="1">IF(TRIM(D443)=C443,
   _xlfn.XLOOKUP(C443, Cartera1017[ID Mantenimiento],Cartera1017[Comienzo Desarrollo]),
IF(TRIM(D443)="Desarrollo",
   _xlfn.XLOOKUP(C443,Cartera1017[ID Mantenimiento],Cartera1017[Comienzo Desarrollo]),
IF(TRIM(D443)="Calidad",
   _xlfn.XLOOKUP(C443,Cartera1017[ID Mantenimiento],Cartera1017[Comienzo Calidad]),
IF(TRIM(D443)="Producción",
   _xlfn.XLOOKUP(C443,Cartera1017[ID Mantenimiento],Cartera1017[Comienzo Producción]),
""))))</f>
        <v>46266</v>
      </c>
      <c r="H443" s="160">
        <f ca="1">IF(TRIM(D443)=C443,
   _xlfn.XLOOKUP(C443, Cartera1017[ID Mantenimiento],Cartera1017[Fin Producción]),
IF(TRIM(D443)="Desarrollo",
   _xlfn.XLOOKUP(C443,Cartera1017[ID Mantenimiento],Cartera1017[Fin Desarrollo]),
IF(TRIM(D443)="Calidad",
   _xlfn.XLOOKUP(C443,Cartera1017[ID Mantenimiento],Cartera1017[Fin Calidad]),
IF(TRIM(D443)="Producción",
   _xlfn.XLOOKUP(C443,Cartera1017[ID Mantenimiento],Cartera1017[Fin Producción]),
""))))</f>
        <v>46269</v>
      </c>
    </row>
    <row r="444" spans="1:8" hidden="1" collapsed="1">
      <c r="A444" t="str">
        <f ca="1"/>
        <v>Banca Digital</v>
      </c>
      <c r="B444" t="str">
        <f ca="1"/>
        <v>03. En Desarrollo</v>
      </c>
      <c r="C444" t="str">
        <f ca="1"/>
        <v>2025-M0434</v>
      </c>
      <c r="D444" t="str">
        <f ca="1"/>
        <v>2025-M0434</v>
      </c>
      <c r="E444" s="255">
        <f ca="1"/>
        <v>0.25</v>
      </c>
      <c r="F444" s="255">
        <f ca="1"/>
        <v>0.4351145038167939</v>
      </c>
      <c r="G444" s="356">
        <f ca="1">IF(TRIM(D444)=C444,
   _xlfn.XLOOKUP(C444, Cartera1017[ID Mantenimiento],Cartera1017[Comienzo Desarrollo]),
IF(TRIM(D444)="Desarrollo",
   _xlfn.XLOOKUP(C444,Cartera1017[ID Mantenimiento],Cartera1017[Comienzo Desarrollo]),
IF(TRIM(D444)="Calidad",
   _xlfn.XLOOKUP(C444,Cartera1017[ID Mantenimiento],Cartera1017[Comienzo Calidad]),
IF(TRIM(D444)="Producción",
   _xlfn.XLOOKUP(C444,Cartera1017[ID Mantenimiento],Cartera1017[Comienzo Producción]),
""))))</f>
        <v>46083</v>
      </c>
      <c r="H444" s="160">
        <f ca="1">IF(TRIM(D444)=C444,
   _xlfn.XLOOKUP(C444, Cartera1017[ID Mantenimiento],Cartera1017[Fin Producción]),
IF(TRIM(D444)="Desarrollo",
   _xlfn.XLOOKUP(C444,Cartera1017[ID Mantenimiento],Cartera1017[Fin Desarrollo]),
IF(TRIM(D444)="Calidad",
   _xlfn.XLOOKUP(C444,Cartera1017[ID Mantenimiento],Cartera1017[Fin Calidad]),
IF(TRIM(D444)="Producción",
   _xlfn.XLOOKUP(C444,Cartera1017[ID Mantenimiento],Cartera1017[Fin Producción]),
""))))</f>
        <v>46269</v>
      </c>
    </row>
    <row r="445" spans="1:8" hidden="1" outlineLevel="1">
      <c r="A445" t="str">
        <f ca="1"/>
        <v>Banca Digital</v>
      </c>
      <c r="B445" t="str">
        <f ca="1"/>
        <v>03. En Desarrollo</v>
      </c>
      <c r="C445" t="str">
        <f ca="1"/>
        <v>2025-M0434</v>
      </c>
      <c r="D445" t="str">
        <f ca="1"/>
        <v xml:space="preserve">   Desarrollo</v>
      </c>
      <c r="E445" s="255">
        <f ca="1"/>
        <v>0.25</v>
      </c>
      <c r="F445" s="255">
        <f ca="1"/>
        <v>0.4351145038167939</v>
      </c>
      <c r="G445" s="356">
        <f ca="1">IF(TRIM(D445)=C445,
   _xlfn.XLOOKUP(C445, Cartera1017[ID Mantenimiento],Cartera1017[Comienzo Desarrollo]),
IF(TRIM(D445)="Desarrollo",
   _xlfn.XLOOKUP(C445,Cartera1017[ID Mantenimiento],Cartera1017[Comienzo Desarrollo]),
IF(TRIM(D445)="Calidad",
   _xlfn.XLOOKUP(C445,Cartera1017[ID Mantenimiento],Cartera1017[Comienzo Calidad]),
IF(TRIM(D445)="Producción",
   _xlfn.XLOOKUP(C445,Cartera1017[ID Mantenimiento],Cartera1017[Comienzo Producción]),
""))))</f>
        <v>46083</v>
      </c>
      <c r="H445" s="160">
        <f ca="1">IF(TRIM(D445)=C445,
   _xlfn.XLOOKUP(C445, Cartera1017[ID Mantenimiento],Cartera1017[Fin Producción]),
IF(TRIM(D445)="Desarrollo",
   _xlfn.XLOOKUP(C445,Cartera1017[ID Mantenimiento],Cartera1017[Fin Desarrollo]),
IF(TRIM(D445)="Calidad",
   _xlfn.XLOOKUP(C445,Cartera1017[ID Mantenimiento],Cartera1017[Fin Calidad]),
IF(TRIM(D445)="Producción",
   _xlfn.XLOOKUP(C445,Cartera1017[ID Mantenimiento],Cartera1017[Fin Producción]),
""))))</f>
        <v>46233</v>
      </c>
    </row>
    <row r="446" spans="1:8" hidden="1" outlineLevel="1">
      <c r="A446" t="str">
        <f ca="1"/>
        <v>Banca Digital</v>
      </c>
      <c r="B446" t="str">
        <f ca="1"/>
        <v>03. En Desarrollo</v>
      </c>
      <c r="C446" t="str">
        <f ca="1"/>
        <v>2025-M0434</v>
      </c>
      <c r="D446" t="str">
        <f ca="1"/>
        <v xml:space="preserve">   Calidad</v>
      </c>
      <c r="E446" s="255">
        <f ca="1"/>
        <v>0.25</v>
      </c>
      <c r="F446" s="255">
        <f ca="1"/>
        <v>0.4351145038167939</v>
      </c>
      <c r="G446" s="356">
        <f ca="1">IF(TRIM(D446)=C446,
   _xlfn.XLOOKUP(C446, Cartera1017[ID Mantenimiento],Cartera1017[Comienzo Desarrollo]),
IF(TRIM(D446)="Desarrollo",
   _xlfn.XLOOKUP(C446,Cartera1017[ID Mantenimiento],Cartera1017[Comienzo Desarrollo]),
IF(TRIM(D446)="Calidad",
   _xlfn.XLOOKUP(C446,Cartera1017[ID Mantenimiento],Cartera1017[Comienzo Calidad]),
IF(TRIM(D446)="Producción",
   _xlfn.XLOOKUP(C446,Cartera1017[ID Mantenimiento],Cartera1017[Comienzo Producción]),
""))))</f>
        <v>46237</v>
      </c>
      <c r="H446" s="160">
        <f ca="1">IF(TRIM(D446)=C446,
   _xlfn.XLOOKUP(C446, Cartera1017[ID Mantenimiento],Cartera1017[Fin Producción]),
IF(TRIM(D446)="Desarrollo",
   _xlfn.XLOOKUP(C446,Cartera1017[ID Mantenimiento],Cartera1017[Fin Desarrollo]),
IF(TRIM(D446)="Calidad",
   _xlfn.XLOOKUP(C446,Cartera1017[ID Mantenimiento],Cartera1017[Fin Calidad]),
IF(TRIM(D446)="Producción",
   _xlfn.XLOOKUP(C446,Cartera1017[ID Mantenimiento],Cartera1017[Fin Producción]),
""))))</f>
        <v>46265</v>
      </c>
    </row>
    <row r="447" spans="1:8" hidden="1" outlineLevel="1">
      <c r="A447" t="str">
        <f ca="1"/>
        <v>Banca Digital</v>
      </c>
      <c r="B447" t="str">
        <f ca="1"/>
        <v>03. En Desarrollo</v>
      </c>
      <c r="C447" t="str">
        <f ca="1"/>
        <v>2025-M0434</v>
      </c>
      <c r="D447" t="str">
        <f ca="1"/>
        <v xml:space="preserve">   Producción</v>
      </c>
      <c r="E447" s="255">
        <f ca="1"/>
        <v>0.25</v>
      </c>
      <c r="F447" s="255">
        <f ca="1"/>
        <v>0.4351145038167939</v>
      </c>
      <c r="G447" s="356">
        <f ca="1">IF(TRIM(D447)=C447,
   _xlfn.XLOOKUP(C447, Cartera1017[ID Mantenimiento],Cartera1017[Comienzo Desarrollo]),
IF(TRIM(D447)="Desarrollo",
   _xlfn.XLOOKUP(C447,Cartera1017[ID Mantenimiento],Cartera1017[Comienzo Desarrollo]),
IF(TRIM(D447)="Calidad",
   _xlfn.XLOOKUP(C447,Cartera1017[ID Mantenimiento],Cartera1017[Comienzo Calidad]),
IF(TRIM(D447)="Producción",
   _xlfn.XLOOKUP(C447,Cartera1017[ID Mantenimiento],Cartera1017[Comienzo Producción]),
""))))</f>
        <v>46266</v>
      </c>
      <c r="H447" s="160">
        <f ca="1">IF(TRIM(D447)=C447,
   _xlfn.XLOOKUP(C447, Cartera1017[ID Mantenimiento],Cartera1017[Fin Producción]),
IF(TRIM(D447)="Desarrollo",
   _xlfn.XLOOKUP(C447,Cartera1017[ID Mantenimiento],Cartera1017[Fin Desarrollo]),
IF(TRIM(D447)="Calidad",
   _xlfn.XLOOKUP(C447,Cartera1017[ID Mantenimiento],Cartera1017[Fin Calidad]),
IF(TRIM(D447)="Producción",
   _xlfn.XLOOKUP(C447,Cartera1017[ID Mantenimiento],Cartera1017[Fin Producción]),
""))))</f>
        <v>46269</v>
      </c>
    </row>
    <row r="448" spans="1:8" hidden="1" collapsed="1">
      <c r="A448" t="str">
        <f ca="1"/>
        <v>Recursos Humanos y Cultura</v>
      </c>
      <c r="B448" t="str">
        <f ca="1"/>
        <v>08. Producción Finalizada</v>
      </c>
      <c r="C448" t="str">
        <f ca="1"/>
        <v>2025-M0517</v>
      </c>
      <c r="D448" t="str">
        <f ca="1"/>
        <v>2025-M0517</v>
      </c>
      <c r="E448" s="255">
        <f ca="1"/>
        <v>1</v>
      </c>
      <c r="F448" s="255">
        <f ca="1"/>
        <v>1</v>
      </c>
      <c r="G448" s="356">
        <f ca="1">IF(TRIM(D448)=C448,
   _xlfn.XLOOKUP(C448, Cartera1017[ID Mantenimiento],Cartera1017[Comienzo Desarrollo]),
IF(TRIM(D448)="Desarrollo",
   _xlfn.XLOOKUP(C448,Cartera1017[ID Mantenimiento],Cartera1017[Comienzo Desarrollo]),
IF(TRIM(D448)="Calidad",
   _xlfn.XLOOKUP(C448,Cartera1017[ID Mantenimiento],Cartera1017[Comienzo Calidad]),
IF(TRIM(D448)="Producción",
   _xlfn.XLOOKUP(C448,Cartera1017[ID Mantenimiento],Cartera1017[Comienzo Producción]),
""))))</f>
        <v>45855</v>
      </c>
      <c r="H448" s="160">
        <f ca="1">IF(TRIM(D448)=C448,
   _xlfn.XLOOKUP(C448, Cartera1017[ID Mantenimiento],Cartera1017[Fin Producción]),
IF(TRIM(D448)="Desarrollo",
   _xlfn.XLOOKUP(C448,Cartera1017[ID Mantenimiento],Cartera1017[Fin Desarrollo]),
IF(TRIM(D448)="Calidad",
   _xlfn.XLOOKUP(C448,Cartera1017[ID Mantenimiento],Cartera1017[Fin Calidad]),
IF(TRIM(D448)="Producción",
   _xlfn.XLOOKUP(C448,Cartera1017[ID Mantenimiento],Cartera1017[Fin Producción]),
""))))</f>
        <v>46050</v>
      </c>
    </row>
    <row r="449" spans="1:8" hidden="1" outlineLevel="1">
      <c r="A449" t="str">
        <f ca="1"/>
        <v>Recursos Humanos y Cultura</v>
      </c>
      <c r="B449" t="str">
        <f ca="1"/>
        <v>08. Producción Finalizada</v>
      </c>
      <c r="C449" t="str">
        <f ca="1"/>
        <v>2025-M0517</v>
      </c>
      <c r="D449" t="str">
        <f ca="1"/>
        <v xml:space="preserve">   Desarrollo</v>
      </c>
      <c r="E449" s="255">
        <f ca="1"/>
        <v>1</v>
      </c>
      <c r="F449" s="255">
        <f ca="1"/>
        <v>1</v>
      </c>
      <c r="G449" s="356">
        <f ca="1">IF(TRIM(D449)=C449,
   _xlfn.XLOOKUP(C449, Cartera1017[ID Mantenimiento],Cartera1017[Comienzo Desarrollo]),
IF(TRIM(D449)="Desarrollo",
   _xlfn.XLOOKUP(C449,Cartera1017[ID Mantenimiento],Cartera1017[Comienzo Desarrollo]),
IF(TRIM(D449)="Calidad",
   _xlfn.XLOOKUP(C449,Cartera1017[ID Mantenimiento],Cartera1017[Comienzo Calidad]),
IF(TRIM(D449)="Producción",
   _xlfn.XLOOKUP(C449,Cartera1017[ID Mantenimiento],Cartera1017[Comienzo Producción]),
""))))</f>
        <v>45855</v>
      </c>
      <c r="H449" s="160">
        <f ca="1">IF(TRIM(D449)=C449,
   _xlfn.XLOOKUP(C449, Cartera1017[ID Mantenimiento],Cartera1017[Fin Producción]),
IF(TRIM(D449)="Desarrollo",
   _xlfn.XLOOKUP(C449,Cartera1017[ID Mantenimiento],Cartera1017[Fin Desarrollo]),
IF(TRIM(D449)="Calidad",
   _xlfn.XLOOKUP(C449,Cartera1017[ID Mantenimiento],Cartera1017[Fin Calidad]),
IF(TRIM(D449)="Producción",
   _xlfn.XLOOKUP(C449,Cartera1017[ID Mantenimiento],Cartera1017[Fin Producción]),
""))))</f>
        <v>45996</v>
      </c>
    </row>
    <row r="450" spans="1:8" hidden="1" outlineLevel="1">
      <c r="A450" t="str">
        <f ca="1"/>
        <v>Recursos Humanos y Cultura</v>
      </c>
      <c r="B450" t="str">
        <f ca="1"/>
        <v>08. Producción Finalizada</v>
      </c>
      <c r="C450" t="str">
        <f ca="1"/>
        <v>2025-M0517</v>
      </c>
      <c r="D450" t="str">
        <f ca="1"/>
        <v xml:space="preserve">   Calidad</v>
      </c>
      <c r="E450" s="255">
        <f ca="1"/>
        <v>1</v>
      </c>
      <c r="F450" s="255">
        <f ca="1"/>
        <v>1</v>
      </c>
      <c r="G450" s="356">
        <f ca="1">IF(TRIM(D450)=C450,
   _xlfn.XLOOKUP(C450, Cartera1017[ID Mantenimiento],Cartera1017[Comienzo Desarrollo]),
IF(TRIM(D450)="Desarrollo",
   _xlfn.XLOOKUP(C450,Cartera1017[ID Mantenimiento],Cartera1017[Comienzo Desarrollo]),
IF(TRIM(D450)="Calidad",
   _xlfn.XLOOKUP(C450,Cartera1017[ID Mantenimiento],Cartera1017[Comienzo Calidad]),
IF(TRIM(D450)="Producción",
   _xlfn.XLOOKUP(C450,Cartera1017[ID Mantenimiento],Cartera1017[Comienzo Producción]),
""))))</f>
        <v>45996</v>
      </c>
      <c r="H450" s="160">
        <f ca="1">IF(TRIM(D450)=C450,
   _xlfn.XLOOKUP(C450, Cartera1017[ID Mantenimiento],Cartera1017[Fin Producción]),
IF(TRIM(D450)="Desarrollo",
   _xlfn.XLOOKUP(C450,Cartera1017[ID Mantenimiento],Cartera1017[Fin Desarrollo]),
IF(TRIM(D450)="Calidad",
   _xlfn.XLOOKUP(C450,Cartera1017[ID Mantenimiento],Cartera1017[Fin Calidad]),
IF(TRIM(D450)="Producción",
   _xlfn.XLOOKUP(C450,Cartera1017[ID Mantenimiento],Cartera1017[Fin Producción]),
""))))</f>
        <v>46031</v>
      </c>
    </row>
    <row r="451" spans="1:8" hidden="1" outlineLevel="1">
      <c r="A451" t="str">
        <f ca="1"/>
        <v>Recursos Humanos y Cultura</v>
      </c>
      <c r="B451" t="str">
        <f ca="1"/>
        <v>08. Producción Finalizada</v>
      </c>
      <c r="C451" t="str">
        <f ca="1"/>
        <v>2025-M0517</v>
      </c>
      <c r="D451" t="str">
        <f ca="1"/>
        <v xml:space="preserve">   Producción</v>
      </c>
      <c r="E451" s="255">
        <f ca="1"/>
        <v>1</v>
      </c>
      <c r="F451" s="255">
        <f ca="1"/>
        <v>1</v>
      </c>
      <c r="G451" s="356">
        <f ca="1">IF(TRIM(D451)=C451,
   _xlfn.XLOOKUP(C451, Cartera1017[ID Mantenimiento],Cartera1017[Comienzo Desarrollo]),
IF(TRIM(D451)="Desarrollo",
   _xlfn.XLOOKUP(C451,Cartera1017[ID Mantenimiento],Cartera1017[Comienzo Desarrollo]),
IF(TRIM(D451)="Calidad",
   _xlfn.XLOOKUP(C451,Cartera1017[ID Mantenimiento],Cartera1017[Comienzo Calidad]),
IF(TRIM(D451)="Producción",
   _xlfn.XLOOKUP(C451,Cartera1017[ID Mantenimiento],Cartera1017[Comienzo Producción]),
""))))</f>
        <v>46031</v>
      </c>
      <c r="H451" s="160">
        <f ca="1">IF(TRIM(D451)=C451,
   _xlfn.XLOOKUP(C451, Cartera1017[ID Mantenimiento],Cartera1017[Fin Producción]),
IF(TRIM(D451)="Desarrollo",
   _xlfn.XLOOKUP(C451,Cartera1017[ID Mantenimiento],Cartera1017[Fin Desarrollo]),
IF(TRIM(D451)="Calidad",
   _xlfn.XLOOKUP(C451,Cartera1017[ID Mantenimiento],Cartera1017[Fin Calidad]),
IF(TRIM(D451)="Producción",
   _xlfn.XLOOKUP(C451,Cartera1017[ID Mantenimiento],Cartera1017[Fin Producción]),
""))))</f>
        <v>46050</v>
      </c>
    </row>
    <row r="452" spans="1:8" hidden="1" collapsed="1">
      <c r="A452" t="str">
        <f ca="1"/>
        <v>Operaciones</v>
      </c>
      <c r="B452" t="str">
        <f ca="1"/>
        <v>08. Producción Finalizada</v>
      </c>
      <c r="C452" t="str">
        <f ca="1"/>
        <v>2025-M0521</v>
      </c>
      <c r="D452" t="str">
        <f ca="1"/>
        <v>2025-M0521</v>
      </c>
      <c r="E452" s="255">
        <f ca="1"/>
        <v>1</v>
      </c>
      <c r="F452" s="255">
        <f ca="1"/>
        <v>1</v>
      </c>
      <c r="G452" s="356">
        <f ca="1">IF(TRIM(D452)=C452,
   _xlfn.XLOOKUP(C452, Cartera1017[ID Mantenimiento],Cartera1017[Comienzo Desarrollo]),
IF(TRIM(D452)="Desarrollo",
   _xlfn.XLOOKUP(C452,Cartera1017[ID Mantenimiento],Cartera1017[Comienzo Desarrollo]),
IF(TRIM(D452)="Calidad",
   _xlfn.XLOOKUP(C452,Cartera1017[ID Mantenimiento],Cartera1017[Comienzo Calidad]),
IF(TRIM(D452)="Producción",
   _xlfn.XLOOKUP(C452,Cartera1017[ID Mantenimiento],Cartera1017[Comienzo Producción]),
""))))</f>
        <v>45856</v>
      </c>
      <c r="H452" s="160">
        <f ca="1">IF(TRIM(D452)=C452,
   _xlfn.XLOOKUP(C452, Cartera1017[ID Mantenimiento],Cartera1017[Fin Producción]),
IF(TRIM(D452)="Desarrollo",
   _xlfn.XLOOKUP(C452,Cartera1017[ID Mantenimiento],Cartera1017[Fin Desarrollo]),
IF(TRIM(D452)="Calidad",
   _xlfn.XLOOKUP(C452,Cartera1017[ID Mantenimiento],Cartera1017[Fin Calidad]),
IF(TRIM(D452)="Producción",
   _xlfn.XLOOKUP(C452,Cartera1017[ID Mantenimiento],Cartera1017[Fin Producción]),
""))))</f>
        <v>46072</v>
      </c>
    </row>
    <row r="453" spans="1:8" hidden="1" outlineLevel="1">
      <c r="A453" t="str">
        <f ca="1"/>
        <v>Operaciones</v>
      </c>
      <c r="B453" t="str">
        <f ca="1"/>
        <v>08. Producción Finalizada</v>
      </c>
      <c r="C453" t="str">
        <f ca="1"/>
        <v>2025-M0521</v>
      </c>
      <c r="D453" t="str">
        <f ca="1"/>
        <v xml:space="preserve">   Desarrollo</v>
      </c>
      <c r="E453" s="255">
        <f ca="1"/>
        <v>1</v>
      </c>
      <c r="F453" s="255">
        <f ca="1"/>
        <v>1</v>
      </c>
      <c r="G453" s="356">
        <f ca="1">IF(TRIM(D453)=C453,
   _xlfn.XLOOKUP(C453, Cartera1017[ID Mantenimiento],Cartera1017[Comienzo Desarrollo]),
IF(TRIM(D453)="Desarrollo",
   _xlfn.XLOOKUP(C453,Cartera1017[ID Mantenimiento],Cartera1017[Comienzo Desarrollo]),
IF(TRIM(D453)="Calidad",
   _xlfn.XLOOKUP(C453,Cartera1017[ID Mantenimiento],Cartera1017[Comienzo Calidad]),
IF(TRIM(D453)="Producción",
   _xlfn.XLOOKUP(C453,Cartera1017[ID Mantenimiento],Cartera1017[Comienzo Producción]),
""))))</f>
        <v>45856</v>
      </c>
      <c r="H453" s="160">
        <f ca="1">IF(TRIM(D453)=C453,
   _xlfn.XLOOKUP(C453, Cartera1017[ID Mantenimiento],Cartera1017[Fin Producción]),
IF(TRIM(D453)="Desarrollo",
   _xlfn.XLOOKUP(C453,Cartera1017[ID Mantenimiento],Cartera1017[Fin Desarrollo]),
IF(TRIM(D453)="Calidad",
   _xlfn.XLOOKUP(C453,Cartera1017[ID Mantenimiento],Cartera1017[Fin Calidad]),
IF(TRIM(D453)="Producción",
   _xlfn.XLOOKUP(C453,Cartera1017[ID Mantenimiento],Cartera1017[Fin Producción]),
""))))</f>
        <v>45979</v>
      </c>
    </row>
    <row r="454" spans="1:8" hidden="1" outlineLevel="1">
      <c r="A454" t="str">
        <f ca="1"/>
        <v>Operaciones</v>
      </c>
      <c r="B454" t="str">
        <f ca="1"/>
        <v>08. Producción Finalizada</v>
      </c>
      <c r="C454" t="str">
        <f ca="1"/>
        <v>2025-M0521</v>
      </c>
      <c r="D454" t="str">
        <f ca="1"/>
        <v xml:space="preserve">   Calidad</v>
      </c>
      <c r="E454" s="255">
        <f ca="1"/>
        <v>1</v>
      </c>
      <c r="F454" s="255">
        <f ca="1"/>
        <v>1</v>
      </c>
      <c r="G454" s="356">
        <f ca="1">IF(TRIM(D454)=C454,
   _xlfn.XLOOKUP(C454, Cartera1017[ID Mantenimiento],Cartera1017[Comienzo Desarrollo]),
IF(TRIM(D454)="Desarrollo",
   _xlfn.XLOOKUP(C454,Cartera1017[ID Mantenimiento],Cartera1017[Comienzo Desarrollo]),
IF(TRIM(D454)="Calidad",
   _xlfn.XLOOKUP(C454,Cartera1017[ID Mantenimiento],Cartera1017[Comienzo Calidad]),
IF(TRIM(D454)="Producción",
   _xlfn.XLOOKUP(C454,Cartera1017[ID Mantenimiento],Cartera1017[Comienzo Producción]),
""))))</f>
        <v>46003</v>
      </c>
      <c r="H454" s="160">
        <f ca="1">IF(TRIM(D454)=C454,
   _xlfn.XLOOKUP(C454, Cartera1017[ID Mantenimiento],Cartera1017[Fin Producción]),
IF(TRIM(D454)="Desarrollo",
   _xlfn.XLOOKUP(C454,Cartera1017[ID Mantenimiento],Cartera1017[Fin Desarrollo]),
IF(TRIM(D454)="Calidad",
   _xlfn.XLOOKUP(C454,Cartera1017[ID Mantenimiento],Cartera1017[Fin Calidad]),
IF(TRIM(D454)="Producción",
   _xlfn.XLOOKUP(C454,Cartera1017[ID Mantenimiento],Cartera1017[Fin Producción]),
""))))</f>
        <v>46008</v>
      </c>
    </row>
    <row r="455" spans="1:8" hidden="1" outlineLevel="1">
      <c r="A455" t="str">
        <f ca="1"/>
        <v>Operaciones</v>
      </c>
      <c r="B455" t="str">
        <f ca="1"/>
        <v>08. Producción Finalizada</v>
      </c>
      <c r="C455" t="str">
        <f ca="1"/>
        <v>2025-M0521</v>
      </c>
      <c r="D455" t="str">
        <f ca="1"/>
        <v xml:space="preserve">   Producción</v>
      </c>
      <c r="E455" s="255">
        <f ca="1"/>
        <v>1</v>
      </c>
      <c r="F455" s="255">
        <f ca="1"/>
        <v>1</v>
      </c>
      <c r="G455" s="356">
        <f ca="1">IF(TRIM(D455)=C455,
   _xlfn.XLOOKUP(C455, Cartera1017[ID Mantenimiento],Cartera1017[Comienzo Desarrollo]),
IF(TRIM(D455)="Desarrollo",
   _xlfn.XLOOKUP(C455,Cartera1017[ID Mantenimiento],Cartera1017[Comienzo Desarrollo]),
IF(TRIM(D455)="Calidad",
   _xlfn.XLOOKUP(C455,Cartera1017[ID Mantenimiento],Cartera1017[Comienzo Calidad]),
IF(TRIM(D455)="Producción",
   _xlfn.XLOOKUP(C455,Cartera1017[ID Mantenimiento],Cartera1017[Comienzo Producción]),
""))))</f>
        <v>46036</v>
      </c>
      <c r="H455" s="160">
        <f ca="1">IF(TRIM(D455)=C455,
   _xlfn.XLOOKUP(C455, Cartera1017[ID Mantenimiento],Cartera1017[Fin Producción]),
IF(TRIM(D455)="Desarrollo",
   _xlfn.XLOOKUP(C455,Cartera1017[ID Mantenimiento],Cartera1017[Fin Desarrollo]),
IF(TRIM(D455)="Calidad",
   _xlfn.XLOOKUP(C455,Cartera1017[ID Mantenimiento],Cartera1017[Fin Calidad]),
IF(TRIM(D455)="Producción",
   _xlfn.XLOOKUP(C455,Cartera1017[ID Mantenimiento],Cartera1017[Fin Producción]),
""))))</f>
        <v>46072</v>
      </c>
    </row>
    <row r="456" spans="1:8" hidden="1" collapsed="1">
      <c r="A456" t="str">
        <f ca="1"/>
        <v>Productos e Inclusión Financiera</v>
      </c>
      <c r="B456" t="str">
        <f ca="1"/>
        <v>08. Producción Finalizada</v>
      </c>
      <c r="C456" t="str">
        <f ca="1"/>
        <v>2025-M0494</v>
      </c>
      <c r="D456" t="str">
        <f ca="1"/>
        <v>2025-M0494</v>
      </c>
      <c r="E456" s="255">
        <f ca="1"/>
        <v>1</v>
      </c>
      <c r="F456" s="255">
        <f ca="1"/>
        <v>1</v>
      </c>
      <c r="G456" s="356">
        <f ca="1">IF(TRIM(D456)=C456,
   _xlfn.XLOOKUP(C456, Cartera1017[ID Mantenimiento],Cartera1017[Comienzo Desarrollo]),
IF(TRIM(D456)="Desarrollo",
   _xlfn.XLOOKUP(C456,Cartera1017[ID Mantenimiento],Cartera1017[Comienzo Desarrollo]),
IF(TRIM(D456)="Calidad",
   _xlfn.XLOOKUP(C456,Cartera1017[ID Mantenimiento],Cartera1017[Comienzo Calidad]),
IF(TRIM(D456)="Producción",
   _xlfn.XLOOKUP(C456,Cartera1017[ID Mantenimiento],Cartera1017[Comienzo Producción]),
""))))</f>
        <v>45845</v>
      </c>
      <c r="H456" s="160">
        <f ca="1">IF(TRIM(D456)=C456,
   _xlfn.XLOOKUP(C456, Cartera1017[ID Mantenimiento],Cartera1017[Fin Producción]),
IF(TRIM(D456)="Desarrollo",
   _xlfn.XLOOKUP(C456,Cartera1017[ID Mantenimiento],Cartera1017[Fin Desarrollo]),
IF(TRIM(D456)="Calidad",
   _xlfn.XLOOKUP(C456,Cartera1017[ID Mantenimiento],Cartera1017[Fin Calidad]),
IF(TRIM(D456)="Producción",
   _xlfn.XLOOKUP(C456,Cartera1017[ID Mantenimiento],Cartera1017[Fin Producción]),
""))))</f>
        <v>46139</v>
      </c>
    </row>
    <row r="457" spans="1:8" hidden="1" outlineLevel="1">
      <c r="A457" t="str">
        <f ca="1"/>
        <v>Productos e Inclusión Financiera</v>
      </c>
      <c r="B457" t="str">
        <f ca="1"/>
        <v>08. Producción Finalizada</v>
      </c>
      <c r="C457" t="str">
        <f ca="1"/>
        <v>2025-M0494</v>
      </c>
      <c r="D457" t="str">
        <f ca="1"/>
        <v xml:space="preserve">   Desarrollo</v>
      </c>
      <c r="E457" s="255">
        <f ca="1"/>
        <v>1</v>
      </c>
      <c r="F457" s="255">
        <f ca="1"/>
        <v>1</v>
      </c>
      <c r="G457" s="356">
        <f ca="1">IF(TRIM(D457)=C457,
   _xlfn.XLOOKUP(C457, Cartera1017[ID Mantenimiento],Cartera1017[Comienzo Desarrollo]),
IF(TRIM(D457)="Desarrollo",
   _xlfn.XLOOKUP(C457,Cartera1017[ID Mantenimiento],Cartera1017[Comienzo Desarrollo]),
IF(TRIM(D457)="Calidad",
   _xlfn.XLOOKUP(C457,Cartera1017[ID Mantenimiento],Cartera1017[Comienzo Calidad]),
IF(TRIM(D457)="Producción",
   _xlfn.XLOOKUP(C457,Cartera1017[ID Mantenimiento],Cartera1017[Comienzo Producción]),
""))))</f>
        <v>45845</v>
      </c>
      <c r="H457" s="160">
        <f ca="1">IF(TRIM(D457)=C457,
   _xlfn.XLOOKUP(C457, Cartera1017[ID Mantenimiento],Cartera1017[Fin Producción]),
IF(TRIM(D457)="Desarrollo",
   _xlfn.XLOOKUP(C457,Cartera1017[ID Mantenimiento],Cartera1017[Fin Desarrollo]),
IF(TRIM(D457)="Calidad",
   _xlfn.XLOOKUP(C457,Cartera1017[ID Mantenimiento],Cartera1017[Fin Calidad]),
IF(TRIM(D457)="Producción",
   _xlfn.XLOOKUP(C457,Cartera1017[ID Mantenimiento],Cartera1017[Fin Producción]),
""))))</f>
        <v>45966</v>
      </c>
    </row>
    <row r="458" spans="1:8" hidden="1" outlineLevel="1">
      <c r="A458" t="str">
        <f ca="1"/>
        <v>Productos e Inclusión Financiera</v>
      </c>
      <c r="B458" t="str">
        <f ca="1"/>
        <v>08. Producción Finalizada</v>
      </c>
      <c r="C458" t="str">
        <f ca="1"/>
        <v>2025-M0494</v>
      </c>
      <c r="D458" t="str">
        <f ca="1"/>
        <v xml:space="preserve">   Calidad</v>
      </c>
      <c r="E458" s="255">
        <f ca="1"/>
        <v>1</v>
      </c>
      <c r="F458" s="255">
        <f ca="1"/>
        <v>1</v>
      </c>
      <c r="G458" s="356">
        <f ca="1">IF(TRIM(D458)=C458,
   _xlfn.XLOOKUP(C458, Cartera1017[ID Mantenimiento],Cartera1017[Comienzo Desarrollo]),
IF(TRIM(D458)="Desarrollo",
   _xlfn.XLOOKUP(C458,Cartera1017[ID Mantenimiento],Cartera1017[Comienzo Desarrollo]),
IF(TRIM(D458)="Calidad",
   _xlfn.XLOOKUP(C458,Cartera1017[ID Mantenimiento],Cartera1017[Comienzo Calidad]),
IF(TRIM(D458)="Producción",
   _xlfn.XLOOKUP(C458,Cartera1017[ID Mantenimiento],Cartera1017[Comienzo Producción]),
""))))</f>
        <v>45967</v>
      </c>
      <c r="H458" s="160">
        <f ca="1">IF(TRIM(D458)=C458,
   _xlfn.XLOOKUP(C458, Cartera1017[ID Mantenimiento],Cartera1017[Fin Producción]),
IF(TRIM(D458)="Desarrollo",
   _xlfn.XLOOKUP(C458,Cartera1017[ID Mantenimiento],Cartera1017[Fin Desarrollo]),
IF(TRIM(D458)="Calidad",
   _xlfn.XLOOKUP(C458,Cartera1017[ID Mantenimiento],Cartera1017[Fin Calidad]),
IF(TRIM(D458)="Producción",
   _xlfn.XLOOKUP(C458,Cartera1017[ID Mantenimiento],Cartera1017[Fin Producción]),
""))))</f>
        <v>46097</v>
      </c>
    </row>
    <row r="459" spans="1:8" hidden="1" outlineLevel="1">
      <c r="A459" t="str">
        <f ca="1"/>
        <v>Productos e Inclusión Financiera</v>
      </c>
      <c r="B459" t="str">
        <f ca="1"/>
        <v>08. Producción Finalizada</v>
      </c>
      <c r="C459" t="str">
        <f ca="1"/>
        <v>2025-M0494</v>
      </c>
      <c r="D459" t="str">
        <f ca="1"/>
        <v xml:space="preserve">   Producción</v>
      </c>
      <c r="E459" s="255">
        <f ca="1"/>
        <v>1</v>
      </c>
      <c r="F459" s="255">
        <f ca="1"/>
        <v>1</v>
      </c>
      <c r="G459" s="356">
        <f ca="1">IF(TRIM(D459)=C459,
   _xlfn.XLOOKUP(C459, Cartera1017[ID Mantenimiento],Cartera1017[Comienzo Desarrollo]),
IF(TRIM(D459)="Desarrollo",
   _xlfn.XLOOKUP(C459,Cartera1017[ID Mantenimiento],Cartera1017[Comienzo Desarrollo]),
IF(TRIM(D459)="Calidad",
   _xlfn.XLOOKUP(C459,Cartera1017[ID Mantenimiento],Cartera1017[Comienzo Calidad]),
IF(TRIM(D459)="Producción",
   _xlfn.XLOOKUP(C459,Cartera1017[ID Mantenimiento],Cartera1017[Comienzo Producción]),
""))))</f>
        <v>46098</v>
      </c>
      <c r="H459" s="160">
        <f ca="1">IF(TRIM(D459)=C459,
   _xlfn.XLOOKUP(C459, Cartera1017[ID Mantenimiento],Cartera1017[Fin Producción]),
IF(TRIM(D459)="Desarrollo",
   _xlfn.XLOOKUP(C459,Cartera1017[ID Mantenimiento],Cartera1017[Fin Desarrollo]),
IF(TRIM(D459)="Calidad",
   _xlfn.XLOOKUP(C459,Cartera1017[ID Mantenimiento],Cartera1017[Fin Calidad]),
IF(TRIM(D459)="Producción",
   _xlfn.XLOOKUP(C459,Cartera1017[ID Mantenimiento],Cartera1017[Fin Producción]),
""))))</f>
        <v>46139</v>
      </c>
    </row>
    <row r="460" spans="1:8" hidden="1" collapsed="1">
      <c r="A460" t="str">
        <f ca="1"/>
        <v>Operaciones</v>
      </c>
      <c r="B460" t="str">
        <f ca="1"/>
        <v>07. En Despliegue</v>
      </c>
      <c r="C460" t="str">
        <f ca="1"/>
        <v>2025-M0503</v>
      </c>
      <c r="D460" t="str">
        <f ca="1"/>
        <v>2025-M0503</v>
      </c>
      <c r="E460" s="255">
        <f ca="1"/>
        <v>0.9</v>
      </c>
      <c r="F460" s="255">
        <f ca="1"/>
        <v>1</v>
      </c>
      <c r="G460" s="356">
        <f ca="1">IF(TRIM(D460)=C460,
   _xlfn.XLOOKUP(C460, Cartera1017[ID Mantenimiento],Cartera1017[Comienzo Desarrollo]),
IF(TRIM(D460)="Desarrollo",
   _xlfn.XLOOKUP(C460,Cartera1017[ID Mantenimiento],Cartera1017[Comienzo Desarrollo]),
IF(TRIM(D460)="Calidad",
   _xlfn.XLOOKUP(C460,Cartera1017[ID Mantenimiento],Cartera1017[Comienzo Calidad]),
IF(TRIM(D460)="Producción",
   _xlfn.XLOOKUP(C460,Cartera1017[ID Mantenimiento],Cartera1017[Comienzo Producción]),
""))))</f>
        <v>45848</v>
      </c>
      <c r="H460" s="160">
        <f ca="1">IF(TRIM(D460)=C460,
   _xlfn.XLOOKUP(C460, Cartera1017[ID Mantenimiento],Cartera1017[Fin Producción]),
IF(TRIM(D460)="Desarrollo",
   _xlfn.XLOOKUP(C460,Cartera1017[ID Mantenimiento],Cartera1017[Fin Desarrollo]),
IF(TRIM(D460)="Calidad",
   _xlfn.XLOOKUP(C460,Cartera1017[ID Mantenimiento],Cartera1017[Fin Calidad]),
IF(TRIM(D460)="Producción",
   _xlfn.XLOOKUP(C460,Cartera1017[ID Mantenimiento],Cartera1017[Fin Producción]),
""))))</f>
        <v>46108</v>
      </c>
    </row>
    <row r="461" spans="1:8" hidden="1" outlineLevel="1">
      <c r="A461" t="str">
        <f ca="1"/>
        <v>Operaciones</v>
      </c>
      <c r="B461" t="str">
        <f ca="1"/>
        <v>07. En Despliegue</v>
      </c>
      <c r="C461" t="str">
        <f ca="1"/>
        <v>2025-M0503</v>
      </c>
      <c r="D461" t="str">
        <f ca="1"/>
        <v xml:space="preserve">   Desarrollo</v>
      </c>
      <c r="E461" s="255">
        <f ca="1"/>
        <v>0.9</v>
      </c>
      <c r="F461" s="255">
        <f ca="1"/>
        <v>1</v>
      </c>
      <c r="G461" s="356">
        <f ca="1">IF(TRIM(D461)=C461,
   _xlfn.XLOOKUP(C461, Cartera1017[ID Mantenimiento],Cartera1017[Comienzo Desarrollo]),
IF(TRIM(D461)="Desarrollo",
   _xlfn.XLOOKUP(C461,Cartera1017[ID Mantenimiento],Cartera1017[Comienzo Desarrollo]),
IF(TRIM(D461)="Calidad",
   _xlfn.XLOOKUP(C461,Cartera1017[ID Mantenimiento],Cartera1017[Comienzo Calidad]),
IF(TRIM(D461)="Producción",
   _xlfn.XLOOKUP(C461,Cartera1017[ID Mantenimiento],Cartera1017[Comienzo Producción]),
""))))</f>
        <v>45848</v>
      </c>
      <c r="H461" s="160">
        <f ca="1">IF(TRIM(D461)=C461,
   _xlfn.XLOOKUP(C461, Cartera1017[ID Mantenimiento],Cartera1017[Fin Producción]),
IF(TRIM(D461)="Desarrollo",
   _xlfn.XLOOKUP(C461,Cartera1017[ID Mantenimiento],Cartera1017[Fin Desarrollo]),
IF(TRIM(D461)="Calidad",
   _xlfn.XLOOKUP(C461,Cartera1017[ID Mantenimiento],Cartera1017[Fin Calidad]),
IF(TRIM(D461)="Producción",
   _xlfn.XLOOKUP(C461,Cartera1017[ID Mantenimiento],Cartera1017[Fin Producción]),
""))))</f>
        <v>45936</v>
      </c>
    </row>
    <row r="462" spans="1:8" hidden="1" outlineLevel="1">
      <c r="A462" t="str">
        <f ca="1"/>
        <v>Operaciones</v>
      </c>
      <c r="B462" t="str">
        <f ca="1"/>
        <v>07. En Despliegue</v>
      </c>
      <c r="C462" t="str">
        <f ca="1"/>
        <v>2025-M0503</v>
      </c>
      <c r="D462" t="str">
        <f ca="1"/>
        <v xml:space="preserve">   Calidad</v>
      </c>
      <c r="E462" s="255">
        <f ca="1"/>
        <v>0.9</v>
      </c>
      <c r="F462" s="255">
        <f ca="1"/>
        <v>1</v>
      </c>
      <c r="G462" s="356">
        <f ca="1">IF(TRIM(D462)=C462,
   _xlfn.XLOOKUP(C462, Cartera1017[ID Mantenimiento],Cartera1017[Comienzo Desarrollo]),
IF(TRIM(D462)="Desarrollo",
   _xlfn.XLOOKUP(C462,Cartera1017[ID Mantenimiento],Cartera1017[Comienzo Desarrollo]),
IF(TRIM(D462)="Calidad",
   _xlfn.XLOOKUP(C462,Cartera1017[ID Mantenimiento],Cartera1017[Comienzo Calidad]),
IF(TRIM(D462)="Producción",
   _xlfn.XLOOKUP(C462,Cartera1017[ID Mantenimiento],Cartera1017[Comienzo Producción]),
""))))</f>
        <v>45941</v>
      </c>
      <c r="H462" s="160">
        <f ca="1">IF(TRIM(D462)=C462,
   _xlfn.XLOOKUP(C462, Cartera1017[ID Mantenimiento],Cartera1017[Fin Producción]),
IF(TRIM(D462)="Desarrollo",
   _xlfn.XLOOKUP(C462,Cartera1017[ID Mantenimiento],Cartera1017[Fin Desarrollo]),
IF(TRIM(D462)="Calidad",
   _xlfn.XLOOKUP(C462,Cartera1017[ID Mantenimiento],Cartera1017[Fin Calidad]),
IF(TRIM(D462)="Producción",
   _xlfn.XLOOKUP(C462,Cartera1017[ID Mantenimiento],Cartera1017[Fin Producción]),
""))))</f>
        <v>46045</v>
      </c>
    </row>
    <row r="463" spans="1:8" hidden="1" outlineLevel="1">
      <c r="A463" t="str">
        <f ca="1"/>
        <v>Operaciones</v>
      </c>
      <c r="B463" t="str">
        <f ca="1"/>
        <v>07. En Despliegue</v>
      </c>
      <c r="C463" t="str">
        <f ca="1"/>
        <v>2025-M0503</v>
      </c>
      <c r="D463" t="str">
        <f ca="1"/>
        <v xml:space="preserve">   Producción</v>
      </c>
      <c r="E463" s="255">
        <f ca="1"/>
        <v>0.9</v>
      </c>
      <c r="F463" s="255">
        <f ca="1"/>
        <v>1</v>
      </c>
      <c r="G463" s="356">
        <f ca="1">IF(TRIM(D463)=C463,
   _xlfn.XLOOKUP(C463, Cartera1017[ID Mantenimiento],Cartera1017[Comienzo Desarrollo]),
IF(TRIM(D463)="Desarrollo",
   _xlfn.XLOOKUP(C463,Cartera1017[ID Mantenimiento],Cartera1017[Comienzo Desarrollo]),
IF(TRIM(D463)="Calidad",
   _xlfn.XLOOKUP(C463,Cartera1017[ID Mantenimiento],Cartera1017[Comienzo Calidad]),
IF(TRIM(D463)="Producción",
   _xlfn.XLOOKUP(C463,Cartera1017[ID Mantenimiento],Cartera1017[Comienzo Producción]),
""))))</f>
        <v>46072</v>
      </c>
      <c r="H463" s="160">
        <f ca="1">IF(TRIM(D463)=C463,
   _xlfn.XLOOKUP(C463, Cartera1017[ID Mantenimiento],Cartera1017[Fin Producción]),
IF(TRIM(D463)="Desarrollo",
   _xlfn.XLOOKUP(C463,Cartera1017[ID Mantenimiento],Cartera1017[Fin Desarrollo]),
IF(TRIM(D463)="Calidad",
   _xlfn.XLOOKUP(C463,Cartera1017[ID Mantenimiento],Cartera1017[Fin Calidad]),
IF(TRIM(D463)="Producción",
   _xlfn.XLOOKUP(C463,Cartera1017[ID Mantenimiento],Cartera1017[Fin Producción]),
""))))</f>
        <v>46108</v>
      </c>
    </row>
    <row r="464" spans="1:8" hidden="1" collapsed="1">
      <c r="A464" t="str">
        <f ca="1"/>
        <v>Operaciones</v>
      </c>
      <c r="B464" t="str">
        <f ca="1"/>
        <v>03. En Desarrollo</v>
      </c>
      <c r="C464" t="str">
        <f ca="1"/>
        <v>2025-M0502</v>
      </c>
      <c r="D464" t="str">
        <f ca="1"/>
        <v>2025-M0502</v>
      </c>
      <c r="E464" s="255">
        <f ca="1"/>
        <v>0.45</v>
      </c>
      <c r="F464" s="255">
        <f ca="1"/>
        <v>0</v>
      </c>
      <c r="G464" s="356">
        <f ca="1">IF(TRIM(D464)=C464,
   _xlfn.XLOOKUP(C464, Cartera1017[ID Mantenimiento],Cartera1017[Comienzo Desarrollo]),
IF(TRIM(D464)="Desarrollo",
   _xlfn.XLOOKUP(C464,Cartera1017[ID Mantenimiento],Cartera1017[Comienzo Desarrollo]),
IF(TRIM(D464)="Calidad",
   _xlfn.XLOOKUP(C464,Cartera1017[ID Mantenimiento],Cartera1017[Comienzo Calidad]),
IF(TRIM(D464)="Producción",
   _xlfn.XLOOKUP(C464,Cartera1017[ID Mantenimiento],Cartera1017[Comienzo Producción]),
""))))</f>
        <v>46266</v>
      </c>
      <c r="H464" s="160">
        <f ca="1">IF(TRIM(D464)=C464,
   _xlfn.XLOOKUP(C464, Cartera1017[ID Mantenimiento],Cartera1017[Fin Producción]),
IF(TRIM(D464)="Desarrollo",
   _xlfn.XLOOKUP(C464,Cartera1017[ID Mantenimiento],Cartera1017[Fin Desarrollo]),
IF(TRIM(D464)="Calidad",
   _xlfn.XLOOKUP(C464,Cartera1017[ID Mantenimiento],Cartera1017[Fin Calidad]),
IF(TRIM(D464)="Producción",
   _xlfn.XLOOKUP(C464,Cartera1017[ID Mantenimiento],Cartera1017[Fin Producción]),
""))))</f>
        <v>46395</v>
      </c>
    </row>
    <row r="465" spans="1:8" hidden="1" outlineLevel="1">
      <c r="A465" t="str">
        <f ca="1"/>
        <v>Operaciones</v>
      </c>
      <c r="B465" t="str">
        <f ca="1"/>
        <v>03. En Desarrollo</v>
      </c>
      <c r="C465" t="str">
        <f ca="1"/>
        <v>2025-M0502</v>
      </c>
      <c r="D465" t="str">
        <f ca="1"/>
        <v xml:space="preserve">   Desarrollo</v>
      </c>
      <c r="E465" s="255">
        <f ca="1"/>
        <v>0.45</v>
      </c>
      <c r="F465" s="255">
        <f ca="1"/>
        <v>0</v>
      </c>
      <c r="G465" s="356">
        <f ca="1">IF(TRIM(D465)=C465,
   _xlfn.XLOOKUP(C465, Cartera1017[ID Mantenimiento],Cartera1017[Comienzo Desarrollo]),
IF(TRIM(D465)="Desarrollo",
   _xlfn.XLOOKUP(C465,Cartera1017[ID Mantenimiento],Cartera1017[Comienzo Desarrollo]),
IF(TRIM(D465)="Calidad",
   _xlfn.XLOOKUP(C465,Cartera1017[ID Mantenimiento],Cartera1017[Comienzo Calidad]),
IF(TRIM(D465)="Producción",
   _xlfn.XLOOKUP(C465,Cartera1017[ID Mantenimiento],Cartera1017[Comienzo Producción]),
""))))</f>
        <v>46266</v>
      </c>
      <c r="H465" s="160">
        <f ca="1">IF(TRIM(D465)=C465,
   _xlfn.XLOOKUP(C465, Cartera1017[ID Mantenimiento],Cartera1017[Fin Producción]),
IF(TRIM(D465)="Desarrollo",
   _xlfn.XLOOKUP(C465,Cartera1017[ID Mantenimiento],Cartera1017[Fin Desarrollo]),
IF(TRIM(D465)="Calidad",
   _xlfn.XLOOKUP(C465,Cartera1017[ID Mantenimiento],Cartera1017[Fin Calidad]),
IF(TRIM(D465)="Producción",
   _xlfn.XLOOKUP(C465,Cartera1017[ID Mantenimiento],Cartera1017[Fin Producción]),
""))))</f>
        <v>46339</v>
      </c>
    </row>
    <row r="466" spans="1:8" hidden="1" outlineLevel="1">
      <c r="A466" t="str">
        <f ca="1"/>
        <v>Operaciones</v>
      </c>
      <c r="B466" t="str">
        <f ca="1"/>
        <v>03. En Desarrollo</v>
      </c>
      <c r="C466" t="str">
        <f ca="1"/>
        <v>2025-M0502</v>
      </c>
      <c r="D466" t="str">
        <f ca="1"/>
        <v xml:space="preserve">   Calidad</v>
      </c>
      <c r="E466" s="255">
        <f ca="1"/>
        <v>0.45</v>
      </c>
      <c r="F466" s="255">
        <f ca="1"/>
        <v>0</v>
      </c>
      <c r="G466" s="356">
        <f ca="1">IF(TRIM(D466)=C466,
   _xlfn.XLOOKUP(C466, Cartera1017[ID Mantenimiento],Cartera1017[Comienzo Desarrollo]),
IF(TRIM(D466)="Desarrollo",
   _xlfn.XLOOKUP(C466,Cartera1017[ID Mantenimiento],Cartera1017[Comienzo Desarrollo]),
IF(TRIM(D466)="Calidad",
   _xlfn.XLOOKUP(C466,Cartera1017[ID Mantenimiento],Cartera1017[Comienzo Calidad]),
IF(TRIM(D466)="Producción",
   _xlfn.XLOOKUP(C466,Cartera1017[ID Mantenimiento],Cartera1017[Comienzo Producción]),
""))))</f>
        <v>46342</v>
      </c>
      <c r="H466" s="160">
        <f ca="1">IF(TRIM(D466)=C466,
   _xlfn.XLOOKUP(C466, Cartera1017[ID Mantenimiento],Cartera1017[Fin Producción]),
IF(TRIM(D466)="Desarrollo",
   _xlfn.XLOOKUP(C466,Cartera1017[ID Mantenimiento],Cartera1017[Fin Desarrollo]),
IF(TRIM(D466)="Calidad",
   _xlfn.XLOOKUP(C466,Cartera1017[ID Mantenimiento],Cartera1017[Fin Calidad]),
IF(TRIM(D466)="Producción",
   _xlfn.XLOOKUP(C466,Cartera1017[ID Mantenimiento],Cartera1017[Fin Producción]),
""))))</f>
        <v>46387</v>
      </c>
    </row>
    <row r="467" spans="1:8" hidden="1" outlineLevel="1">
      <c r="A467" t="str">
        <f ca="1"/>
        <v>Operaciones</v>
      </c>
      <c r="B467" t="str">
        <f ca="1"/>
        <v>03. En Desarrollo</v>
      </c>
      <c r="C467" t="str">
        <f ca="1"/>
        <v>2025-M0502</v>
      </c>
      <c r="D467" t="str">
        <f ca="1"/>
        <v xml:space="preserve">   Producción</v>
      </c>
      <c r="E467" s="255">
        <f ca="1"/>
        <v>0.45</v>
      </c>
      <c r="F467" s="255">
        <f ca="1"/>
        <v>0</v>
      </c>
      <c r="G467" s="356">
        <f ca="1">IF(TRIM(D467)=C467,
   _xlfn.XLOOKUP(C467, Cartera1017[ID Mantenimiento],Cartera1017[Comienzo Desarrollo]),
IF(TRIM(D467)="Desarrollo",
   _xlfn.XLOOKUP(C467,Cartera1017[ID Mantenimiento],Cartera1017[Comienzo Desarrollo]),
IF(TRIM(D467)="Calidad",
   _xlfn.XLOOKUP(C467,Cartera1017[ID Mantenimiento],Cartera1017[Comienzo Calidad]),
IF(TRIM(D467)="Producción",
   _xlfn.XLOOKUP(C467,Cartera1017[ID Mantenimiento],Cartera1017[Comienzo Producción]),
""))))</f>
        <v>46391</v>
      </c>
      <c r="H467" s="160">
        <f ca="1">IF(TRIM(D467)=C467,
   _xlfn.XLOOKUP(C467, Cartera1017[ID Mantenimiento],Cartera1017[Fin Producción]),
IF(TRIM(D467)="Desarrollo",
   _xlfn.XLOOKUP(C467,Cartera1017[ID Mantenimiento],Cartera1017[Fin Desarrollo]),
IF(TRIM(D467)="Calidad",
   _xlfn.XLOOKUP(C467,Cartera1017[ID Mantenimiento],Cartera1017[Fin Calidad]),
IF(TRIM(D467)="Producción",
   _xlfn.XLOOKUP(C467,Cartera1017[ID Mantenimiento],Cartera1017[Fin Producción]),
""))))</f>
        <v>46395</v>
      </c>
    </row>
    <row r="468" spans="1:8" hidden="1" collapsed="1">
      <c r="A468" t="str">
        <f ca="1"/>
        <v>Productos e Inclusión Financiera</v>
      </c>
      <c r="B468" t="str">
        <f ca="1"/>
        <v>10. Paralizado</v>
      </c>
      <c r="C468" t="str">
        <f ca="1"/>
        <v>2025-M0511</v>
      </c>
      <c r="D468" t="str">
        <f ca="1"/>
        <v>2025-M0511</v>
      </c>
      <c r="E468" s="255">
        <f ca="1"/>
        <v>0.12</v>
      </c>
      <c r="F468" s="255" t="str">
        <f ca="1"/>
        <v/>
      </c>
      <c r="G468" s="356">
        <f ca="1">IF(TRIM(D468)=C468,
   _xlfn.XLOOKUP(C468, Cartera1017[ID Mantenimiento],Cartera1017[Comienzo Desarrollo]),
IF(TRIM(D468)="Desarrollo",
   _xlfn.XLOOKUP(C468,Cartera1017[ID Mantenimiento],Cartera1017[Comienzo Desarrollo]),
IF(TRIM(D468)="Calidad",
   _xlfn.XLOOKUP(C468,Cartera1017[ID Mantenimiento],Cartera1017[Comienzo Calidad]),
IF(TRIM(D468)="Producción",
   _xlfn.XLOOKUP(C468,Cartera1017[ID Mantenimiento],Cartera1017[Comienzo Producción]),
""))))</f>
        <v>0</v>
      </c>
      <c r="H468" s="160">
        <f ca="1">IF(TRIM(D468)=C468,
   _xlfn.XLOOKUP(C468, Cartera1017[ID Mantenimiento],Cartera1017[Fin Producción]),
IF(TRIM(D468)="Desarrollo",
   _xlfn.XLOOKUP(C468,Cartera1017[ID Mantenimiento],Cartera1017[Fin Desarrollo]),
IF(TRIM(D468)="Calidad",
   _xlfn.XLOOKUP(C468,Cartera1017[ID Mantenimiento],Cartera1017[Fin Calidad]),
IF(TRIM(D468)="Producción",
   _xlfn.XLOOKUP(C468,Cartera1017[ID Mantenimiento],Cartera1017[Fin Producción]),
""))))</f>
        <v>46356</v>
      </c>
    </row>
    <row r="469" spans="1:8" hidden="1" outlineLevel="1">
      <c r="A469" t="str">
        <f ca="1"/>
        <v>Productos e Inclusión Financiera</v>
      </c>
      <c r="B469" t="str">
        <f ca="1"/>
        <v>10. Paralizado</v>
      </c>
      <c r="C469" t="str">
        <f ca="1"/>
        <v>2025-M0511</v>
      </c>
      <c r="D469" t="str">
        <f ca="1"/>
        <v xml:space="preserve">   Desarrollo</v>
      </c>
      <c r="E469" s="255">
        <f ca="1"/>
        <v>0.12</v>
      </c>
      <c r="F469" s="255" t="str">
        <f ca="1"/>
        <v/>
      </c>
      <c r="G469" s="356">
        <f ca="1">IF(TRIM(D469)=C469,
   _xlfn.XLOOKUP(C469, Cartera1017[ID Mantenimiento],Cartera1017[Comienzo Desarrollo]),
IF(TRIM(D469)="Desarrollo",
   _xlfn.XLOOKUP(C469,Cartera1017[ID Mantenimiento],Cartera1017[Comienzo Desarrollo]),
IF(TRIM(D469)="Calidad",
   _xlfn.XLOOKUP(C469,Cartera1017[ID Mantenimiento],Cartera1017[Comienzo Calidad]),
IF(TRIM(D469)="Producción",
   _xlfn.XLOOKUP(C469,Cartera1017[ID Mantenimiento],Cartera1017[Comienzo Producción]),
""))))</f>
        <v>0</v>
      </c>
      <c r="H469" s="160">
        <f ca="1">IF(TRIM(D469)=C469,
   _xlfn.XLOOKUP(C469, Cartera1017[ID Mantenimiento],Cartera1017[Fin Producción]),
IF(TRIM(D469)="Desarrollo",
   _xlfn.XLOOKUP(C469,Cartera1017[ID Mantenimiento],Cartera1017[Fin Desarrollo]),
IF(TRIM(D469)="Calidad",
   _xlfn.XLOOKUP(C469,Cartera1017[ID Mantenimiento],Cartera1017[Fin Calidad]),
IF(TRIM(D469)="Producción",
   _xlfn.XLOOKUP(C469,Cartera1017[ID Mantenimiento],Cartera1017[Fin Producción]),
""))))</f>
        <v>0</v>
      </c>
    </row>
    <row r="470" spans="1:8" hidden="1" outlineLevel="1">
      <c r="A470" t="str">
        <f ca="1"/>
        <v>Productos e Inclusión Financiera</v>
      </c>
      <c r="B470" t="str">
        <f ca="1"/>
        <v>10. Paralizado</v>
      </c>
      <c r="C470" t="str">
        <f ca="1"/>
        <v>2025-M0511</v>
      </c>
      <c r="D470" t="str">
        <f ca="1"/>
        <v xml:space="preserve">   Calidad</v>
      </c>
      <c r="E470" s="255">
        <f ca="1"/>
        <v>0.12</v>
      </c>
      <c r="F470" s="255" t="str">
        <f ca="1"/>
        <v/>
      </c>
      <c r="G470" s="356">
        <f ca="1">IF(TRIM(D470)=C470,
   _xlfn.XLOOKUP(C470, Cartera1017[ID Mantenimiento],Cartera1017[Comienzo Desarrollo]),
IF(TRIM(D470)="Desarrollo",
   _xlfn.XLOOKUP(C470,Cartera1017[ID Mantenimiento],Cartera1017[Comienzo Desarrollo]),
IF(TRIM(D470)="Calidad",
   _xlfn.XLOOKUP(C470,Cartera1017[ID Mantenimiento],Cartera1017[Comienzo Calidad]),
IF(TRIM(D470)="Producción",
   _xlfn.XLOOKUP(C470,Cartera1017[ID Mantenimiento],Cartera1017[Comienzo Producción]),
""))))</f>
        <v>0</v>
      </c>
      <c r="H470" s="160">
        <f ca="1">IF(TRIM(D470)=C470,
   _xlfn.XLOOKUP(C470, Cartera1017[ID Mantenimiento],Cartera1017[Fin Producción]),
IF(TRIM(D470)="Desarrollo",
   _xlfn.XLOOKUP(C470,Cartera1017[ID Mantenimiento],Cartera1017[Fin Desarrollo]),
IF(TRIM(D470)="Calidad",
   _xlfn.XLOOKUP(C470,Cartera1017[ID Mantenimiento],Cartera1017[Fin Calidad]),
IF(TRIM(D470)="Producción",
   _xlfn.XLOOKUP(C470,Cartera1017[ID Mantenimiento],Cartera1017[Fin Producción]),
""))))</f>
        <v>0</v>
      </c>
    </row>
    <row r="471" spans="1:8" hidden="1" outlineLevel="1">
      <c r="A471" t="str">
        <f ca="1"/>
        <v>Productos e Inclusión Financiera</v>
      </c>
      <c r="B471" t="str">
        <f ca="1"/>
        <v>10. Paralizado</v>
      </c>
      <c r="C471" t="str">
        <f ca="1"/>
        <v>2025-M0511</v>
      </c>
      <c r="D471" t="str">
        <f ca="1"/>
        <v xml:space="preserve">   Producción</v>
      </c>
      <c r="E471" s="255">
        <f ca="1"/>
        <v>0.12</v>
      </c>
      <c r="F471" s="255" t="str">
        <f ca="1"/>
        <v/>
      </c>
      <c r="G471" s="356">
        <f ca="1">IF(TRIM(D471)=C471,
   _xlfn.XLOOKUP(C471, Cartera1017[ID Mantenimiento],Cartera1017[Comienzo Desarrollo]),
IF(TRIM(D471)="Desarrollo",
   _xlfn.XLOOKUP(C471,Cartera1017[ID Mantenimiento],Cartera1017[Comienzo Desarrollo]),
IF(TRIM(D471)="Calidad",
   _xlfn.XLOOKUP(C471,Cartera1017[ID Mantenimiento],Cartera1017[Comienzo Calidad]),
IF(TRIM(D471)="Producción",
   _xlfn.XLOOKUP(C471,Cartera1017[ID Mantenimiento],Cartera1017[Comienzo Producción]),
""))))</f>
        <v>0</v>
      </c>
      <c r="H471" s="160">
        <f ca="1">IF(TRIM(D471)=C471,
   _xlfn.XLOOKUP(C471, Cartera1017[ID Mantenimiento],Cartera1017[Fin Producción]),
IF(TRIM(D471)="Desarrollo",
   _xlfn.XLOOKUP(C471,Cartera1017[ID Mantenimiento],Cartera1017[Fin Desarrollo]),
IF(TRIM(D471)="Calidad",
   _xlfn.XLOOKUP(C471,Cartera1017[ID Mantenimiento],Cartera1017[Fin Calidad]),
IF(TRIM(D471)="Producción",
   _xlfn.XLOOKUP(C471,Cartera1017[ID Mantenimiento],Cartera1017[Fin Producción]),
""))))</f>
        <v>46356</v>
      </c>
    </row>
    <row r="472" spans="1:8" hidden="1" collapsed="1">
      <c r="A472" t="str">
        <f ca="1"/>
        <v>Operaciones</v>
      </c>
      <c r="B472" t="str">
        <f ca="1"/>
        <v>08. Producción Finalizada</v>
      </c>
      <c r="C472" t="str">
        <f ca="1"/>
        <v>2025-M0638</v>
      </c>
      <c r="D472" t="str">
        <f ca="1"/>
        <v>2025-M0638</v>
      </c>
      <c r="E472" s="255">
        <f ca="1"/>
        <v>1</v>
      </c>
      <c r="F472" s="255">
        <f ca="1"/>
        <v>1</v>
      </c>
      <c r="G472" s="356">
        <f ca="1">IF(TRIM(D472)=C472,
   _xlfn.XLOOKUP(C472, Cartera1017[ID Mantenimiento],Cartera1017[Comienzo Desarrollo]),
IF(TRIM(D472)="Desarrollo",
   _xlfn.XLOOKUP(C472,Cartera1017[ID Mantenimiento],Cartera1017[Comienzo Desarrollo]),
IF(TRIM(D472)="Calidad",
   _xlfn.XLOOKUP(C472,Cartera1017[ID Mantenimiento],Cartera1017[Comienzo Calidad]),
IF(TRIM(D472)="Producción",
   _xlfn.XLOOKUP(C472,Cartera1017[ID Mantenimiento],Cartera1017[Comienzo Producción]),
""))))</f>
        <v>45922</v>
      </c>
      <c r="H472" s="160">
        <f ca="1">IF(TRIM(D472)=C472,
   _xlfn.XLOOKUP(C472, Cartera1017[ID Mantenimiento],Cartera1017[Fin Producción]),
IF(TRIM(D472)="Desarrollo",
   _xlfn.XLOOKUP(C472,Cartera1017[ID Mantenimiento],Cartera1017[Fin Desarrollo]),
IF(TRIM(D472)="Calidad",
   _xlfn.XLOOKUP(C472,Cartera1017[ID Mantenimiento],Cartera1017[Fin Calidad]),
IF(TRIM(D472)="Producción",
   _xlfn.XLOOKUP(C472,Cartera1017[ID Mantenimiento],Cartera1017[Fin Producción]),
""))))</f>
        <v>46136</v>
      </c>
    </row>
    <row r="473" spans="1:8" hidden="1" outlineLevel="1">
      <c r="A473" t="str">
        <f ca="1"/>
        <v>Operaciones</v>
      </c>
      <c r="B473" t="str">
        <f ca="1"/>
        <v>08. Producción Finalizada</v>
      </c>
      <c r="C473" t="str">
        <f ca="1"/>
        <v>2025-M0638</v>
      </c>
      <c r="D473" t="str">
        <f ca="1"/>
        <v xml:space="preserve">   Desarrollo</v>
      </c>
      <c r="E473" s="255">
        <f ca="1"/>
        <v>1</v>
      </c>
      <c r="F473" s="255">
        <f ca="1"/>
        <v>1</v>
      </c>
      <c r="G473" s="356">
        <f ca="1">IF(TRIM(D473)=C473,
   _xlfn.XLOOKUP(C473, Cartera1017[ID Mantenimiento],Cartera1017[Comienzo Desarrollo]),
IF(TRIM(D473)="Desarrollo",
   _xlfn.XLOOKUP(C473,Cartera1017[ID Mantenimiento],Cartera1017[Comienzo Desarrollo]),
IF(TRIM(D473)="Calidad",
   _xlfn.XLOOKUP(C473,Cartera1017[ID Mantenimiento],Cartera1017[Comienzo Calidad]),
IF(TRIM(D473)="Producción",
   _xlfn.XLOOKUP(C473,Cartera1017[ID Mantenimiento],Cartera1017[Comienzo Producción]),
""))))</f>
        <v>45922</v>
      </c>
      <c r="H473" s="160">
        <f ca="1">IF(TRIM(D473)=C473,
   _xlfn.XLOOKUP(C473, Cartera1017[ID Mantenimiento],Cartera1017[Fin Producción]),
IF(TRIM(D473)="Desarrollo",
   _xlfn.XLOOKUP(C473,Cartera1017[ID Mantenimiento],Cartera1017[Fin Desarrollo]),
IF(TRIM(D473)="Calidad",
   _xlfn.XLOOKUP(C473,Cartera1017[ID Mantenimiento],Cartera1017[Fin Calidad]),
IF(TRIM(D473)="Producción",
   _xlfn.XLOOKUP(C473,Cartera1017[ID Mantenimiento],Cartera1017[Fin Producción]),
""))))</f>
        <v>45979</v>
      </c>
    </row>
    <row r="474" spans="1:8" hidden="1" outlineLevel="1">
      <c r="A474" t="str">
        <f ca="1"/>
        <v>Operaciones</v>
      </c>
      <c r="B474" t="str">
        <f ca="1"/>
        <v>08. Producción Finalizada</v>
      </c>
      <c r="C474" t="str">
        <f ca="1"/>
        <v>2025-M0638</v>
      </c>
      <c r="D474" t="str">
        <f ca="1"/>
        <v xml:space="preserve">   Calidad</v>
      </c>
      <c r="E474" s="255">
        <f ca="1"/>
        <v>1</v>
      </c>
      <c r="F474" s="255">
        <f ca="1"/>
        <v>1</v>
      </c>
      <c r="G474" s="356">
        <f ca="1">IF(TRIM(D474)=C474,
   _xlfn.XLOOKUP(C474, Cartera1017[ID Mantenimiento],Cartera1017[Comienzo Desarrollo]),
IF(TRIM(D474)="Desarrollo",
   _xlfn.XLOOKUP(C474,Cartera1017[ID Mantenimiento],Cartera1017[Comienzo Desarrollo]),
IF(TRIM(D474)="Calidad",
   _xlfn.XLOOKUP(C474,Cartera1017[ID Mantenimiento],Cartera1017[Comienzo Calidad]),
IF(TRIM(D474)="Producción",
   _xlfn.XLOOKUP(C474,Cartera1017[ID Mantenimiento],Cartera1017[Comienzo Producción]),
""))))</f>
        <v>46083</v>
      </c>
      <c r="H474" s="160">
        <f ca="1">IF(TRIM(D474)=C474,
   _xlfn.XLOOKUP(C474, Cartera1017[ID Mantenimiento],Cartera1017[Fin Producción]),
IF(TRIM(D474)="Desarrollo",
   _xlfn.XLOOKUP(C474,Cartera1017[ID Mantenimiento],Cartera1017[Fin Desarrollo]),
IF(TRIM(D474)="Calidad",
   _xlfn.XLOOKUP(C474,Cartera1017[ID Mantenimiento],Cartera1017[Fin Calidad]),
IF(TRIM(D474)="Producción",
   _xlfn.XLOOKUP(C474,Cartera1017[ID Mantenimiento],Cartera1017[Fin Producción]),
""))))</f>
        <v>46094</v>
      </c>
    </row>
    <row r="475" spans="1:8" hidden="1" outlineLevel="1">
      <c r="A475" t="str">
        <f ca="1"/>
        <v>Operaciones</v>
      </c>
      <c r="B475" t="str">
        <f ca="1"/>
        <v>08. Producción Finalizada</v>
      </c>
      <c r="C475" t="str">
        <f ca="1"/>
        <v>2025-M0638</v>
      </c>
      <c r="D475" t="str">
        <f ca="1"/>
        <v xml:space="preserve">   Producción</v>
      </c>
      <c r="E475" s="255">
        <f ca="1"/>
        <v>1</v>
      </c>
      <c r="F475" s="255">
        <f ca="1"/>
        <v>1</v>
      </c>
      <c r="G475" s="356">
        <f ca="1">IF(TRIM(D475)=C475,
   _xlfn.XLOOKUP(C475, Cartera1017[ID Mantenimiento],Cartera1017[Comienzo Desarrollo]),
IF(TRIM(D475)="Desarrollo",
   _xlfn.XLOOKUP(C475,Cartera1017[ID Mantenimiento],Cartera1017[Comienzo Desarrollo]),
IF(TRIM(D475)="Calidad",
   _xlfn.XLOOKUP(C475,Cartera1017[ID Mantenimiento],Cartera1017[Comienzo Calidad]),
IF(TRIM(D475)="Producción",
   _xlfn.XLOOKUP(C475,Cartera1017[ID Mantenimiento],Cartera1017[Comienzo Producción]),
""))))</f>
        <v>46132</v>
      </c>
      <c r="H475" s="160">
        <f ca="1">IF(TRIM(D475)=C475,
   _xlfn.XLOOKUP(C475, Cartera1017[ID Mantenimiento],Cartera1017[Fin Producción]),
IF(TRIM(D475)="Desarrollo",
   _xlfn.XLOOKUP(C475,Cartera1017[ID Mantenimiento],Cartera1017[Fin Desarrollo]),
IF(TRIM(D475)="Calidad",
   _xlfn.XLOOKUP(C475,Cartera1017[ID Mantenimiento],Cartera1017[Fin Calidad]),
IF(TRIM(D475)="Producción",
   _xlfn.XLOOKUP(C475,Cartera1017[ID Mantenimiento],Cartera1017[Fin Producción]),
""))))</f>
        <v>46136</v>
      </c>
    </row>
    <row r="476" spans="1:8" hidden="1" collapsed="1">
      <c r="A476" t="str">
        <f ca="1"/>
        <v>Tecnologías de Información</v>
      </c>
      <c r="B476" t="str">
        <f ca="1"/>
        <v>03. En Desarrollo</v>
      </c>
      <c r="C476" t="str">
        <f ca="1"/>
        <v>2025-M0483</v>
      </c>
      <c r="D476" t="str">
        <f ca="1"/>
        <v>2025-M0483</v>
      </c>
      <c r="E476" s="255">
        <f ca="1"/>
        <v>0.25</v>
      </c>
      <c r="F476" s="255">
        <f ca="1"/>
        <v>1</v>
      </c>
      <c r="G476" s="356">
        <f ca="1">IF(TRIM(D476)=C476,
   _xlfn.XLOOKUP(C476, Cartera1017[ID Mantenimiento],Cartera1017[Comienzo Desarrollo]),
IF(TRIM(D476)="Desarrollo",
   _xlfn.XLOOKUP(C476,Cartera1017[ID Mantenimiento],Cartera1017[Comienzo Desarrollo]),
IF(TRIM(D476)="Calidad",
   _xlfn.XLOOKUP(C476,Cartera1017[ID Mantenimiento],Cartera1017[Comienzo Calidad]),
IF(TRIM(D476)="Producción",
   _xlfn.XLOOKUP(C476,Cartera1017[ID Mantenimiento],Cartera1017[Comienzo Producción]),
""))))</f>
        <v>46083</v>
      </c>
      <c r="H476" s="160">
        <f ca="1">IF(TRIM(D476)=C476,
   _xlfn.XLOOKUP(C476, Cartera1017[ID Mantenimiento],Cartera1017[Fin Producción]),
IF(TRIM(D476)="Desarrollo",
   _xlfn.XLOOKUP(C476,Cartera1017[ID Mantenimiento],Cartera1017[Fin Desarrollo]),
IF(TRIM(D476)="Calidad",
   _xlfn.XLOOKUP(C476,Cartera1017[ID Mantenimiento],Cartera1017[Fin Calidad]),
IF(TRIM(D476)="Producción",
   _xlfn.XLOOKUP(C476,Cartera1017[ID Mantenimiento],Cartera1017[Fin Producción]),
""))))</f>
        <v>46147</v>
      </c>
    </row>
    <row r="477" spans="1:8" hidden="1" outlineLevel="1">
      <c r="A477" t="str">
        <f ca="1"/>
        <v>Tecnologías de Información</v>
      </c>
      <c r="B477" t="str">
        <f ca="1"/>
        <v>03. En Desarrollo</v>
      </c>
      <c r="C477" t="str">
        <f ca="1"/>
        <v>2025-M0483</v>
      </c>
      <c r="D477" t="str">
        <f ca="1"/>
        <v xml:space="preserve">   Desarrollo</v>
      </c>
      <c r="E477" s="255">
        <f ca="1"/>
        <v>0.25</v>
      </c>
      <c r="F477" s="255">
        <f ca="1"/>
        <v>1</v>
      </c>
      <c r="G477" s="356">
        <f ca="1">IF(TRIM(D477)=C477,
   _xlfn.XLOOKUP(C477, Cartera1017[ID Mantenimiento],Cartera1017[Comienzo Desarrollo]),
IF(TRIM(D477)="Desarrollo",
   _xlfn.XLOOKUP(C477,Cartera1017[ID Mantenimiento],Cartera1017[Comienzo Desarrollo]),
IF(TRIM(D477)="Calidad",
   _xlfn.XLOOKUP(C477,Cartera1017[ID Mantenimiento],Cartera1017[Comienzo Calidad]),
IF(TRIM(D477)="Producción",
   _xlfn.XLOOKUP(C477,Cartera1017[ID Mantenimiento],Cartera1017[Comienzo Producción]),
""))))</f>
        <v>46083</v>
      </c>
      <c r="H477" s="160">
        <f ca="1">IF(TRIM(D477)=C477,
   _xlfn.XLOOKUP(C477, Cartera1017[ID Mantenimiento],Cartera1017[Fin Producción]),
IF(TRIM(D477)="Desarrollo",
   _xlfn.XLOOKUP(C477,Cartera1017[ID Mantenimiento],Cartera1017[Fin Desarrollo]),
IF(TRIM(D477)="Calidad",
   _xlfn.XLOOKUP(C477,Cartera1017[ID Mantenimiento],Cartera1017[Fin Calidad]),
IF(TRIM(D477)="Producción",
   _xlfn.XLOOKUP(C477,Cartera1017[ID Mantenimiento],Cartera1017[Fin Producción]),
""))))</f>
        <v>46108</v>
      </c>
    </row>
    <row r="478" spans="1:8" hidden="1" outlineLevel="1">
      <c r="A478" t="str">
        <f ca="1"/>
        <v>Tecnologías de Información</v>
      </c>
      <c r="B478" t="str">
        <f ca="1"/>
        <v>03. En Desarrollo</v>
      </c>
      <c r="C478" t="str">
        <f ca="1"/>
        <v>2025-M0483</v>
      </c>
      <c r="D478" t="str">
        <f ca="1"/>
        <v xml:space="preserve">   Calidad</v>
      </c>
      <c r="E478" s="255">
        <f ca="1"/>
        <v>0.25</v>
      </c>
      <c r="F478" s="255">
        <f ca="1"/>
        <v>1</v>
      </c>
      <c r="G478" s="356">
        <f ca="1">IF(TRIM(D478)=C478,
   _xlfn.XLOOKUP(C478, Cartera1017[ID Mantenimiento],Cartera1017[Comienzo Desarrollo]),
IF(TRIM(D478)="Desarrollo",
   _xlfn.XLOOKUP(C478,Cartera1017[ID Mantenimiento],Cartera1017[Comienzo Desarrollo]),
IF(TRIM(D478)="Calidad",
   _xlfn.XLOOKUP(C478,Cartera1017[ID Mantenimiento],Cartera1017[Comienzo Calidad]),
IF(TRIM(D478)="Producción",
   _xlfn.XLOOKUP(C478,Cartera1017[ID Mantenimiento],Cartera1017[Comienzo Producción]),
""))))</f>
        <v>46113</v>
      </c>
      <c r="H478" s="160">
        <f ca="1">IF(TRIM(D478)=C478,
   _xlfn.XLOOKUP(C478, Cartera1017[ID Mantenimiento],Cartera1017[Fin Producción]),
IF(TRIM(D478)="Desarrollo",
   _xlfn.XLOOKUP(C478,Cartera1017[ID Mantenimiento],Cartera1017[Fin Desarrollo]),
IF(TRIM(D478)="Calidad",
   _xlfn.XLOOKUP(C478,Cartera1017[ID Mantenimiento],Cartera1017[Fin Calidad]),
IF(TRIM(D478)="Producción",
   _xlfn.XLOOKUP(C478,Cartera1017[ID Mantenimiento],Cartera1017[Fin Producción]),
""))))</f>
        <v>46142</v>
      </c>
    </row>
    <row r="479" spans="1:8" hidden="1" outlineLevel="1">
      <c r="A479" t="str">
        <f ca="1"/>
        <v>Tecnologías de Información</v>
      </c>
      <c r="B479" t="str">
        <f ca="1"/>
        <v>03. En Desarrollo</v>
      </c>
      <c r="C479" t="str">
        <f ca="1"/>
        <v>2025-M0483</v>
      </c>
      <c r="D479" t="str">
        <f ca="1"/>
        <v xml:space="preserve">   Producción</v>
      </c>
      <c r="E479" s="255">
        <f ca="1"/>
        <v>0.25</v>
      </c>
      <c r="F479" s="255">
        <f ca="1"/>
        <v>1</v>
      </c>
      <c r="G479" s="356">
        <f ca="1">IF(TRIM(D479)=C479,
   _xlfn.XLOOKUP(C479, Cartera1017[ID Mantenimiento],Cartera1017[Comienzo Desarrollo]),
IF(TRIM(D479)="Desarrollo",
   _xlfn.XLOOKUP(C479,Cartera1017[ID Mantenimiento],Cartera1017[Comienzo Desarrollo]),
IF(TRIM(D479)="Calidad",
   _xlfn.XLOOKUP(C479,Cartera1017[ID Mantenimiento],Cartera1017[Comienzo Calidad]),
IF(TRIM(D479)="Producción",
   _xlfn.XLOOKUP(C479,Cartera1017[ID Mantenimiento],Cartera1017[Comienzo Producción]),
""))))</f>
        <v>46143</v>
      </c>
      <c r="H479" s="160">
        <f ca="1">IF(TRIM(D479)=C479,
   _xlfn.XLOOKUP(C479, Cartera1017[ID Mantenimiento],Cartera1017[Fin Producción]),
IF(TRIM(D479)="Desarrollo",
   _xlfn.XLOOKUP(C479,Cartera1017[ID Mantenimiento],Cartera1017[Fin Desarrollo]),
IF(TRIM(D479)="Calidad",
   _xlfn.XLOOKUP(C479,Cartera1017[ID Mantenimiento],Cartera1017[Fin Calidad]),
IF(TRIM(D479)="Producción",
   _xlfn.XLOOKUP(C479,Cartera1017[ID Mantenimiento],Cartera1017[Fin Producción]),
""))))</f>
        <v>46147</v>
      </c>
    </row>
    <row r="480" spans="1:8" hidden="1" collapsed="1">
      <c r="A480" t="str">
        <f ca="1"/>
        <v>Productos e Inclusión Financiera</v>
      </c>
      <c r="B480" t="str">
        <f ca="1"/>
        <v>08. Producción Finalizada</v>
      </c>
      <c r="C480" t="str">
        <f ca="1"/>
        <v>2025-M0491</v>
      </c>
      <c r="D480" t="str">
        <f ca="1"/>
        <v>2025-M0491</v>
      </c>
      <c r="E480" s="255">
        <f ca="1"/>
        <v>1</v>
      </c>
      <c r="F480" s="255">
        <f ca="1"/>
        <v>1</v>
      </c>
      <c r="G480" s="356">
        <f ca="1">IF(TRIM(D480)=C480,
   _xlfn.XLOOKUP(C480, Cartera1017[ID Mantenimiento],Cartera1017[Comienzo Desarrollo]),
IF(TRIM(D480)="Desarrollo",
   _xlfn.XLOOKUP(C480,Cartera1017[ID Mantenimiento],Cartera1017[Comienzo Desarrollo]),
IF(TRIM(D480)="Calidad",
   _xlfn.XLOOKUP(C480,Cartera1017[ID Mantenimiento],Cartera1017[Comienzo Calidad]),
IF(TRIM(D480)="Producción",
   _xlfn.XLOOKUP(C480,Cartera1017[ID Mantenimiento],Cartera1017[Comienzo Producción]),
""))))</f>
        <v>45937</v>
      </c>
      <c r="H480" s="160">
        <f ca="1">IF(TRIM(D480)=C480,
   _xlfn.XLOOKUP(C480, Cartera1017[ID Mantenimiento],Cartera1017[Fin Producción]),
IF(TRIM(D480)="Desarrollo",
   _xlfn.XLOOKUP(C480,Cartera1017[ID Mantenimiento],Cartera1017[Fin Desarrollo]),
IF(TRIM(D480)="Calidad",
   _xlfn.XLOOKUP(C480,Cartera1017[ID Mantenimiento],Cartera1017[Fin Calidad]),
IF(TRIM(D480)="Producción",
   _xlfn.XLOOKUP(C480,Cartera1017[ID Mantenimiento],Cartera1017[Fin Producción]),
""))))</f>
        <v>46043</v>
      </c>
    </row>
    <row r="481" spans="1:8" hidden="1" outlineLevel="1">
      <c r="A481" t="str">
        <f ca="1"/>
        <v>Productos e Inclusión Financiera</v>
      </c>
      <c r="B481" t="str">
        <f ca="1"/>
        <v>08. Producción Finalizada</v>
      </c>
      <c r="C481" t="str">
        <f ca="1"/>
        <v>2025-M0491</v>
      </c>
      <c r="D481" t="str">
        <f ca="1"/>
        <v xml:space="preserve">   Desarrollo</v>
      </c>
      <c r="E481" s="255">
        <f ca="1"/>
        <v>1</v>
      </c>
      <c r="F481" s="255">
        <f ca="1"/>
        <v>1</v>
      </c>
      <c r="G481" s="356">
        <f ca="1">IF(TRIM(D481)=C481,
   _xlfn.XLOOKUP(C481, Cartera1017[ID Mantenimiento],Cartera1017[Comienzo Desarrollo]),
IF(TRIM(D481)="Desarrollo",
   _xlfn.XLOOKUP(C481,Cartera1017[ID Mantenimiento],Cartera1017[Comienzo Desarrollo]),
IF(TRIM(D481)="Calidad",
   _xlfn.XLOOKUP(C481,Cartera1017[ID Mantenimiento],Cartera1017[Comienzo Calidad]),
IF(TRIM(D481)="Producción",
   _xlfn.XLOOKUP(C481,Cartera1017[ID Mantenimiento],Cartera1017[Comienzo Producción]),
""))))</f>
        <v>45937</v>
      </c>
      <c r="H481" s="160">
        <f ca="1">IF(TRIM(D481)=C481,
   _xlfn.XLOOKUP(C481, Cartera1017[ID Mantenimiento],Cartera1017[Fin Producción]),
IF(TRIM(D481)="Desarrollo",
   _xlfn.XLOOKUP(C481,Cartera1017[ID Mantenimiento],Cartera1017[Fin Desarrollo]),
IF(TRIM(D481)="Calidad",
   _xlfn.XLOOKUP(C481,Cartera1017[ID Mantenimiento],Cartera1017[Fin Calidad]),
IF(TRIM(D481)="Producción",
   _xlfn.XLOOKUP(C481,Cartera1017[ID Mantenimiento],Cartera1017[Fin Producción]),
""))))</f>
        <v>45937</v>
      </c>
    </row>
    <row r="482" spans="1:8" hidden="1" outlineLevel="1">
      <c r="A482" t="str">
        <f ca="1"/>
        <v>Productos e Inclusión Financiera</v>
      </c>
      <c r="B482" t="str">
        <f ca="1"/>
        <v>08. Producción Finalizada</v>
      </c>
      <c r="C482" t="str">
        <f ca="1"/>
        <v>2025-M0491</v>
      </c>
      <c r="D482" t="str">
        <f ca="1"/>
        <v xml:space="preserve">   Calidad</v>
      </c>
      <c r="E482" s="255">
        <f ca="1"/>
        <v>1</v>
      </c>
      <c r="F482" s="255">
        <f ca="1"/>
        <v>1</v>
      </c>
      <c r="G482" s="356">
        <f ca="1">IF(TRIM(D482)=C482,
   _xlfn.XLOOKUP(C482, Cartera1017[ID Mantenimiento],Cartera1017[Comienzo Desarrollo]),
IF(TRIM(D482)="Desarrollo",
   _xlfn.XLOOKUP(C482,Cartera1017[ID Mantenimiento],Cartera1017[Comienzo Desarrollo]),
IF(TRIM(D482)="Calidad",
   _xlfn.XLOOKUP(C482,Cartera1017[ID Mantenimiento],Cartera1017[Comienzo Calidad]),
IF(TRIM(D482)="Producción",
   _xlfn.XLOOKUP(C482,Cartera1017[ID Mantenimiento],Cartera1017[Comienzo Producción]),
""))))</f>
        <v>45952</v>
      </c>
      <c r="H482" s="160">
        <f ca="1">IF(TRIM(D482)=C482,
   _xlfn.XLOOKUP(C482, Cartera1017[ID Mantenimiento],Cartera1017[Fin Producción]),
IF(TRIM(D482)="Desarrollo",
   _xlfn.XLOOKUP(C482,Cartera1017[ID Mantenimiento],Cartera1017[Fin Desarrollo]),
IF(TRIM(D482)="Calidad",
   _xlfn.XLOOKUP(C482,Cartera1017[ID Mantenimiento],Cartera1017[Fin Calidad]),
IF(TRIM(D482)="Producción",
   _xlfn.XLOOKUP(C482,Cartera1017[ID Mantenimiento],Cartera1017[Fin Producción]),
""))))</f>
        <v>45985</v>
      </c>
    </row>
    <row r="483" spans="1:8" hidden="1" outlineLevel="1">
      <c r="A483" t="str">
        <f ca="1"/>
        <v>Productos e Inclusión Financiera</v>
      </c>
      <c r="B483" t="str">
        <f ca="1"/>
        <v>08. Producción Finalizada</v>
      </c>
      <c r="C483" t="str">
        <f ca="1"/>
        <v>2025-M0491</v>
      </c>
      <c r="D483" t="str">
        <f ca="1"/>
        <v xml:space="preserve">   Producción</v>
      </c>
      <c r="E483" s="255">
        <f ca="1"/>
        <v>1</v>
      </c>
      <c r="F483" s="255">
        <f ca="1"/>
        <v>1</v>
      </c>
      <c r="G483" s="356">
        <f ca="1">IF(TRIM(D483)=C483,
   _xlfn.XLOOKUP(C483, Cartera1017[ID Mantenimiento],Cartera1017[Comienzo Desarrollo]),
IF(TRIM(D483)="Desarrollo",
   _xlfn.XLOOKUP(C483,Cartera1017[ID Mantenimiento],Cartera1017[Comienzo Desarrollo]),
IF(TRIM(D483)="Calidad",
   _xlfn.XLOOKUP(C483,Cartera1017[ID Mantenimiento],Cartera1017[Comienzo Calidad]),
IF(TRIM(D483)="Producción",
   _xlfn.XLOOKUP(C483,Cartera1017[ID Mantenimiento],Cartera1017[Comienzo Producción]),
""))))</f>
        <v>46043</v>
      </c>
      <c r="H483" s="160">
        <f ca="1">IF(TRIM(D483)=C483,
   _xlfn.XLOOKUP(C483, Cartera1017[ID Mantenimiento],Cartera1017[Fin Producción]),
IF(TRIM(D483)="Desarrollo",
   _xlfn.XLOOKUP(C483,Cartera1017[ID Mantenimiento],Cartera1017[Fin Desarrollo]),
IF(TRIM(D483)="Calidad",
   _xlfn.XLOOKUP(C483,Cartera1017[ID Mantenimiento],Cartera1017[Fin Calidad]),
IF(TRIM(D483)="Producción",
   _xlfn.XLOOKUP(C483,Cartera1017[ID Mantenimiento],Cartera1017[Fin Producción]),
""))))</f>
        <v>46043</v>
      </c>
    </row>
    <row r="484" spans="1:8" hidden="1" collapsed="1">
      <c r="A484" t="str">
        <f ca="1"/>
        <v>Tecnologías de Información</v>
      </c>
      <c r="B484" t="str">
        <f ca="1"/>
        <v>03. En Desarrollo</v>
      </c>
      <c r="C484" t="str">
        <f ca="1"/>
        <v>2025-M0036</v>
      </c>
      <c r="D484" t="str">
        <f ca="1"/>
        <v>2025-M0036</v>
      </c>
      <c r="E484" s="255">
        <f ca="1"/>
        <v>0.25</v>
      </c>
      <c r="F484" s="255">
        <f ca="1"/>
        <v>1</v>
      </c>
      <c r="G484" s="356">
        <f ca="1">IF(TRIM(D484)=C484,
   _xlfn.XLOOKUP(C484, Cartera1017[ID Mantenimiento],Cartera1017[Comienzo Desarrollo]),
IF(TRIM(D484)="Desarrollo",
   _xlfn.XLOOKUP(C484,Cartera1017[ID Mantenimiento],Cartera1017[Comienzo Desarrollo]),
IF(TRIM(D484)="Calidad",
   _xlfn.XLOOKUP(C484,Cartera1017[ID Mantenimiento],Cartera1017[Comienzo Calidad]),
IF(TRIM(D484)="Producción",
   _xlfn.XLOOKUP(C484,Cartera1017[ID Mantenimiento],Cartera1017[Comienzo Producción]),
""))))</f>
        <v>46083</v>
      </c>
      <c r="H484" s="160">
        <f ca="1">IF(TRIM(D484)=C484,
   _xlfn.XLOOKUP(C484, Cartera1017[ID Mantenimiento],Cartera1017[Fin Producción]),
IF(TRIM(D484)="Desarrollo",
   _xlfn.XLOOKUP(C484,Cartera1017[ID Mantenimiento],Cartera1017[Fin Desarrollo]),
IF(TRIM(D484)="Calidad",
   _xlfn.XLOOKUP(C484,Cartera1017[ID Mantenimiento],Cartera1017[Fin Calidad]),
IF(TRIM(D484)="Producción",
   _xlfn.XLOOKUP(C484,Cartera1017[ID Mantenimiento],Cartera1017[Fin Producción]),
""))))</f>
        <v>46147</v>
      </c>
    </row>
    <row r="485" spans="1:8" hidden="1" outlineLevel="1">
      <c r="A485" t="str">
        <f ca="1"/>
        <v>Tecnologías de Información</v>
      </c>
      <c r="B485" t="str">
        <f ca="1"/>
        <v>03. En Desarrollo</v>
      </c>
      <c r="C485" t="str">
        <f ca="1"/>
        <v>2025-M0036</v>
      </c>
      <c r="D485" t="str">
        <f ca="1"/>
        <v xml:space="preserve">   Desarrollo</v>
      </c>
      <c r="E485" s="255">
        <f ca="1"/>
        <v>0.25</v>
      </c>
      <c r="F485" s="255">
        <f ca="1"/>
        <v>1</v>
      </c>
      <c r="G485" s="356">
        <f ca="1">IF(TRIM(D485)=C485,
   _xlfn.XLOOKUP(C485, Cartera1017[ID Mantenimiento],Cartera1017[Comienzo Desarrollo]),
IF(TRIM(D485)="Desarrollo",
   _xlfn.XLOOKUP(C485,Cartera1017[ID Mantenimiento],Cartera1017[Comienzo Desarrollo]),
IF(TRIM(D485)="Calidad",
   _xlfn.XLOOKUP(C485,Cartera1017[ID Mantenimiento],Cartera1017[Comienzo Calidad]),
IF(TRIM(D485)="Producción",
   _xlfn.XLOOKUP(C485,Cartera1017[ID Mantenimiento],Cartera1017[Comienzo Producción]),
""))))</f>
        <v>46083</v>
      </c>
      <c r="H485" s="160">
        <f ca="1">IF(TRIM(D485)=C485,
   _xlfn.XLOOKUP(C485, Cartera1017[ID Mantenimiento],Cartera1017[Fin Producción]),
IF(TRIM(D485)="Desarrollo",
   _xlfn.XLOOKUP(C485,Cartera1017[ID Mantenimiento],Cartera1017[Fin Desarrollo]),
IF(TRIM(D485)="Calidad",
   _xlfn.XLOOKUP(C485,Cartera1017[ID Mantenimiento],Cartera1017[Fin Calidad]),
IF(TRIM(D485)="Producción",
   _xlfn.XLOOKUP(C485,Cartera1017[ID Mantenimiento],Cartera1017[Fin Producción]),
""))))</f>
        <v>46108</v>
      </c>
    </row>
    <row r="486" spans="1:8" hidden="1" outlineLevel="1">
      <c r="A486" t="str">
        <f ca="1"/>
        <v>Tecnologías de Información</v>
      </c>
      <c r="B486" t="str">
        <f ca="1"/>
        <v>03. En Desarrollo</v>
      </c>
      <c r="C486" t="str">
        <f ca="1"/>
        <v>2025-M0036</v>
      </c>
      <c r="D486" t="str">
        <f ca="1"/>
        <v xml:space="preserve">   Calidad</v>
      </c>
      <c r="E486" s="255">
        <f ca="1"/>
        <v>0.25</v>
      </c>
      <c r="F486" s="255">
        <f ca="1"/>
        <v>1</v>
      </c>
      <c r="G486" s="356">
        <f ca="1">IF(TRIM(D486)=C486,
   _xlfn.XLOOKUP(C486, Cartera1017[ID Mantenimiento],Cartera1017[Comienzo Desarrollo]),
IF(TRIM(D486)="Desarrollo",
   _xlfn.XLOOKUP(C486,Cartera1017[ID Mantenimiento],Cartera1017[Comienzo Desarrollo]),
IF(TRIM(D486)="Calidad",
   _xlfn.XLOOKUP(C486,Cartera1017[ID Mantenimiento],Cartera1017[Comienzo Calidad]),
IF(TRIM(D486)="Producción",
   _xlfn.XLOOKUP(C486,Cartera1017[ID Mantenimiento],Cartera1017[Comienzo Producción]),
""))))</f>
        <v>46113</v>
      </c>
      <c r="H486" s="160">
        <f ca="1">IF(TRIM(D486)=C486,
   _xlfn.XLOOKUP(C486, Cartera1017[ID Mantenimiento],Cartera1017[Fin Producción]),
IF(TRIM(D486)="Desarrollo",
   _xlfn.XLOOKUP(C486,Cartera1017[ID Mantenimiento],Cartera1017[Fin Desarrollo]),
IF(TRIM(D486)="Calidad",
   _xlfn.XLOOKUP(C486,Cartera1017[ID Mantenimiento],Cartera1017[Fin Calidad]),
IF(TRIM(D486)="Producción",
   _xlfn.XLOOKUP(C486,Cartera1017[ID Mantenimiento],Cartera1017[Fin Producción]),
""))))</f>
        <v>46142</v>
      </c>
    </row>
    <row r="487" spans="1:8" hidden="1" outlineLevel="1">
      <c r="A487" t="str">
        <f ca="1"/>
        <v>Tecnologías de Información</v>
      </c>
      <c r="B487" t="str">
        <f ca="1"/>
        <v>03. En Desarrollo</v>
      </c>
      <c r="C487" t="str">
        <f ca="1"/>
        <v>2025-M0036</v>
      </c>
      <c r="D487" t="str">
        <f ca="1"/>
        <v xml:space="preserve">   Producción</v>
      </c>
      <c r="E487" s="255">
        <f ca="1"/>
        <v>0.25</v>
      </c>
      <c r="F487" s="255">
        <f ca="1"/>
        <v>1</v>
      </c>
      <c r="G487" s="356">
        <f ca="1">IF(TRIM(D487)=C487,
   _xlfn.XLOOKUP(C487, Cartera1017[ID Mantenimiento],Cartera1017[Comienzo Desarrollo]),
IF(TRIM(D487)="Desarrollo",
   _xlfn.XLOOKUP(C487,Cartera1017[ID Mantenimiento],Cartera1017[Comienzo Desarrollo]),
IF(TRIM(D487)="Calidad",
   _xlfn.XLOOKUP(C487,Cartera1017[ID Mantenimiento],Cartera1017[Comienzo Calidad]),
IF(TRIM(D487)="Producción",
   _xlfn.XLOOKUP(C487,Cartera1017[ID Mantenimiento],Cartera1017[Comienzo Producción]),
""))))</f>
        <v>46143</v>
      </c>
      <c r="H487" s="160">
        <f ca="1">IF(TRIM(D487)=C487,
   _xlfn.XLOOKUP(C487, Cartera1017[ID Mantenimiento],Cartera1017[Fin Producción]),
IF(TRIM(D487)="Desarrollo",
   _xlfn.XLOOKUP(C487,Cartera1017[ID Mantenimiento],Cartera1017[Fin Desarrollo]),
IF(TRIM(D487)="Calidad",
   _xlfn.XLOOKUP(C487,Cartera1017[ID Mantenimiento],Cartera1017[Fin Calidad]),
IF(TRIM(D487)="Producción",
   _xlfn.XLOOKUP(C487,Cartera1017[ID Mantenimiento],Cartera1017[Fin Producción]),
""))))</f>
        <v>46147</v>
      </c>
    </row>
    <row r="488" spans="1:8" hidden="1" collapsed="1">
      <c r="A488" t="str">
        <f ca="1"/>
        <v>Productos e Inclusión Financiera</v>
      </c>
      <c r="B488" t="str">
        <f ca="1"/>
        <v>08. Producción Finalizada</v>
      </c>
      <c r="C488" t="str">
        <f ca="1"/>
        <v>2025-M0079</v>
      </c>
      <c r="D488" t="str">
        <f ca="1"/>
        <v>2025-M0079</v>
      </c>
      <c r="E488" s="255">
        <f ca="1"/>
        <v>1</v>
      </c>
      <c r="F488" s="255">
        <f ca="1"/>
        <v>1</v>
      </c>
      <c r="G488" s="356">
        <f ca="1">IF(TRIM(D488)=C488,
   _xlfn.XLOOKUP(C488, Cartera1017[ID Mantenimiento],Cartera1017[Comienzo Desarrollo]),
IF(TRIM(D488)="Desarrollo",
   _xlfn.XLOOKUP(C488,Cartera1017[ID Mantenimiento],Cartera1017[Comienzo Desarrollo]),
IF(TRIM(D488)="Calidad",
   _xlfn.XLOOKUP(C488,Cartera1017[ID Mantenimiento],Cartera1017[Comienzo Calidad]),
IF(TRIM(D488)="Producción",
   _xlfn.XLOOKUP(C488,Cartera1017[ID Mantenimiento],Cartera1017[Comienzo Producción]),
""))))</f>
        <v>45688</v>
      </c>
      <c r="H488" s="160">
        <f ca="1">IF(TRIM(D488)=C488,
   _xlfn.XLOOKUP(C488, Cartera1017[ID Mantenimiento],Cartera1017[Fin Producción]),
IF(TRIM(D488)="Desarrollo",
   _xlfn.XLOOKUP(C488,Cartera1017[ID Mantenimiento],Cartera1017[Fin Desarrollo]),
IF(TRIM(D488)="Calidad",
   _xlfn.XLOOKUP(C488,Cartera1017[ID Mantenimiento],Cartera1017[Fin Calidad]),
IF(TRIM(D488)="Producción",
   _xlfn.XLOOKUP(C488,Cartera1017[ID Mantenimiento],Cartera1017[Fin Producción]),
""))))</f>
        <v>46029</v>
      </c>
    </row>
    <row r="489" spans="1:8" hidden="1" outlineLevel="1">
      <c r="A489" t="str">
        <f ca="1"/>
        <v>Productos e Inclusión Financiera</v>
      </c>
      <c r="B489" t="str">
        <f ca="1"/>
        <v>08. Producción Finalizada</v>
      </c>
      <c r="C489" t="str">
        <f ca="1"/>
        <v>2025-M0079</v>
      </c>
      <c r="D489" t="str">
        <f ca="1"/>
        <v xml:space="preserve">   Desarrollo</v>
      </c>
      <c r="E489" s="255">
        <f ca="1"/>
        <v>1</v>
      </c>
      <c r="F489" s="255">
        <f ca="1"/>
        <v>1</v>
      </c>
      <c r="G489" s="356">
        <f ca="1">IF(TRIM(D489)=C489,
   _xlfn.XLOOKUP(C489, Cartera1017[ID Mantenimiento],Cartera1017[Comienzo Desarrollo]),
IF(TRIM(D489)="Desarrollo",
   _xlfn.XLOOKUP(C489,Cartera1017[ID Mantenimiento],Cartera1017[Comienzo Desarrollo]),
IF(TRIM(D489)="Calidad",
   _xlfn.XLOOKUP(C489,Cartera1017[ID Mantenimiento],Cartera1017[Comienzo Calidad]),
IF(TRIM(D489)="Producción",
   _xlfn.XLOOKUP(C489,Cartera1017[ID Mantenimiento],Cartera1017[Comienzo Producción]),
""))))</f>
        <v>45688</v>
      </c>
      <c r="H489" s="160">
        <f ca="1">IF(TRIM(D489)=C489,
   _xlfn.XLOOKUP(C489, Cartera1017[ID Mantenimiento],Cartera1017[Fin Producción]),
IF(TRIM(D489)="Desarrollo",
   _xlfn.XLOOKUP(C489,Cartera1017[ID Mantenimiento],Cartera1017[Fin Desarrollo]),
IF(TRIM(D489)="Calidad",
   _xlfn.XLOOKUP(C489,Cartera1017[ID Mantenimiento],Cartera1017[Fin Calidad]),
IF(TRIM(D489)="Producción",
   _xlfn.XLOOKUP(C489,Cartera1017[ID Mantenimiento],Cartera1017[Fin Producción]),
""))))</f>
        <v>45824</v>
      </c>
    </row>
    <row r="490" spans="1:8" hidden="1" outlineLevel="1">
      <c r="A490" t="str">
        <f ca="1"/>
        <v>Productos e Inclusión Financiera</v>
      </c>
      <c r="B490" t="str">
        <f ca="1"/>
        <v>08. Producción Finalizada</v>
      </c>
      <c r="C490" t="str">
        <f ca="1"/>
        <v>2025-M0079</v>
      </c>
      <c r="D490" t="str">
        <f ca="1"/>
        <v xml:space="preserve">   Calidad</v>
      </c>
      <c r="E490" s="255">
        <f ca="1"/>
        <v>1</v>
      </c>
      <c r="F490" s="255">
        <f ca="1"/>
        <v>1</v>
      </c>
      <c r="G490" s="356">
        <f ca="1">IF(TRIM(D490)=C490,
   _xlfn.XLOOKUP(C490, Cartera1017[ID Mantenimiento],Cartera1017[Comienzo Desarrollo]),
IF(TRIM(D490)="Desarrollo",
   _xlfn.XLOOKUP(C490,Cartera1017[ID Mantenimiento],Cartera1017[Comienzo Desarrollo]),
IF(TRIM(D490)="Calidad",
   _xlfn.XLOOKUP(C490,Cartera1017[ID Mantenimiento],Cartera1017[Comienzo Calidad]),
IF(TRIM(D490)="Producción",
   _xlfn.XLOOKUP(C490,Cartera1017[ID Mantenimiento],Cartera1017[Comienzo Producción]),
""))))</f>
        <v>45838</v>
      </c>
      <c r="H490" s="160">
        <f ca="1">IF(TRIM(D490)=C490,
   _xlfn.XLOOKUP(C490, Cartera1017[ID Mantenimiento],Cartera1017[Fin Producción]),
IF(TRIM(D490)="Desarrollo",
   _xlfn.XLOOKUP(C490,Cartera1017[ID Mantenimiento],Cartera1017[Fin Desarrollo]),
IF(TRIM(D490)="Calidad",
   _xlfn.XLOOKUP(C490,Cartera1017[ID Mantenimiento],Cartera1017[Fin Calidad]),
IF(TRIM(D490)="Producción",
   _xlfn.XLOOKUP(C490,Cartera1017[ID Mantenimiento],Cartera1017[Fin Producción]),
""))))</f>
        <v>45860</v>
      </c>
    </row>
    <row r="491" spans="1:8" hidden="1" outlineLevel="1">
      <c r="A491" t="str">
        <f ca="1"/>
        <v>Productos e Inclusión Financiera</v>
      </c>
      <c r="B491" t="str">
        <f ca="1"/>
        <v>08. Producción Finalizada</v>
      </c>
      <c r="C491" t="str">
        <f ca="1"/>
        <v>2025-M0079</v>
      </c>
      <c r="D491" t="str">
        <f ca="1"/>
        <v xml:space="preserve">   Producción</v>
      </c>
      <c r="E491" s="255">
        <f ca="1"/>
        <v>1</v>
      </c>
      <c r="F491" s="255">
        <f ca="1"/>
        <v>1</v>
      </c>
      <c r="G491" s="356">
        <f ca="1">IF(TRIM(D491)=C491,
   _xlfn.XLOOKUP(C491, Cartera1017[ID Mantenimiento],Cartera1017[Comienzo Desarrollo]),
IF(TRIM(D491)="Desarrollo",
   _xlfn.XLOOKUP(C491,Cartera1017[ID Mantenimiento],Cartera1017[Comienzo Desarrollo]),
IF(TRIM(D491)="Calidad",
   _xlfn.XLOOKUP(C491,Cartera1017[ID Mantenimiento],Cartera1017[Comienzo Calidad]),
IF(TRIM(D491)="Producción",
   _xlfn.XLOOKUP(C491,Cartera1017[ID Mantenimiento],Cartera1017[Comienzo Producción]),
""))))</f>
        <v>45974</v>
      </c>
      <c r="H491" s="160">
        <f ca="1">IF(TRIM(D491)=C491,
   _xlfn.XLOOKUP(C491, Cartera1017[ID Mantenimiento],Cartera1017[Fin Producción]),
IF(TRIM(D491)="Desarrollo",
   _xlfn.XLOOKUP(C491,Cartera1017[ID Mantenimiento],Cartera1017[Fin Desarrollo]),
IF(TRIM(D491)="Calidad",
   _xlfn.XLOOKUP(C491,Cartera1017[ID Mantenimiento],Cartera1017[Fin Calidad]),
IF(TRIM(D491)="Producción",
   _xlfn.XLOOKUP(C491,Cartera1017[ID Mantenimiento],Cartera1017[Fin Producción]),
""))))</f>
        <v>46029</v>
      </c>
    </row>
    <row r="492" spans="1:8" hidden="1" collapsed="1">
      <c r="A492" t="str">
        <f ca="1"/>
        <v>Banca Digital</v>
      </c>
      <c r="B492" t="str">
        <f ca="1"/>
        <v>10. Paralizado</v>
      </c>
      <c r="C492" t="str">
        <f ca="1"/>
        <v>2025-M0143</v>
      </c>
      <c r="D492" t="str">
        <f ca="1"/>
        <v>2025-M0143</v>
      </c>
      <c r="E492" s="255">
        <f ca="1"/>
        <v>0.12</v>
      </c>
      <c r="F492" s="255" t="str">
        <f ca="1"/>
        <v/>
      </c>
      <c r="G492" s="356">
        <f ca="1">IF(TRIM(D492)=C492,
   _xlfn.XLOOKUP(C492, Cartera1017[ID Mantenimiento],Cartera1017[Comienzo Desarrollo]),
IF(TRIM(D492)="Desarrollo",
   _xlfn.XLOOKUP(C492,Cartera1017[ID Mantenimiento],Cartera1017[Comienzo Desarrollo]),
IF(TRIM(D492)="Calidad",
   _xlfn.XLOOKUP(C492,Cartera1017[ID Mantenimiento],Cartera1017[Comienzo Calidad]),
IF(TRIM(D492)="Producción",
   _xlfn.XLOOKUP(C492,Cartera1017[ID Mantenimiento],Cartera1017[Comienzo Producción]),
""))))</f>
        <v>0</v>
      </c>
      <c r="H492" s="160">
        <f ca="1">IF(TRIM(D492)=C492,
   _xlfn.XLOOKUP(C492, Cartera1017[ID Mantenimiento],Cartera1017[Fin Producción]),
IF(TRIM(D492)="Desarrollo",
   _xlfn.XLOOKUP(C492,Cartera1017[ID Mantenimiento],Cartera1017[Fin Desarrollo]),
IF(TRIM(D492)="Calidad",
   _xlfn.XLOOKUP(C492,Cartera1017[ID Mantenimiento],Cartera1017[Fin Calidad]),
IF(TRIM(D492)="Producción",
   _xlfn.XLOOKUP(C492,Cartera1017[ID Mantenimiento],Cartera1017[Fin Producción]),
""))))</f>
        <v>46477</v>
      </c>
    </row>
    <row r="493" spans="1:8" hidden="1" outlineLevel="1">
      <c r="A493" t="str">
        <f ca="1"/>
        <v>Banca Digital</v>
      </c>
      <c r="B493" t="str">
        <f ca="1"/>
        <v>10. Paralizado</v>
      </c>
      <c r="C493" t="str">
        <f ca="1"/>
        <v>2025-M0143</v>
      </c>
      <c r="D493" t="str">
        <f ca="1"/>
        <v xml:space="preserve">   Desarrollo</v>
      </c>
      <c r="E493" s="255">
        <f ca="1"/>
        <v>0.12</v>
      </c>
      <c r="F493" s="255" t="str">
        <f ca="1"/>
        <v/>
      </c>
      <c r="G493" s="356">
        <f ca="1">IF(TRIM(D493)=C493,
   _xlfn.XLOOKUP(C493, Cartera1017[ID Mantenimiento],Cartera1017[Comienzo Desarrollo]),
IF(TRIM(D493)="Desarrollo",
   _xlfn.XLOOKUP(C493,Cartera1017[ID Mantenimiento],Cartera1017[Comienzo Desarrollo]),
IF(TRIM(D493)="Calidad",
   _xlfn.XLOOKUP(C493,Cartera1017[ID Mantenimiento],Cartera1017[Comienzo Calidad]),
IF(TRIM(D493)="Producción",
   _xlfn.XLOOKUP(C493,Cartera1017[ID Mantenimiento],Cartera1017[Comienzo Producción]),
""))))</f>
        <v>0</v>
      </c>
      <c r="H493" s="160">
        <f ca="1">IF(TRIM(D493)=C493,
   _xlfn.XLOOKUP(C493, Cartera1017[ID Mantenimiento],Cartera1017[Fin Producción]),
IF(TRIM(D493)="Desarrollo",
   _xlfn.XLOOKUP(C493,Cartera1017[ID Mantenimiento],Cartera1017[Fin Desarrollo]),
IF(TRIM(D493)="Calidad",
   _xlfn.XLOOKUP(C493,Cartera1017[ID Mantenimiento],Cartera1017[Fin Calidad]),
IF(TRIM(D493)="Producción",
   _xlfn.XLOOKUP(C493,Cartera1017[ID Mantenimiento],Cartera1017[Fin Producción]),
""))))</f>
        <v>0</v>
      </c>
    </row>
    <row r="494" spans="1:8" hidden="1" outlineLevel="1">
      <c r="A494" t="str">
        <f ca="1"/>
        <v>Banca Digital</v>
      </c>
      <c r="B494" t="str">
        <f ca="1"/>
        <v>10. Paralizado</v>
      </c>
      <c r="C494" t="str">
        <f ca="1"/>
        <v>2025-M0143</v>
      </c>
      <c r="D494" t="str">
        <f ca="1"/>
        <v xml:space="preserve">   Calidad</v>
      </c>
      <c r="E494" s="255">
        <f ca="1"/>
        <v>0.12</v>
      </c>
      <c r="F494" s="255" t="str">
        <f ca="1"/>
        <v/>
      </c>
      <c r="G494" s="356">
        <f ca="1">IF(TRIM(D494)=C494,
   _xlfn.XLOOKUP(C494, Cartera1017[ID Mantenimiento],Cartera1017[Comienzo Desarrollo]),
IF(TRIM(D494)="Desarrollo",
   _xlfn.XLOOKUP(C494,Cartera1017[ID Mantenimiento],Cartera1017[Comienzo Desarrollo]),
IF(TRIM(D494)="Calidad",
   _xlfn.XLOOKUP(C494,Cartera1017[ID Mantenimiento],Cartera1017[Comienzo Calidad]),
IF(TRIM(D494)="Producción",
   _xlfn.XLOOKUP(C494,Cartera1017[ID Mantenimiento],Cartera1017[Comienzo Producción]),
""))))</f>
        <v>0</v>
      </c>
      <c r="H494" s="160">
        <f ca="1">IF(TRIM(D494)=C494,
   _xlfn.XLOOKUP(C494, Cartera1017[ID Mantenimiento],Cartera1017[Fin Producción]),
IF(TRIM(D494)="Desarrollo",
   _xlfn.XLOOKUP(C494,Cartera1017[ID Mantenimiento],Cartera1017[Fin Desarrollo]),
IF(TRIM(D494)="Calidad",
   _xlfn.XLOOKUP(C494,Cartera1017[ID Mantenimiento],Cartera1017[Fin Calidad]),
IF(TRIM(D494)="Producción",
   _xlfn.XLOOKUP(C494,Cartera1017[ID Mantenimiento],Cartera1017[Fin Producción]),
""))))</f>
        <v>0</v>
      </c>
    </row>
    <row r="495" spans="1:8" hidden="1" outlineLevel="1">
      <c r="A495" t="str">
        <f ca="1"/>
        <v>Banca Digital</v>
      </c>
      <c r="B495" t="str">
        <f ca="1"/>
        <v>10. Paralizado</v>
      </c>
      <c r="C495" t="str">
        <f ca="1"/>
        <v>2025-M0143</v>
      </c>
      <c r="D495" t="str">
        <f ca="1"/>
        <v xml:space="preserve">   Producción</v>
      </c>
      <c r="E495" s="255">
        <f ca="1"/>
        <v>0.12</v>
      </c>
      <c r="F495" s="255" t="str">
        <f ca="1"/>
        <v/>
      </c>
      <c r="G495" s="356">
        <f ca="1">IF(TRIM(D495)=C495,
   _xlfn.XLOOKUP(C495, Cartera1017[ID Mantenimiento],Cartera1017[Comienzo Desarrollo]),
IF(TRIM(D495)="Desarrollo",
   _xlfn.XLOOKUP(C495,Cartera1017[ID Mantenimiento],Cartera1017[Comienzo Desarrollo]),
IF(TRIM(D495)="Calidad",
   _xlfn.XLOOKUP(C495,Cartera1017[ID Mantenimiento],Cartera1017[Comienzo Calidad]),
IF(TRIM(D495)="Producción",
   _xlfn.XLOOKUP(C495,Cartera1017[ID Mantenimiento],Cartera1017[Comienzo Producción]),
""))))</f>
        <v>0</v>
      </c>
      <c r="H495" s="160">
        <f ca="1">IF(TRIM(D495)=C495,
   _xlfn.XLOOKUP(C495, Cartera1017[ID Mantenimiento],Cartera1017[Fin Producción]),
IF(TRIM(D495)="Desarrollo",
   _xlfn.XLOOKUP(C495,Cartera1017[ID Mantenimiento],Cartera1017[Fin Desarrollo]),
IF(TRIM(D495)="Calidad",
   _xlfn.XLOOKUP(C495,Cartera1017[ID Mantenimiento],Cartera1017[Fin Calidad]),
IF(TRIM(D495)="Producción",
   _xlfn.XLOOKUP(C495,Cartera1017[ID Mantenimiento],Cartera1017[Fin Producción]),
""))))</f>
        <v>46477</v>
      </c>
    </row>
    <row r="496" spans="1:8" hidden="1" collapsed="1">
      <c r="A496" t="str">
        <f ca="1"/>
        <v>Finanzas y Tesorería</v>
      </c>
      <c r="B496" t="str">
        <f ca="1"/>
        <v>05. En Calidad</v>
      </c>
      <c r="C496" t="str">
        <f ca="1"/>
        <v>2025-M0574</v>
      </c>
      <c r="D496" t="str">
        <f ca="1"/>
        <v>2025-M0574</v>
      </c>
      <c r="E496" s="255">
        <f ca="1"/>
        <v>0.7</v>
      </c>
      <c r="F496" s="255">
        <f ca="1"/>
        <v>1</v>
      </c>
      <c r="G496" s="356">
        <f ca="1">IF(TRIM(D496)=C496,
   _xlfn.XLOOKUP(C496, Cartera1017[ID Mantenimiento],Cartera1017[Comienzo Desarrollo]),
IF(TRIM(D496)="Desarrollo",
   _xlfn.XLOOKUP(C496,Cartera1017[ID Mantenimiento],Cartera1017[Comienzo Desarrollo]),
IF(TRIM(D496)="Calidad",
   _xlfn.XLOOKUP(C496,Cartera1017[ID Mantenimiento],Cartera1017[Comienzo Calidad]),
IF(TRIM(D496)="Producción",
   _xlfn.XLOOKUP(C496,Cartera1017[ID Mantenimiento],Cartera1017[Comienzo Producción]),
""))))</f>
        <v>46083</v>
      </c>
      <c r="H496" s="160">
        <f ca="1">IF(TRIM(D496)=C496,
   _xlfn.XLOOKUP(C496, Cartera1017[ID Mantenimiento],Cartera1017[Fin Producción]),
IF(TRIM(D496)="Desarrollo",
   _xlfn.XLOOKUP(C496,Cartera1017[ID Mantenimiento],Cartera1017[Fin Desarrollo]),
IF(TRIM(D496)="Calidad",
   _xlfn.XLOOKUP(C496,Cartera1017[ID Mantenimiento],Cartera1017[Fin Calidad]),
IF(TRIM(D496)="Producción",
   _xlfn.XLOOKUP(C496,Cartera1017[ID Mantenimiento],Cartera1017[Fin Producción]),
""))))</f>
        <v>46159</v>
      </c>
    </row>
    <row r="497" spans="1:8" hidden="1" outlineLevel="1">
      <c r="A497" t="str">
        <f ca="1"/>
        <v>Finanzas y Tesorería</v>
      </c>
      <c r="B497" t="str">
        <f ca="1"/>
        <v>05. En Calidad</v>
      </c>
      <c r="C497" t="str">
        <f ca="1"/>
        <v>2025-M0574</v>
      </c>
      <c r="D497" t="str">
        <f ca="1"/>
        <v xml:space="preserve">   Desarrollo</v>
      </c>
      <c r="E497" s="255">
        <f ca="1"/>
        <v>0.7</v>
      </c>
      <c r="F497" s="255">
        <f ca="1"/>
        <v>1</v>
      </c>
      <c r="G497" s="356">
        <f ca="1">IF(TRIM(D497)=C497,
   _xlfn.XLOOKUP(C497, Cartera1017[ID Mantenimiento],Cartera1017[Comienzo Desarrollo]),
IF(TRIM(D497)="Desarrollo",
   _xlfn.XLOOKUP(C497,Cartera1017[ID Mantenimiento],Cartera1017[Comienzo Desarrollo]),
IF(TRIM(D497)="Calidad",
   _xlfn.XLOOKUP(C497,Cartera1017[ID Mantenimiento],Cartera1017[Comienzo Calidad]),
IF(TRIM(D497)="Producción",
   _xlfn.XLOOKUP(C497,Cartera1017[ID Mantenimiento],Cartera1017[Comienzo Producción]),
""))))</f>
        <v>46083</v>
      </c>
      <c r="H497" s="160">
        <f ca="1">IF(TRIM(D497)=C497,
   _xlfn.XLOOKUP(C497, Cartera1017[ID Mantenimiento],Cartera1017[Fin Producción]),
IF(TRIM(D497)="Desarrollo",
   _xlfn.XLOOKUP(C497,Cartera1017[ID Mantenimiento],Cartera1017[Fin Desarrollo]),
IF(TRIM(D497)="Calidad",
   _xlfn.XLOOKUP(C497,Cartera1017[ID Mantenimiento],Cartera1017[Fin Calidad]),
IF(TRIM(D497)="Producción",
   _xlfn.XLOOKUP(C497,Cartera1017[ID Mantenimiento],Cartera1017[Fin Producción]),
""))))</f>
        <v>46129</v>
      </c>
    </row>
    <row r="498" spans="1:8" hidden="1" outlineLevel="1">
      <c r="A498" t="str">
        <f ca="1"/>
        <v>Finanzas y Tesorería</v>
      </c>
      <c r="B498" t="str">
        <f ca="1"/>
        <v>05. En Calidad</v>
      </c>
      <c r="C498" t="str">
        <f ca="1"/>
        <v>2025-M0574</v>
      </c>
      <c r="D498" t="str">
        <f ca="1"/>
        <v xml:space="preserve">   Calidad</v>
      </c>
      <c r="E498" s="255">
        <f ca="1"/>
        <v>0.7</v>
      </c>
      <c r="F498" s="255">
        <f ca="1"/>
        <v>1</v>
      </c>
      <c r="G498" s="356">
        <f ca="1">IF(TRIM(D498)=C498,
   _xlfn.XLOOKUP(C498, Cartera1017[ID Mantenimiento],Cartera1017[Comienzo Desarrollo]),
IF(TRIM(D498)="Desarrollo",
   _xlfn.XLOOKUP(C498,Cartera1017[ID Mantenimiento],Cartera1017[Comienzo Desarrollo]),
IF(TRIM(D498)="Calidad",
   _xlfn.XLOOKUP(C498,Cartera1017[ID Mantenimiento],Cartera1017[Comienzo Calidad]),
IF(TRIM(D498)="Producción",
   _xlfn.XLOOKUP(C498,Cartera1017[ID Mantenimiento],Cartera1017[Comienzo Producción]),
""))))</f>
        <v>46130</v>
      </c>
      <c r="H498" s="160">
        <f ca="1">IF(TRIM(D498)=C498,
   _xlfn.XLOOKUP(C498, Cartera1017[ID Mantenimiento],Cartera1017[Fin Producción]),
IF(TRIM(D498)="Desarrollo",
   _xlfn.XLOOKUP(C498,Cartera1017[ID Mantenimiento],Cartera1017[Fin Desarrollo]),
IF(TRIM(D498)="Calidad",
   _xlfn.XLOOKUP(C498,Cartera1017[ID Mantenimiento],Cartera1017[Fin Calidad]),
IF(TRIM(D498)="Producción",
   _xlfn.XLOOKUP(C498,Cartera1017[ID Mantenimiento],Cartera1017[Fin Producción]),
""))))</f>
        <v>46153</v>
      </c>
    </row>
    <row r="499" spans="1:8" hidden="1" outlineLevel="1">
      <c r="A499" t="str">
        <f ca="1"/>
        <v>Finanzas y Tesorería</v>
      </c>
      <c r="B499" t="str">
        <f ca="1"/>
        <v>05. En Calidad</v>
      </c>
      <c r="C499" t="str">
        <f ca="1"/>
        <v>2025-M0574</v>
      </c>
      <c r="D499" t="str">
        <f ca="1"/>
        <v xml:space="preserve">   Producción</v>
      </c>
      <c r="E499" s="255">
        <f ca="1"/>
        <v>0.7</v>
      </c>
      <c r="F499" s="255">
        <f ca="1"/>
        <v>1</v>
      </c>
      <c r="G499" s="356">
        <f ca="1">IF(TRIM(D499)=C499,
   _xlfn.XLOOKUP(C499, Cartera1017[ID Mantenimiento],Cartera1017[Comienzo Desarrollo]),
IF(TRIM(D499)="Desarrollo",
   _xlfn.XLOOKUP(C499,Cartera1017[ID Mantenimiento],Cartera1017[Comienzo Desarrollo]),
IF(TRIM(D499)="Calidad",
   _xlfn.XLOOKUP(C499,Cartera1017[ID Mantenimiento],Cartera1017[Comienzo Calidad]),
IF(TRIM(D499)="Producción",
   _xlfn.XLOOKUP(C499,Cartera1017[ID Mantenimiento],Cartera1017[Comienzo Producción]),
""))))</f>
        <v>46154</v>
      </c>
      <c r="H499" s="160">
        <f ca="1">IF(TRIM(D499)=C499,
   _xlfn.XLOOKUP(C499, Cartera1017[ID Mantenimiento],Cartera1017[Fin Producción]),
IF(TRIM(D499)="Desarrollo",
   _xlfn.XLOOKUP(C499,Cartera1017[ID Mantenimiento],Cartera1017[Fin Desarrollo]),
IF(TRIM(D499)="Calidad",
   _xlfn.XLOOKUP(C499,Cartera1017[ID Mantenimiento],Cartera1017[Fin Calidad]),
IF(TRIM(D499)="Producción",
   _xlfn.XLOOKUP(C499,Cartera1017[ID Mantenimiento],Cartera1017[Fin Producción]),
""))))</f>
        <v>46159</v>
      </c>
    </row>
    <row r="500" spans="1:8" hidden="1" collapsed="1">
      <c r="A500" t="str">
        <f ca="1"/>
        <v>Riesgos</v>
      </c>
      <c r="B500" t="str">
        <f ca="1"/>
        <v>05. En Calidad</v>
      </c>
      <c r="C500" t="str">
        <f ca="1"/>
        <v>2025-M0770</v>
      </c>
      <c r="D500" t="str">
        <f ca="1"/>
        <v>2025-M0770</v>
      </c>
      <c r="E500" s="255">
        <f ca="1"/>
        <v>0.7</v>
      </c>
      <c r="F500" s="255">
        <f ca="1"/>
        <v>0.9</v>
      </c>
      <c r="G500" s="356">
        <f ca="1">IF(TRIM(D500)=C500,
   _xlfn.XLOOKUP(C500, Cartera1017[ID Mantenimiento],Cartera1017[Comienzo Desarrollo]),
IF(TRIM(D500)="Desarrollo",
   _xlfn.XLOOKUP(C500,Cartera1017[ID Mantenimiento],Cartera1017[Comienzo Desarrollo]),
IF(TRIM(D500)="Calidad",
   _xlfn.XLOOKUP(C500,Cartera1017[ID Mantenimiento],Cartera1017[Comienzo Calidad]),
IF(TRIM(D500)="Producción",
   _xlfn.XLOOKUP(C500,Cartera1017[ID Mantenimiento],Cartera1017[Comienzo Producción]),
""))))</f>
        <v>46083</v>
      </c>
      <c r="H500" s="160">
        <f ca="1">IF(TRIM(D500)=C500,
   _xlfn.XLOOKUP(C500, Cartera1017[ID Mantenimiento],Cartera1017[Fin Producción]),
IF(TRIM(D500)="Desarrollo",
   _xlfn.XLOOKUP(C500,Cartera1017[ID Mantenimiento],Cartera1017[Fin Desarrollo]),
IF(TRIM(D500)="Calidad",
   _xlfn.XLOOKUP(C500,Cartera1017[ID Mantenimiento],Cartera1017[Fin Calidad]),
IF(TRIM(D500)="Producción",
   _xlfn.XLOOKUP(C500,Cartera1017[ID Mantenimiento],Cartera1017[Fin Producción]),
""))))</f>
        <v>46142</v>
      </c>
    </row>
    <row r="501" spans="1:8" hidden="1" outlineLevel="1">
      <c r="A501" t="str">
        <f ca="1"/>
        <v>Riesgos</v>
      </c>
      <c r="B501" t="str">
        <f ca="1"/>
        <v>05. En Calidad</v>
      </c>
      <c r="C501" t="str">
        <f ca="1"/>
        <v>2025-M0770</v>
      </c>
      <c r="D501" t="str">
        <f ca="1"/>
        <v xml:space="preserve">   Desarrollo</v>
      </c>
      <c r="E501" s="255">
        <f ca="1"/>
        <v>0.7</v>
      </c>
      <c r="F501" s="255">
        <f ca="1"/>
        <v>0.9</v>
      </c>
      <c r="G501" s="356">
        <f ca="1">IF(TRIM(D501)=C501,
   _xlfn.XLOOKUP(C501, Cartera1017[ID Mantenimiento],Cartera1017[Comienzo Desarrollo]),
IF(TRIM(D501)="Desarrollo",
   _xlfn.XLOOKUP(C501,Cartera1017[ID Mantenimiento],Cartera1017[Comienzo Desarrollo]),
IF(TRIM(D501)="Calidad",
   _xlfn.XLOOKUP(C501,Cartera1017[ID Mantenimiento],Cartera1017[Comienzo Calidad]),
IF(TRIM(D501)="Producción",
   _xlfn.XLOOKUP(C501,Cartera1017[ID Mantenimiento],Cartera1017[Comienzo Producción]),
""))))</f>
        <v>46083</v>
      </c>
      <c r="H501" s="160">
        <f ca="1">IF(TRIM(D501)=C501,
   _xlfn.XLOOKUP(C501, Cartera1017[ID Mantenimiento],Cartera1017[Fin Producción]),
IF(TRIM(D501)="Desarrollo",
   _xlfn.XLOOKUP(C501,Cartera1017[ID Mantenimiento],Cartera1017[Fin Desarrollo]),
IF(TRIM(D501)="Calidad",
   _xlfn.XLOOKUP(C501,Cartera1017[ID Mantenimiento],Cartera1017[Fin Calidad]),
IF(TRIM(D501)="Producción",
   _xlfn.XLOOKUP(C501,Cartera1017[ID Mantenimiento],Cartera1017[Fin Producción]),
""))))</f>
        <v>46100</v>
      </c>
    </row>
    <row r="502" spans="1:8" hidden="1" outlineLevel="1">
      <c r="A502" t="str">
        <f ca="1"/>
        <v>Riesgos</v>
      </c>
      <c r="B502" t="str">
        <f ca="1"/>
        <v>05. En Calidad</v>
      </c>
      <c r="C502" t="str">
        <f ca="1"/>
        <v>2025-M0770</v>
      </c>
      <c r="D502" t="str">
        <f ca="1"/>
        <v xml:space="preserve">   Calidad</v>
      </c>
      <c r="E502" s="255">
        <f ca="1"/>
        <v>0.7</v>
      </c>
      <c r="F502" s="255">
        <f ca="1"/>
        <v>0.9</v>
      </c>
      <c r="G502" s="356">
        <f ca="1">IF(TRIM(D502)=C502,
   _xlfn.XLOOKUP(C502, Cartera1017[ID Mantenimiento],Cartera1017[Comienzo Desarrollo]),
IF(TRIM(D502)="Desarrollo",
   _xlfn.XLOOKUP(C502,Cartera1017[ID Mantenimiento],Cartera1017[Comienzo Desarrollo]),
IF(TRIM(D502)="Calidad",
   _xlfn.XLOOKUP(C502,Cartera1017[ID Mantenimiento],Cartera1017[Comienzo Calidad]),
IF(TRIM(D502)="Producción",
   _xlfn.XLOOKUP(C502,Cartera1017[ID Mantenimiento],Cartera1017[Comienzo Producción]),
""))))</f>
        <v>46100</v>
      </c>
      <c r="H502" s="160">
        <f ca="1">IF(TRIM(D502)=C502,
   _xlfn.XLOOKUP(C502, Cartera1017[ID Mantenimiento],Cartera1017[Fin Producción]),
IF(TRIM(D502)="Desarrollo",
   _xlfn.XLOOKUP(C502,Cartera1017[ID Mantenimiento],Cartera1017[Fin Desarrollo]),
IF(TRIM(D502)="Calidad",
   _xlfn.XLOOKUP(C502,Cartera1017[ID Mantenimiento],Cartera1017[Fin Calidad]),
IF(TRIM(D502)="Producción",
   _xlfn.XLOOKUP(C502,Cartera1017[ID Mantenimiento],Cartera1017[Fin Producción]),
""))))</f>
        <v>46127</v>
      </c>
    </row>
    <row r="503" spans="1:8" hidden="1" outlineLevel="1">
      <c r="A503" t="str">
        <f ca="1"/>
        <v>Riesgos</v>
      </c>
      <c r="B503" t="str">
        <f ca="1"/>
        <v>05. En Calidad</v>
      </c>
      <c r="C503" t="str">
        <f ca="1"/>
        <v>2025-M0770</v>
      </c>
      <c r="D503" t="str">
        <f ca="1"/>
        <v xml:space="preserve">   Producción</v>
      </c>
      <c r="E503" s="255">
        <f ca="1"/>
        <v>0.7</v>
      </c>
      <c r="F503" s="255">
        <f ca="1"/>
        <v>0.9</v>
      </c>
      <c r="G503" s="356">
        <f ca="1">IF(TRIM(D503)=C503,
   _xlfn.XLOOKUP(C503, Cartera1017[ID Mantenimiento],Cartera1017[Comienzo Desarrollo]),
IF(TRIM(D503)="Desarrollo",
   _xlfn.XLOOKUP(C503,Cartera1017[ID Mantenimiento],Cartera1017[Comienzo Desarrollo]),
IF(TRIM(D503)="Calidad",
   _xlfn.XLOOKUP(C503,Cartera1017[ID Mantenimiento],Cartera1017[Comienzo Calidad]),
IF(TRIM(D503)="Producción",
   _xlfn.XLOOKUP(C503,Cartera1017[ID Mantenimiento],Cartera1017[Comienzo Producción]),
""))))</f>
        <v>46127</v>
      </c>
      <c r="H503" s="160">
        <f ca="1">IF(TRIM(D503)=C503,
   _xlfn.XLOOKUP(C503, Cartera1017[ID Mantenimiento],Cartera1017[Fin Producción]),
IF(TRIM(D503)="Desarrollo",
   _xlfn.XLOOKUP(C503,Cartera1017[ID Mantenimiento],Cartera1017[Fin Desarrollo]),
IF(TRIM(D503)="Calidad",
   _xlfn.XLOOKUP(C503,Cartera1017[ID Mantenimiento],Cartera1017[Fin Calidad]),
IF(TRIM(D503)="Producción",
   _xlfn.XLOOKUP(C503,Cartera1017[ID Mantenimiento],Cartera1017[Fin Producción]),
""))))</f>
        <v>46142</v>
      </c>
    </row>
    <row r="504" spans="1:8" hidden="1" collapsed="1">
      <c r="A504" t="str">
        <f ca="1"/>
        <v>Banca Digital</v>
      </c>
      <c r="B504" t="str">
        <f ca="1"/>
        <v>07. En Despliegue</v>
      </c>
      <c r="C504" t="str">
        <f ca="1"/>
        <v>2025-M0598</v>
      </c>
      <c r="D504" t="str">
        <f ca="1"/>
        <v>2025-M0598</v>
      </c>
      <c r="E504" s="255">
        <f ca="1"/>
        <v>0.9</v>
      </c>
      <c r="F504" s="255">
        <f ca="1"/>
        <v>1</v>
      </c>
      <c r="G504" s="356">
        <f ca="1">IF(TRIM(D504)=C504,
   _xlfn.XLOOKUP(C504, Cartera1017[ID Mantenimiento],Cartera1017[Comienzo Desarrollo]),
IF(TRIM(D504)="Desarrollo",
   _xlfn.XLOOKUP(C504,Cartera1017[ID Mantenimiento],Cartera1017[Comienzo Desarrollo]),
IF(TRIM(D504)="Calidad",
   _xlfn.XLOOKUP(C504,Cartera1017[ID Mantenimiento],Cartera1017[Comienzo Calidad]),
IF(TRIM(D504)="Producción",
   _xlfn.XLOOKUP(C504,Cartera1017[ID Mantenimiento],Cartera1017[Comienzo Producción]),
""))))</f>
        <v>45901</v>
      </c>
      <c r="H504" s="160">
        <f ca="1">IF(TRIM(D504)=C504,
   _xlfn.XLOOKUP(C504, Cartera1017[ID Mantenimiento],Cartera1017[Fin Producción]),
IF(TRIM(D504)="Desarrollo",
   _xlfn.XLOOKUP(C504,Cartera1017[ID Mantenimiento],Cartera1017[Fin Desarrollo]),
IF(TRIM(D504)="Calidad",
   _xlfn.XLOOKUP(C504,Cartera1017[ID Mantenimiento],Cartera1017[Fin Calidad]),
IF(TRIM(D504)="Producción",
   _xlfn.XLOOKUP(C504,Cartera1017[ID Mantenimiento],Cartera1017[Fin Producción]),
""))))</f>
        <v>46142</v>
      </c>
    </row>
    <row r="505" spans="1:8" hidden="1" outlineLevel="1">
      <c r="A505" t="str">
        <f ca="1"/>
        <v>Banca Digital</v>
      </c>
      <c r="B505" t="str">
        <f ca="1"/>
        <v>07. En Despliegue</v>
      </c>
      <c r="C505" t="str">
        <f ca="1"/>
        <v>2025-M0598</v>
      </c>
      <c r="D505" t="str">
        <f ca="1"/>
        <v xml:space="preserve">   Desarrollo</v>
      </c>
      <c r="E505" s="255">
        <f ca="1"/>
        <v>0.9</v>
      </c>
      <c r="F505" s="255">
        <f ca="1"/>
        <v>1</v>
      </c>
      <c r="G505" s="356">
        <f ca="1">IF(TRIM(D505)=C505,
   _xlfn.XLOOKUP(C505, Cartera1017[ID Mantenimiento],Cartera1017[Comienzo Desarrollo]),
IF(TRIM(D505)="Desarrollo",
   _xlfn.XLOOKUP(C505,Cartera1017[ID Mantenimiento],Cartera1017[Comienzo Desarrollo]),
IF(TRIM(D505)="Calidad",
   _xlfn.XLOOKUP(C505,Cartera1017[ID Mantenimiento],Cartera1017[Comienzo Calidad]),
IF(TRIM(D505)="Producción",
   _xlfn.XLOOKUP(C505,Cartera1017[ID Mantenimiento],Cartera1017[Comienzo Producción]),
""))))</f>
        <v>45901</v>
      </c>
      <c r="H505" s="160">
        <f ca="1">IF(TRIM(D505)=C505,
   _xlfn.XLOOKUP(C505, Cartera1017[ID Mantenimiento],Cartera1017[Fin Producción]),
IF(TRIM(D505)="Desarrollo",
   _xlfn.XLOOKUP(C505,Cartera1017[ID Mantenimiento],Cartera1017[Fin Desarrollo]),
IF(TRIM(D505)="Calidad",
   _xlfn.XLOOKUP(C505,Cartera1017[ID Mantenimiento],Cartera1017[Fin Calidad]),
IF(TRIM(D505)="Producción",
   _xlfn.XLOOKUP(C505,Cartera1017[ID Mantenimiento],Cartera1017[Fin Producción]),
""))))</f>
        <v>46030</v>
      </c>
    </row>
    <row r="506" spans="1:8" hidden="1" outlineLevel="1">
      <c r="A506" t="str">
        <f ca="1"/>
        <v>Banca Digital</v>
      </c>
      <c r="B506" t="str">
        <f ca="1"/>
        <v>07. En Despliegue</v>
      </c>
      <c r="C506" t="str">
        <f ca="1"/>
        <v>2025-M0598</v>
      </c>
      <c r="D506" t="str">
        <f ca="1"/>
        <v xml:space="preserve">   Calidad</v>
      </c>
      <c r="E506" s="255">
        <f ca="1"/>
        <v>0.9</v>
      </c>
      <c r="F506" s="255">
        <f ca="1"/>
        <v>1</v>
      </c>
      <c r="G506" s="356">
        <f ca="1">IF(TRIM(D506)=C506,
   _xlfn.XLOOKUP(C506, Cartera1017[ID Mantenimiento],Cartera1017[Comienzo Desarrollo]),
IF(TRIM(D506)="Desarrollo",
   _xlfn.XLOOKUP(C506,Cartera1017[ID Mantenimiento],Cartera1017[Comienzo Desarrollo]),
IF(TRIM(D506)="Calidad",
   _xlfn.XLOOKUP(C506,Cartera1017[ID Mantenimiento],Cartera1017[Comienzo Calidad]),
IF(TRIM(D506)="Producción",
   _xlfn.XLOOKUP(C506,Cartera1017[ID Mantenimiento],Cartera1017[Comienzo Producción]),
""))))</f>
        <v>46050</v>
      </c>
      <c r="H506" s="160">
        <f ca="1">IF(TRIM(D506)=C506,
   _xlfn.XLOOKUP(C506, Cartera1017[ID Mantenimiento],Cartera1017[Fin Producción]),
IF(TRIM(D506)="Desarrollo",
   _xlfn.XLOOKUP(C506,Cartera1017[ID Mantenimiento],Cartera1017[Fin Desarrollo]),
IF(TRIM(D506)="Calidad",
   _xlfn.XLOOKUP(C506,Cartera1017[ID Mantenimiento],Cartera1017[Fin Calidad]),
IF(TRIM(D506)="Producción",
   _xlfn.XLOOKUP(C506,Cartera1017[ID Mantenimiento],Cartera1017[Fin Producción]),
""))))</f>
        <v>46098</v>
      </c>
    </row>
    <row r="507" spans="1:8" hidden="1" outlineLevel="1">
      <c r="A507" t="str">
        <f ca="1"/>
        <v>Banca Digital</v>
      </c>
      <c r="B507" t="str">
        <f ca="1"/>
        <v>07. En Despliegue</v>
      </c>
      <c r="C507" t="str">
        <f ca="1"/>
        <v>2025-M0598</v>
      </c>
      <c r="D507" t="str">
        <f ca="1"/>
        <v xml:space="preserve">   Producción</v>
      </c>
      <c r="E507" s="255">
        <f ca="1"/>
        <v>0.9</v>
      </c>
      <c r="F507" s="255">
        <f ca="1"/>
        <v>1</v>
      </c>
      <c r="G507" s="356">
        <f ca="1">IF(TRIM(D507)=C507,
   _xlfn.XLOOKUP(C507, Cartera1017[ID Mantenimiento],Cartera1017[Comienzo Desarrollo]),
IF(TRIM(D507)="Desarrollo",
   _xlfn.XLOOKUP(C507,Cartera1017[ID Mantenimiento],Cartera1017[Comienzo Desarrollo]),
IF(TRIM(D507)="Calidad",
   _xlfn.XLOOKUP(C507,Cartera1017[ID Mantenimiento],Cartera1017[Comienzo Calidad]),
IF(TRIM(D507)="Producción",
   _xlfn.XLOOKUP(C507,Cartera1017[ID Mantenimiento],Cartera1017[Comienzo Producción]),
""))))</f>
        <v>46099</v>
      </c>
      <c r="H507" s="160">
        <f ca="1">IF(TRIM(D507)=C507,
   _xlfn.XLOOKUP(C507, Cartera1017[ID Mantenimiento],Cartera1017[Fin Producción]),
IF(TRIM(D507)="Desarrollo",
   _xlfn.XLOOKUP(C507,Cartera1017[ID Mantenimiento],Cartera1017[Fin Desarrollo]),
IF(TRIM(D507)="Calidad",
   _xlfn.XLOOKUP(C507,Cartera1017[ID Mantenimiento],Cartera1017[Fin Calidad]),
IF(TRIM(D507)="Producción",
   _xlfn.XLOOKUP(C507,Cartera1017[ID Mantenimiento],Cartera1017[Fin Producción]),
""))))</f>
        <v>46142</v>
      </c>
    </row>
    <row r="508" spans="1:8" hidden="1" collapsed="1">
      <c r="A508" t="str">
        <f ca="1"/>
        <v>Riesgos</v>
      </c>
      <c r="B508" t="str">
        <f ca="1"/>
        <v>08. Producción Finalizada</v>
      </c>
      <c r="C508" t="str">
        <f ca="1"/>
        <v>2025-M0556</v>
      </c>
      <c r="D508" t="str">
        <f ca="1"/>
        <v>2025-M0556</v>
      </c>
      <c r="E508" s="255">
        <f ca="1"/>
        <v>1</v>
      </c>
      <c r="F508" s="255">
        <f ca="1"/>
        <v>1</v>
      </c>
      <c r="G508" s="356">
        <f ca="1">IF(TRIM(D508)=C508,
   _xlfn.XLOOKUP(C508, Cartera1017[ID Mantenimiento],Cartera1017[Comienzo Desarrollo]),
IF(TRIM(D508)="Desarrollo",
   _xlfn.XLOOKUP(C508,Cartera1017[ID Mantenimiento],Cartera1017[Comienzo Desarrollo]),
IF(TRIM(D508)="Calidad",
   _xlfn.XLOOKUP(C508,Cartera1017[ID Mantenimiento],Cartera1017[Comienzo Calidad]),
IF(TRIM(D508)="Producción",
   _xlfn.XLOOKUP(C508,Cartera1017[ID Mantenimiento],Cartera1017[Comienzo Producción]),
""))))</f>
        <v>45883</v>
      </c>
      <c r="H508" s="160">
        <f ca="1">IF(TRIM(D508)=C508,
   _xlfn.XLOOKUP(C508, Cartera1017[ID Mantenimiento],Cartera1017[Fin Producción]),
IF(TRIM(D508)="Desarrollo",
   _xlfn.XLOOKUP(C508,Cartera1017[ID Mantenimiento],Cartera1017[Fin Desarrollo]),
IF(TRIM(D508)="Calidad",
   _xlfn.XLOOKUP(C508,Cartera1017[ID Mantenimiento],Cartera1017[Fin Calidad]),
IF(TRIM(D508)="Producción",
   _xlfn.XLOOKUP(C508,Cartera1017[ID Mantenimiento],Cartera1017[Fin Producción]),
""))))</f>
        <v>46057</v>
      </c>
    </row>
    <row r="509" spans="1:8" hidden="1" outlineLevel="1">
      <c r="A509" t="str">
        <f ca="1"/>
        <v>Riesgos</v>
      </c>
      <c r="B509" t="str">
        <f ca="1"/>
        <v>08. Producción Finalizada</v>
      </c>
      <c r="C509" t="str">
        <f ca="1"/>
        <v>2025-M0556</v>
      </c>
      <c r="D509" t="str">
        <f ca="1"/>
        <v xml:space="preserve">   Desarrollo</v>
      </c>
      <c r="E509" s="255">
        <f ca="1"/>
        <v>1</v>
      </c>
      <c r="F509" s="255">
        <f ca="1"/>
        <v>1</v>
      </c>
      <c r="G509" s="356">
        <f ca="1">IF(TRIM(D509)=C509,
   _xlfn.XLOOKUP(C509, Cartera1017[ID Mantenimiento],Cartera1017[Comienzo Desarrollo]),
IF(TRIM(D509)="Desarrollo",
   _xlfn.XLOOKUP(C509,Cartera1017[ID Mantenimiento],Cartera1017[Comienzo Desarrollo]),
IF(TRIM(D509)="Calidad",
   _xlfn.XLOOKUP(C509,Cartera1017[ID Mantenimiento],Cartera1017[Comienzo Calidad]),
IF(TRIM(D509)="Producción",
   _xlfn.XLOOKUP(C509,Cartera1017[ID Mantenimiento],Cartera1017[Comienzo Producción]),
""))))</f>
        <v>45883</v>
      </c>
      <c r="H509" s="160">
        <f ca="1">IF(TRIM(D509)=C509,
   _xlfn.XLOOKUP(C509, Cartera1017[ID Mantenimiento],Cartera1017[Fin Producción]),
IF(TRIM(D509)="Desarrollo",
   _xlfn.XLOOKUP(C509,Cartera1017[ID Mantenimiento],Cartera1017[Fin Desarrollo]),
IF(TRIM(D509)="Calidad",
   _xlfn.XLOOKUP(C509,Cartera1017[ID Mantenimiento],Cartera1017[Fin Calidad]),
IF(TRIM(D509)="Producción",
   _xlfn.XLOOKUP(C509,Cartera1017[ID Mantenimiento],Cartera1017[Fin Producción]),
""))))</f>
        <v>45968</v>
      </c>
    </row>
    <row r="510" spans="1:8" hidden="1" outlineLevel="1">
      <c r="A510" t="str">
        <f ca="1"/>
        <v>Riesgos</v>
      </c>
      <c r="B510" t="str">
        <f ca="1"/>
        <v>08. Producción Finalizada</v>
      </c>
      <c r="C510" t="str">
        <f ca="1"/>
        <v>2025-M0556</v>
      </c>
      <c r="D510" t="str">
        <f ca="1"/>
        <v xml:space="preserve">   Calidad</v>
      </c>
      <c r="E510" s="255">
        <f ca="1"/>
        <v>1</v>
      </c>
      <c r="F510" s="255">
        <f ca="1"/>
        <v>1</v>
      </c>
      <c r="G510" s="356">
        <f ca="1">IF(TRIM(D510)=C510,
   _xlfn.XLOOKUP(C510, Cartera1017[ID Mantenimiento],Cartera1017[Comienzo Desarrollo]),
IF(TRIM(D510)="Desarrollo",
   _xlfn.XLOOKUP(C510,Cartera1017[ID Mantenimiento],Cartera1017[Comienzo Desarrollo]),
IF(TRIM(D510)="Calidad",
   _xlfn.XLOOKUP(C510,Cartera1017[ID Mantenimiento],Cartera1017[Comienzo Calidad]),
IF(TRIM(D510)="Producción",
   _xlfn.XLOOKUP(C510,Cartera1017[ID Mantenimiento],Cartera1017[Comienzo Producción]),
""))))</f>
        <v>45972</v>
      </c>
      <c r="H510" s="160">
        <f ca="1">IF(TRIM(D510)=C510,
   _xlfn.XLOOKUP(C510, Cartera1017[ID Mantenimiento],Cartera1017[Fin Producción]),
IF(TRIM(D510)="Desarrollo",
   _xlfn.XLOOKUP(C510,Cartera1017[ID Mantenimiento],Cartera1017[Fin Desarrollo]),
IF(TRIM(D510)="Calidad",
   _xlfn.XLOOKUP(C510,Cartera1017[ID Mantenimiento],Cartera1017[Fin Calidad]),
IF(TRIM(D510)="Producción",
   _xlfn.XLOOKUP(C510,Cartera1017[ID Mantenimiento],Cartera1017[Fin Producción]),
""))))</f>
        <v>45994</v>
      </c>
    </row>
    <row r="511" spans="1:8" hidden="1" outlineLevel="1">
      <c r="A511" t="str">
        <f ca="1"/>
        <v>Riesgos</v>
      </c>
      <c r="B511" t="str">
        <f ca="1"/>
        <v>08. Producción Finalizada</v>
      </c>
      <c r="C511" t="str">
        <f ca="1"/>
        <v>2025-M0556</v>
      </c>
      <c r="D511" t="str">
        <f ca="1"/>
        <v xml:space="preserve">   Producción</v>
      </c>
      <c r="E511" s="255">
        <f ca="1"/>
        <v>1</v>
      </c>
      <c r="F511" s="255">
        <f ca="1"/>
        <v>1</v>
      </c>
      <c r="G511" s="356">
        <f ca="1">IF(TRIM(D511)=C511,
   _xlfn.XLOOKUP(C511, Cartera1017[ID Mantenimiento],Cartera1017[Comienzo Desarrollo]),
IF(TRIM(D511)="Desarrollo",
   _xlfn.XLOOKUP(C511,Cartera1017[ID Mantenimiento],Cartera1017[Comienzo Desarrollo]),
IF(TRIM(D511)="Calidad",
   _xlfn.XLOOKUP(C511,Cartera1017[ID Mantenimiento],Cartera1017[Comienzo Calidad]),
IF(TRIM(D511)="Producción",
   _xlfn.XLOOKUP(C511,Cartera1017[ID Mantenimiento],Cartera1017[Comienzo Producción]),
""))))</f>
        <v>46029</v>
      </c>
      <c r="H511" s="160">
        <f ca="1">IF(TRIM(D511)=C511,
   _xlfn.XLOOKUP(C511, Cartera1017[ID Mantenimiento],Cartera1017[Fin Producción]),
IF(TRIM(D511)="Desarrollo",
   _xlfn.XLOOKUP(C511,Cartera1017[ID Mantenimiento],Cartera1017[Fin Desarrollo]),
IF(TRIM(D511)="Calidad",
   _xlfn.XLOOKUP(C511,Cartera1017[ID Mantenimiento],Cartera1017[Fin Calidad]),
IF(TRIM(D511)="Producción",
   _xlfn.XLOOKUP(C511,Cartera1017[ID Mantenimiento],Cartera1017[Fin Producción]),
""))))</f>
        <v>46057</v>
      </c>
    </row>
    <row r="512" spans="1:8" hidden="1" collapsed="1">
      <c r="A512" t="str">
        <f ca="1"/>
        <v>Banca Digital</v>
      </c>
      <c r="B512" t="str">
        <f ca="1"/>
        <v>03. En Desarrollo</v>
      </c>
      <c r="C512" t="str">
        <f ca="1"/>
        <v>2025-M0575</v>
      </c>
      <c r="D512" t="str">
        <f ca="1"/>
        <v>2025-M0575</v>
      </c>
      <c r="E512" s="255">
        <f ca="1"/>
        <v>0.25</v>
      </c>
      <c r="F512" s="255">
        <f ca="1"/>
        <v>0.96610169491525422</v>
      </c>
      <c r="G512" s="356">
        <f ca="1">IF(TRIM(D512)=C512,
   _xlfn.XLOOKUP(C512, Cartera1017[ID Mantenimiento],Cartera1017[Comienzo Desarrollo]),
IF(TRIM(D512)="Desarrollo",
   _xlfn.XLOOKUP(C512,Cartera1017[ID Mantenimiento],Cartera1017[Comienzo Desarrollo]),
IF(TRIM(D512)="Calidad",
   _xlfn.XLOOKUP(C512,Cartera1017[ID Mantenimiento],Cartera1017[Comienzo Calidad]),
IF(TRIM(D512)="Producción",
   _xlfn.XLOOKUP(C512,Cartera1017[ID Mantenimiento],Cartera1017[Comienzo Producción]),
""))))</f>
        <v>46083</v>
      </c>
      <c r="H512" s="160">
        <f ca="1">IF(TRIM(D512)=C512,
   _xlfn.XLOOKUP(C512, Cartera1017[ID Mantenimiento],Cartera1017[Fin Producción]),
IF(TRIM(D512)="Desarrollo",
   _xlfn.XLOOKUP(C512,Cartera1017[ID Mantenimiento],Cartera1017[Fin Desarrollo]),
IF(TRIM(D512)="Calidad",
   _xlfn.XLOOKUP(C512,Cartera1017[ID Mantenimiento],Cartera1017[Fin Calidad]),
IF(TRIM(D512)="Producción",
   _xlfn.XLOOKUP(C512,Cartera1017[ID Mantenimiento],Cartera1017[Fin Producción]),
""))))</f>
        <v>46164</v>
      </c>
    </row>
    <row r="513" spans="1:8" hidden="1" outlineLevel="1">
      <c r="A513" t="str">
        <f ca="1"/>
        <v>Banca Digital</v>
      </c>
      <c r="B513" t="str">
        <f ca="1"/>
        <v>03. En Desarrollo</v>
      </c>
      <c r="C513" t="str">
        <f ca="1"/>
        <v>2025-M0575</v>
      </c>
      <c r="D513" t="str">
        <f ca="1"/>
        <v xml:space="preserve">   Desarrollo</v>
      </c>
      <c r="E513" s="255">
        <f ca="1"/>
        <v>0.25</v>
      </c>
      <c r="F513" s="255">
        <f ca="1"/>
        <v>0.96610169491525422</v>
      </c>
      <c r="G513" s="356">
        <f ca="1">IF(TRIM(D513)=C513,
   _xlfn.XLOOKUP(C513, Cartera1017[ID Mantenimiento],Cartera1017[Comienzo Desarrollo]),
IF(TRIM(D513)="Desarrollo",
   _xlfn.XLOOKUP(C513,Cartera1017[ID Mantenimiento],Cartera1017[Comienzo Desarrollo]),
IF(TRIM(D513)="Calidad",
   _xlfn.XLOOKUP(C513,Cartera1017[ID Mantenimiento],Cartera1017[Comienzo Calidad]),
IF(TRIM(D513)="Producción",
   _xlfn.XLOOKUP(C513,Cartera1017[ID Mantenimiento],Cartera1017[Comienzo Producción]),
""))))</f>
        <v>46083</v>
      </c>
      <c r="H513" s="160">
        <f ca="1">IF(TRIM(D513)=C513,
   _xlfn.XLOOKUP(C513, Cartera1017[ID Mantenimiento],Cartera1017[Fin Producción]),
IF(TRIM(D513)="Desarrollo",
   _xlfn.XLOOKUP(C513,Cartera1017[ID Mantenimiento],Cartera1017[Fin Desarrollo]),
IF(TRIM(D513)="Calidad",
   _xlfn.XLOOKUP(C513,Cartera1017[ID Mantenimiento],Cartera1017[Fin Calidad]),
IF(TRIM(D513)="Producción",
   _xlfn.XLOOKUP(C513,Cartera1017[ID Mantenimiento],Cartera1017[Fin Producción]),
""))))</f>
        <v>46112</v>
      </c>
    </row>
    <row r="514" spans="1:8" hidden="1" outlineLevel="1">
      <c r="A514" t="str">
        <f ca="1"/>
        <v>Banca Digital</v>
      </c>
      <c r="B514" t="str">
        <f ca="1"/>
        <v>03. En Desarrollo</v>
      </c>
      <c r="C514" t="str">
        <f ca="1"/>
        <v>2025-M0575</v>
      </c>
      <c r="D514" t="str">
        <f ca="1"/>
        <v xml:space="preserve">   Calidad</v>
      </c>
      <c r="E514" s="255">
        <f ca="1"/>
        <v>0.25</v>
      </c>
      <c r="F514" s="255">
        <f ca="1"/>
        <v>0.96610169491525422</v>
      </c>
      <c r="G514" s="356">
        <f ca="1">IF(TRIM(D514)=C514,
   _xlfn.XLOOKUP(C514, Cartera1017[ID Mantenimiento],Cartera1017[Comienzo Desarrollo]),
IF(TRIM(D514)="Desarrollo",
   _xlfn.XLOOKUP(C514,Cartera1017[ID Mantenimiento],Cartera1017[Comienzo Desarrollo]),
IF(TRIM(D514)="Calidad",
   _xlfn.XLOOKUP(C514,Cartera1017[ID Mantenimiento],Cartera1017[Comienzo Calidad]),
IF(TRIM(D514)="Producción",
   _xlfn.XLOOKUP(C514,Cartera1017[ID Mantenimiento],Cartera1017[Comienzo Producción]),
""))))</f>
        <v>46113</v>
      </c>
      <c r="H514" s="160">
        <f ca="1">IF(TRIM(D514)=C514,
   _xlfn.XLOOKUP(C514, Cartera1017[ID Mantenimiento],Cartera1017[Fin Producción]),
IF(TRIM(D514)="Desarrollo",
   _xlfn.XLOOKUP(C514,Cartera1017[ID Mantenimiento],Cartera1017[Fin Desarrollo]),
IF(TRIM(D514)="Calidad",
   _xlfn.XLOOKUP(C514,Cartera1017[ID Mantenimiento],Cartera1017[Fin Calidad]),
IF(TRIM(D514)="Producción",
   _xlfn.XLOOKUP(C514,Cartera1017[ID Mantenimiento],Cartera1017[Fin Producción]),
""))))</f>
        <v>46150</v>
      </c>
    </row>
    <row r="515" spans="1:8" hidden="1" outlineLevel="1">
      <c r="A515" t="str">
        <f ca="1"/>
        <v>Banca Digital</v>
      </c>
      <c r="B515" t="str">
        <f ca="1"/>
        <v>03. En Desarrollo</v>
      </c>
      <c r="C515" t="str">
        <f ca="1"/>
        <v>2025-M0575</v>
      </c>
      <c r="D515" t="str">
        <f ca="1"/>
        <v xml:space="preserve">   Producción</v>
      </c>
      <c r="E515" s="255">
        <f ca="1"/>
        <v>0.25</v>
      </c>
      <c r="F515" s="255">
        <f ca="1"/>
        <v>0.96610169491525422</v>
      </c>
      <c r="G515" s="356">
        <f ca="1">IF(TRIM(D515)=C515,
   _xlfn.XLOOKUP(C515, Cartera1017[ID Mantenimiento],Cartera1017[Comienzo Desarrollo]),
IF(TRIM(D515)="Desarrollo",
   _xlfn.XLOOKUP(C515,Cartera1017[ID Mantenimiento],Cartera1017[Comienzo Desarrollo]),
IF(TRIM(D515)="Calidad",
   _xlfn.XLOOKUP(C515,Cartera1017[ID Mantenimiento],Cartera1017[Comienzo Calidad]),
IF(TRIM(D515)="Producción",
   _xlfn.XLOOKUP(C515,Cartera1017[ID Mantenimiento],Cartera1017[Comienzo Producción]),
""))))</f>
        <v>46153</v>
      </c>
      <c r="H515" s="160">
        <f ca="1">IF(TRIM(D515)=C515,
   _xlfn.XLOOKUP(C515, Cartera1017[ID Mantenimiento],Cartera1017[Fin Producción]),
IF(TRIM(D515)="Desarrollo",
   _xlfn.XLOOKUP(C515,Cartera1017[ID Mantenimiento],Cartera1017[Fin Desarrollo]),
IF(TRIM(D515)="Calidad",
   _xlfn.XLOOKUP(C515,Cartera1017[ID Mantenimiento],Cartera1017[Fin Calidad]),
IF(TRIM(D515)="Producción",
   _xlfn.XLOOKUP(C515,Cartera1017[ID Mantenimiento],Cartera1017[Fin Producción]),
""))))</f>
        <v>46164</v>
      </c>
    </row>
    <row r="516" spans="1:8" hidden="1" collapsed="1">
      <c r="A516" t="str">
        <f ca="1"/>
        <v>Banca Digital</v>
      </c>
      <c r="B516" t="str">
        <f ca="1"/>
        <v>08. Producción Finalizada</v>
      </c>
      <c r="C516" t="str">
        <f ca="1"/>
        <v>2025-M0579</v>
      </c>
      <c r="D516" t="str">
        <f ca="1"/>
        <v>2025-M0579</v>
      </c>
      <c r="E516" s="255">
        <f ca="1"/>
        <v>1</v>
      </c>
      <c r="F516" s="255">
        <f ca="1"/>
        <v>1</v>
      </c>
      <c r="G516" s="356">
        <f ca="1">IF(TRIM(D516)=C516,
   _xlfn.XLOOKUP(C516, Cartera1017[ID Mantenimiento],Cartera1017[Comienzo Desarrollo]),
IF(TRIM(D516)="Desarrollo",
   _xlfn.XLOOKUP(C516,Cartera1017[ID Mantenimiento],Cartera1017[Comienzo Desarrollo]),
IF(TRIM(D516)="Calidad",
   _xlfn.XLOOKUP(C516,Cartera1017[ID Mantenimiento],Cartera1017[Comienzo Calidad]),
IF(TRIM(D516)="Producción",
   _xlfn.XLOOKUP(C516,Cartera1017[ID Mantenimiento],Cartera1017[Comienzo Producción]),
""))))</f>
        <v>45891</v>
      </c>
      <c r="H516" s="160">
        <f ca="1">IF(TRIM(D516)=C516,
   _xlfn.XLOOKUP(C516, Cartera1017[ID Mantenimiento],Cartera1017[Fin Producción]),
IF(TRIM(D516)="Desarrollo",
   _xlfn.XLOOKUP(C516,Cartera1017[ID Mantenimiento],Cartera1017[Fin Desarrollo]),
IF(TRIM(D516)="Calidad",
   _xlfn.XLOOKUP(C516,Cartera1017[ID Mantenimiento],Cartera1017[Fin Calidad]),
IF(TRIM(D516)="Producción",
   _xlfn.XLOOKUP(C516,Cartera1017[ID Mantenimiento],Cartera1017[Fin Producción]),
""))))</f>
        <v>46035</v>
      </c>
    </row>
    <row r="517" spans="1:8" hidden="1" outlineLevel="1">
      <c r="A517" t="str">
        <f ca="1"/>
        <v>Banca Digital</v>
      </c>
      <c r="B517" t="str">
        <f ca="1"/>
        <v>08. Producción Finalizada</v>
      </c>
      <c r="C517" t="str">
        <f ca="1"/>
        <v>2025-M0579</v>
      </c>
      <c r="D517" t="str">
        <f ca="1"/>
        <v xml:space="preserve">   Desarrollo</v>
      </c>
      <c r="E517" s="255">
        <f ca="1"/>
        <v>1</v>
      </c>
      <c r="F517" s="255">
        <f ca="1"/>
        <v>1</v>
      </c>
      <c r="G517" s="356">
        <f ca="1">IF(TRIM(D517)=C517,
   _xlfn.XLOOKUP(C517, Cartera1017[ID Mantenimiento],Cartera1017[Comienzo Desarrollo]),
IF(TRIM(D517)="Desarrollo",
   _xlfn.XLOOKUP(C517,Cartera1017[ID Mantenimiento],Cartera1017[Comienzo Desarrollo]),
IF(TRIM(D517)="Calidad",
   _xlfn.XLOOKUP(C517,Cartera1017[ID Mantenimiento],Cartera1017[Comienzo Calidad]),
IF(TRIM(D517)="Producción",
   _xlfn.XLOOKUP(C517,Cartera1017[ID Mantenimiento],Cartera1017[Comienzo Producción]),
""))))</f>
        <v>45891</v>
      </c>
      <c r="H517" s="160" t="str">
        <f ca="1">IF(TRIM(D517)=C517,
   _xlfn.XLOOKUP(C517, Cartera1017[ID Mantenimiento],Cartera1017[Fin Producción]),
IF(TRIM(D517)="Desarrollo",
   _xlfn.XLOOKUP(C517,Cartera1017[ID Mantenimiento],Cartera1017[Fin Desarrollo]),
IF(TRIM(D517)="Calidad",
   _xlfn.XLOOKUP(C517,Cartera1017[ID Mantenimiento],Cartera1017[Fin Calidad]),
IF(TRIM(D517)="Producción",
   _xlfn.XLOOKUP(C517,Cartera1017[ID Mantenimiento],Cartera1017[Fin Producción]),
""))))</f>
        <v/>
      </c>
    </row>
    <row r="518" spans="1:8" hidden="1" outlineLevel="1">
      <c r="A518" t="str">
        <f ca="1"/>
        <v>Banca Digital</v>
      </c>
      <c r="B518" t="str">
        <f ca="1"/>
        <v>08. Producción Finalizada</v>
      </c>
      <c r="C518" t="str">
        <f ca="1"/>
        <v>2025-M0579</v>
      </c>
      <c r="D518" t="str">
        <f ca="1"/>
        <v xml:space="preserve">   Calidad</v>
      </c>
      <c r="E518" s="255">
        <f ca="1"/>
        <v>1</v>
      </c>
      <c r="F518" s="255">
        <f ca="1"/>
        <v>1</v>
      </c>
      <c r="G518" s="356" t="str">
        <f ca="1">IF(TRIM(D518)=C518,
   _xlfn.XLOOKUP(C518, Cartera1017[ID Mantenimiento],Cartera1017[Comienzo Desarrollo]),
IF(TRIM(D518)="Desarrollo",
   _xlfn.XLOOKUP(C518,Cartera1017[ID Mantenimiento],Cartera1017[Comienzo Desarrollo]),
IF(TRIM(D518)="Calidad",
   _xlfn.XLOOKUP(C518,Cartera1017[ID Mantenimiento],Cartera1017[Comienzo Calidad]),
IF(TRIM(D518)="Producción",
   _xlfn.XLOOKUP(C518,Cartera1017[ID Mantenimiento],Cartera1017[Comienzo Producción]),
""))))</f>
        <v/>
      </c>
      <c r="H518" s="160" t="str">
        <f ca="1">IF(TRIM(D518)=C518,
   _xlfn.XLOOKUP(C518, Cartera1017[ID Mantenimiento],Cartera1017[Fin Producción]),
IF(TRIM(D518)="Desarrollo",
   _xlfn.XLOOKUP(C518,Cartera1017[ID Mantenimiento],Cartera1017[Fin Desarrollo]),
IF(TRIM(D518)="Calidad",
   _xlfn.XLOOKUP(C518,Cartera1017[ID Mantenimiento],Cartera1017[Fin Calidad]),
IF(TRIM(D518)="Producción",
   _xlfn.XLOOKUP(C518,Cartera1017[ID Mantenimiento],Cartera1017[Fin Producción]),
""))))</f>
        <v/>
      </c>
    </row>
    <row r="519" spans="1:8" hidden="1" outlineLevel="1">
      <c r="A519" t="str">
        <f ca="1"/>
        <v>Banca Digital</v>
      </c>
      <c r="B519" t="str">
        <f ca="1"/>
        <v>08. Producción Finalizada</v>
      </c>
      <c r="C519" t="str">
        <f ca="1"/>
        <v>2025-M0579</v>
      </c>
      <c r="D519" t="str">
        <f ca="1"/>
        <v xml:space="preserve">   Producción</v>
      </c>
      <c r="E519" s="255">
        <f ca="1"/>
        <v>1</v>
      </c>
      <c r="F519" s="255">
        <f ca="1"/>
        <v>1</v>
      </c>
      <c r="G519" s="356">
        <f ca="1">IF(TRIM(D519)=C519,
   _xlfn.XLOOKUP(C519, Cartera1017[ID Mantenimiento],Cartera1017[Comienzo Desarrollo]),
IF(TRIM(D519)="Desarrollo",
   _xlfn.XLOOKUP(C519,Cartera1017[ID Mantenimiento],Cartera1017[Comienzo Desarrollo]),
IF(TRIM(D519)="Calidad",
   _xlfn.XLOOKUP(C519,Cartera1017[ID Mantenimiento],Cartera1017[Comienzo Calidad]),
IF(TRIM(D519)="Producción",
   _xlfn.XLOOKUP(C519,Cartera1017[ID Mantenimiento],Cartera1017[Comienzo Producción]),
""))))</f>
        <v>45922</v>
      </c>
      <c r="H519" s="160">
        <f ca="1">IF(TRIM(D519)=C519,
   _xlfn.XLOOKUP(C519, Cartera1017[ID Mantenimiento],Cartera1017[Fin Producción]),
IF(TRIM(D519)="Desarrollo",
   _xlfn.XLOOKUP(C519,Cartera1017[ID Mantenimiento],Cartera1017[Fin Desarrollo]),
IF(TRIM(D519)="Calidad",
   _xlfn.XLOOKUP(C519,Cartera1017[ID Mantenimiento],Cartera1017[Fin Calidad]),
IF(TRIM(D519)="Producción",
   _xlfn.XLOOKUP(C519,Cartera1017[ID Mantenimiento],Cartera1017[Fin Producción]),
""))))</f>
        <v>46035</v>
      </c>
    </row>
    <row r="520" spans="1:8" hidden="1" collapsed="1">
      <c r="A520" t="str">
        <f ca="1"/>
        <v>Productos e Inclusión Financiera</v>
      </c>
      <c r="B520" t="str">
        <f ca="1"/>
        <v>08. Producción Finalizada</v>
      </c>
      <c r="C520" t="str">
        <f ca="1"/>
        <v>2026-M0002</v>
      </c>
      <c r="D520" t="str">
        <f ca="1"/>
        <v>2026-M0002</v>
      </c>
      <c r="E520" s="255">
        <f ca="1"/>
        <v>1</v>
      </c>
      <c r="F520" s="255">
        <f ca="1"/>
        <v>1</v>
      </c>
      <c r="G520" s="356">
        <f ca="1">IF(TRIM(D520)=C520,
   _xlfn.XLOOKUP(C520, Cartera1017[ID Mantenimiento],Cartera1017[Comienzo Desarrollo]),
IF(TRIM(D520)="Desarrollo",
   _xlfn.XLOOKUP(C520,Cartera1017[ID Mantenimiento],Cartera1017[Comienzo Desarrollo]),
IF(TRIM(D520)="Calidad",
   _xlfn.XLOOKUP(C520,Cartera1017[ID Mantenimiento],Cartera1017[Comienzo Calidad]),
IF(TRIM(D520)="Producción",
   _xlfn.XLOOKUP(C520,Cartera1017[ID Mantenimiento],Cartera1017[Comienzo Producción]),
""))))</f>
        <v>46027</v>
      </c>
      <c r="H520" s="160">
        <f ca="1">IF(TRIM(D520)=C520,
   _xlfn.XLOOKUP(C520, Cartera1017[ID Mantenimiento],Cartera1017[Fin Producción]),
IF(TRIM(D520)="Desarrollo",
   _xlfn.XLOOKUP(C520,Cartera1017[ID Mantenimiento],Cartera1017[Fin Desarrollo]),
IF(TRIM(D520)="Calidad",
   _xlfn.XLOOKUP(C520,Cartera1017[ID Mantenimiento],Cartera1017[Fin Calidad]),
IF(TRIM(D520)="Producción",
   _xlfn.XLOOKUP(C520,Cartera1017[ID Mantenimiento],Cartera1017[Fin Producción]),
""))))</f>
        <v>46140</v>
      </c>
    </row>
    <row r="521" spans="1:8" hidden="1" outlineLevel="1">
      <c r="A521" t="str">
        <f ca="1"/>
        <v>Productos e Inclusión Financiera</v>
      </c>
      <c r="B521" t="str">
        <f ca="1"/>
        <v>08. Producción Finalizada</v>
      </c>
      <c r="C521" t="str">
        <f ca="1"/>
        <v>2026-M0002</v>
      </c>
      <c r="D521" t="str">
        <f ca="1"/>
        <v xml:space="preserve">   Desarrollo</v>
      </c>
      <c r="E521" s="255">
        <f ca="1"/>
        <v>1</v>
      </c>
      <c r="F521" s="255">
        <f ca="1"/>
        <v>1</v>
      </c>
      <c r="G521" s="356">
        <f ca="1">IF(TRIM(D521)=C521,
   _xlfn.XLOOKUP(C521, Cartera1017[ID Mantenimiento],Cartera1017[Comienzo Desarrollo]),
IF(TRIM(D521)="Desarrollo",
   _xlfn.XLOOKUP(C521,Cartera1017[ID Mantenimiento],Cartera1017[Comienzo Desarrollo]),
IF(TRIM(D521)="Calidad",
   _xlfn.XLOOKUP(C521,Cartera1017[ID Mantenimiento],Cartera1017[Comienzo Calidad]),
IF(TRIM(D521)="Producción",
   _xlfn.XLOOKUP(C521,Cartera1017[ID Mantenimiento],Cartera1017[Comienzo Producción]),
""))))</f>
        <v>46027</v>
      </c>
      <c r="H521" s="160">
        <f ca="1">IF(TRIM(D521)=C521,
   _xlfn.XLOOKUP(C521, Cartera1017[ID Mantenimiento],Cartera1017[Fin Producción]),
IF(TRIM(D521)="Desarrollo",
   _xlfn.XLOOKUP(C521,Cartera1017[ID Mantenimiento],Cartera1017[Fin Desarrollo]),
IF(TRIM(D521)="Calidad",
   _xlfn.XLOOKUP(C521,Cartera1017[ID Mantenimiento],Cartera1017[Fin Calidad]),
IF(TRIM(D521)="Producción",
   _xlfn.XLOOKUP(C521,Cartera1017[ID Mantenimiento],Cartera1017[Fin Producción]),
""))))</f>
        <v>46055</v>
      </c>
    </row>
    <row r="522" spans="1:8" hidden="1" outlineLevel="1">
      <c r="A522" t="str">
        <f ca="1"/>
        <v>Productos e Inclusión Financiera</v>
      </c>
      <c r="B522" t="str">
        <f ca="1"/>
        <v>08. Producción Finalizada</v>
      </c>
      <c r="C522" t="str">
        <f ca="1"/>
        <v>2026-M0002</v>
      </c>
      <c r="D522" t="str">
        <f ca="1"/>
        <v xml:space="preserve">   Calidad</v>
      </c>
      <c r="E522" s="255">
        <f ca="1"/>
        <v>1</v>
      </c>
      <c r="F522" s="255">
        <f ca="1"/>
        <v>1</v>
      </c>
      <c r="G522" s="356">
        <f ca="1">IF(TRIM(D522)=C522,
   _xlfn.XLOOKUP(C522, Cartera1017[ID Mantenimiento],Cartera1017[Comienzo Desarrollo]),
IF(TRIM(D522)="Desarrollo",
   _xlfn.XLOOKUP(C522,Cartera1017[ID Mantenimiento],Cartera1017[Comienzo Desarrollo]),
IF(TRIM(D522)="Calidad",
   _xlfn.XLOOKUP(C522,Cartera1017[ID Mantenimiento],Cartera1017[Comienzo Calidad]),
IF(TRIM(D522)="Producción",
   _xlfn.XLOOKUP(C522,Cartera1017[ID Mantenimiento],Cartera1017[Comienzo Producción]),
""))))</f>
        <v>46070</v>
      </c>
      <c r="H522" s="160">
        <f ca="1">IF(TRIM(D522)=C522,
   _xlfn.XLOOKUP(C522, Cartera1017[ID Mantenimiento],Cartera1017[Fin Producción]),
IF(TRIM(D522)="Desarrollo",
   _xlfn.XLOOKUP(C522,Cartera1017[ID Mantenimiento],Cartera1017[Fin Desarrollo]),
IF(TRIM(D522)="Calidad",
   _xlfn.XLOOKUP(C522,Cartera1017[ID Mantenimiento],Cartera1017[Fin Calidad]),
IF(TRIM(D522)="Producción",
   _xlfn.XLOOKUP(C522,Cartera1017[ID Mantenimiento],Cartera1017[Fin Producción]),
""))))</f>
        <v>46125</v>
      </c>
    </row>
    <row r="523" spans="1:8" hidden="1" outlineLevel="1">
      <c r="A523" t="str">
        <f ca="1"/>
        <v>Productos e Inclusión Financiera</v>
      </c>
      <c r="B523" t="str">
        <f ca="1"/>
        <v>08. Producción Finalizada</v>
      </c>
      <c r="C523" t="str">
        <f ca="1"/>
        <v>2026-M0002</v>
      </c>
      <c r="D523" t="str">
        <f ca="1"/>
        <v xml:space="preserve">   Producción</v>
      </c>
      <c r="E523" s="255">
        <f ca="1"/>
        <v>1</v>
      </c>
      <c r="F523" s="255">
        <f ca="1"/>
        <v>1</v>
      </c>
      <c r="G523" s="356">
        <f ca="1">IF(TRIM(D523)=C523,
   _xlfn.XLOOKUP(C523, Cartera1017[ID Mantenimiento],Cartera1017[Comienzo Desarrollo]),
IF(TRIM(D523)="Desarrollo",
   _xlfn.XLOOKUP(C523,Cartera1017[ID Mantenimiento],Cartera1017[Comienzo Desarrollo]),
IF(TRIM(D523)="Calidad",
   _xlfn.XLOOKUP(C523,Cartera1017[ID Mantenimiento],Cartera1017[Comienzo Calidad]),
IF(TRIM(D523)="Producción",
   _xlfn.XLOOKUP(C523,Cartera1017[ID Mantenimiento],Cartera1017[Comienzo Producción]),
""))))</f>
        <v>46126</v>
      </c>
      <c r="H523" s="160">
        <f ca="1">IF(TRIM(D523)=C523,
   _xlfn.XLOOKUP(C523, Cartera1017[ID Mantenimiento],Cartera1017[Fin Producción]),
IF(TRIM(D523)="Desarrollo",
   _xlfn.XLOOKUP(C523,Cartera1017[ID Mantenimiento],Cartera1017[Fin Desarrollo]),
IF(TRIM(D523)="Calidad",
   _xlfn.XLOOKUP(C523,Cartera1017[ID Mantenimiento],Cartera1017[Fin Calidad]),
IF(TRIM(D523)="Producción",
   _xlfn.XLOOKUP(C523,Cartera1017[ID Mantenimiento],Cartera1017[Fin Producción]),
""))))</f>
        <v>46140</v>
      </c>
    </row>
    <row r="524" spans="1:8" hidden="1" collapsed="1">
      <c r="A524" t="str">
        <f ca="1"/>
        <v>Operaciones</v>
      </c>
      <c r="B524" t="str">
        <f ca="1"/>
        <v>08. Producción Finalizada</v>
      </c>
      <c r="C524" t="str">
        <f ca="1"/>
        <v>2025-M0589</v>
      </c>
      <c r="D524" t="str">
        <f ca="1"/>
        <v>2025-M0589</v>
      </c>
      <c r="E524" s="255">
        <f ca="1"/>
        <v>1</v>
      </c>
      <c r="F524" s="255">
        <f ca="1"/>
        <v>1</v>
      </c>
      <c r="G524" s="356">
        <f ca="1">IF(TRIM(D524)=C524,
   _xlfn.XLOOKUP(C524, Cartera1017[ID Mantenimiento],Cartera1017[Comienzo Desarrollo]),
IF(TRIM(D524)="Desarrollo",
   _xlfn.XLOOKUP(C524,Cartera1017[ID Mantenimiento],Cartera1017[Comienzo Desarrollo]),
IF(TRIM(D524)="Calidad",
   _xlfn.XLOOKUP(C524,Cartera1017[ID Mantenimiento],Cartera1017[Comienzo Calidad]),
IF(TRIM(D524)="Producción",
   _xlfn.XLOOKUP(C524,Cartera1017[ID Mantenimiento],Cartera1017[Comienzo Producción]),
""))))</f>
        <v>45923</v>
      </c>
      <c r="H524" s="160">
        <f ca="1">IF(TRIM(D524)=C524,
   _xlfn.XLOOKUP(C524, Cartera1017[ID Mantenimiento],Cartera1017[Fin Producción]),
IF(TRIM(D524)="Desarrollo",
   _xlfn.XLOOKUP(C524,Cartera1017[ID Mantenimiento],Cartera1017[Fin Desarrollo]),
IF(TRIM(D524)="Calidad",
   _xlfn.XLOOKUP(C524,Cartera1017[ID Mantenimiento],Cartera1017[Fin Calidad]),
IF(TRIM(D524)="Producción",
   _xlfn.XLOOKUP(C524,Cartera1017[ID Mantenimiento],Cartera1017[Fin Producción]),
""))))</f>
        <v>46037</v>
      </c>
    </row>
    <row r="525" spans="1:8" hidden="1" outlineLevel="1">
      <c r="A525" t="str">
        <f ca="1"/>
        <v>Operaciones</v>
      </c>
      <c r="B525" t="str">
        <f ca="1"/>
        <v>08. Producción Finalizada</v>
      </c>
      <c r="C525" t="str">
        <f ca="1"/>
        <v>2025-M0589</v>
      </c>
      <c r="D525" t="str">
        <f ca="1"/>
        <v xml:space="preserve">   Desarrollo</v>
      </c>
      <c r="E525" s="255">
        <f ca="1"/>
        <v>1</v>
      </c>
      <c r="F525" s="255">
        <f ca="1"/>
        <v>1</v>
      </c>
      <c r="G525" s="356">
        <f ca="1">IF(TRIM(D525)=C525,
   _xlfn.XLOOKUP(C525, Cartera1017[ID Mantenimiento],Cartera1017[Comienzo Desarrollo]),
IF(TRIM(D525)="Desarrollo",
   _xlfn.XLOOKUP(C525,Cartera1017[ID Mantenimiento],Cartera1017[Comienzo Desarrollo]),
IF(TRIM(D525)="Calidad",
   _xlfn.XLOOKUP(C525,Cartera1017[ID Mantenimiento],Cartera1017[Comienzo Calidad]),
IF(TRIM(D525)="Producción",
   _xlfn.XLOOKUP(C525,Cartera1017[ID Mantenimiento],Cartera1017[Comienzo Producción]),
""))))</f>
        <v>45923</v>
      </c>
      <c r="H525" s="160">
        <f ca="1">IF(TRIM(D525)=C525,
   _xlfn.XLOOKUP(C525, Cartera1017[ID Mantenimiento],Cartera1017[Fin Producción]),
IF(TRIM(D525)="Desarrollo",
   _xlfn.XLOOKUP(C525,Cartera1017[ID Mantenimiento],Cartera1017[Fin Desarrollo]),
IF(TRIM(D525)="Calidad",
   _xlfn.XLOOKUP(C525,Cartera1017[ID Mantenimiento],Cartera1017[Fin Calidad]),
IF(TRIM(D525)="Producción",
   _xlfn.XLOOKUP(C525,Cartera1017[ID Mantenimiento],Cartera1017[Fin Producción]),
""))))</f>
        <v>45964</v>
      </c>
    </row>
    <row r="526" spans="1:8" hidden="1" outlineLevel="1">
      <c r="A526" t="str">
        <f ca="1"/>
        <v>Operaciones</v>
      </c>
      <c r="B526" t="str">
        <f ca="1"/>
        <v>08. Producción Finalizada</v>
      </c>
      <c r="C526" t="str">
        <f ca="1"/>
        <v>2025-M0589</v>
      </c>
      <c r="D526" t="str">
        <f ca="1"/>
        <v xml:space="preserve">   Calidad</v>
      </c>
      <c r="E526" s="255">
        <f ca="1"/>
        <v>1</v>
      </c>
      <c r="F526" s="255">
        <f ca="1"/>
        <v>1</v>
      </c>
      <c r="G526" s="356">
        <f ca="1">IF(TRIM(D526)=C526,
   _xlfn.XLOOKUP(C526, Cartera1017[ID Mantenimiento],Cartera1017[Comienzo Desarrollo]),
IF(TRIM(D526)="Desarrollo",
   _xlfn.XLOOKUP(C526,Cartera1017[ID Mantenimiento],Cartera1017[Comienzo Desarrollo]),
IF(TRIM(D526)="Calidad",
   _xlfn.XLOOKUP(C526,Cartera1017[ID Mantenimiento],Cartera1017[Comienzo Calidad]),
IF(TRIM(D526)="Producción",
   _xlfn.XLOOKUP(C526,Cartera1017[ID Mantenimiento],Cartera1017[Comienzo Producción]),
""))))</f>
        <v>45967</v>
      </c>
      <c r="H526" s="160">
        <f ca="1">IF(TRIM(D526)=C526,
   _xlfn.XLOOKUP(C526, Cartera1017[ID Mantenimiento],Cartera1017[Fin Producción]),
IF(TRIM(D526)="Desarrollo",
   _xlfn.XLOOKUP(C526,Cartera1017[ID Mantenimiento],Cartera1017[Fin Desarrollo]),
IF(TRIM(D526)="Calidad",
   _xlfn.XLOOKUP(C526,Cartera1017[ID Mantenimiento],Cartera1017[Fin Calidad]),
IF(TRIM(D526)="Producción",
   _xlfn.XLOOKUP(C526,Cartera1017[ID Mantenimiento],Cartera1017[Fin Producción]),
""))))</f>
        <v>45987</v>
      </c>
    </row>
    <row r="527" spans="1:8" hidden="1" outlineLevel="1">
      <c r="A527" t="str">
        <f ca="1"/>
        <v>Operaciones</v>
      </c>
      <c r="B527" t="str">
        <f ca="1"/>
        <v>08. Producción Finalizada</v>
      </c>
      <c r="C527" t="str">
        <f ca="1"/>
        <v>2025-M0589</v>
      </c>
      <c r="D527" t="str">
        <f ca="1"/>
        <v xml:space="preserve">   Producción</v>
      </c>
      <c r="E527" s="255">
        <f ca="1"/>
        <v>1</v>
      </c>
      <c r="F527" s="255">
        <f ca="1"/>
        <v>1</v>
      </c>
      <c r="G527" s="356">
        <f ca="1">IF(TRIM(D527)=C527,
   _xlfn.XLOOKUP(C527, Cartera1017[ID Mantenimiento],Cartera1017[Comienzo Desarrollo]),
IF(TRIM(D527)="Desarrollo",
   _xlfn.XLOOKUP(C527,Cartera1017[ID Mantenimiento],Cartera1017[Comienzo Desarrollo]),
IF(TRIM(D527)="Calidad",
   _xlfn.XLOOKUP(C527,Cartera1017[ID Mantenimiento],Cartera1017[Comienzo Calidad]),
IF(TRIM(D527)="Producción",
   _xlfn.XLOOKUP(C527,Cartera1017[ID Mantenimiento],Cartera1017[Comienzo Producción]),
""))))</f>
        <v>45987</v>
      </c>
      <c r="H527" s="160">
        <f ca="1">IF(TRIM(D527)=C527,
   _xlfn.XLOOKUP(C527, Cartera1017[ID Mantenimiento],Cartera1017[Fin Producción]),
IF(TRIM(D527)="Desarrollo",
   _xlfn.XLOOKUP(C527,Cartera1017[ID Mantenimiento],Cartera1017[Fin Desarrollo]),
IF(TRIM(D527)="Calidad",
   _xlfn.XLOOKUP(C527,Cartera1017[ID Mantenimiento],Cartera1017[Fin Calidad]),
IF(TRIM(D527)="Producción",
   _xlfn.XLOOKUP(C527,Cartera1017[ID Mantenimiento],Cartera1017[Fin Producción]),
""))))</f>
        <v>46037</v>
      </c>
    </row>
    <row r="528" spans="1:8" hidden="1" collapsed="1">
      <c r="A528" t="str">
        <f ca="1"/>
        <v>Tecnologías de Información</v>
      </c>
      <c r="B528" t="str">
        <f ca="1"/>
        <v>03. En Desarrollo</v>
      </c>
      <c r="C528" t="str">
        <f ca="1"/>
        <v>2025-M0540</v>
      </c>
      <c r="D528" t="str">
        <f ca="1"/>
        <v>2025-M0540</v>
      </c>
      <c r="E528" s="255">
        <f ca="1"/>
        <v>0.25</v>
      </c>
      <c r="F528" s="255">
        <f ca="1"/>
        <v>1</v>
      </c>
      <c r="G528" s="356">
        <f ca="1">IF(TRIM(D528)=C528,
   _xlfn.XLOOKUP(C528, Cartera1017[ID Mantenimiento],Cartera1017[Comienzo Desarrollo]),
IF(TRIM(D528)="Desarrollo",
   _xlfn.XLOOKUP(C528,Cartera1017[ID Mantenimiento],Cartera1017[Comienzo Desarrollo]),
IF(TRIM(D528)="Calidad",
   _xlfn.XLOOKUP(C528,Cartera1017[ID Mantenimiento],Cartera1017[Comienzo Calidad]),
IF(TRIM(D528)="Producción",
   _xlfn.XLOOKUP(C528,Cartera1017[ID Mantenimiento],Cartera1017[Comienzo Producción]),
""))))</f>
        <v>46083</v>
      </c>
      <c r="H528" s="160">
        <f ca="1">IF(TRIM(D528)=C528,
   _xlfn.XLOOKUP(C528, Cartera1017[ID Mantenimiento],Cartera1017[Fin Producción]),
IF(TRIM(D528)="Desarrollo",
   _xlfn.XLOOKUP(C528,Cartera1017[ID Mantenimiento],Cartera1017[Fin Desarrollo]),
IF(TRIM(D528)="Calidad",
   _xlfn.XLOOKUP(C528,Cartera1017[ID Mantenimiento],Cartera1017[Fin Calidad]),
IF(TRIM(D528)="Producción",
   _xlfn.XLOOKUP(C528,Cartera1017[ID Mantenimiento],Cartera1017[Fin Producción]),
""))))</f>
        <v>46129</v>
      </c>
    </row>
    <row r="529" spans="1:8" hidden="1" outlineLevel="1">
      <c r="A529" t="str">
        <f ca="1"/>
        <v>Tecnologías de Información</v>
      </c>
      <c r="B529" t="str">
        <f ca="1"/>
        <v>03. En Desarrollo</v>
      </c>
      <c r="C529" t="str">
        <f ca="1"/>
        <v>2025-M0540</v>
      </c>
      <c r="D529" t="str">
        <f ca="1"/>
        <v xml:space="preserve">   Desarrollo</v>
      </c>
      <c r="E529" s="255">
        <f ca="1"/>
        <v>0.25</v>
      </c>
      <c r="F529" s="255">
        <f ca="1"/>
        <v>1</v>
      </c>
      <c r="G529" s="356">
        <f ca="1">IF(TRIM(D529)=C529,
   _xlfn.XLOOKUP(C529, Cartera1017[ID Mantenimiento],Cartera1017[Comienzo Desarrollo]),
IF(TRIM(D529)="Desarrollo",
   _xlfn.XLOOKUP(C529,Cartera1017[ID Mantenimiento],Cartera1017[Comienzo Desarrollo]),
IF(TRIM(D529)="Calidad",
   _xlfn.XLOOKUP(C529,Cartera1017[ID Mantenimiento],Cartera1017[Comienzo Calidad]),
IF(TRIM(D529)="Producción",
   _xlfn.XLOOKUP(C529,Cartera1017[ID Mantenimiento],Cartera1017[Comienzo Producción]),
""))))</f>
        <v>46083</v>
      </c>
      <c r="H529" s="160">
        <f ca="1">IF(TRIM(D529)=C529,
   _xlfn.XLOOKUP(C529, Cartera1017[ID Mantenimiento],Cartera1017[Fin Producción]),
IF(TRIM(D529)="Desarrollo",
   _xlfn.XLOOKUP(C529,Cartera1017[ID Mantenimiento],Cartera1017[Fin Desarrollo]),
IF(TRIM(D529)="Calidad",
   _xlfn.XLOOKUP(C529,Cartera1017[ID Mantenimiento],Cartera1017[Fin Calidad]),
IF(TRIM(D529)="Producción",
   _xlfn.XLOOKUP(C529,Cartera1017[ID Mantenimiento],Cartera1017[Fin Producción]),
""))))</f>
        <v>46091</v>
      </c>
    </row>
    <row r="530" spans="1:8" hidden="1" outlineLevel="1">
      <c r="A530" t="str">
        <f ca="1"/>
        <v>Tecnologías de Información</v>
      </c>
      <c r="B530" t="str">
        <f ca="1"/>
        <v>03. En Desarrollo</v>
      </c>
      <c r="C530" t="str">
        <f ca="1"/>
        <v>2025-M0540</v>
      </c>
      <c r="D530" t="str">
        <f ca="1"/>
        <v xml:space="preserve">   Calidad</v>
      </c>
      <c r="E530" s="255">
        <f ca="1"/>
        <v>0.25</v>
      </c>
      <c r="F530" s="255">
        <f ca="1"/>
        <v>1</v>
      </c>
      <c r="G530" s="356">
        <f ca="1">IF(TRIM(D530)=C530,
   _xlfn.XLOOKUP(C530, Cartera1017[ID Mantenimiento],Cartera1017[Comienzo Desarrollo]),
IF(TRIM(D530)="Desarrollo",
   _xlfn.XLOOKUP(C530,Cartera1017[ID Mantenimiento],Cartera1017[Comienzo Desarrollo]),
IF(TRIM(D530)="Calidad",
   _xlfn.XLOOKUP(C530,Cartera1017[ID Mantenimiento],Cartera1017[Comienzo Calidad]),
IF(TRIM(D530)="Producción",
   _xlfn.XLOOKUP(C530,Cartera1017[ID Mantenimiento],Cartera1017[Comienzo Producción]),
""))))</f>
        <v>46093</v>
      </c>
      <c r="H530" s="160">
        <f ca="1">IF(TRIM(D530)=C530,
   _xlfn.XLOOKUP(C530, Cartera1017[ID Mantenimiento],Cartera1017[Fin Producción]),
IF(TRIM(D530)="Desarrollo",
   _xlfn.XLOOKUP(C530,Cartera1017[ID Mantenimiento],Cartera1017[Fin Desarrollo]),
IF(TRIM(D530)="Calidad",
   _xlfn.XLOOKUP(C530,Cartera1017[ID Mantenimiento],Cartera1017[Fin Calidad]),
IF(TRIM(D530)="Producción",
   _xlfn.XLOOKUP(C530,Cartera1017[ID Mantenimiento],Cartera1017[Fin Producción]),
""))))</f>
        <v>46124</v>
      </c>
    </row>
    <row r="531" spans="1:8" hidden="1" outlineLevel="1">
      <c r="A531" t="str">
        <f ca="1"/>
        <v>Tecnologías de Información</v>
      </c>
      <c r="B531" t="str">
        <f ca="1"/>
        <v>03. En Desarrollo</v>
      </c>
      <c r="C531" t="str">
        <f ca="1"/>
        <v>2025-M0540</v>
      </c>
      <c r="D531" t="str">
        <f ca="1"/>
        <v xml:space="preserve">   Producción</v>
      </c>
      <c r="E531" s="255">
        <f ca="1"/>
        <v>0.25</v>
      </c>
      <c r="F531" s="255">
        <f ca="1"/>
        <v>1</v>
      </c>
      <c r="G531" s="356">
        <f ca="1">IF(TRIM(D531)=C531,
   _xlfn.XLOOKUP(C531, Cartera1017[ID Mantenimiento],Cartera1017[Comienzo Desarrollo]),
IF(TRIM(D531)="Desarrollo",
   _xlfn.XLOOKUP(C531,Cartera1017[ID Mantenimiento],Cartera1017[Comienzo Desarrollo]),
IF(TRIM(D531)="Calidad",
   _xlfn.XLOOKUP(C531,Cartera1017[ID Mantenimiento],Cartera1017[Comienzo Calidad]),
IF(TRIM(D531)="Producción",
   _xlfn.XLOOKUP(C531,Cartera1017[ID Mantenimiento],Cartera1017[Comienzo Producción]),
""))))</f>
        <v>46125</v>
      </c>
      <c r="H531" s="160">
        <f ca="1">IF(TRIM(D531)=C531,
   _xlfn.XLOOKUP(C531, Cartera1017[ID Mantenimiento],Cartera1017[Fin Producción]),
IF(TRIM(D531)="Desarrollo",
   _xlfn.XLOOKUP(C531,Cartera1017[ID Mantenimiento],Cartera1017[Fin Desarrollo]),
IF(TRIM(D531)="Calidad",
   _xlfn.XLOOKUP(C531,Cartera1017[ID Mantenimiento],Cartera1017[Fin Calidad]),
IF(TRIM(D531)="Producción",
   _xlfn.XLOOKUP(C531,Cartera1017[ID Mantenimiento],Cartera1017[Fin Producción]),
""))))</f>
        <v>46129</v>
      </c>
    </row>
    <row r="532" spans="1:8" hidden="1" collapsed="1">
      <c r="A532" t="str">
        <f ca="1"/>
        <v>Recursos Humanos y Cultura</v>
      </c>
      <c r="B532" t="str">
        <f ca="1"/>
        <v>03. En Desarrollo</v>
      </c>
      <c r="C532" t="str">
        <f ca="1"/>
        <v>2025-M0535</v>
      </c>
      <c r="D532" t="str">
        <f ca="1"/>
        <v>2025-M0535</v>
      </c>
      <c r="E532" s="255">
        <f ca="1"/>
        <v>0.15</v>
      </c>
      <c r="F532" s="255">
        <f ca="1"/>
        <v>0</v>
      </c>
      <c r="G532" s="356">
        <f ca="1">IF(TRIM(D532)=C532,
   _xlfn.XLOOKUP(C532, Cartera1017[ID Mantenimiento],Cartera1017[Comienzo Desarrollo]),
IF(TRIM(D532)="Desarrollo",
   _xlfn.XLOOKUP(C532,Cartera1017[ID Mantenimiento],Cartera1017[Comienzo Desarrollo]),
IF(TRIM(D532)="Calidad",
   _xlfn.XLOOKUP(C532,Cartera1017[ID Mantenimiento],Cartera1017[Comienzo Calidad]),
IF(TRIM(D532)="Producción",
   _xlfn.XLOOKUP(C532,Cartera1017[ID Mantenimiento],Cartera1017[Comienzo Producción]),
""))))</f>
        <v>46174</v>
      </c>
      <c r="H532" s="160">
        <f ca="1">IF(TRIM(D532)=C532,
   _xlfn.XLOOKUP(C532, Cartera1017[ID Mantenimiento],Cartera1017[Fin Producción]),
IF(TRIM(D532)="Desarrollo",
   _xlfn.XLOOKUP(C532,Cartera1017[ID Mantenimiento],Cartera1017[Fin Desarrollo]),
IF(TRIM(D532)="Calidad",
   _xlfn.XLOOKUP(C532,Cartera1017[ID Mantenimiento],Cartera1017[Fin Calidad]),
IF(TRIM(D532)="Producción",
   _xlfn.XLOOKUP(C532,Cartera1017[ID Mantenimiento],Cartera1017[Fin Producción]),
""))))</f>
        <v>46272</v>
      </c>
    </row>
    <row r="533" spans="1:8" hidden="1" outlineLevel="1">
      <c r="A533" t="str">
        <f ca="1"/>
        <v>Recursos Humanos y Cultura</v>
      </c>
      <c r="B533" t="str">
        <f ca="1"/>
        <v>03. En Desarrollo</v>
      </c>
      <c r="C533" t="str">
        <f ca="1"/>
        <v>2025-M0535</v>
      </c>
      <c r="D533" t="str">
        <f ca="1"/>
        <v xml:space="preserve">   Desarrollo</v>
      </c>
      <c r="E533" s="255">
        <f ca="1"/>
        <v>0.15</v>
      </c>
      <c r="F533" s="255">
        <f ca="1"/>
        <v>0</v>
      </c>
      <c r="G533" s="356">
        <f ca="1">IF(TRIM(D533)=C533,
   _xlfn.XLOOKUP(C533, Cartera1017[ID Mantenimiento],Cartera1017[Comienzo Desarrollo]),
IF(TRIM(D533)="Desarrollo",
   _xlfn.XLOOKUP(C533,Cartera1017[ID Mantenimiento],Cartera1017[Comienzo Desarrollo]),
IF(TRIM(D533)="Calidad",
   _xlfn.XLOOKUP(C533,Cartera1017[ID Mantenimiento],Cartera1017[Comienzo Calidad]),
IF(TRIM(D533)="Producción",
   _xlfn.XLOOKUP(C533,Cartera1017[ID Mantenimiento],Cartera1017[Comienzo Producción]),
""))))</f>
        <v>46174</v>
      </c>
      <c r="H533" s="160">
        <f ca="1">IF(TRIM(D533)=C533,
   _xlfn.XLOOKUP(C533, Cartera1017[ID Mantenimiento],Cartera1017[Fin Producción]),
IF(TRIM(D533)="Desarrollo",
   _xlfn.XLOOKUP(C533,Cartera1017[ID Mantenimiento],Cartera1017[Fin Desarrollo]),
IF(TRIM(D533)="Calidad",
   _xlfn.XLOOKUP(C533,Cartera1017[ID Mantenimiento],Cartera1017[Fin Calidad]),
IF(TRIM(D533)="Producción",
   _xlfn.XLOOKUP(C533,Cartera1017[ID Mantenimiento],Cartera1017[Fin Producción]),
""))))</f>
        <v>46234</v>
      </c>
    </row>
    <row r="534" spans="1:8" hidden="1" outlineLevel="1">
      <c r="A534" t="str">
        <f ca="1"/>
        <v>Recursos Humanos y Cultura</v>
      </c>
      <c r="B534" t="str">
        <f ca="1"/>
        <v>03. En Desarrollo</v>
      </c>
      <c r="C534" t="str">
        <f ca="1"/>
        <v>2025-M0535</v>
      </c>
      <c r="D534" t="str">
        <f ca="1"/>
        <v xml:space="preserve">   Calidad</v>
      </c>
      <c r="E534" s="255">
        <f ca="1"/>
        <v>0.15</v>
      </c>
      <c r="F534" s="255">
        <f ca="1"/>
        <v>0</v>
      </c>
      <c r="G534" s="356">
        <f ca="1">IF(TRIM(D534)=C534,
   _xlfn.XLOOKUP(C534, Cartera1017[ID Mantenimiento],Cartera1017[Comienzo Desarrollo]),
IF(TRIM(D534)="Desarrollo",
   _xlfn.XLOOKUP(C534,Cartera1017[ID Mantenimiento],Cartera1017[Comienzo Desarrollo]),
IF(TRIM(D534)="Calidad",
   _xlfn.XLOOKUP(C534,Cartera1017[ID Mantenimiento],Cartera1017[Comienzo Calidad]),
IF(TRIM(D534)="Producción",
   _xlfn.XLOOKUP(C534,Cartera1017[ID Mantenimiento],Cartera1017[Comienzo Producción]),
""))))</f>
        <v>46235</v>
      </c>
      <c r="H534" s="160">
        <f ca="1">IF(TRIM(D534)=C534,
   _xlfn.XLOOKUP(C534, Cartera1017[ID Mantenimiento],Cartera1017[Fin Producción]),
IF(TRIM(D534)="Desarrollo",
   _xlfn.XLOOKUP(C534,Cartera1017[ID Mantenimiento],Cartera1017[Fin Desarrollo]),
IF(TRIM(D534)="Calidad",
   _xlfn.XLOOKUP(C534,Cartera1017[ID Mantenimiento],Cartera1017[Fin Calidad]),
IF(TRIM(D534)="Producción",
   _xlfn.XLOOKUP(C534,Cartera1017[ID Mantenimiento],Cartera1017[Fin Producción]),
""))))</f>
        <v>46254</v>
      </c>
    </row>
    <row r="535" spans="1:8" hidden="1" outlineLevel="1">
      <c r="A535" t="str">
        <f ca="1"/>
        <v>Recursos Humanos y Cultura</v>
      </c>
      <c r="B535" t="str">
        <f ca="1"/>
        <v>03. En Desarrollo</v>
      </c>
      <c r="C535" t="str">
        <f ca="1"/>
        <v>2025-M0535</v>
      </c>
      <c r="D535" t="str">
        <f ca="1"/>
        <v xml:space="preserve">   Producción</v>
      </c>
      <c r="E535" s="255">
        <f ca="1"/>
        <v>0.15</v>
      </c>
      <c r="F535" s="255">
        <f ca="1"/>
        <v>0</v>
      </c>
      <c r="G535" s="356">
        <f ca="1">IF(TRIM(D535)=C535,
   _xlfn.XLOOKUP(C535, Cartera1017[ID Mantenimiento],Cartera1017[Comienzo Desarrollo]),
IF(TRIM(D535)="Desarrollo",
   _xlfn.XLOOKUP(C535,Cartera1017[ID Mantenimiento],Cartera1017[Comienzo Desarrollo]),
IF(TRIM(D535)="Calidad",
   _xlfn.XLOOKUP(C535,Cartera1017[ID Mantenimiento],Cartera1017[Comienzo Calidad]),
IF(TRIM(D535)="Producción",
   _xlfn.XLOOKUP(C535,Cartera1017[ID Mantenimiento],Cartera1017[Comienzo Producción]),
""))))</f>
        <v>46266</v>
      </c>
      <c r="H535" s="160">
        <f ca="1">IF(TRIM(D535)=C535,
   _xlfn.XLOOKUP(C535, Cartera1017[ID Mantenimiento],Cartera1017[Fin Producción]),
IF(TRIM(D535)="Desarrollo",
   _xlfn.XLOOKUP(C535,Cartera1017[ID Mantenimiento],Cartera1017[Fin Desarrollo]),
IF(TRIM(D535)="Calidad",
   _xlfn.XLOOKUP(C535,Cartera1017[ID Mantenimiento],Cartera1017[Fin Calidad]),
IF(TRIM(D535)="Producción",
   _xlfn.XLOOKUP(C535,Cartera1017[ID Mantenimiento],Cartera1017[Fin Producción]),
""))))</f>
        <v>46272</v>
      </c>
    </row>
    <row r="536" spans="1:8" hidden="1" collapsed="1">
      <c r="A536" t="str">
        <f ca="1"/>
        <v>Gerencia General</v>
      </c>
      <c r="B536" t="str">
        <f ca="1"/>
        <v>10. Paralizado</v>
      </c>
      <c r="C536" t="str">
        <f ca="1"/>
        <v>2025-M0536</v>
      </c>
      <c r="D536" t="str">
        <f ca="1"/>
        <v>2025-M0536</v>
      </c>
      <c r="E536" s="255">
        <f ca="1"/>
        <v>0.12</v>
      </c>
      <c r="F536" s="255">
        <f ca="1"/>
        <v>0.27941176470588236</v>
      </c>
      <c r="G536" s="356">
        <f ca="1">IF(TRIM(D536)=C536,
   _xlfn.XLOOKUP(C536, Cartera1017[ID Mantenimiento],Cartera1017[Comienzo Desarrollo]),
IF(TRIM(D536)="Desarrollo",
   _xlfn.XLOOKUP(C536,Cartera1017[ID Mantenimiento],Cartera1017[Comienzo Desarrollo]),
IF(TRIM(D536)="Calidad",
   _xlfn.XLOOKUP(C536,Cartera1017[ID Mantenimiento],Cartera1017[Comienzo Calidad]),
IF(TRIM(D536)="Producción",
   _xlfn.XLOOKUP(C536,Cartera1017[ID Mantenimiento],Cartera1017[Comienzo Producción]),
""))))</f>
        <v>46083</v>
      </c>
      <c r="H536" s="160">
        <f ca="1">IF(TRIM(D536)=C536,
   _xlfn.XLOOKUP(C536, Cartera1017[ID Mantenimiento],Cartera1017[Fin Producción]),
IF(TRIM(D536)="Desarrollo",
   _xlfn.XLOOKUP(C536,Cartera1017[ID Mantenimiento],Cartera1017[Fin Desarrollo]),
IF(TRIM(D536)="Calidad",
   _xlfn.XLOOKUP(C536,Cartera1017[ID Mantenimiento],Cartera1017[Fin Calidad]),
IF(TRIM(D536)="Producción",
   _xlfn.XLOOKUP(C536,Cartera1017[ID Mantenimiento],Cartera1017[Fin Producción]),
""))))</f>
        <v>46374</v>
      </c>
    </row>
    <row r="537" spans="1:8" hidden="1" outlineLevel="1">
      <c r="A537" t="str">
        <f ca="1"/>
        <v>Gerencia General</v>
      </c>
      <c r="B537" t="str">
        <f ca="1"/>
        <v>10. Paralizado</v>
      </c>
      <c r="C537" t="str">
        <f ca="1"/>
        <v>2025-M0536</v>
      </c>
      <c r="D537" t="str">
        <f ca="1"/>
        <v xml:space="preserve">   Desarrollo</v>
      </c>
      <c r="E537" s="255">
        <f ca="1"/>
        <v>0.12</v>
      </c>
      <c r="F537" s="255">
        <f ca="1"/>
        <v>0.27941176470588236</v>
      </c>
      <c r="G537" s="356">
        <f ca="1">IF(TRIM(D537)=C537,
   _xlfn.XLOOKUP(C537, Cartera1017[ID Mantenimiento],Cartera1017[Comienzo Desarrollo]),
IF(TRIM(D537)="Desarrollo",
   _xlfn.XLOOKUP(C537,Cartera1017[ID Mantenimiento],Cartera1017[Comienzo Desarrollo]),
IF(TRIM(D537)="Calidad",
   _xlfn.XLOOKUP(C537,Cartera1017[ID Mantenimiento],Cartera1017[Comienzo Calidad]),
IF(TRIM(D537)="Producción",
   _xlfn.XLOOKUP(C537,Cartera1017[ID Mantenimiento],Cartera1017[Comienzo Producción]),
""))))</f>
        <v>46083</v>
      </c>
      <c r="H537" s="160">
        <f ca="1">IF(TRIM(D537)=C537,
   _xlfn.XLOOKUP(C537, Cartera1017[ID Mantenimiento],Cartera1017[Fin Producción]),
IF(TRIM(D537)="Desarrollo",
   _xlfn.XLOOKUP(C537,Cartera1017[ID Mantenimiento],Cartera1017[Fin Desarrollo]),
IF(TRIM(D537)="Calidad",
   _xlfn.XLOOKUP(C537,Cartera1017[ID Mantenimiento],Cartera1017[Fin Calidad]),
IF(TRIM(D537)="Producción",
   _xlfn.XLOOKUP(C537,Cartera1017[ID Mantenimiento],Cartera1017[Fin Producción]),
""))))</f>
        <v>46332</v>
      </c>
    </row>
    <row r="538" spans="1:8" hidden="1" outlineLevel="1">
      <c r="A538" t="str">
        <f ca="1"/>
        <v>Gerencia General</v>
      </c>
      <c r="B538" t="str">
        <f ca="1"/>
        <v>10. Paralizado</v>
      </c>
      <c r="C538" t="str">
        <f ca="1"/>
        <v>2025-M0536</v>
      </c>
      <c r="D538" t="str">
        <f ca="1"/>
        <v xml:space="preserve">   Calidad</v>
      </c>
      <c r="E538" s="255">
        <f ca="1"/>
        <v>0.12</v>
      </c>
      <c r="F538" s="255">
        <f ca="1"/>
        <v>0.27941176470588236</v>
      </c>
      <c r="G538" s="356">
        <f ca="1">IF(TRIM(D538)=C538,
   _xlfn.XLOOKUP(C538, Cartera1017[ID Mantenimiento],Cartera1017[Comienzo Desarrollo]),
IF(TRIM(D538)="Desarrollo",
   _xlfn.XLOOKUP(C538,Cartera1017[ID Mantenimiento],Cartera1017[Comienzo Desarrollo]),
IF(TRIM(D538)="Calidad",
   _xlfn.XLOOKUP(C538,Cartera1017[ID Mantenimiento],Cartera1017[Comienzo Calidad]),
IF(TRIM(D538)="Producción",
   _xlfn.XLOOKUP(C538,Cartera1017[ID Mantenimiento],Cartera1017[Comienzo Producción]),
""))))</f>
        <v>46332</v>
      </c>
      <c r="H538" s="160">
        <f ca="1">IF(TRIM(D538)=C538,
   _xlfn.XLOOKUP(C538, Cartera1017[ID Mantenimiento],Cartera1017[Fin Producción]),
IF(TRIM(D538)="Desarrollo",
   _xlfn.XLOOKUP(C538,Cartera1017[ID Mantenimiento],Cartera1017[Fin Desarrollo]),
IF(TRIM(D538)="Calidad",
   _xlfn.XLOOKUP(C538,Cartera1017[ID Mantenimiento],Cartera1017[Fin Calidad]),
IF(TRIM(D538)="Producción",
   _xlfn.XLOOKUP(C538,Cartera1017[ID Mantenimiento],Cartera1017[Fin Producción]),
""))))</f>
        <v>46356</v>
      </c>
    </row>
    <row r="539" spans="1:8" hidden="1" outlineLevel="1">
      <c r="A539" t="str">
        <f ca="1"/>
        <v>Gerencia General</v>
      </c>
      <c r="B539" t="str">
        <f ca="1"/>
        <v>10. Paralizado</v>
      </c>
      <c r="C539" t="str">
        <f ca="1"/>
        <v>2025-M0536</v>
      </c>
      <c r="D539" t="str">
        <f ca="1"/>
        <v xml:space="preserve">   Producción</v>
      </c>
      <c r="E539" s="255">
        <f ca="1"/>
        <v>0.12</v>
      </c>
      <c r="F539" s="255">
        <f ca="1"/>
        <v>0.27941176470588236</v>
      </c>
      <c r="G539" s="356">
        <f ca="1">IF(TRIM(D539)=C539,
   _xlfn.XLOOKUP(C539, Cartera1017[ID Mantenimiento],Cartera1017[Comienzo Desarrollo]),
IF(TRIM(D539)="Desarrollo",
   _xlfn.XLOOKUP(C539,Cartera1017[ID Mantenimiento],Cartera1017[Comienzo Desarrollo]),
IF(TRIM(D539)="Calidad",
   _xlfn.XLOOKUP(C539,Cartera1017[ID Mantenimiento],Cartera1017[Comienzo Calidad]),
IF(TRIM(D539)="Producción",
   _xlfn.XLOOKUP(C539,Cartera1017[ID Mantenimiento],Cartera1017[Comienzo Producción]),
""))))</f>
        <v>46356</v>
      </c>
      <c r="H539" s="160">
        <f ca="1">IF(TRIM(D539)=C539,
   _xlfn.XLOOKUP(C539, Cartera1017[ID Mantenimiento],Cartera1017[Fin Producción]),
IF(TRIM(D539)="Desarrollo",
   _xlfn.XLOOKUP(C539,Cartera1017[ID Mantenimiento],Cartera1017[Fin Desarrollo]),
IF(TRIM(D539)="Calidad",
   _xlfn.XLOOKUP(C539,Cartera1017[ID Mantenimiento],Cartera1017[Fin Calidad]),
IF(TRIM(D539)="Producción",
   _xlfn.XLOOKUP(C539,Cartera1017[ID Mantenimiento],Cartera1017[Fin Producción]),
""))))</f>
        <v>46374</v>
      </c>
    </row>
    <row r="540" spans="1:8" hidden="1" collapsed="1">
      <c r="A540" t="str">
        <f ca="1"/>
        <v>Tecnologías de Información</v>
      </c>
      <c r="B540" t="str">
        <f ca="1"/>
        <v>03. En Desarrollo</v>
      </c>
      <c r="C540" t="str">
        <f ca="1"/>
        <v>2025-M0584</v>
      </c>
      <c r="D540" t="str">
        <f ca="1"/>
        <v>2025-M0584</v>
      </c>
      <c r="E540" s="255">
        <f ca="1"/>
        <v>0.45</v>
      </c>
      <c r="F540" s="255">
        <f ca="1"/>
        <v>1</v>
      </c>
      <c r="G540" s="356">
        <f ca="1">IF(TRIM(D540)=C540,
   _xlfn.XLOOKUP(C540, Cartera1017[ID Mantenimiento],Cartera1017[Comienzo Desarrollo]),
IF(TRIM(D540)="Desarrollo",
   _xlfn.XLOOKUP(C540,Cartera1017[ID Mantenimiento],Cartera1017[Comienzo Desarrollo]),
IF(TRIM(D540)="Calidad",
   _xlfn.XLOOKUP(C540,Cartera1017[ID Mantenimiento],Cartera1017[Comienzo Calidad]),
IF(TRIM(D540)="Producción",
   _xlfn.XLOOKUP(C540,Cartera1017[ID Mantenimiento],Cartera1017[Comienzo Producción]),
""))))</f>
        <v>46083</v>
      </c>
      <c r="H540" s="160">
        <f ca="1">IF(TRIM(D540)=C540,
   _xlfn.XLOOKUP(C540, Cartera1017[ID Mantenimiento],Cartera1017[Fin Producción]),
IF(TRIM(D540)="Desarrollo",
   _xlfn.XLOOKUP(C540,Cartera1017[ID Mantenimiento],Cartera1017[Fin Desarrollo]),
IF(TRIM(D540)="Calidad",
   _xlfn.XLOOKUP(C540,Cartera1017[ID Mantenimiento],Cartera1017[Fin Calidad]),
IF(TRIM(D540)="Producción",
   _xlfn.XLOOKUP(C540,Cartera1017[ID Mantenimiento],Cartera1017[Fin Producción]),
""))))</f>
        <v>46122</v>
      </c>
    </row>
    <row r="541" spans="1:8" hidden="1" outlineLevel="1">
      <c r="A541" t="str">
        <f ca="1"/>
        <v>Tecnologías de Información</v>
      </c>
      <c r="B541" t="str">
        <f ca="1"/>
        <v>03. En Desarrollo</v>
      </c>
      <c r="C541" t="str">
        <f ca="1"/>
        <v>2025-M0584</v>
      </c>
      <c r="D541" t="str">
        <f ca="1"/>
        <v xml:space="preserve">   Desarrollo</v>
      </c>
      <c r="E541" s="255">
        <f ca="1"/>
        <v>0.45</v>
      </c>
      <c r="F541" s="255">
        <f ca="1"/>
        <v>1</v>
      </c>
      <c r="G541" s="356">
        <f ca="1">IF(TRIM(D541)=C541,
   _xlfn.XLOOKUP(C541, Cartera1017[ID Mantenimiento],Cartera1017[Comienzo Desarrollo]),
IF(TRIM(D541)="Desarrollo",
   _xlfn.XLOOKUP(C541,Cartera1017[ID Mantenimiento],Cartera1017[Comienzo Desarrollo]),
IF(TRIM(D541)="Calidad",
   _xlfn.XLOOKUP(C541,Cartera1017[ID Mantenimiento],Cartera1017[Comienzo Calidad]),
IF(TRIM(D541)="Producción",
   _xlfn.XLOOKUP(C541,Cartera1017[ID Mantenimiento],Cartera1017[Comienzo Producción]),
""))))</f>
        <v>46083</v>
      </c>
      <c r="H541" s="160">
        <f ca="1">IF(TRIM(D541)=C541,
   _xlfn.XLOOKUP(C541, Cartera1017[ID Mantenimiento],Cartera1017[Fin Producción]),
IF(TRIM(D541)="Desarrollo",
   _xlfn.XLOOKUP(C541,Cartera1017[ID Mantenimiento],Cartera1017[Fin Desarrollo]),
IF(TRIM(D541)="Calidad",
   _xlfn.XLOOKUP(C541,Cartera1017[ID Mantenimiento],Cartera1017[Fin Calidad]),
IF(TRIM(D541)="Producción",
   _xlfn.XLOOKUP(C541,Cartera1017[ID Mantenimiento],Cartera1017[Fin Producción]),
""))))</f>
        <v>46109</v>
      </c>
    </row>
    <row r="542" spans="1:8" hidden="1" outlineLevel="1">
      <c r="A542" t="str">
        <f ca="1"/>
        <v>Tecnologías de Información</v>
      </c>
      <c r="B542" t="str">
        <f ca="1"/>
        <v>03. En Desarrollo</v>
      </c>
      <c r="C542" t="str">
        <f ca="1"/>
        <v>2025-M0584</v>
      </c>
      <c r="D542" t="str">
        <f ca="1"/>
        <v xml:space="preserve">   Calidad</v>
      </c>
      <c r="E542" s="255">
        <f ca="1"/>
        <v>0.45</v>
      </c>
      <c r="F542" s="255">
        <f ca="1"/>
        <v>1</v>
      </c>
      <c r="G542" s="356">
        <f ca="1">IF(TRIM(D542)=C542,
   _xlfn.XLOOKUP(C542, Cartera1017[ID Mantenimiento],Cartera1017[Comienzo Desarrollo]),
IF(TRIM(D542)="Desarrollo",
   _xlfn.XLOOKUP(C542,Cartera1017[ID Mantenimiento],Cartera1017[Comienzo Desarrollo]),
IF(TRIM(D542)="Calidad",
   _xlfn.XLOOKUP(C542,Cartera1017[ID Mantenimiento],Cartera1017[Comienzo Calidad]),
IF(TRIM(D542)="Producción",
   _xlfn.XLOOKUP(C542,Cartera1017[ID Mantenimiento],Cartera1017[Comienzo Producción]),
""))))</f>
        <v>46108</v>
      </c>
      <c r="H542" s="160">
        <f ca="1">IF(TRIM(D542)=C542,
   _xlfn.XLOOKUP(C542, Cartera1017[ID Mantenimiento],Cartera1017[Fin Producción]),
IF(TRIM(D542)="Desarrollo",
   _xlfn.XLOOKUP(C542,Cartera1017[ID Mantenimiento],Cartera1017[Fin Desarrollo]),
IF(TRIM(D542)="Calidad",
   _xlfn.XLOOKUP(C542,Cartera1017[ID Mantenimiento],Cartera1017[Fin Calidad]),
IF(TRIM(D542)="Producción",
   _xlfn.XLOOKUP(C542,Cartera1017[ID Mantenimiento],Cartera1017[Fin Producción]),
""))))</f>
        <v>46114</v>
      </c>
    </row>
    <row r="543" spans="1:8" hidden="1" outlineLevel="1">
      <c r="A543" t="str">
        <f ca="1"/>
        <v>Tecnologías de Información</v>
      </c>
      <c r="B543" t="str">
        <f ca="1"/>
        <v>03. En Desarrollo</v>
      </c>
      <c r="C543" t="str">
        <f ca="1"/>
        <v>2025-M0584</v>
      </c>
      <c r="D543" t="str">
        <f ca="1"/>
        <v xml:space="preserve">   Producción</v>
      </c>
      <c r="E543" s="255">
        <f ca="1"/>
        <v>0.45</v>
      </c>
      <c r="F543" s="255">
        <f ca="1"/>
        <v>1</v>
      </c>
      <c r="G543" s="356">
        <f ca="1">IF(TRIM(D543)=C543,
   _xlfn.XLOOKUP(C543, Cartera1017[ID Mantenimiento],Cartera1017[Comienzo Desarrollo]),
IF(TRIM(D543)="Desarrollo",
   _xlfn.XLOOKUP(C543,Cartera1017[ID Mantenimiento],Cartera1017[Comienzo Desarrollo]),
IF(TRIM(D543)="Calidad",
   _xlfn.XLOOKUP(C543,Cartera1017[ID Mantenimiento],Cartera1017[Comienzo Calidad]),
IF(TRIM(D543)="Producción",
   _xlfn.XLOOKUP(C543,Cartera1017[ID Mantenimiento],Cartera1017[Comienzo Producción]),
""))))</f>
        <v>46118</v>
      </c>
      <c r="H543" s="160">
        <f ca="1">IF(TRIM(D543)=C543,
   _xlfn.XLOOKUP(C543, Cartera1017[ID Mantenimiento],Cartera1017[Fin Producción]),
IF(TRIM(D543)="Desarrollo",
   _xlfn.XLOOKUP(C543,Cartera1017[ID Mantenimiento],Cartera1017[Fin Desarrollo]),
IF(TRIM(D543)="Calidad",
   _xlfn.XLOOKUP(C543,Cartera1017[ID Mantenimiento],Cartera1017[Fin Calidad]),
IF(TRIM(D543)="Producción",
   _xlfn.XLOOKUP(C543,Cartera1017[ID Mantenimiento],Cartera1017[Fin Producción]),
""))))</f>
        <v>46122</v>
      </c>
    </row>
    <row r="544" spans="1:8" hidden="1" collapsed="1">
      <c r="A544" t="str">
        <f ca="1"/>
        <v>Tecnologías de Información</v>
      </c>
      <c r="B544" t="str">
        <f ca="1"/>
        <v>03. En Desarrollo</v>
      </c>
      <c r="C544" t="str">
        <f ca="1"/>
        <v>2025-M0562</v>
      </c>
      <c r="D544" t="str">
        <f ca="1"/>
        <v>2025-M0562</v>
      </c>
      <c r="E544" s="255">
        <f ca="1"/>
        <v>0.15</v>
      </c>
      <c r="F544" s="255">
        <f ca="1"/>
        <v>1</v>
      </c>
      <c r="G544" s="356">
        <f ca="1">IF(TRIM(D544)=C544,
   _xlfn.XLOOKUP(C544, Cartera1017[ID Mantenimiento],Cartera1017[Comienzo Desarrollo]),
IF(TRIM(D544)="Desarrollo",
   _xlfn.XLOOKUP(C544,Cartera1017[ID Mantenimiento],Cartera1017[Comienzo Desarrollo]),
IF(TRIM(D544)="Calidad",
   _xlfn.XLOOKUP(C544,Cartera1017[ID Mantenimiento],Cartera1017[Comienzo Calidad]),
IF(TRIM(D544)="Producción",
   _xlfn.XLOOKUP(C544,Cartera1017[ID Mantenimiento],Cartera1017[Comienzo Producción]),
""))))</f>
        <v>46083</v>
      </c>
      <c r="H544" s="160">
        <f ca="1">IF(TRIM(D544)=C544,
   _xlfn.XLOOKUP(C544, Cartera1017[ID Mantenimiento],Cartera1017[Fin Producción]),
IF(TRIM(D544)="Desarrollo",
   _xlfn.XLOOKUP(C544,Cartera1017[ID Mantenimiento],Cartera1017[Fin Desarrollo]),
IF(TRIM(D544)="Calidad",
   _xlfn.XLOOKUP(C544,Cartera1017[ID Mantenimiento],Cartera1017[Fin Calidad]),
IF(TRIM(D544)="Producción",
   _xlfn.XLOOKUP(C544,Cartera1017[ID Mantenimiento],Cartera1017[Fin Producción]),
""))))</f>
        <v>46127</v>
      </c>
    </row>
    <row r="545" spans="1:8" hidden="1" outlineLevel="1">
      <c r="A545" t="str">
        <f ca="1"/>
        <v>Tecnologías de Información</v>
      </c>
      <c r="B545" t="str">
        <f ca="1"/>
        <v>03. En Desarrollo</v>
      </c>
      <c r="C545" t="str">
        <f ca="1"/>
        <v>2025-M0562</v>
      </c>
      <c r="D545" t="str">
        <f ca="1"/>
        <v xml:space="preserve">   Desarrollo</v>
      </c>
      <c r="E545" s="255">
        <f ca="1"/>
        <v>0.15</v>
      </c>
      <c r="F545" s="255">
        <f ca="1"/>
        <v>1</v>
      </c>
      <c r="G545" s="356">
        <f ca="1">IF(TRIM(D545)=C545,
   _xlfn.XLOOKUP(C545, Cartera1017[ID Mantenimiento],Cartera1017[Comienzo Desarrollo]),
IF(TRIM(D545)="Desarrollo",
   _xlfn.XLOOKUP(C545,Cartera1017[ID Mantenimiento],Cartera1017[Comienzo Desarrollo]),
IF(TRIM(D545)="Calidad",
   _xlfn.XLOOKUP(C545,Cartera1017[ID Mantenimiento],Cartera1017[Comienzo Calidad]),
IF(TRIM(D545)="Producción",
   _xlfn.XLOOKUP(C545,Cartera1017[ID Mantenimiento],Cartera1017[Comienzo Producción]),
""))))</f>
        <v>46083</v>
      </c>
      <c r="H545" s="160">
        <f ca="1">IF(TRIM(D545)=C545,
   _xlfn.XLOOKUP(C545, Cartera1017[ID Mantenimiento],Cartera1017[Fin Producción]),
IF(TRIM(D545)="Desarrollo",
   _xlfn.XLOOKUP(C545,Cartera1017[ID Mantenimiento],Cartera1017[Fin Desarrollo]),
IF(TRIM(D545)="Calidad",
   _xlfn.XLOOKUP(C545,Cartera1017[ID Mantenimiento],Cartera1017[Fin Calidad]),
IF(TRIM(D545)="Producción",
   _xlfn.XLOOKUP(C545,Cartera1017[ID Mantenimiento],Cartera1017[Fin Producción]),
""))))</f>
        <v>46104</v>
      </c>
    </row>
    <row r="546" spans="1:8" hidden="1" outlineLevel="1">
      <c r="A546" t="str">
        <f ca="1"/>
        <v>Tecnologías de Información</v>
      </c>
      <c r="B546" t="str">
        <f ca="1"/>
        <v>03. En Desarrollo</v>
      </c>
      <c r="C546" t="str">
        <f ca="1"/>
        <v>2025-M0562</v>
      </c>
      <c r="D546" t="str">
        <f ca="1"/>
        <v xml:space="preserve">   Calidad</v>
      </c>
      <c r="E546" s="255">
        <f ca="1"/>
        <v>0.15</v>
      </c>
      <c r="F546" s="255">
        <f ca="1"/>
        <v>1</v>
      </c>
      <c r="G546" s="356">
        <f ca="1">IF(TRIM(D546)=C546,
   _xlfn.XLOOKUP(C546, Cartera1017[ID Mantenimiento],Cartera1017[Comienzo Desarrollo]),
IF(TRIM(D546)="Desarrollo",
   _xlfn.XLOOKUP(C546,Cartera1017[ID Mantenimiento],Cartera1017[Comienzo Desarrollo]),
IF(TRIM(D546)="Calidad",
   _xlfn.XLOOKUP(C546,Cartera1017[ID Mantenimiento],Cartera1017[Comienzo Calidad]),
IF(TRIM(D546)="Producción",
   _xlfn.XLOOKUP(C546,Cartera1017[ID Mantenimiento],Cartera1017[Comienzo Producción]),
""))))</f>
        <v>46106</v>
      </c>
      <c r="H546" s="160">
        <f ca="1">IF(TRIM(D546)=C546,
   _xlfn.XLOOKUP(C546, Cartera1017[ID Mantenimiento],Cartera1017[Fin Producción]),
IF(TRIM(D546)="Desarrollo",
   _xlfn.XLOOKUP(C546,Cartera1017[ID Mantenimiento],Cartera1017[Fin Desarrollo]),
IF(TRIM(D546)="Calidad",
   _xlfn.XLOOKUP(C546,Cartera1017[ID Mantenimiento],Cartera1017[Fin Calidad]),
IF(TRIM(D546)="Producción",
   _xlfn.XLOOKUP(C546,Cartera1017[ID Mantenimiento],Cartera1017[Fin Producción]),
""))))</f>
        <v>46113</v>
      </c>
    </row>
    <row r="547" spans="1:8" hidden="1" outlineLevel="1">
      <c r="A547" t="str">
        <f ca="1"/>
        <v>Tecnologías de Información</v>
      </c>
      <c r="B547" t="str">
        <f ca="1"/>
        <v>03. En Desarrollo</v>
      </c>
      <c r="C547" t="str">
        <f ca="1"/>
        <v>2025-M0562</v>
      </c>
      <c r="D547" t="str">
        <f ca="1"/>
        <v xml:space="preserve">   Producción</v>
      </c>
      <c r="E547" s="255">
        <f ca="1"/>
        <v>0.15</v>
      </c>
      <c r="F547" s="255">
        <f ca="1"/>
        <v>1</v>
      </c>
      <c r="G547" s="356">
        <f ca="1">IF(TRIM(D547)=C547,
   _xlfn.XLOOKUP(C547, Cartera1017[ID Mantenimiento],Cartera1017[Comienzo Desarrollo]),
IF(TRIM(D547)="Desarrollo",
   _xlfn.XLOOKUP(C547,Cartera1017[ID Mantenimiento],Cartera1017[Comienzo Desarrollo]),
IF(TRIM(D547)="Calidad",
   _xlfn.XLOOKUP(C547,Cartera1017[ID Mantenimiento],Cartera1017[Comienzo Calidad]),
IF(TRIM(D547)="Producción",
   _xlfn.XLOOKUP(C547,Cartera1017[ID Mantenimiento],Cartera1017[Comienzo Producción]),
""))))</f>
        <v>46117</v>
      </c>
      <c r="H547" s="160">
        <f ca="1">IF(TRIM(D547)=C547,
   _xlfn.XLOOKUP(C547, Cartera1017[ID Mantenimiento],Cartera1017[Fin Producción]),
IF(TRIM(D547)="Desarrollo",
   _xlfn.XLOOKUP(C547,Cartera1017[ID Mantenimiento],Cartera1017[Fin Desarrollo]),
IF(TRIM(D547)="Calidad",
   _xlfn.XLOOKUP(C547,Cartera1017[ID Mantenimiento],Cartera1017[Fin Calidad]),
IF(TRIM(D547)="Producción",
   _xlfn.XLOOKUP(C547,Cartera1017[ID Mantenimiento],Cartera1017[Fin Producción]),
""))))</f>
        <v>46127</v>
      </c>
    </row>
    <row r="548" spans="1:8" hidden="1" collapsed="1">
      <c r="A548" t="str">
        <f ca="1"/>
        <v>Tecnologías de Información</v>
      </c>
      <c r="B548" t="str">
        <f ca="1"/>
        <v>03. En Desarrollo</v>
      </c>
      <c r="C548" t="str">
        <f ca="1"/>
        <v>2025-M0563</v>
      </c>
      <c r="D548" t="str">
        <f ca="1"/>
        <v>2025-M0563</v>
      </c>
      <c r="E548" s="255">
        <f ca="1"/>
        <v>0.25</v>
      </c>
      <c r="F548" s="255">
        <f ca="1"/>
        <v>1</v>
      </c>
      <c r="G548" s="356">
        <f ca="1">IF(TRIM(D548)=C548,
   _xlfn.XLOOKUP(C548, Cartera1017[ID Mantenimiento],Cartera1017[Comienzo Desarrollo]),
IF(TRIM(D548)="Desarrollo",
   _xlfn.XLOOKUP(C548,Cartera1017[ID Mantenimiento],Cartera1017[Comienzo Desarrollo]),
IF(TRIM(D548)="Calidad",
   _xlfn.XLOOKUP(C548,Cartera1017[ID Mantenimiento],Cartera1017[Comienzo Calidad]),
IF(TRIM(D548)="Producción",
   _xlfn.XLOOKUP(C548,Cartera1017[ID Mantenimiento],Cartera1017[Comienzo Producción]),
""))))</f>
        <v>46083</v>
      </c>
      <c r="H548" s="160">
        <f ca="1">IF(TRIM(D548)=C548,
   _xlfn.XLOOKUP(C548, Cartera1017[ID Mantenimiento],Cartera1017[Fin Producción]),
IF(TRIM(D548)="Desarrollo",
   _xlfn.XLOOKUP(C548,Cartera1017[ID Mantenimiento],Cartera1017[Fin Desarrollo]),
IF(TRIM(D548)="Calidad",
   _xlfn.XLOOKUP(C548,Cartera1017[ID Mantenimiento],Cartera1017[Fin Calidad]),
IF(TRIM(D548)="Producción",
   _xlfn.XLOOKUP(C548,Cartera1017[ID Mantenimiento],Cartera1017[Fin Producción]),
""))))</f>
        <v>46127</v>
      </c>
    </row>
    <row r="549" spans="1:8" hidden="1" outlineLevel="1">
      <c r="A549" t="str">
        <f ca="1"/>
        <v>Tecnologías de Información</v>
      </c>
      <c r="B549" t="str">
        <f ca="1"/>
        <v>03. En Desarrollo</v>
      </c>
      <c r="C549" t="str">
        <f ca="1"/>
        <v>2025-M0563</v>
      </c>
      <c r="D549" t="str">
        <f ca="1"/>
        <v xml:space="preserve">   Desarrollo</v>
      </c>
      <c r="E549" s="255">
        <f ca="1"/>
        <v>0.25</v>
      </c>
      <c r="F549" s="255">
        <f ca="1"/>
        <v>1</v>
      </c>
      <c r="G549" s="356">
        <f ca="1">IF(TRIM(D549)=C549,
   _xlfn.XLOOKUP(C549, Cartera1017[ID Mantenimiento],Cartera1017[Comienzo Desarrollo]),
IF(TRIM(D549)="Desarrollo",
   _xlfn.XLOOKUP(C549,Cartera1017[ID Mantenimiento],Cartera1017[Comienzo Desarrollo]),
IF(TRIM(D549)="Calidad",
   _xlfn.XLOOKUP(C549,Cartera1017[ID Mantenimiento],Cartera1017[Comienzo Calidad]),
IF(TRIM(D549)="Producción",
   _xlfn.XLOOKUP(C549,Cartera1017[ID Mantenimiento],Cartera1017[Comienzo Producción]),
""))))</f>
        <v>46083</v>
      </c>
      <c r="H549" s="160">
        <f ca="1">IF(TRIM(D549)=C549,
   _xlfn.XLOOKUP(C549, Cartera1017[ID Mantenimiento],Cartera1017[Fin Producción]),
IF(TRIM(D549)="Desarrollo",
   _xlfn.XLOOKUP(C549,Cartera1017[ID Mantenimiento],Cartera1017[Fin Desarrollo]),
IF(TRIM(D549)="Calidad",
   _xlfn.XLOOKUP(C549,Cartera1017[ID Mantenimiento],Cartera1017[Fin Calidad]),
IF(TRIM(D549)="Producción",
   _xlfn.XLOOKUP(C549,Cartera1017[ID Mantenimiento],Cartera1017[Fin Producción]),
""))))</f>
        <v>46104</v>
      </c>
    </row>
    <row r="550" spans="1:8" hidden="1" outlineLevel="1">
      <c r="A550" t="str">
        <f ca="1"/>
        <v>Tecnologías de Información</v>
      </c>
      <c r="B550" t="str">
        <f ca="1"/>
        <v>03. En Desarrollo</v>
      </c>
      <c r="C550" t="str">
        <f ca="1"/>
        <v>2025-M0563</v>
      </c>
      <c r="D550" t="str">
        <f ca="1"/>
        <v xml:space="preserve">   Calidad</v>
      </c>
      <c r="E550" s="255">
        <f ca="1"/>
        <v>0.25</v>
      </c>
      <c r="F550" s="255">
        <f ca="1"/>
        <v>1</v>
      </c>
      <c r="G550" s="356">
        <f ca="1">IF(TRIM(D550)=C550,
   _xlfn.XLOOKUP(C550, Cartera1017[ID Mantenimiento],Cartera1017[Comienzo Desarrollo]),
IF(TRIM(D550)="Desarrollo",
   _xlfn.XLOOKUP(C550,Cartera1017[ID Mantenimiento],Cartera1017[Comienzo Desarrollo]),
IF(TRIM(D550)="Calidad",
   _xlfn.XLOOKUP(C550,Cartera1017[ID Mantenimiento],Cartera1017[Comienzo Calidad]),
IF(TRIM(D550)="Producción",
   _xlfn.XLOOKUP(C550,Cartera1017[ID Mantenimiento],Cartera1017[Comienzo Producción]),
""))))</f>
        <v>46106</v>
      </c>
      <c r="H550" s="160">
        <f ca="1">IF(TRIM(D550)=C550,
   _xlfn.XLOOKUP(C550, Cartera1017[ID Mantenimiento],Cartera1017[Fin Producción]),
IF(TRIM(D550)="Desarrollo",
   _xlfn.XLOOKUP(C550,Cartera1017[ID Mantenimiento],Cartera1017[Fin Desarrollo]),
IF(TRIM(D550)="Calidad",
   _xlfn.XLOOKUP(C550,Cartera1017[ID Mantenimiento],Cartera1017[Fin Calidad]),
IF(TRIM(D550)="Producción",
   _xlfn.XLOOKUP(C550,Cartera1017[ID Mantenimiento],Cartera1017[Fin Producción]),
""))))</f>
        <v>46113</v>
      </c>
    </row>
    <row r="551" spans="1:8" hidden="1" outlineLevel="1">
      <c r="A551" t="str">
        <f ca="1"/>
        <v>Tecnologías de Información</v>
      </c>
      <c r="B551" t="str">
        <f ca="1"/>
        <v>03. En Desarrollo</v>
      </c>
      <c r="C551" t="str">
        <f ca="1"/>
        <v>2025-M0563</v>
      </c>
      <c r="D551" t="str">
        <f ca="1"/>
        <v xml:space="preserve">   Producción</v>
      </c>
      <c r="E551" s="255">
        <f ca="1"/>
        <v>0.25</v>
      </c>
      <c r="F551" s="255">
        <f ca="1"/>
        <v>1</v>
      </c>
      <c r="G551" s="356">
        <f ca="1">IF(TRIM(D551)=C551,
   _xlfn.XLOOKUP(C551, Cartera1017[ID Mantenimiento],Cartera1017[Comienzo Desarrollo]),
IF(TRIM(D551)="Desarrollo",
   _xlfn.XLOOKUP(C551,Cartera1017[ID Mantenimiento],Cartera1017[Comienzo Desarrollo]),
IF(TRIM(D551)="Calidad",
   _xlfn.XLOOKUP(C551,Cartera1017[ID Mantenimiento],Cartera1017[Comienzo Calidad]),
IF(TRIM(D551)="Producción",
   _xlfn.XLOOKUP(C551,Cartera1017[ID Mantenimiento],Cartera1017[Comienzo Producción]),
""))))</f>
        <v>46118</v>
      </c>
      <c r="H551" s="160">
        <f ca="1">IF(TRIM(D551)=C551,
   _xlfn.XLOOKUP(C551, Cartera1017[ID Mantenimiento],Cartera1017[Fin Producción]),
IF(TRIM(D551)="Desarrollo",
   _xlfn.XLOOKUP(C551,Cartera1017[ID Mantenimiento],Cartera1017[Fin Desarrollo]),
IF(TRIM(D551)="Calidad",
   _xlfn.XLOOKUP(C551,Cartera1017[ID Mantenimiento],Cartera1017[Fin Calidad]),
IF(TRIM(D551)="Producción",
   _xlfn.XLOOKUP(C551,Cartera1017[ID Mantenimiento],Cartera1017[Fin Producción]),
""))))</f>
        <v>46127</v>
      </c>
    </row>
    <row r="552" spans="1:8" hidden="1" collapsed="1">
      <c r="A552" t="str">
        <f ca="1"/>
        <v>Operaciones</v>
      </c>
      <c r="B552" t="str">
        <f ca="1"/>
        <v>07. En Despliegue</v>
      </c>
      <c r="C552" t="str">
        <f ca="1"/>
        <v>2025-M0596</v>
      </c>
      <c r="D552" t="str">
        <f ca="1"/>
        <v>2025-M0596</v>
      </c>
      <c r="E552" s="255">
        <f ca="1"/>
        <v>0.9</v>
      </c>
      <c r="F552" s="255">
        <f ca="1"/>
        <v>1</v>
      </c>
      <c r="G552" s="356">
        <f ca="1">IF(TRIM(D552)=C552,
   _xlfn.XLOOKUP(C552, Cartera1017[ID Mantenimiento],Cartera1017[Comienzo Desarrollo]),
IF(TRIM(D552)="Desarrollo",
   _xlfn.XLOOKUP(C552,Cartera1017[ID Mantenimiento],Cartera1017[Comienzo Desarrollo]),
IF(TRIM(D552)="Calidad",
   _xlfn.XLOOKUP(C552,Cartera1017[ID Mantenimiento],Cartera1017[Comienzo Calidad]),
IF(TRIM(D552)="Producción",
   _xlfn.XLOOKUP(C552,Cartera1017[ID Mantenimiento],Cartera1017[Comienzo Producción]),
""))))</f>
        <v>45901</v>
      </c>
      <c r="H552" s="160">
        <f ca="1">IF(TRIM(D552)=C552,
   _xlfn.XLOOKUP(C552, Cartera1017[ID Mantenimiento],Cartera1017[Fin Producción]),
IF(TRIM(D552)="Desarrollo",
   _xlfn.XLOOKUP(C552,Cartera1017[ID Mantenimiento],Cartera1017[Fin Desarrollo]),
IF(TRIM(D552)="Calidad",
   _xlfn.XLOOKUP(C552,Cartera1017[ID Mantenimiento],Cartera1017[Fin Calidad]),
IF(TRIM(D552)="Producción",
   _xlfn.XLOOKUP(C552,Cartera1017[ID Mantenimiento],Cartera1017[Fin Producción]),
""))))</f>
        <v>46108</v>
      </c>
    </row>
    <row r="553" spans="1:8" hidden="1" outlineLevel="1">
      <c r="A553" t="str">
        <f ca="1"/>
        <v>Operaciones</v>
      </c>
      <c r="B553" t="str">
        <f ca="1"/>
        <v>07. En Despliegue</v>
      </c>
      <c r="C553" t="str">
        <f ca="1"/>
        <v>2025-M0596</v>
      </c>
      <c r="D553" t="str">
        <f ca="1"/>
        <v xml:space="preserve">   Desarrollo</v>
      </c>
      <c r="E553" s="255">
        <f ca="1"/>
        <v>0.9</v>
      </c>
      <c r="F553" s="255">
        <f ca="1"/>
        <v>1</v>
      </c>
      <c r="G553" s="356">
        <f ca="1">IF(TRIM(D553)=C553,
   _xlfn.XLOOKUP(C553, Cartera1017[ID Mantenimiento],Cartera1017[Comienzo Desarrollo]),
IF(TRIM(D553)="Desarrollo",
   _xlfn.XLOOKUP(C553,Cartera1017[ID Mantenimiento],Cartera1017[Comienzo Desarrollo]),
IF(TRIM(D553)="Calidad",
   _xlfn.XLOOKUP(C553,Cartera1017[ID Mantenimiento],Cartera1017[Comienzo Calidad]),
IF(TRIM(D553)="Producción",
   _xlfn.XLOOKUP(C553,Cartera1017[ID Mantenimiento],Cartera1017[Comienzo Producción]),
""))))</f>
        <v>45901</v>
      </c>
      <c r="H553" s="160">
        <f ca="1">IF(TRIM(D553)=C553,
   _xlfn.XLOOKUP(C553, Cartera1017[ID Mantenimiento],Cartera1017[Fin Producción]),
IF(TRIM(D553)="Desarrollo",
   _xlfn.XLOOKUP(C553,Cartera1017[ID Mantenimiento],Cartera1017[Fin Desarrollo]),
IF(TRIM(D553)="Calidad",
   _xlfn.XLOOKUP(C553,Cartera1017[ID Mantenimiento],Cartera1017[Fin Calidad]),
IF(TRIM(D553)="Producción",
   _xlfn.XLOOKUP(C553,Cartera1017[ID Mantenimiento],Cartera1017[Fin Producción]),
""))))</f>
        <v>45902</v>
      </c>
    </row>
    <row r="554" spans="1:8" hidden="1" outlineLevel="1">
      <c r="A554" t="str">
        <f ca="1"/>
        <v>Operaciones</v>
      </c>
      <c r="B554" t="str">
        <f ca="1"/>
        <v>07. En Despliegue</v>
      </c>
      <c r="C554" t="str">
        <f ca="1"/>
        <v>2025-M0596</v>
      </c>
      <c r="D554" t="str">
        <f ca="1"/>
        <v xml:space="preserve">   Calidad</v>
      </c>
      <c r="E554" s="255">
        <f ca="1"/>
        <v>0.9</v>
      </c>
      <c r="F554" s="255">
        <f ca="1"/>
        <v>1</v>
      </c>
      <c r="G554" s="356">
        <f ca="1">IF(TRIM(D554)=C554,
   _xlfn.XLOOKUP(C554, Cartera1017[ID Mantenimiento],Cartera1017[Comienzo Desarrollo]),
IF(TRIM(D554)="Desarrollo",
   _xlfn.XLOOKUP(C554,Cartera1017[ID Mantenimiento],Cartera1017[Comienzo Desarrollo]),
IF(TRIM(D554)="Calidad",
   _xlfn.XLOOKUP(C554,Cartera1017[ID Mantenimiento],Cartera1017[Comienzo Calidad]),
IF(TRIM(D554)="Producción",
   _xlfn.XLOOKUP(C554,Cartera1017[ID Mantenimiento],Cartera1017[Comienzo Producción]),
""))))</f>
        <v>45908</v>
      </c>
      <c r="H554" s="160">
        <f ca="1">IF(TRIM(D554)=C554,
   _xlfn.XLOOKUP(C554, Cartera1017[ID Mantenimiento],Cartera1017[Fin Producción]),
IF(TRIM(D554)="Desarrollo",
   _xlfn.XLOOKUP(C554,Cartera1017[ID Mantenimiento],Cartera1017[Fin Desarrollo]),
IF(TRIM(D554)="Calidad",
   _xlfn.XLOOKUP(C554,Cartera1017[ID Mantenimiento],Cartera1017[Fin Calidad]),
IF(TRIM(D554)="Producción",
   _xlfn.XLOOKUP(C554,Cartera1017[ID Mantenimiento],Cartera1017[Fin Producción]),
""))))</f>
        <v>45908</v>
      </c>
    </row>
    <row r="555" spans="1:8" hidden="1" outlineLevel="1">
      <c r="A555" t="str">
        <f ca="1"/>
        <v>Operaciones</v>
      </c>
      <c r="B555" t="str">
        <f ca="1"/>
        <v>07. En Despliegue</v>
      </c>
      <c r="C555" t="str">
        <f ca="1"/>
        <v>2025-M0596</v>
      </c>
      <c r="D555" t="str">
        <f ca="1"/>
        <v xml:space="preserve">   Producción</v>
      </c>
      <c r="E555" s="255">
        <f ca="1"/>
        <v>0.9</v>
      </c>
      <c r="F555" s="255">
        <f ca="1"/>
        <v>1</v>
      </c>
      <c r="G555" s="356">
        <f ca="1">IF(TRIM(D555)=C555,
   _xlfn.XLOOKUP(C555, Cartera1017[ID Mantenimiento],Cartera1017[Comienzo Desarrollo]),
IF(TRIM(D555)="Desarrollo",
   _xlfn.XLOOKUP(C555,Cartera1017[ID Mantenimiento],Cartera1017[Comienzo Desarrollo]),
IF(TRIM(D555)="Calidad",
   _xlfn.XLOOKUP(C555,Cartera1017[ID Mantenimiento],Cartera1017[Comienzo Calidad]),
IF(TRIM(D555)="Producción",
   _xlfn.XLOOKUP(C555,Cartera1017[ID Mantenimiento],Cartera1017[Comienzo Producción]),
""))))</f>
        <v>45974</v>
      </c>
      <c r="H555" s="160">
        <f ca="1">IF(TRIM(D555)=C555,
   _xlfn.XLOOKUP(C555, Cartera1017[ID Mantenimiento],Cartera1017[Fin Producción]),
IF(TRIM(D555)="Desarrollo",
   _xlfn.XLOOKUP(C555,Cartera1017[ID Mantenimiento],Cartera1017[Fin Desarrollo]),
IF(TRIM(D555)="Calidad",
   _xlfn.XLOOKUP(C555,Cartera1017[ID Mantenimiento],Cartera1017[Fin Calidad]),
IF(TRIM(D555)="Producción",
   _xlfn.XLOOKUP(C555,Cartera1017[ID Mantenimiento],Cartera1017[Fin Producción]),
""))))</f>
        <v>46108</v>
      </c>
    </row>
    <row r="556" spans="1:8" hidden="1" collapsed="1">
      <c r="A556" t="str">
        <f ca="1"/>
        <v>Productos e Inclusión Financiera</v>
      </c>
      <c r="B556" t="str">
        <f ca="1"/>
        <v>06. Calidad Finalizado</v>
      </c>
      <c r="C556" t="str">
        <f ca="1"/>
        <v>2025-M0603</v>
      </c>
      <c r="D556" t="str">
        <f ca="1"/>
        <v>2025-M0603</v>
      </c>
      <c r="E556" s="255">
        <f ca="1"/>
        <v>0.85</v>
      </c>
      <c r="F556" s="255">
        <f ca="1"/>
        <v>1</v>
      </c>
      <c r="G556" s="356">
        <f ca="1">IF(TRIM(D556)=C556,
   _xlfn.XLOOKUP(C556, Cartera1017[ID Mantenimiento],Cartera1017[Comienzo Desarrollo]),
IF(TRIM(D556)="Desarrollo",
   _xlfn.XLOOKUP(C556,Cartera1017[ID Mantenimiento],Cartera1017[Comienzo Desarrollo]),
IF(TRIM(D556)="Calidad",
   _xlfn.XLOOKUP(C556,Cartera1017[ID Mantenimiento],Cartera1017[Comienzo Calidad]),
IF(TRIM(D556)="Producción",
   _xlfn.XLOOKUP(C556,Cartera1017[ID Mantenimiento],Cartera1017[Comienzo Producción]),
""))))</f>
        <v>45904</v>
      </c>
      <c r="H556" s="160">
        <f ca="1">IF(TRIM(D556)=C556,
   _xlfn.XLOOKUP(C556, Cartera1017[ID Mantenimiento],Cartera1017[Fin Producción]),
IF(TRIM(D556)="Desarrollo",
   _xlfn.XLOOKUP(C556,Cartera1017[ID Mantenimiento],Cartera1017[Fin Desarrollo]),
IF(TRIM(D556)="Calidad",
   _xlfn.XLOOKUP(C556,Cartera1017[ID Mantenimiento],Cartera1017[Fin Calidad]),
IF(TRIM(D556)="Producción",
   _xlfn.XLOOKUP(C556,Cartera1017[ID Mantenimiento],Cartera1017[Fin Producción]),
""))))</f>
        <v>46111</v>
      </c>
    </row>
    <row r="557" spans="1:8" hidden="1" outlineLevel="1">
      <c r="A557" t="str">
        <f ca="1"/>
        <v>Productos e Inclusión Financiera</v>
      </c>
      <c r="B557" t="str">
        <f ca="1"/>
        <v>06. Calidad Finalizado</v>
      </c>
      <c r="C557" t="str">
        <f ca="1"/>
        <v>2025-M0603</v>
      </c>
      <c r="D557" t="str">
        <f ca="1"/>
        <v xml:space="preserve">   Desarrollo</v>
      </c>
      <c r="E557" s="255">
        <f ca="1"/>
        <v>0.85</v>
      </c>
      <c r="F557" s="255">
        <f ca="1"/>
        <v>1</v>
      </c>
      <c r="G557" s="356">
        <f ca="1">IF(TRIM(D557)=C557,
   _xlfn.XLOOKUP(C557, Cartera1017[ID Mantenimiento],Cartera1017[Comienzo Desarrollo]),
IF(TRIM(D557)="Desarrollo",
   _xlfn.XLOOKUP(C557,Cartera1017[ID Mantenimiento],Cartera1017[Comienzo Desarrollo]),
IF(TRIM(D557)="Calidad",
   _xlfn.XLOOKUP(C557,Cartera1017[ID Mantenimiento],Cartera1017[Comienzo Calidad]),
IF(TRIM(D557)="Producción",
   _xlfn.XLOOKUP(C557,Cartera1017[ID Mantenimiento],Cartera1017[Comienzo Producción]),
""))))</f>
        <v>45904</v>
      </c>
      <c r="H557" s="160">
        <f ca="1">IF(TRIM(D557)=C557,
   _xlfn.XLOOKUP(C557, Cartera1017[ID Mantenimiento],Cartera1017[Fin Producción]),
IF(TRIM(D557)="Desarrollo",
   _xlfn.XLOOKUP(C557,Cartera1017[ID Mantenimiento],Cartera1017[Fin Desarrollo]),
IF(TRIM(D557)="Calidad",
   _xlfn.XLOOKUP(C557,Cartera1017[ID Mantenimiento],Cartera1017[Fin Calidad]),
IF(TRIM(D557)="Producción",
   _xlfn.XLOOKUP(C557,Cartera1017[ID Mantenimiento],Cartera1017[Fin Producción]),
""))))</f>
        <v>46028</v>
      </c>
    </row>
    <row r="558" spans="1:8" hidden="1" outlineLevel="1">
      <c r="A558" t="str">
        <f ca="1"/>
        <v>Productos e Inclusión Financiera</v>
      </c>
      <c r="B558" t="str">
        <f ca="1"/>
        <v>06. Calidad Finalizado</v>
      </c>
      <c r="C558" t="str">
        <f ca="1"/>
        <v>2025-M0603</v>
      </c>
      <c r="D558" t="str">
        <f ca="1"/>
        <v xml:space="preserve">   Calidad</v>
      </c>
      <c r="E558" s="255">
        <f ca="1"/>
        <v>0.85</v>
      </c>
      <c r="F558" s="255">
        <f ca="1"/>
        <v>1</v>
      </c>
      <c r="G558" s="356">
        <f ca="1">IF(TRIM(D558)=C558,
   _xlfn.XLOOKUP(C558, Cartera1017[ID Mantenimiento],Cartera1017[Comienzo Desarrollo]),
IF(TRIM(D558)="Desarrollo",
   _xlfn.XLOOKUP(C558,Cartera1017[ID Mantenimiento],Cartera1017[Comienzo Desarrollo]),
IF(TRIM(D558)="Calidad",
   _xlfn.XLOOKUP(C558,Cartera1017[ID Mantenimiento],Cartera1017[Comienzo Calidad]),
IF(TRIM(D558)="Producción",
   _xlfn.XLOOKUP(C558,Cartera1017[ID Mantenimiento],Cartera1017[Comienzo Producción]),
""))))</f>
        <v>46037</v>
      </c>
      <c r="H558" s="160">
        <f ca="1">IF(TRIM(D558)=C558,
   _xlfn.XLOOKUP(C558, Cartera1017[ID Mantenimiento],Cartera1017[Fin Producción]),
IF(TRIM(D558)="Desarrollo",
   _xlfn.XLOOKUP(C558,Cartera1017[ID Mantenimiento],Cartera1017[Fin Desarrollo]),
IF(TRIM(D558)="Calidad",
   _xlfn.XLOOKUP(C558,Cartera1017[ID Mantenimiento],Cartera1017[Fin Calidad]),
IF(TRIM(D558)="Producción",
   _xlfn.XLOOKUP(C558,Cartera1017[ID Mantenimiento],Cartera1017[Fin Producción]),
""))))</f>
        <v>46098</v>
      </c>
    </row>
    <row r="559" spans="1:8" hidden="1" outlineLevel="1">
      <c r="A559" t="str">
        <f ca="1"/>
        <v>Productos e Inclusión Financiera</v>
      </c>
      <c r="B559" t="str">
        <f ca="1"/>
        <v>06. Calidad Finalizado</v>
      </c>
      <c r="C559" t="str">
        <f ca="1"/>
        <v>2025-M0603</v>
      </c>
      <c r="D559" t="str">
        <f ca="1"/>
        <v xml:space="preserve">   Producción</v>
      </c>
      <c r="E559" s="255">
        <f ca="1"/>
        <v>0.85</v>
      </c>
      <c r="F559" s="255">
        <f ca="1"/>
        <v>1</v>
      </c>
      <c r="G559" s="356">
        <f ca="1">IF(TRIM(D559)=C559,
   _xlfn.XLOOKUP(C559, Cartera1017[ID Mantenimiento],Cartera1017[Comienzo Desarrollo]),
IF(TRIM(D559)="Desarrollo",
   _xlfn.XLOOKUP(C559,Cartera1017[ID Mantenimiento],Cartera1017[Comienzo Desarrollo]),
IF(TRIM(D559)="Calidad",
   _xlfn.XLOOKUP(C559,Cartera1017[ID Mantenimiento],Cartera1017[Comienzo Calidad]),
IF(TRIM(D559)="Producción",
   _xlfn.XLOOKUP(C559,Cartera1017[ID Mantenimiento],Cartera1017[Comienzo Producción]),
""))))</f>
        <v>46099</v>
      </c>
      <c r="H559" s="160">
        <f ca="1">IF(TRIM(D559)=C559,
   _xlfn.XLOOKUP(C559, Cartera1017[ID Mantenimiento],Cartera1017[Fin Producción]),
IF(TRIM(D559)="Desarrollo",
   _xlfn.XLOOKUP(C559,Cartera1017[ID Mantenimiento],Cartera1017[Fin Desarrollo]),
IF(TRIM(D559)="Calidad",
   _xlfn.XLOOKUP(C559,Cartera1017[ID Mantenimiento],Cartera1017[Fin Calidad]),
IF(TRIM(D559)="Producción",
   _xlfn.XLOOKUP(C559,Cartera1017[ID Mantenimiento],Cartera1017[Fin Producción]),
""))))</f>
        <v>46111</v>
      </c>
    </row>
    <row r="560" spans="1:8" hidden="1" collapsed="1">
      <c r="A560" t="str">
        <f ca="1"/>
        <v>Operaciones</v>
      </c>
      <c r="B560" t="str">
        <f ca="1"/>
        <v>10. Paralizado</v>
      </c>
      <c r="C560" t="str">
        <f ca="1"/>
        <v>2025-M0606</v>
      </c>
      <c r="D560" t="str">
        <f ca="1"/>
        <v>2025-M0606</v>
      </c>
      <c r="E560" s="255">
        <f ca="1"/>
        <v>0.12</v>
      </c>
      <c r="F560" s="255" t="str">
        <f ca="1"/>
        <v/>
      </c>
      <c r="G560" s="356">
        <f ca="1">IF(TRIM(D560)=C560,
   _xlfn.XLOOKUP(C560, Cartera1017[ID Mantenimiento],Cartera1017[Comienzo Desarrollo]),
IF(TRIM(D560)="Desarrollo",
   _xlfn.XLOOKUP(C560,Cartera1017[ID Mantenimiento],Cartera1017[Comienzo Desarrollo]),
IF(TRIM(D560)="Calidad",
   _xlfn.XLOOKUP(C560,Cartera1017[ID Mantenimiento],Cartera1017[Comienzo Calidad]),
IF(TRIM(D560)="Producción",
   _xlfn.XLOOKUP(C560,Cartera1017[ID Mantenimiento],Cartera1017[Comienzo Producción]),
""))))</f>
        <v>0</v>
      </c>
      <c r="H560" s="160">
        <f ca="1">IF(TRIM(D560)=C560,
   _xlfn.XLOOKUP(C560, Cartera1017[ID Mantenimiento],Cartera1017[Fin Producción]),
IF(TRIM(D560)="Desarrollo",
   _xlfn.XLOOKUP(C560,Cartera1017[ID Mantenimiento],Cartera1017[Fin Desarrollo]),
IF(TRIM(D560)="Calidad",
   _xlfn.XLOOKUP(C560,Cartera1017[ID Mantenimiento],Cartera1017[Fin Calidad]),
IF(TRIM(D560)="Producción",
   _xlfn.XLOOKUP(C560,Cartera1017[ID Mantenimiento],Cartera1017[Fin Producción]),
""))))</f>
        <v>0</v>
      </c>
    </row>
    <row r="561" spans="1:8" hidden="1" outlineLevel="1">
      <c r="A561" t="str">
        <f ca="1"/>
        <v>Operaciones</v>
      </c>
      <c r="B561" t="str">
        <f ca="1"/>
        <v>10. Paralizado</v>
      </c>
      <c r="C561" t="str">
        <f ca="1"/>
        <v>2025-M0606</v>
      </c>
      <c r="D561" t="str">
        <f ca="1"/>
        <v xml:space="preserve">   Desarrollo</v>
      </c>
      <c r="E561" s="255">
        <f ca="1"/>
        <v>0.12</v>
      </c>
      <c r="F561" s="255" t="str">
        <f ca="1"/>
        <v/>
      </c>
      <c r="G561" s="356">
        <f ca="1">IF(TRIM(D561)=C561,
   _xlfn.XLOOKUP(C561, Cartera1017[ID Mantenimiento],Cartera1017[Comienzo Desarrollo]),
IF(TRIM(D561)="Desarrollo",
   _xlfn.XLOOKUP(C561,Cartera1017[ID Mantenimiento],Cartera1017[Comienzo Desarrollo]),
IF(TRIM(D561)="Calidad",
   _xlfn.XLOOKUP(C561,Cartera1017[ID Mantenimiento],Cartera1017[Comienzo Calidad]),
IF(TRIM(D561)="Producción",
   _xlfn.XLOOKUP(C561,Cartera1017[ID Mantenimiento],Cartera1017[Comienzo Producción]),
""))))</f>
        <v>0</v>
      </c>
      <c r="H561" s="160">
        <f ca="1">IF(TRIM(D561)=C561,
   _xlfn.XLOOKUP(C561, Cartera1017[ID Mantenimiento],Cartera1017[Fin Producción]),
IF(TRIM(D561)="Desarrollo",
   _xlfn.XLOOKUP(C561,Cartera1017[ID Mantenimiento],Cartera1017[Fin Desarrollo]),
IF(TRIM(D561)="Calidad",
   _xlfn.XLOOKUP(C561,Cartera1017[ID Mantenimiento],Cartera1017[Fin Calidad]),
IF(TRIM(D561)="Producción",
   _xlfn.XLOOKUP(C561,Cartera1017[ID Mantenimiento],Cartera1017[Fin Producción]),
""))))</f>
        <v>0</v>
      </c>
    </row>
    <row r="562" spans="1:8" hidden="1" outlineLevel="1">
      <c r="A562" t="str">
        <f ca="1"/>
        <v>Operaciones</v>
      </c>
      <c r="B562" t="str">
        <f ca="1"/>
        <v>10. Paralizado</v>
      </c>
      <c r="C562" t="str">
        <f ca="1"/>
        <v>2025-M0606</v>
      </c>
      <c r="D562" t="str">
        <f ca="1"/>
        <v xml:space="preserve">   Calidad</v>
      </c>
      <c r="E562" s="255">
        <f ca="1"/>
        <v>0.12</v>
      </c>
      <c r="F562" s="255" t="str">
        <f ca="1"/>
        <v/>
      </c>
      <c r="G562" s="356">
        <f ca="1">IF(TRIM(D562)=C562,
   _xlfn.XLOOKUP(C562, Cartera1017[ID Mantenimiento],Cartera1017[Comienzo Desarrollo]),
IF(TRIM(D562)="Desarrollo",
   _xlfn.XLOOKUP(C562,Cartera1017[ID Mantenimiento],Cartera1017[Comienzo Desarrollo]),
IF(TRIM(D562)="Calidad",
   _xlfn.XLOOKUP(C562,Cartera1017[ID Mantenimiento],Cartera1017[Comienzo Calidad]),
IF(TRIM(D562)="Producción",
   _xlfn.XLOOKUP(C562,Cartera1017[ID Mantenimiento],Cartera1017[Comienzo Producción]),
""))))</f>
        <v>0</v>
      </c>
      <c r="H562" s="160">
        <f ca="1">IF(TRIM(D562)=C562,
   _xlfn.XLOOKUP(C562, Cartera1017[ID Mantenimiento],Cartera1017[Fin Producción]),
IF(TRIM(D562)="Desarrollo",
   _xlfn.XLOOKUP(C562,Cartera1017[ID Mantenimiento],Cartera1017[Fin Desarrollo]),
IF(TRIM(D562)="Calidad",
   _xlfn.XLOOKUP(C562,Cartera1017[ID Mantenimiento],Cartera1017[Fin Calidad]),
IF(TRIM(D562)="Producción",
   _xlfn.XLOOKUP(C562,Cartera1017[ID Mantenimiento],Cartera1017[Fin Producción]),
""))))</f>
        <v>0</v>
      </c>
    </row>
    <row r="563" spans="1:8" hidden="1" outlineLevel="1">
      <c r="A563" t="str">
        <f ca="1"/>
        <v>Operaciones</v>
      </c>
      <c r="B563" t="str">
        <f ca="1"/>
        <v>10. Paralizado</v>
      </c>
      <c r="C563" t="str">
        <f ca="1"/>
        <v>2025-M0606</v>
      </c>
      <c r="D563" t="str">
        <f ca="1"/>
        <v xml:space="preserve">   Producción</v>
      </c>
      <c r="E563" s="255">
        <f ca="1"/>
        <v>0.12</v>
      </c>
      <c r="F563" s="255" t="str">
        <f ca="1"/>
        <v/>
      </c>
      <c r="G563" s="356">
        <f ca="1">IF(TRIM(D563)=C563,
   _xlfn.XLOOKUP(C563, Cartera1017[ID Mantenimiento],Cartera1017[Comienzo Desarrollo]),
IF(TRIM(D563)="Desarrollo",
   _xlfn.XLOOKUP(C563,Cartera1017[ID Mantenimiento],Cartera1017[Comienzo Desarrollo]),
IF(TRIM(D563)="Calidad",
   _xlfn.XLOOKUP(C563,Cartera1017[ID Mantenimiento],Cartera1017[Comienzo Calidad]),
IF(TRIM(D563)="Producción",
   _xlfn.XLOOKUP(C563,Cartera1017[ID Mantenimiento],Cartera1017[Comienzo Producción]),
""))))</f>
        <v>0</v>
      </c>
      <c r="H563" s="160">
        <f ca="1">IF(TRIM(D563)=C563,
   _xlfn.XLOOKUP(C563, Cartera1017[ID Mantenimiento],Cartera1017[Fin Producción]),
IF(TRIM(D563)="Desarrollo",
   _xlfn.XLOOKUP(C563,Cartera1017[ID Mantenimiento],Cartera1017[Fin Desarrollo]),
IF(TRIM(D563)="Calidad",
   _xlfn.XLOOKUP(C563,Cartera1017[ID Mantenimiento],Cartera1017[Fin Calidad]),
IF(TRIM(D563)="Producción",
   _xlfn.XLOOKUP(C563,Cartera1017[ID Mantenimiento],Cartera1017[Fin Producción]),
""))))</f>
        <v>0</v>
      </c>
    </row>
    <row r="564" spans="1:8" hidden="1" collapsed="1">
      <c r="A564" t="str">
        <f ca="1"/>
        <v>Operaciones</v>
      </c>
      <c r="B564" t="str">
        <f ca="1"/>
        <v>08. Producción Finalizada</v>
      </c>
      <c r="C564" t="str">
        <f ca="1"/>
        <v>2025-M0616</v>
      </c>
      <c r="D564" t="str">
        <f ca="1"/>
        <v>2025-M0616</v>
      </c>
      <c r="E564" s="255">
        <f ca="1"/>
        <v>1</v>
      </c>
      <c r="F564" s="255">
        <f ca="1"/>
        <v>1</v>
      </c>
      <c r="G564" s="356">
        <f ca="1">IF(TRIM(D564)=C564,
   _xlfn.XLOOKUP(C564, Cartera1017[ID Mantenimiento],Cartera1017[Comienzo Desarrollo]),
IF(TRIM(D564)="Desarrollo",
   _xlfn.XLOOKUP(C564,Cartera1017[ID Mantenimiento],Cartera1017[Comienzo Desarrollo]),
IF(TRIM(D564)="Calidad",
   _xlfn.XLOOKUP(C564,Cartera1017[ID Mantenimiento],Cartera1017[Comienzo Calidad]),
IF(TRIM(D564)="Producción",
   _xlfn.XLOOKUP(C564,Cartera1017[ID Mantenimiento],Cartera1017[Comienzo Producción]),
""))))</f>
        <v>45912</v>
      </c>
      <c r="H564" s="160">
        <f ca="1">IF(TRIM(D564)=C564,
   _xlfn.XLOOKUP(C564, Cartera1017[ID Mantenimiento],Cartera1017[Fin Producción]),
IF(TRIM(D564)="Desarrollo",
   _xlfn.XLOOKUP(C564,Cartera1017[ID Mantenimiento],Cartera1017[Fin Desarrollo]),
IF(TRIM(D564)="Calidad",
   _xlfn.XLOOKUP(C564,Cartera1017[ID Mantenimiento],Cartera1017[Fin Calidad]),
IF(TRIM(D564)="Producción",
   _xlfn.XLOOKUP(C564,Cartera1017[ID Mantenimiento],Cartera1017[Fin Producción]),
""))))</f>
        <v>46038</v>
      </c>
    </row>
    <row r="565" spans="1:8" hidden="1" outlineLevel="1">
      <c r="A565" t="str">
        <f ca="1"/>
        <v>Operaciones</v>
      </c>
      <c r="B565" t="str">
        <f ca="1"/>
        <v>08. Producción Finalizada</v>
      </c>
      <c r="C565" t="str">
        <f ca="1"/>
        <v>2025-M0616</v>
      </c>
      <c r="D565" t="str">
        <f ca="1"/>
        <v xml:space="preserve">   Desarrollo</v>
      </c>
      <c r="E565" s="255">
        <f ca="1"/>
        <v>1</v>
      </c>
      <c r="F565" s="255">
        <f ca="1"/>
        <v>1</v>
      </c>
      <c r="G565" s="356">
        <f ca="1">IF(TRIM(D565)=C565,
   _xlfn.XLOOKUP(C565, Cartera1017[ID Mantenimiento],Cartera1017[Comienzo Desarrollo]),
IF(TRIM(D565)="Desarrollo",
   _xlfn.XLOOKUP(C565,Cartera1017[ID Mantenimiento],Cartera1017[Comienzo Desarrollo]),
IF(TRIM(D565)="Calidad",
   _xlfn.XLOOKUP(C565,Cartera1017[ID Mantenimiento],Cartera1017[Comienzo Calidad]),
IF(TRIM(D565)="Producción",
   _xlfn.XLOOKUP(C565,Cartera1017[ID Mantenimiento],Cartera1017[Comienzo Producción]),
""))))</f>
        <v>45912</v>
      </c>
      <c r="H565" s="160">
        <f ca="1">IF(TRIM(D565)=C565,
   _xlfn.XLOOKUP(C565, Cartera1017[ID Mantenimiento],Cartera1017[Fin Producción]),
IF(TRIM(D565)="Desarrollo",
   _xlfn.XLOOKUP(C565,Cartera1017[ID Mantenimiento],Cartera1017[Fin Desarrollo]),
IF(TRIM(D565)="Calidad",
   _xlfn.XLOOKUP(C565,Cartera1017[ID Mantenimiento],Cartera1017[Fin Calidad]),
IF(TRIM(D565)="Producción",
   _xlfn.XLOOKUP(C565,Cartera1017[ID Mantenimiento],Cartera1017[Fin Producción]),
""))))</f>
        <v>45964</v>
      </c>
    </row>
    <row r="566" spans="1:8" hidden="1" outlineLevel="1">
      <c r="A566" t="str">
        <f ca="1"/>
        <v>Operaciones</v>
      </c>
      <c r="B566" t="str">
        <f ca="1"/>
        <v>08. Producción Finalizada</v>
      </c>
      <c r="C566" t="str">
        <f ca="1"/>
        <v>2025-M0616</v>
      </c>
      <c r="D566" t="str">
        <f ca="1"/>
        <v xml:space="preserve">   Calidad</v>
      </c>
      <c r="E566" s="255">
        <f ca="1"/>
        <v>1</v>
      </c>
      <c r="F566" s="255">
        <f ca="1"/>
        <v>1</v>
      </c>
      <c r="G566" s="356">
        <f ca="1">IF(TRIM(D566)=C566,
   _xlfn.XLOOKUP(C566, Cartera1017[ID Mantenimiento],Cartera1017[Comienzo Desarrollo]),
IF(TRIM(D566)="Desarrollo",
   _xlfn.XLOOKUP(C566,Cartera1017[ID Mantenimiento],Cartera1017[Comienzo Desarrollo]),
IF(TRIM(D566)="Calidad",
   _xlfn.XLOOKUP(C566,Cartera1017[ID Mantenimiento],Cartera1017[Comienzo Calidad]),
IF(TRIM(D566)="Producción",
   _xlfn.XLOOKUP(C566,Cartera1017[ID Mantenimiento],Cartera1017[Comienzo Producción]),
""))))</f>
        <v>45965</v>
      </c>
      <c r="H566" s="160">
        <f ca="1">IF(TRIM(D566)=C566,
   _xlfn.XLOOKUP(C566, Cartera1017[ID Mantenimiento],Cartera1017[Fin Producción]),
IF(TRIM(D566)="Desarrollo",
   _xlfn.XLOOKUP(C566,Cartera1017[ID Mantenimiento],Cartera1017[Fin Desarrollo]),
IF(TRIM(D566)="Calidad",
   _xlfn.XLOOKUP(C566,Cartera1017[ID Mantenimiento],Cartera1017[Fin Calidad]),
IF(TRIM(D566)="Producción",
   _xlfn.XLOOKUP(C566,Cartera1017[ID Mantenimiento],Cartera1017[Fin Producción]),
""))))</f>
        <v>45989</v>
      </c>
    </row>
    <row r="567" spans="1:8" hidden="1" outlineLevel="1">
      <c r="A567" t="str">
        <f ca="1"/>
        <v>Operaciones</v>
      </c>
      <c r="B567" t="str">
        <f ca="1"/>
        <v>08. Producción Finalizada</v>
      </c>
      <c r="C567" t="str">
        <f ca="1"/>
        <v>2025-M0616</v>
      </c>
      <c r="D567" t="str">
        <f ca="1"/>
        <v xml:space="preserve">   Producción</v>
      </c>
      <c r="E567" s="255">
        <f ca="1"/>
        <v>1</v>
      </c>
      <c r="F567" s="255">
        <f ca="1"/>
        <v>1</v>
      </c>
      <c r="G567" s="356">
        <f ca="1">IF(TRIM(D567)=C567,
   _xlfn.XLOOKUP(C567, Cartera1017[ID Mantenimiento],Cartera1017[Comienzo Desarrollo]),
IF(TRIM(D567)="Desarrollo",
   _xlfn.XLOOKUP(C567,Cartera1017[ID Mantenimiento],Cartera1017[Comienzo Desarrollo]),
IF(TRIM(D567)="Calidad",
   _xlfn.XLOOKUP(C567,Cartera1017[ID Mantenimiento],Cartera1017[Comienzo Calidad]),
IF(TRIM(D567)="Producción",
   _xlfn.XLOOKUP(C567,Cartera1017[ID Mantenimiento],Cartera1017[Comienzo Producción]),
""))))</f>
        <v>46029</v>
      </c>
      <c r="H567" s="160">
        <f ca="1">IF(TRIM(D567)=C567,
   _xlfn.XLOOKUP(C567, Cartera1017[ID Mantenimiento],Cartera1017[Fin Producción]),
IF(TRIM(D567)="Desarrollo",
   _xlfn.XLOOKUP(C567,Cartera1017[ID Mantenimiento],Cartera1017[Fin Desarrollo]),
IF(TRIM(D567)="Calidad",
   _xlfn.XLOOKUP(C567,Cartera1017[ID Mantenimiento],Cartera1017[Fin Calidad]),
IF(TRIM(D567)="Producción",
   _xlfn.XLOOKUP(C567,Cartera1017[ID Mantenimiento],Cartera1017[Fin Producción]),
""))))</f>
        <v>46038</v>
      </c>
    </row>
    <row r="568" spans="1:8" hidden="1" collapsed="1">
      <c r="A568" t="str">
        <f ca="1"/>
        <v>Banca Digital</v>
      </c>
      <c r="B568" t="str">
        <f ca="1"/>
        <v>08. Producción Finalizada</v>
      </c>
      <c r="C568" t="str">
        <f ca="1"/>
        <v>2025-M0614</v>
      </c>
      <c r="D568" t="str">
        <f ca="1"/>
        <v>2025-M0614</v>
      </c>
      <c r="E568" s="255">
        <f ca="1"/>
        <v>1</v>
      </c>
      <c r="F568" s="255">
        <f ca="1"/>
        <v>1</v>
      </c>
      <c r="G568" s="356">
        <f ca="1">IF(TRIM(D568)=C568,
   _xlfn.XLOOKUP(C568, Cartera1017[ID Mantenimiento],Cartera1017[Comienzo Desarrollo]),
IF(TRIM(D568)="Desarrollo",
   _xlfn.XLOOKUP(C568,Cartera1017[ID Mantenimiento],Cartera1017[Comienzo Desarrollo]),
IF(TRIM(D568)="Calidad",
   _xlfn.XLOOKUP(C568,Cartera1017[ID Mantenimiento],Cartera1017[Comienzo Calidad]),
IF(TRIM(D568)="Producción",
   _xlfn.XLOOKUP(C568,Cartera1017[ID Mantenimiento],Cartera1017[Comienzo Producción]),
""))))</f>
        <v>45910</v>
      </c>
      <c r="H568" s="160">
        <f ca="1">IF(TRIM(D568)=C568,
   _xlfn.XLOOKUP(C568, Cartera1017[ID Mantenimiento],Cartera1017[Fin Producción]),
IF(TRIM(D568)="Desarrollo",
   _xlfn.XLOOKUP(C568,Cartera1017[ID Mantenimiento],Cartera1017[Fin Desarrollo]),
IF(TRIM(D568)="Calidad",
   _xlfn.XLOOKUP(C568,Cartera1017[ID Mantenimiento],Cartera1017[Fin Calidad]),
IF(TRIM(D568)="Producción",
   _xlfn.XLOOKUP(C568,Cartera1017[ID Mantenimiento],Cartera1017[Fin Producción]),
""))))</f>
        <v>46035</v>
      </c>
    </row>
    <row r="569" spans="1:8" hidden="1" outlineLevel="1">
      <c r="A569" t="str">
        <f ca="1"/>
        <v>Banca Digital</v>
      </c>
      <c r="B569" t="str">
        <f ca="1"/>
        <v>08. Producción Finalizada</v>
      </c>
      <c r="C569" t="str">
        <f ca="1"/>
        <v>2025-M0614</v>
      </c>
      <c r="D569" t="str">
        <f ca="1"/>
        <v xml:space="preserve">   Desarrollo</v>
      </c>
      <c r="E569" s="255">
        <f ca="1"/>
        <v>1</v>
      </c>
      <c r="F569" s="255">
        <f ca="1"/>
        <v>1</v>
      </c>
      <c r="G569" s="356">
        <f ca="1">IF(TRIM(D569)=C569,
   _xlfn.XLOOKUP(C569, Cartera1017[ID Mantenimiento],Cartera1017[Comienzo Desarrollo]),
IF(TRIM(D569)="Desarrollo",
   _xlfn.XLOOKUP(C569,Cartera1017[ID Mantenimiento],Cartera1017[Comienzo Desarrollo]),
IF(TRIM(D569)="Calidad",
   _xlfn.XLOOKUP(C569,Cartera1017[ID Mantenimiento],Cartera1017[Comienzo Calidad]),
IF(TRIM(D569)="Producción",
   _xlfn.XLOOKUP(C569,Cartera1017[ID Mantenimiento],Cartera1017[Comienzo Producción]),
""))))</f>
        <v>45910</v>
      </c>
      <c r="H569" s="160" t="str">
        <f ca="1">IF(TRIM(D569)=C569,
   _xlfn.XLOOKUP(C569, Cartera1017[ID Mantenimiento],Cartera1017[Fin Producción]),
IF(TRIM(D569)="Desarrollo",
   _xlfn.XLOOKUP(C569,Cartera1017[ID Mantenimiento],Cartera1017[Fin Desarrollo]),
IF(TRIM(D569)="Calidad",
   _xlfn.XLOOKUP(C569,Cartera1017[ID Mantenimiento],Cartera1017[Fin Calidad]),
IF(TRIM(D569)="Producción",
   _xlfn.XLOOKUP(C569,Cartera1017[ID Mantenimiento],Cartera1017[Fin Producción]),
""))))</f>
        <v/>
      </c>
    </row>
    <row r="570" spans="1:8" hidden="1" outlineLevel="1">
      <c r="A570" t="str">
        <f ca="1"/>
        <v>Banca Digital</v>
      </c>
      <c r="B570" t="str">
        <f ca="1"/>
        <v>08. Producción Finalizada</v>
      </c>
      <c r="C570" t="str">
        <f ca="1"/>
        <v>2025-M0614</v>
      </c>
      <c r="D570" t="str">
        <f ca="1"/>
        <v xml:space="preserve">   Calidad</v>
      </c>
      <c r="E570" s="255">
        <f ca="1"/>
        <v>1</v>
      </c>
      <c r="F570" s="255">
        <f ca="1"/>
        <v>1</v>
      </c>
      <c r="G570" s="356" t="str">
        <f ca="1">IF(TRIM(D570)=C570,
   _xlfn.XLOOKUP(C570, Cartera1017[ID Mantenimiento],Cartera1017[Comienzo Desarrollo]),
IF(TRIM(D570)="Desarrollo",
   _xlfn.XLOOKUP(C570,Cartera1017[ID Mantenimiento],Cartera1017[Comienzo Desarrollo]),
IF(TRIM(D570)="Calidad",
   _xlfn.XLOOKUP(C570,Cartera1017[ID Mantenimiento],Cartera1017[Comienzo Calidad]),
IF(TRIM(D570)="Producción",
   _xlfn.XLOOKUP(C570,Cartera1017[ID Mantenimiento],Cartera1017[Comienzo Producción]),
""))))</f>
        <v/>
      </c>
      <c r="H570" s="160" t="str">
        <f ca="1">IF(TRIM(D570)=C570,
   _xlfn.XLOOKUP(C570, Cartera1017[ID Mantenimiento],Cartera1017[Fin Producción]),
IF(TRIM(D570)="Desarrollo",
   _xlfn.XLOOKUP(C570,Cartera1017[ID Mantenimiento],Cartera1017[Fin Desarrollo]),
IF(TRIM(D570)="Calidad",
   _xlfn.XLOOKUP(C570,Cartera1017[ID Mantenimiento],Cartera1017[Fin Calidad]),
IF(TRIM(D570)="Producción",
   _xlfn.XLOOKUP(C570,Cartera1017[ID Mantenimiento],Cartera1017[Fin Producción]),
""))))</f>
        <v/>
      </c>
    </row>
    <row r="571" spans="1:8" hidden="1" outlineLevel="1">
      <c r="A571" t="str">
        <f ca="1"/>
        <v>Banca Digital</v>
      </c>
      <c r="B571" t="str">
        <f ca="1"/>
        <v>08. Producción Finalizada</v>
      </c>
      <c r="C571" t="str">
        <f ca="1"/>
        <v>2025-M0614</v>
      </c>
      <c r="D571" t="str">
        <f ca="1"/>
        <v xml:space="preserve">   Producción</v>
      </c>
      <c r="E571" s="255">
        <f ca="1"/>
        <v>1</v>
      </c>
      <c r="F571" s="255">
        <f ca="1"/>
        <v>1</v>
      </c>
      <c r="G571" s="356">
        <f ca="1">IF(TRIM(D571)=C571,
   _xlfn.XLOOKUP(C571, Cartera1017[ID Mantenimiento],Cartera1017[Comienzo Desarrollo]),
IF(TRIM(D571)="Desarrollo",
   _xlfn.XLOOKUP(C571,Cartera1017[ID Mantenimiento],Cartera1017[Comienzo Desarrollo]),
IF(TRIM(D571)="Calidad",
   _xlfn.XLOOKUP(C571,Cartera1017[ID Mantenimiento],Cartera1017[Comienzo Calidad]),
IF(TRIM(D571)="Producción",
   _xlfn.XLOOKUP(C571,Cartera1017[ID Mantenimiento],Cartera1017[Comienzo Producción]),
""))))</f>
        <v>45923</v>
      </c>
      <c r="H571" s="160">
        <f ca="1">IF(TRIM(D571)=C571,
   _xlfn.XLOOKUP(C571, Cartera1017[ID Mantenimiento],Cartera1017[Fin Producción]),
IF(TRIM(D571)="Desarrollo",
   _xlfn.XLOOKUP(C571,Cartera1017[ID Mantenimiento],Cartera1017[Fin Desarrollo]),
IF(TRIM(D571)="Calidad",
   _xlfn.XLOOKUP(C571,Cartera1017[ID Mantenimiento],Cartera1017[Fin Calidad]),
IF(TRIM(D571)="Producción",
   _xlfn.XLOOKUP(C571,Cartera1017[ID Mantenimiento],Cartera1017[Fin Producción]),
""))))</f>
        <v>46035</v>
      </c>
    </row>
    <row r="572" spans="1:8" hidden="1" collapsed="1">
      <c r="A572" t="str">
        <f ca="1"/>
        <v>Operaciones</v>
      </c>
      <c r="B572" t="str">
        <f ca="1"/>
        <v>06. Calidad Finalizado</v>
      </c>
      <c r="C572" t="str">
        <f ca="1"/>
        <v>2025-M0623</v>
      </c>
      <c r="D572" t="str">
        <f ca="1"/>
        <v>2025-M0623</v>
      </c>
      <c r="E572" s="255">
        <f ca="1"/>
        <v>0.85</v>
      </c>
      <c r="F572" s="255">
        <f ca="1"/>
        <v>1</v>
      </c>
      <c r="G572" s="356">
        <f ca="1">IF(TRIM(D572)=C572,
   _xlfn.XLOOKUP(C572, Cartera1017[ID Mantenimiento],Cartera1017[Comienzo Desarrollo]),
IF(TRIM(D572)="Desarrollo",
   _xlfn.XLOOKUP(C572,Cartera1017[ID Mantenimiento],Cartera1017[Comienzo Desarrollo]),
IF(TRIM(D572)="Calidad",
   _xlfn.XLOOKUP(C572,Cartera1017[ID Mantenimiento],Cartera1017[Comienzo Calidad]),
IF(TRIM(D572)="Producción",
   _xlfn.XLOOKUP(C572,Cartera1017[ID Mantenimiento],Cartera1017[Comienzo Producción]),
""))))</f>
        <v>45915</v>
      </c>
      <c r="H572" s="160">
        <f ca="1">IF(TRIM(D572)=C572,
   _xlfn.XLOOKUP(C572, Cartera1017[ID Mantenimiento],Cartera1017[Fin Producción]),
IF(TRIM(D572)="Desarrollo",
   _xlfn.XLOOKUP(C572,Cartera1017[ID Mantenimiento],Cartera1017[Fin Desarrollo]),
IF(TRIM(D572)="Calidad",
   _xlfn.XLOOKUP(C572,Cartera1017[ID Mantenimiento],Cartera1017[Fin Calidad]),
IF(TRIM(D572)="Producción",
   _xlfn.XLOOKUP(C572,Cartera1017[ID Mantenimiento],Cartera1017[Fin Producción]),
""))))</f>
        <v>46108</v>
      </c>
    </row>
    <row r="573" spans="1:8" hidden="1" outlineLevel="1">
      <c r="A573" t="str">
        <f ca="1"/>
        <v>Operaciones</v>
      </c>
      <c r="B573" t="str">
        <f ca="1"/>
        <v>06. Calidad Finalizado</v>
      </c>
      <c r="C573" t="str">
        <f ca="1"/>
        <v>2025-M0623</v>
      </c>
      <c r="D573" t="str">
        <f ca="1"/>
        <v xml:space="preserve">   Desarrollo</v>
      </c>
      <c r="E573" s="255">
        <f ca="1"/>
        <v>0.85</v>
      </c>
      <c r="F573" s="255">
        <f ca="1"/>
        <v>1</v>
      </c>
      <c r="G573" s="356">
        <f ca="1">IF(TRIM(D573)=C573,
   _xlfn.XLOOKUP(C573, Cartera1017[ID Mantenimiento],Cartera1017[Comienzo Desarrollo]),
IF(TRIM(D573)="Desarrollo",
   _xlfn.XLOOKUP(C573,Cartera1017[ID Mantenimiento],Cartera1017[Comienzo Desarrollo]),
IF(TRIM(D573)="Calidad",
   _xlfn.XLOOKUP(C573,Cartera1017[ID Mantenimiento],Cartera1017[Comienzo Calidad]),
IF(TRIM(D573)="Producción",
   _xlfn.XLOOKUP(C573,Cartera1017[ID Mantenimiento],Cartera1017[Comienzo Producción]),
""))))</f>
        <v>45915</v>
      </c>
      <c r="H573" s="160">
        <f ca="1">IF(TRIM(D573)=C573,
   _xlfn.XLOOKUP(C573, Cartera1017[ID Mantenimiento],Cartera1017[Fin Producción]),
IF(TRIM(D573)="Desarrollo",
   _xlfn.XLOOKUP(C573,Cartera1017[ID Mantenimiento],Cartera1017[Fin Desarrollo]),
IF(TRIM(D573)="Calidad",
   _xlfn.XLOOKUP(C573,Cartera1017[ID Mantenimiento],Cartera1017[Fin Calidad]),
IF(TRIM(D573)="Producción",
   _xlfn.XLOOKUP(C573,Cartera1017[ID Mantenimiento],Cartera1017[Fin Producción]),
""))))</f>
        <v>45992</v>
      </c>
    </row>
    <row r="574" spans="1:8" hidden="1" outlineLevel="1">
      <c r="A574" t="str">
        <f ca="1"/>
        <v>Operaciones</v>
      </c>
      <c r="B574" t="str">
        <f ca="1"/>
        <v>06. Calidad Finalizado</v>
      </c>
      <c r="C574" t="str">
        <f ca="1"/>
        <v>2025-M0623</v>
      </c>
      <c r="D574" t="str">
        <f ca="1"/>
        <v xml:space="preserve">   Calidad</v>
      </c>
      <c r="E574" s="255">
        <f ca="1"/>
        <v>0.85</v>
      </c>
      <c r="F574" s="255">
        <f ca="1"/>
        <v>1</v>
      </c>
      <c r="G574" s="356">
        <f ca="1">IF(TRIM(D574)=C574,
   _xlfn.XLOOKUP(C574, Cartera1017[ID Mantenimiento],Cartera1017[Comienzo Desarrollo]),
IF(TRIM(D574)="Desarrollo",
   _xlfn.XLOOKUP(C574,Cartera1017[ID Mantenimiento],Cartera1017[Comienzo Desarrollo]),
IF(TRIM(D574)="Calidad",
   _xlfn.XLOOKUP(C574,Cartera1017[ID Mantenimiento],Cartera1017[Comienzo Calidad]),
IF(TRIM(D574)="Producción",
   _xlfn.XLOOKUP(C574,Cartera1017[ID Mantenimiento],Cartera1017[Comienzo Producción]),
""))))</f>
        <v>46006</v>
      </c>
      <c r="H574" s="160">
        <f ca="1">IF(TRIM(D574)=C574,
   _xlfn.XLOOKUP(C574, Cartera1017[ID Mantenimiento],Cartera1017[Fin Producción]),
IF(TRIM(D574)="Desarrollo",
   _xlfn.XLOOKUP(C574,Cartera1017[ID Mantenimiento],Cartera1017[Fin Desarrollo]),
IF(TRIM(D574)="Calidad",
   _xlfn.XLOOKUP(C574,Cartera1017[ID Mantenimiento],Cartera1017[Fin Calidad]),
IF(TRIM(D574)="Producción",
   _xlfn.XLOOKUP(C574,Cartera1017[ID Mantenimiento],Cartera1017[Fin Producción]),
""))))</f>
        <v>46055</v>
      </c>
    </row>
    <row r="575" spans="1:8" hidden="1" outlineLevel="1">
      <c r="A575" t="str">
        <f ca="1"/>
        <v>Operaciones</v>
      </c>
      <c r="B575" t="str">
        <f ca="1"/>
        <v>06. Calidad Finalizado</v>
      </c>
      <c r="C575" t="str">
        <f ca="1"/>
        <v>2025-M0623</v>
      </c>
      <c r="D575" t="str">
        <f ca="1"/>
        <v xml:space="preserve">   Producción</v>
      </c>
      <c r="E575" s="255">
        <f ca="1"/>
        <v>0.85</v>
      </c>
      <c r="F575" s="255">
        <f ca="1"/>
        <v>1</v>
      </c>
      <c r="G575" s="356">
        <f ca="1">IF(TRIM(D575)=C575,
   _xlfn.XLOOKUP(C575, Cartera1017[ID Mantenimiento],Cartera1017[Comienzo Desarrollo]),
IF(TRIM(D575)="Desarrollo",
   _xlfn.XLOOKUP(C575,Cartera1017[ID Mantenimiento],Cartera1017[Comienzo Desarrollo]),
IF(TRIM(D575)="Calidad",
   _xlfn.XLOOKUP(C575,Cartera1017[ID Mantenimiento],Cartera1017[Comienzo Calidad]),
IF(TRIM(D575)="Producción",
   _xlfn.XLOOKUP(C575,Cartera1017[ID Mantenimiento],Cartera1017[Comienzo Producción]),
""))))</f>
        <v>46072</v>
      </c>
      <c r="H575" s="160">
        <f ca="1">IF(TRIM(D575)=C575,
   _xlfn.XLOOKUP(C575, Cartera1017[ID Mantenimiento],Cartera1017[Fin Producción]),
IF(TRIM(D575)="Desarrollo",
   _xlfn.XLOOKUP(C575,Cartera1017[ID Mantenimiento],Cartera1017[Fin Desarrollo]),
IF(TRIM(D575)="Calidad",
   _xlfn.XLOOKUP(C575,Cartera1017[ID Mantenimiento],Cartera1017[Fin Calidad]),
IF(TRIM(D575)="Producción",
   _xlfn.XLOOKUP(C575,Cartera1017[ID Mantenimiento],Cartera1017[Fin Producción]),
""))))</f>
        <v>46108</v>
      </c>
    </row>
    <row r="576" spans="1:8" hidden="1" collapsed="1">
      <c r="A576" t="str">
        <f ca="1"/>
        <v>Operaciones</v>
      </c>
      <c r="B576" t="str">
        <f ca="1"/>
        <v>09. Descartado</v>
      </c>
      <c r="C576" t="str">
        <f ca="1"/>
        <v>2025-M0626</v>
      </c>
      <c r="D576" t="str">
        <f ca="1"/>
        <v>2025-M0626</v>
      </c>
      <c r="E576" s="255">
        <f ca="1"/>
        <v>-0.01</v>
      </c>
      <c r="F576" s="255" t="str">
        <f ca="1"/>
        <v/>
      </c>
      <c r="G576" s="356">
        <f ca="1">IF(TRIM(D576)=C576,
   _xlfn.XLOOKUP(C576, Cartera1017[ID Mantenimiento],Cartera1017[Comienzo Desarrollo]),
IF(TRIM(D576)="Desarrollo",
   _xlfn.XLOOKUP(C576,Cartera1017[ID Mantenimiento],Cartera1017[Comienzo Desarrollo]),
IF(TRIM(D576)="Calidad",
   _xlfn.XLOOKUP(C576,Cartera1017[ID Mantenimiento],Cartera1017[Comienzo Calidad]),
IF(TRIM(D576)="Producción",
   _xlfn.XLOOKUP(C576,Cartera1017[ID Mantenimiento],Cartera1017[Comienzo Producción]),
""))))</f>
        <v>0</v>
      </c>
      <c r="H576" s="160">
        <f ca="1">IF(TRIM(D576)=C576,
   _xlfn.XLOOKUP(C576, Cartera1017[ID Mantenimiento],Cartera1017[Fin Producción]),
IF(TRIM(D576)="Desarrollo",
   _xlfn.XLOOKUP(C576,Cartera1017[ID Mantenimiento],Cartera1017[Fin Desarrollo]),
IF(TRIM(D576)="Calidad",
   _xlfn.XLOOKUP(C576,Cartera1017[ID Mantenimiento],Cartera1017[Fin Calidad]),
IF(TRIM(D576)="Producción",
   _xlfn.XLOOKUP(C576,Cartera1017[ID Mantenimiento],Cartera1017[Fin Producción]),
""))))</f>
        <v>0</v>
      </c>
    </row>
    <row r="577" spans="1:8" hidden="1" outlineLevel="1">
      <c r="A577" t="str">
        <f ca="1"/>
        <v>Operaciones</v>
      </c>
      <c r="B577" t="str">
        <f ca="1"/>
        <v>09. Descartado</v>
      </c>
      <c r="C577" t="str">
        <f ca="1"/>
        <v>2025-M0626</v>
      </c>
      <c r="D577" t="str">
        <f ca="1"/>
        <v xml:space="preserve">   Desarrollo</v>
      </c>
      <c r="E577" s="255">
        <f ca="1"/>
        <v>-0.01</v>
      </c>
      <c r="F577" s="255" t="str">
        <f ca="1"/>
        <v/>
      </c>
      <c r="G577" s="356">
        <f ca="1">IF(TRIM(D577)=C577,
   _xlfn.XLOOKUP(C577, Cartera1017[ID Mantenimiento],Cartera1017[Comienzo Desarrollo]),
IF(TRIM(D577)="Desarrollo",
   _xlfn.XLOOKUP(C577,Cartera1017[ID Mantenimiento],Cartera1017[Comienzo Desarrollo]),
IF(TRIM(D577)="Calidad",
   _xlfn.XLOOKUP(C577,Cartera1017[ID Mantenimiento],Cartera1017[Comienzo Calidad]),
IF(TRIM(D577)="Producción",
   _xlfn.XLOOKUP(C577,Cartera1017[ID Mantenimiento],Cartera1017[Comienzo Producción]),
""))))</f>
        <v>0</v>
      </c>
      <c r="H577" s="160">
        <f ca="1">IF(TRIM(D577)=C577,
   _xlfn.XLOOKUP(C577, Cartera1017[ID Mantenimiento],Cartera1017[Fin Producción]),
IF(TRIM(D577)="Desarrollo",
   _xlfn.XLOOKUP(C577,Cartera1017[ID Mantenimiento],Cartera1017[Fin Desarrollo]),
IF(TRIM(D577)="Calidad",
   _xlfn.XLOOKUP(C577,Cartera1017[ID Mantenimiento],Cartera1017[Fin Calidad]),
IF(TRIM(D577)="Producción",
   _xlfn.XLOOKUP(C577,Cartera1017[ID Mantenimiento],Cartera1017[Fin Producción]),
""))))</f>
        <v>0</v>
      </c>
    </row>
    <row r="578" spans="1:8" hidden="1" outlineLevel="1">
      <c r="A578" t="str">
        <f ca="1"/>
        <v>Operaciones</v>
      </c>
      <c r="B578" t="str">
        <f ca="1"/>
        <v>09. Descartado</v>
      </c>
      <c r="C578" t="str">
        <f ca="1"/>
        <v>2025-M0626</v>
      </c>
      <c r="D578" t="str">
        <f ca="1"/>
        <v xml:space="preserve">   Calidad</v>
      </c>
      <c r="E578" s="255">
        <f ca="1"/>
        <v>-0.01</v>
      </c>
      <c r="F578" s="255" t="str">
        <f ca="1"/>
        <v/>
      </c>
      <c r="G578" s="356">
        <f ca="1">IF(TRIM(D578)=C578,
   _xlfn.XLOOKUP(C578, Cartera1017[ID Mantenimiento],Cartera1017[Comienzo Desarrollo]),
IF(TRIM(D578)="Desarrollo",
   _xlfn.XLOOKUP(C578,Cartera1017[ID Mantenimiento],Cartera1017[Comienzo Desarrollo]),
IF(TRIM(D578)="Calidad",
   _xlfn.XLOOKUP(C578,Cartera1017[ID Mantenimiento],Cartera1017[Comienzo Calidad]),
IF(TRIM(D578)="Producción",
   _xlfn.XLOOKUP(C578,Cartera1017[ID Mantenimiento],Cartera1017[Comienzo Producción]),
""))))</f>
        <v>0</v>
      </c>
      <c r="H578" s="160">
        <f ca="1">IF(TRIM(D578)=C578,
   _xlfn.XLOOKUP(C578, Cartera1017[ID Mantenimiento],Cartera1017[Fin Producción]),
IF(TRIM(D578)="Desarrollo",
   _xlfn.XLOOKUP(C578,Cartera1017[ID Mantenimiento],Cartera1017[Fin Desarrollo]),
IF(TRIM(D578)="Calidad",
   _xlfn.XLOOKUP(C578,Cartera1017[ID Mantenimiento],Cartera1017[Fin Calidad]),
IF(TRIM(D578)="Producción",
   _xlfn.XLOOKUP(C578,Cartera1017[ID Mantenimiento],Cartera1017[Fin Producción]),
""))))</f>
        <v>0</v>
      </c>
    </row>
    <row r="579" spans="1:8" hidden="1" outlineLevel="1">
      <c r="A579" t="str">
        <f ca="1"/>
        <v>Operaciones</v>
      </c>
      <c r="B579" t="str">
        <f ca="1"/>
        <v>09. Descartado</v>
      </c>
      <c r="C579" t="str">
        <f ca="1"/>
        <v>2025-M0626</v>
      </c>
      <c r="D579" t="str">
        <f ca="1"/>
        <v xml:space="preserve">   Producción</v>
      </c>
      <c r="E579" s="255">
        <f ca="1"/>
        <v>-0.01</v>
      </c>
      <c r="F579" s="255" t="str">
        <f ca="1"/>
        <v/>
      </c>
      <c r="G579" s="356">
        <f ca="1">IF(TRIM(D579)=C579,
   _xlfn.XLOOKUP(C579, Cartera1017[ID Mantenimiento],Cartera1017[Comienzo Desarrollo]),
IF(TRIM(D579)="Desarrollo",
   _xlfn.XLOOKUP(C579,Cartera1017[ID Mantenimiento],Cartera1017[Comienzo Desarrollo]),
IF(TRIM(D579)="Calidad",
   _xlfn.XLOOKUP(C579,Cartera1017[ID Mantenimiento],Cartera1017[Comienzo Calidad]),
IF(TRIM(D579)="Producción",
   _xlfn.XLOOKUP(C579,Cartera1017[ID Mantenimiento],Cartera1017[Comienzo Producción]),
""))))</f>
        <v>0</v>
      </c>
      <c r="H579" s="160">
        <f ca="1">IF(TRIM(D579)=C579,
   _xlfn.XLOOKUP(C579, Cartera1017[ID Mantenimiento],Cartera1017[Fin Producción]),
IF(TRIM(D579)="Desarrollo",
   _xlfn.XLOOKUP(C579,Cartera1017[ID Mantenimiento],Cartera1017[Fin Desarrollo]),
IF(TRIM(D579)="Calidad",
   _xlfn.XLOOKUP(C579,Cartera1017[ID Mantenimiento],Cartera1017[Fin Calidad]),
IF(TRIM(D579)="Producción",
   _xlfn.XLOOKUP(C579,Cartera1017[ID Mantenimiento],Cartera1017[Fin Producción]),
""))))</f>
        <v>0</v>
      </c>
    </row>
    <row r="580" spans="1:8" hidden="1" collapsed="1">
      <c r="A580" t="str">
        <f ca="1"/>
        <v>Banca Digital</v>
      </c>
      <c r="B580" t="str">
        <f ca="1"/>
        <v>03. En Desarrollo</v>
      </c>
      <c r="C580" t="str">
        <f ca="1"/>
        <v>2025-M0629</v>
      </c>
      <c r="D580" t="str">
        <f ca="1"/>
        <v>2025-M0629</v>
      </c>
      <c r="E580" s="255">
        <f ca="1"/>
        <v>0.25</v>
      </c>
      <c r="F580" s="255">
        <f ca="1"/>
        <v>1</v>
      </c>
      <c r="G580" s="356">
        <f ca="1">IF(TRIM(D580)=C580,
   _xlfn.XLOOKUP(C580, Cartera1017[ID Mantenimiento],Cartera1017[Comienzo Desarrollo]),
IF(TRIM(D580)="Desarrollo",
   _xlfn.XLOOKUP(C580,Cartera1017[ID Mantenimiento],Cartera1017[Comienzo Desarrollo]),
IF(TRIM(D580)="Calidad",
   _xlfn.XLOOKUP(C580,Cartera1017[ID Mantenimiento],Cartera1017[Comienzo Calidad]),
IF(TRIM(D580)="Producción",
   _xlfn.XLOOKUP(C580,Cartera1017[ID Mantenimiento],Cartera1017[Comienzo Producción]),
""))))</f>
        <v>46083</v>
      </c>
      <c r="H580" s="160">
        <f ca="1">IF(TRIM(D580)=C580,
   _xlfn.XLOOKUP(C580, Cartera1017[ID Mantenimiento],Cartera1017[Fin Producción]),
IF(TRIM(D580)="Desarrollo",
   _xlfn.XLOOKUP(C580,Cartera1017[ID Mantenimiento],Cartera1017[Fin Desarrollo]),
IF(TRIM(D580)="Calidad",
   _xlfn.XLOOKUP(C580,Cartera1017[ID Mantenimiento],Cartera1017[Fin Calidad]),
IF(TRIM(D580)="Producción",
   _xlfn.XLOOKUP(C580,Cartera1017[ID Mantenimiento],Cartera1017[Fin Producción]),
""))))</f>
        <v>46122</v>
      </c>
    </row>
    <row r="581" spans="1:8" hidden="1">
      <c r="A581" t="str">
        <f ca="1"/>
        <v>Banca Digital</v>
      </c>
      <c r="B581" t="str">
        <f ca="1"/>
        <v>03. En Desarrollo</v>
      </c>
      <c r="C581" t="str">
        <f ca="1"/>
        <v>2025-M0629</v>
      </c>
      <c r="D581" t="str">
        <f ca="1"/>
        <v xml:space="preserve">   Desarrollo</v>
      </c>
      <c r="E581" s="255">
        <f ca="1"/>
        <v>0.25</v>
      </c>
      <c r="F581" s="255">
        <f ca="1"/>
        <v>1</v>
      </c>
      <c r="G581" s="356">
        <f ca="1">IF(TRIM(D581)=C581,
   _xlfn.XLOOKUP(C581, Cartera1017[ID Mantenimiento],Cartera1017[Comienzo Desarrollo]),
IF(TRIM(D581)="Desarrollo",
   _xlfn.XLOOKUP(C581,Cartera1017[ID Mantenimiento],Cartera1017[Comienzo Desarrollo]),
IF(TRIM(D581)="Calidad",
   _xlfn.XLOOKUP(C581,Cartera1017[ID Mantenimiento],Cartera1017[Comienzo Calidad]),
IF(TRIM(D581)="Producción",
   _xlfn.XLOOKUP(C581,Cartera1017[ID Mantenimiento],Cartera1017[Comienzo Producción]),
""))))</f>
        <v>46083</v>
      </c>
      <c r="H581" s="160">
        <f ca="1">IF(TRIM(D581)=C581,
   _xlfn.XLOOKUP(C581, Cartera1017[ID Mantenimiento],Cartera1017[Fin Producción]),
IF(TRIM(D581)="Desarrollo",
   _xlfn.XLOOKUP(C581,Cartera1017[ID Mantenimiento],Cartera1017[Fin Desarrollo]),
IF(TRIM(D581)="Calidad",
   _xlfn.XLOOKUP(C581,Cartera1017[ID Mantenimiento],Cartera1017[Fin Calidad]),
IF(TRIM(D581)="Producción",
   _xlfn.XLOOKUP(C581,Cartera1017[ID Mantenimiento],Cartera1017[Fin Producción]),
""))))</f>
        <v>46109</v>
      </c>
    </row>
    <row r="582" spans="1:8" hidden="1">
      <c r="A582" t="str">
        <f ca="1"/>
        <v>Banca Digital</v>
      </c>
      <c r="B582" t="str">
        <f ca="1"/>
        <v>03. En Desarrollo</v>
      </c>
      <c r="C582" t="str">
        <f ca="1"/>
        <v>2025-M0629</v>
      </c>
      <c r="D582" t="str">
        <f ca="1"/>
        <v xml:space="preserve">   Calidad</v>
      </c>
      <c r="E582" s="255">
        <f ca="1"/>
        <v>0.25</v>
      </c>
      <c r="F582" s="255">
        <f ca="1"/>
        <v>1</v>
      </c>
      <c r="G582" s="356">
        <f ca="1">IF(TRIM(D582)=C582,
   _xlfn.XLOOKUP(C582, Cartera1017[ID Mantenimiento],Cartera1017[Comienzo Desarrollo]),
IF(TRIM(D582)="Desarrollo",
   _xlfn.XLOOKUP(C582,Cartera1017[ID Mantenimiento],Cartera1017[Comienzo Desarrollo]),
IF(TRIM(D582)="Calidad",
   _xlfn.XLOOKUP(C582,Cartera1017[ID Mantenimiento],Cartera1017[Comienzo Calidad]),
IF(TRIM(D582)="Producción",
   _xlfn.XLOOKUP(C582,Cartera1017[ID Mantenimiento],Cartera1017[Comienzo Producción]),
""))))</f>
        <v>46108</v>
      </c>
      <c r="H582" s="160">
        <f ca="1">IF(TRIM(D582)=C582,
   _xlfn.XLOOKUP(C582, Cartera1017[ID Mantenimiento],Cartera1017[Fin Producción]),
IF(TRIM(D582)="Desarrollo",
   _xlfn.XLOOKUP(C582,Cartera1017[ID Mantenimiento],Cartera1017[Fin Desarrollo]),
IF(TRIM(D582)="Calidad",
   _xlfn.XLOOKUP(C582,Cartera1017[ID Mantenimiento],Cartera1017[Fin Calidad]),
IF(TRIM(D582)="Producción",
   _xlfn.XLOOKUP(C582,Cartera1017[ID Mantenimiento],Cartera1017[Fin Producción]),
""))))</f>
        <v>46114</v>
      </c>
    </row>
    <row r="583" spans="1:8" hidden="1">
      <c r="A583" t="str">
        <f ca="1"/>
        <v>Banca Digital</v>
      </c>
      <c r="B583" t="str">
        <f ca="1"/>
        <v>03. En Desarrollo</v>
      </c>
      <c r="C583" t="str">
        <f ca="1"/>
        <v>2025-M0629</v>
      </c>
      <c r="D583" t="str">
        <f ca="1"/>
        <v xml:space="preserve">   Producción</v>
      </c>
      <c r="E583" s="255">
        <f ca="1"/>
        <v>0.25</v>
      </c>
      <c r="F583" s="255">
        <f ca="1"/>
        <v>1</v>
      </c>
      <c r="G583" s="356">
        <f ca="1">IF(TRIM(D583)=C583,
   _xlfn.XLOOKUP(C583, Cartera1017[ID Mantenimiento],Cartera1017[Comienzo Desarrollo]),
IF(TRIM(D583)="Desarrollo",
   _xlfn.XLOOKUP(C583,Cartera1017[ID Mantenimiento],Cartera1017[Comienzo Desarrollo]),
IF(TRIM(D583)="Calidad",
   _xlfn.XLOOKUP(C583,Cartera1017[ID Mantenimiento],Cartera1017[Comienzo Calidad]),
IF(TRIM(D583)="Producción",
   _xlfn.XLOOKUP(C583,Cartera1017[ID Mantenimiento],Cartera1017[Comienzo Producción]),
""))))</f>
        <v>46118</v>
      </c>
      <c r="H583" s="160">
        <f ca="1">IF(TRIM(D583)=C583,
   _xlfn.XLOOKUP(C583, Cartera1017[ID Mantenimiento],Cartera1017[Fin Producción]),
IF(TRIM(D583)="Desarrollo",
   _xlfn.XLOOKUP(C583,Cartera1017[ID Mantenimiento],Cartera1017[Fin Desarrollo]),
IF(TRIM(D583)="Calidad",
   _xlfn.XLOOKUP(C583,Cartera1017[ID Mantenimiento],Cartera1017[Fin Calidad]),
IF(TRIM(D583)="Producción",
   _xlfn.XLOOKUP(C583,Cartera1017[ID Mantenimiento],Cartera1017[Fin Producción]),
""))))</f>
        <v>46122</v>
      </c>
    </row>
    <row r="584" spans="1:8" hidden="1">
      <c r="A584" t="str">
        <f ca="1"/>
        <v>Operaciones</v>
      </c>
      <c r="B584" t="str">
        <f ca="1"/>
        <v>09. Descartado</v>
      </c>
      <c r="C584" t="str">
        <f ca="1"/>
        <v>2025-M0640</v>
      </c>
      <c r="D584" t="str">
        <f ca="1"/>
        <v>2025-M0640</v>
      </c>
      <c r="E584" s="255">
        <f ca="1"/>
        <v>-0.01</v>
      </c>
      <c r="F584" s="255" t="str">
        <f ca="1"/>
        <v/>
      </c>
      <c r="G584" s="356">
        <f ca="1">IF(TRIM(D584)=C584,
   _xlfn.XLOOKUP(C584, Cartera1017[ID Mantenimiento],Cartera1017[Comienzo Desarrollo]),
IF(TRIM(D584)="Desarrollo",
   _xlfn.XLOOKUP(C584,Cartera1017[ID Mantenimiento],Cartera1017[Comienzo Desarrollo]),
IF(TRIM(D584)="Calidad",
   _xlfn.XLOOKUP(C584,Cartera1017[ID Mantenimiento],Cartera1017[Comienzo Calidad]),
IF(TRIM(D584)="Producción",
   _xlfn.XLOOKUP(C584,Cartera1017[ID Mantenimiento],Cartera1017[Comienzo Producción]),
""))))</f>
        <v>0</v>
      </c>
      <c r="H584" s="160">
        <f ca="1">IF(TRIM(D584)=C584,
   _xlfn.XLOOKUP(C584, Cartera1017[ID Mantenimiento],Cartera1017[Fin Producción]),
IF(TRIM(D584)="Desarrollo",
   _xlfn.XLOOKUP(C584,Cartera1017[ID Mantenimiento],Cartera1017[Fin Desarrollo]),
IF(TRIM(D584)="Calidad",
   _xlfn.XLOOKUP(C584,Cartera1017[ID Mantenimiento],Cartera1017[Fin Calidad]),
IF(TRIM(D584)="Producción",
   _xlfn.XLOOKUP(C584,Cartera1017[ID Mantenimiento],Cartera1017[Fin Producción]),
""))))</f>
        <v>0</v>
      </c>
    </row>
    <row r="585" spans="1:8" hidden="1" outlineLevel="1">
      <c r="A585" t="str">
        <f ca="1"/>
        <v>Operaciones</v>
      </c>
      <c r="B585" t="str">
        <f ca="1"/>
        <v>09. Descartado</v>
      </c>
      <c r="C585" t="str">
        <f ca="1"/>
        <v>2025-M0640</v>
      </c>
      <c r="D585" t="str">
        <f ca="1"/>
        <v xml:space="preserve">   Desarrollo</v>
      </c>
      <c r="E585" s="255">
        <f ca="1"/>
        <v>-0.01</v>
      </c>
      <c r="F585" s="255" t="str">
        <f ca="1"/>
        <v/>
      </c>
      <c r="G585" s="356">
        <f ca="1">IF(TRIM(D585)=C585,
   _xlfn.XLOOKUP(C585, Cartera1017[ID Mantenimiento],Cartera1017[Comienzo Desarrollo]),
IF(TRIM(D585)="Desarrollo",
   _xlfn.XLOOKUP(C585,Cartera1017[ID Mantenimiento],Cartera1017[Comienzo Desarrollo]),
IF(TRIM(D585)="Calidad",
   _xlfn.XLOOKUP(C585,Cartera1017[ID Mantenimiento],Cartera1017[Comienzo Calidad]),
IF(TRIM(D585)="Producción",
   _xlfn.XLOOKUP(C585,Cartera1017[ID Mantenimiento],Cartera1017[Comienzo Producción]),
""))))</f>
        <v>0</v>
      </c>
      <c r="H585" s="160">
        <f ca="1">IF(TRIM(D585)=C585,
   _xlfn.XLOOKUP(C585, Cartera1017[ID Mantenimiento],Cartera1017[Fin Producción]),
IF(TRIM(D585)="Desarrollo",
   _xlfn.XLOOKUP(C585,Cartera1017[ID Mantenimiento],Cartera1017[Fin Desarrollo]),
IF(TRIM(D585)="Calidad",
   _xlfn.XLOOKUP(C585,Cartera1017[ID Mantenimiento],Cartera1017[Fin Calidad]),
IF(TRIM(D585)="Producción",
   _xlfn.XLOOKUP(C585,Cartera1017[ID Mantenimiento],Cartera1017[Fin Producción]),
""))))</f>
        <v>0</v>
      </c>
    </row>
    <row r="586" spans="1:8" hidden="1" outlineLevel="1">
      <c r="A586" t="str">
        <f ca="1"/>
        <v>Operaciones</v>
      </c>
      <c r="B586" t="str">
        <f ca="1"/>
        <v>09. Descartado</v>
      </c>
      <c r="C586" t="str">
        <f ca="1"/>
        <v>2025-M0640</v>
      </c>
      <c r="D586" t="str">
        <f ca="1"/>
        <v xml:space="preserve">   Calidad</v>
      </c>
      <c r="E586" s="255">
        <f ca="1"/>
        <v>-0.01</v>
      </c>
      <c r="F586" s="255" t="str">
        <f ca="1"/>
        <v/>
      </c>
      <c r="G586" s="356">
        <f ca="1">IF(TRIM(D586)=C586,
   _xlfn.XLOOKUP(C586, Cartera1017[ID Mantenimiento],Cartera1017[Comienzo Desarrollo]),
IF(TRIM(D586)="Desarrollo",
   _xlfn.XLOOKUP(C586,Cartera1017[ID Mantenimiento],Cartera1017[Comienzo Desarrollo]),
IF(TRIM(D586)="Calidad",
   _xlfn.XLOOKUP(C586,Cartera1017[ID Mantenimiento],Cartera1017[Comienzo Calidad]),
IF(TRIM(D586)="Producción",
   _xlfn.XLOOKUP(C586,Cartera1017[ID Mantenimiento],Cartera1017[Comienzo Producción]),
""))))</f>
        <v>0</v>
      </c>
      <c r="H586" s="160">
        <f ca="1">IF(TRIM(D586)=C586,
   _xlfn.XLOOKUP(C586, Cartera1017[ID Mantenimiento],Cartera1017[Fin Producción]),
IF(TRIM(D586)="Desarrollo",
   _xlfn.XLOOKUP(C586,Cartera1017[ID Mantenimiento],Cartera1017[Fin Desarrollo]),
IF(TRIM(D586)="Calidad",
   _xlfn.XLOOKUP(C586,Cartera1017[ID Mantenimiento],Cartera1017[Fin Calidad]),
IF(TRIM(D586)="Producción",
   _xlfn.XLOOKUP(C586,Cartera1017[ID Mantenimiento],Cartera1017[Fin Producción]),
""))))</f>
        <v>0</v>
      </c>
    </row>
    <row r="587" spans="1:8" hidden="1" outlineLevel="1">
      <c r="A587" t="str">
        <f ca="1"/>
        <v>Operaciones</v>
      </c>
      <c r="B587" t="str">
        <f ca="1"/>
        <v>09. Descartado</v>
      </c>
      <c r="C587" t="str">
        <f ca="1"/>
        <v>2025-M0640</v>
      </c>
      <c r="D587" t="str">
        <f ca="1"/>
        <v xml:space="preserve">   Producción</v>
      </c>
      <c r="E587" s="255">
        <f ca="1"/>
        <v>-0.01</v>
      </c>
      <c r="F587" s="255" t="str">
        <f ca="1"/>
        <v/>
      </c>
      <c r="G587" s="356">
        <f ca="1">IF(TRIM(D587)=C587,
   _xlfn.XLOOKUP(C587, Cartera1017[ID Mantenimiento],Cartera1017[Comienzo Desarrollo]),
IF(TRIM(D587)="Desarrollo",
   _xlfn.XLOOKUP(C587,Cartera1017[ID Mantenimiento],Cartera1017[Comienzo Desarrollo]),
IF(TRIM(D587)="Calidad",
   _xlfn.XLOOKUP(C587,Cartera1017[ID Mantenimiento],Cartera1017[Comienzo Calidad]),
IF(TRIM(D587)="Producción",
   _xlfn.XLOOKUP(C587,Cartera1017[ID Mantenimiento],Cartera1017[Comienzo Producción]),
""))))</f>
        <v>0</v>
      </c>
      <c r="H587" s="160">
        <f ca="1">IF(TRIM(D587)=C587,
   _xlfn.XLOOKUP(C587, Cartera1017[ID Mantenimiento],Cartera1017[Fin Producción]),
IF(TRIM(D587)="Desarrollo",
   _xlfn.XLOOKUP(C587,Cartera1017[ID Mantenimiento],Cartera1017[Fin Desarrollo]),
IF(TRIM(D587)="Calidad",
   _xlfn.XLOOKUP(C587,Cartera1017[ID Mantenimiento],Cartera1017[Fin Calidad]),
IF(TRIM(D587)="Producción",
   _xlfn.XLOOKUP(C587,Cartera1017[ID Mantenimiento],Cartera1017[Fin Producción]),
""))))</f>
        <v>0</v>
      </c>
    </row>
    <row r="588" spans="1:8" hidden="1" collapsed="1">
      <c r="A588" t="str">
        <f ca="1"/>
        <v>Operaciones</v>
      </c>
      <c r="B588" t="str">
        <f ca="1"/>
        <v>08. Producción Finalizada</v>
      </c>
      <c r="C588" t="str">
        <f ca="1"/>
        <v>2025-M0646</v>
      </c>
      <c r="D588" t="str">
        <f ca="1"/>
        <v>2025-M0646</v>
      </c>
      <c r="E588" s="255">
        <f ca="1"/>
        <v>1</v>
      </c>
      <c r="F588" s="255">
        <f ca="1"/>
        <v>1</v>
      </c>
      <c r="G588" s="356">
        <f ca="1">IF(TRIM(D588)=C588,
   _xlfn.XLOOKUP(C588, Cartera1017[ID Mantenimiento],Cartera1017[Comienzo Desarrollo]),
IF(TRIM(D588)="Desarrollo",
   _xlfn.XLOOKUP(C588,Cartera1017[ID Mantenimiento],Cartera1017[Comienzo Desarrollo]),
IF(TRIM(D588)="Calidad",
   _xlfn.XLOOKUP(C588,Cartera1017[ID Mantenimiento],Cartera1017[Comienzo Calidad]),
IF(TRIM(D588)="Producción",
   _xlfn.XLOOKUP(C588,Cartera1017[ID Mantenimiento],Cartera1017[Comienzo Producción]),
""))))</f>
        <v>45926</v>
      </c>
      <c r="H588" s="160">
        <f ca="1">IF(TRIM(D588)=C588,
   _xlfn.XLOOKUP(C588, Cartera1017[ID Mantenimiento],Cartera1017[Fin Producción]),
IF(TRIM(D588)="Desarrollo",
   _xlfn.XLOOKUP(C588,Cartera1017[ID Mantenimiento],Cartera1017[Fin Desarrollo]),
IF(TRIM(D588)="Calidad",
   _xlfn.XLOOKUP(C588,Cartera1017[ID Mantenimiento],Cartera1017[Fin Calidad]),
IF(TRIM(D588)="Producción",
   _xlfn.XLOOKUP(C588,Cartera1017[ID Mantenimiento],Cartera1017[Fin Producción]),
""))))</f>
        <v>46059</v>
      </c>
    </row>
    <row r="589" spans="1:8" hidden="1" outlineLevel="1">
      <c r="A589" t="str">
        <f ca="1"/>
        <v>Operaciones</v>
      </c>
      <c r="B589" t="str">
        <f ca="1"/>
        <v>08. Producción Finalizada</v>
      </c>
      <c r="C589" t="str">
        <f ca="1"/>
        <v>2025-M0646</v>
      </c>
      <c r="D589" t="str">
        <f ca="1"/>
        <v xml:space="preserve">   Desarrollo</v>
      </c>
      <c r="E589" s="255">
        <f ca="1"/>
        <v>1</v>
      </c>
      <c r="F589" s="255">
        <f ca="1"/>
        <v>1</v>
      </c>
      <c r="G589" s="356">
        <f ca="1">IF(TRIM(D589)=C589,
   _xlfn.XLOOKUP(C589, Cartera1017[ID Mantenimiento],Cartera1017[Comienzo Desarrollo]),
IF(TRIM(D589)="Desarrollo",
   _xlfn.XLOOKUP(C589,Cartera1017[ID Mantenimiento],Cartera1017[Comienzo Desarrollo]),
IF(TRIM(D589)="Calidad",
   _xlfn.XLOOKUP(C589,Cartera1017[ID Mantenimiento],Cartera1017[Comienzo Calidad]),
IF(TRIM(D589)="Producción",
   _xlfn.XLOOKUP(C589,Cartera1017[ID Mantenimiento],Cartera1017[Comienzo Producción]),
""))))</f>
        <v>45926</v>
      </c>
      <c r="H589" s="160">
        <f ca="1">IF(TRIM(D589)=C589,
   _xlfn.XLOOKUP(C589, Cartera1017[ID Mantenimiento],Cartera1017[Fin Producción]),
IF(TRIM(D589)="Desarrollo",
   _xlfn.XLOOKUP(C589,Cartera1017[ID Mantenimiento],Cartera1017[Fin Desarrollo]),
IF(TRIM(D589)="Calidad",
   _xlfn.XLOOKUP(C589,Cartera1017[ID Mantenimiento],Cartera1017[Fin Calidad]),
IF(TRIM(D589)="Producción",
   _xlfn.XLOOKUP(C589,Cartera1017[ID Mantenimiento],Cartera1017[Fin Producción]),
""))))</f>
        <v>46008</v>
      </c>
    </row>
    <row r="590" spans="1:8" hidden="1" outlineLevel="1">
      <c r="A590" t="str">
        <f ca="1"/>
        <v>Operaciones</v>
      </c>
      <c r="B590" t="str">
        <f ca="1"/>
        <v>08. Producción Finalizada</v>
      </c>
      <c r="C590" t="str">
        <f ca="1"/>
        <v>2025-M0646</v>
      </c>
      <c r="D590" t="str">
        <f ca="1"/>
        <v xml:space="preserve">   Calidad</v>
      </c>
      <c r="E590" s="255">
        <f ca="1"/>
        <v>1</v>
      </c>
      <c r="F590" s="255">
        <f ca="1"/>
        <v>1</v>
      </c>
      <c r="G590" s="356">
        <f ca="1">IF(TRIM(D590)=C590,
   _xlfn.XLOOKUP(C590, Cartera1017[ID Mantenimiento],Cartera1017[Comienzo Desarrollo]),
IF(TRIM(D590)="Desarrollo",
   _xlfn.XLOOKUP(C590,Cartera1017[ID Mantenimiento],Cartera1017[Comienzo Desarrollo]),
IF(TRIM(D590)="Calidad",
   _xlfn.XLOOKUP(C590,Cartera1017[ID Mantenimiento],Cartera1017[Comienzo Calidad]),
IF(TRIM(D590)="Producción",
   _xlfn.XLOOKUP(C590,Cartera1017[ID Mantenimiento],Cartera1017[Comienzo Producción]),
""))))</f>
        <v>46013</v>
      </c>
      <c r="H590" s="160">
        <f ca="1">IF(TRIM(D590)=C590,
   _xlfn.XLOOKUP(C590, Cartera1017[ID Mantenimiento],Cartera1017[Fin Producción]),
IF(TRIM(D590)="Desarrollo",
   _xlfn.XLOOKUP(C590,Cartera1017[ID Mantenimiento],Cartera1017[Fin Desarrollo]),
IF(TRIM(D590)="Calidad",
   _xlfn.XLOOKUP(C590,Cartera1017[ID Mantenimiento],Cartera1017[Fin Calidad]),
IF(TRIM(D590)="Producción",
   _xlfn.XLOOKUP(C590,Cartera1017[ID Mantenimiento],Cartera1017[Fin Producción]),
""))))</f>
        <v>46031</v>
      </c>
    </row>
    <row r="591" spans="1:8" hidden="1" outlineLevel="1">
      <c r="A591" t="str">
        <f ca="1"/>
        <v>Operaciones</v>
      </c>
      <c r="B591" t="str">
        <f ca="1"/>
        <v>08. Producción Finalizada</v>
      </c>
      <c r="C591" t="str">
        <f ca="1"/>
        <v>2025-M0646</v>
      </c>
      <c r="D591" t="str">
        <f ca="1"/>
        <v xml:space="preserve">   Producción</v>
      </c>
      <c r="E591" s="255">
        <f ca="1"/>
        <v>1</v>
      </c>
      <c r="F591" s="255">
        <f ca="1"/>
        <v>1</v>
      </c>
      <c r="G591" s="356">
        <f ca="1">IF(TRIM(D591)=C591,
   _xlfn.XLOOKUP(C591, Cartera1017[ID Mantenimiento],Cartera1017[Comienzo Desarrollo]),
IF(TRIM(D591)="Desarrollo",
   _xlfn.XLOOKUP(C591,Cartera1017[ID Mantenimiento],Cartera1017[Comienzo Desarrollo]),
IF(TRIM(D591)="Calidad",
   _xlfn.XLOOKUP(C591,Cartera1017[ID Mantenimiento],Cartera1017[Comienzo Calidad]),
IF(TRIM(D591)="Producción",
   _xlfn.XLOOKUP(C591,Cartera1017[ID Mantenimiento],Cartera1017[Comienzo Producción]),
""))))</f>
        <v>46036</v>
      </c>
      <c r="H591" s="160">
        <f ca="1">IF(TRIM(D591)=C591,
   _xlfn.XLOOKUP(C591, Cartera1017[ID Mantenimiento],Cartera1017[Fin Producción]),
IF(TRIM(D591)="Desarrollo",
   _xlfn.XLOOKUP(C591,Cartera1017[ID Mantenimiento],Cartera1017[Fin Desarrollo]),
IF(TRIM(D591)="Calidad",
   _xlfn.XLOOKUP(C591,Cartera1017[ID Mantenimiento],Cartera1017[Fin Calidad]),
IF(TRIM(D591)="Producción",
   _xlfn.XLOOKUP(C591,Cartera1017[ID Mantenimiento],Cartera1017[Fin Producción]),
""))))</f>
        <v>46059</v>
      </c>
    </row>
    <row r="592" spans="1:8" hidden="1" collapsed="1">
      <c r="A592" t="str">
        <f ca="1"/>
        <v>Tecnologías de Información</v>
      </c>
      <c r="B592" t="str">
        <f ca="1"/>
        <v>07. En Despliegue</v>
      </c>
      <c r="C592" t="str">
        <f ca="1"/>
        <v>2025-M0649</v>
      </c>
      <c r="D592" t="str">
        <f ca="1"/>
        <v>2025-M0649</v>
      </c>
      <c r="E592" s="255">
        <f ca="1"/>
        <v>0.9</v>
      </c>
      <c r="F592" s="255">
        <f ca="1"/>
        <v>1</v>
      </c>
      <c r="G592" s="356">
        <f ca="1">IF(TRIM(D592)=C592,
   _xlfn.XLOOKUP(C592, Cartera1017[ID Mantenimiento],Cartera1017[Comienzo Desarrollo]),
IF(TRIM(D592)="Desarrollo",
   _xlfn.XLOOKUP(C592,Cartera1017[ID Mantenimiento],Cartera1017[Comienzo Desarrollo]),
IF(TRIM(D592)="Calidad",
   _xlfn.XLOOKUP(C592,Cartera1017[ID Mantenimiento],Cartera1017[Comienzo Calidad]),
IF(TRIM(D592)="Producción",
   _xlfn.XLOOKUP(C592,Cartera1017[ID Mantenimiento],Cartera1017[Comienzo Producción]),
""))))</f>
        <v>45929</v>
      </c>
      <c r="H592" s="160">
        <f ca="1">IF(TRIM(D592)=C592,
   _xlfn.XLOOKUP(C592, Cartera1017[ID Mantenimiento],Cartera1017[Fin Producción]),
IF(TRIM(D592)="Desarrollo",
   _xlfn.XLOOKUP(C592,Cartera1017[ID Mantenimiento],Cartera1017[Fin Desarrollo]),
IF(TRIM(D592)="Calidad",
   _xlfn.XLOOKUP(C592,Cartera1017[ID Mantenimiento],Cartera1017[Fin Calidad]),
IF(TRIM(D592)="Producción",
   _xlfn.XLOOKUP(C592,Cartera1017[ID Mantenimiento],Cartera1017[Fin Producción]),
""))))</f>
        <v>46108</v>
      </c>
    </row>
    <row r="593" spans="1:8" hidden="1" outlineLevel="1">
      <c r="A593" t="str">
        <f ca="1"/>
        <v>Tecnologías de Información</v>
      </c>
      <c r="B593" t="str">
        <f ca="1"/>
        <v>07. En Despliegue</v>
      </c>
      <c r="C593" t="str">
        <f ca="1"/>
        <v>2025-M0649</v>
      </c>
      <c r="D593" t="str">
        <f ca="1"/>
        <v xml:space="preserve">   Desarrollo</v>
      </c>
      <c r="E593" s="255">
        <f ca="1"/>
        <v>0.9</v>
      </c>
      <c r="F593" s="255">
        <f ca="1"/>
        <v>1</v>
      </c>
      <c r="G593" s="356">
        <f ca="1">IF(TRIM(D593)=C593,
   _xlfn.XLOOKUP(C593, Cartera1017[ID Mantenimiento],Cartera1017[Comienzo Desarrollo]),
IF(TRIM(D593)="Desarrollo",
   _xlfn.XLOOKUP(C593,Cartera1017[ID Mantenimiento],Cartera1017[Comienzo Desarrollo]),
IF(TRIM(D593)="Calidad",
   _xlfn.XLOOKUP(C593,Cartera1017[ID Mantenimiento],Cartera1017[Comienzo Calidad]),
IF(TRIM(D593)="Producción",
   _xlfn.XLOOKUP(C593,Cartera1017[ID Mantenimiento],Cartera1017[Comienzo Producción]),
""))))</f>
        <v>45929</v>
      </c>
      <c r="H593" s="160">
        <f ca="1">IF(TRIM(D593)=C593,
   _xlfn.XLOOKUP(C593, Cartera1017[ID Mantenimiento],Cartera1017[Fin Producción]),
IF(TRIM(D593)="Desarrollo",
   _xlfn.XLOOKUP(C593,Cartera1017[ID Mantenimiento],Cartera1017[Fin Desarrollo]),
IF(TRIM(D593)="Calidad",
   _xlfn.XLOOKUP(C593,Cartera1017[ID Mantenimiento],Cartera1017[Fin Calidad]),
IF(TRIM(D593)="Producción",
   _xlfn.XLOOKUP(C593,Cartera1017[ID Mantenimiento],Cartera1017[Fin Producción]),
""))))</f>
        <v>45991</v>
      </c>
    </row>
    <row r="594" spans="1:8" hidden="1" outlineLevel="1">
      <c r="A594" t="str">
        <f ca="1"/>
        <v>Tecnologías de Información</v>
      </c>
      <c r="B594" t="str">
        <f ca="1"/>
        <v>07. En Despliegue</v>
      </c>
      <c r="C594" t="str">
        <f ca="1"/>
        <v>2025-M0649</v>
      </c>
      <c r="D594" t="str">
        <f ca="1"/>
        <v xml:space="preserve">   Calidad</v>
      </c>
      <c r="E594" s="255">
        <f ca="1"/>
        <v>0.9</v>
      </c>
      <c r="F594" s="255">
        <f ca="1"/>
        <v>1</v>
      </c>
      <c r="G594" s="356">
        <f ca="1">IF(TRIM(D594)=C594,
   _xlfn.XLOOKUP(C594, Cartera1017[ID Mantenimiento],Cartera1017[Comienzo Desarrollo]),
IF(TRIM(D594)="Desarrollo",
   _xlfn.XLOOKUP(C594,Cartera1017[ID Mantenimiento],Cartera1017[Comienzo Desarrollo]),
IF(TRIM(D594)="Calidad",
   _xlfn.XLOOKUP(C594,Cartera1017[ID Mantenimiento],Cartera1017[Comienzo Calidad]),
IF(TRIM(D594)="Producción",
   _xlfn.XLOOKUP(C594,Cartera1017[ID Mantenimiento],Cartera1017[Comienzo Producción]),
""))))</f>
        <v>45994</v>
      </c>
      <c r="H594" s="160">
        <f ca="1">IF(TRIM(D594)=C594,
   _xlfn.XLOOKUP(C594, Cartera1017[ID Mantenimiento],Cartera1017[Fin Producción]),
IF(TRIM(D594)="Desarrollo",
   _xlfn.XLOOKUP(C594,Cartera1017[ID Mantenimiento],Cartera1017[Fin Desarrollo]),
IF(TRIM(D594)="Calidad",
   _xlfn.XLOOKUP(C594,Cartera1017[ID Mantenimiento],Cartera1017[Fin Calidad]),
IF(TRIM(D594)="Producción",
   _xlfn.XLOOKUP(C594,Cartera1017[ID Mantenimiento],Cartera1017[Fin Producción]),
""))))</f>
        <v>46011</v>
      </c>
    </row>
    <row r="595" spans="1:8" hidden="1" outlineLevel="1">
      <c r="A595" t="str">
        <f ca="1"/>
        <v>Tecnologías de Información</v>
      </c>
      <c r="B595" t="str">
        <f ca="1"/>
        <v>07. En Despliegue</v>
      </c>
      <c r="C595" t="str">
        <f ca="1"/>
        <v>2025-M0649</v>
      </c>
      <c r="D595" t="str">
        <f ca="1"/>
        <v xml:space="preserve">   Producción</v>
      </c>
      <c r="E595" s="255">
        <f ca="1"/>
        <v>0.9</v>
      </c>
      <c r="F595" s="255">
        <f ca="1"/>
        <v>1</v>
      </c>
      <c r="G595" s="356">
        <f ca="1">IF(TRIM(D595)=C595,
   _xlfn.XLOOKUP(C595, Cartera1017[ID Mantenimiento],Cartera1017[Comienzo Desarrollo]),
IF(TRIM(D595)="Desarrollo",
   _xlfn.XLOOKUP(C595,Cartera1017[ID Mantenimiento],Cartera1017[Comienzo Desarrollo]),
IF(TRIM(D595)="Calidad",
   _xlfn.XLOOKUP(C595,Cartera1017[ID Mantenimiento],Cartera1017[Comienzo Calidad]),
IF(TRIM(D595)="Producción",
   _xlfn.XLOOKUP(C595,Cartera1017[ID Mantenimiento],Cartera1017[Comienzo Producción]),
""))))</f>
        <v>46036</v>
      </c>
      <c r="H595" s="160">
        <f ca="1">IF(TRIM(D595)=C595,
   _xlfn.XLOOKUP(C595, Cartera1017[ID Mantenimiento],Cartera1017[Fin Producción]),
IF(TRIM(D595)="Desarrollo",
   _xlfn.XLOOKUP(C595,Cartera1017[ID Mantenimiento],Cartera1017[Fin Desarrollo]),
IF(TRIM(D595)="Calidad",
   _xlfn.XLOOKUP(C595,Cartera1017[ID Mantenimiento],Cartera1017[Fin Calidad]),
IF(TRIM(D595)="Producción",
   _xlfn.XLOOKUP(C595,Cartera1017[ID Mantenimiento],Cartera1017[Fin Producción]),
""))))</f>
        <v>46108</v>
      </c>
    </row>
    <row r="596" spans="1:8" hidden="1" collapsed="1">
      <c r="A596" t="str">
        <f ca="1"/>
        <v>Operaciones</v>
      </c>
      <c r="B596" t="str">
        <f ca="1"/>
        <v>08. Producción Finalizada</v>
      </c>
      <c r="C596" t="str">
        <f ca="1"/>
        <v>2025-M0652</v>
      </c>
      <c r="D596" t="str">
        <f ca="1"/>
        <v>2025-M0652</v>
      </c>
      <c r="E596" s="255">
        <f ca="1"/>
        <v>1</v>
      </c>
      <c r="F596" s="255">
        <f ca="1"/>
        <v>1</v>
      </c>
      <c r="G596" s="356">
        <f ca="1">IF(TRIM(D596)=C596,
   _xlfn.XLOOKUP(C596, Cartera1017[ID Mantenimiento],Cartera1017[Comienzo Desarrollo]),
IF(TRIM(D596)="Desarrollo",
   _xlfn.XLOOKUP(C596,Cartera1017[ID Mantenimiento],Cartera1017[Comienzo Desarrollo]),
IF(TRIM(D596)="Calidad",
   _xlfn.XLOOKUP(C596,Cartera1017[ID Mantenimiento],Cartera1017[Comienzo Calidad]),
IF(TRIM(D596)="Producción",
   _xlfn.XLOOKUP(C596,Cartera1017[ID Mantenimiento],Cartera1017[Comienzo Producción]),
""))))</f>
        <v>46037</v>
      </c>
      <c r="H596" s="160">
        <f ca="1">IF(TRIM(D596)=C596,
   _xlfn.XLOOKUP(C596, Cartera1017[ID Mantenimiento],Cartera1017[Fin Producción]),
IF(TRIM(D596)="Desarrollo",
   _xlfn.XLOOKUP(C596,Cartera1017[ID Mantenimiento],Cartera1017[Fin Desarrollo]),
IF(TRIM(D596)="Calidad",
   _xlfn.XLOOKUP(C596,Cartera1017[ID Mantenimiento],Cartera1017[Fin Calidad]),
IF(TRIM(D596)="Producción",
   _xlfn.XLOOKUP(C596,Cartera1017[ID Mantenimiento],Cartera1017[Fin Producción]),
""))))</f>
        <v>46108</v>
      </c>
    </row>
    <row r="597" spans="1:8" hidden="1" outlineLevel="1">
      <c r="A597" t="str">
        <f ca="1"/>
        <v>Operaciones</v>
      </c>
      <c r="B597" t="str">
        <f ca="1"/>
        <v>08. Producción Finalizada</v>
      </c>
      <c r="C597" t="str">
        <f ca="1"/>
        <v>2025-M0652</v>
      </c>
      <c r="D597" t="str">
        <f ca="1"/>
        <v xml:space="preserve">   Desarrollo</v>
      </c>
      <c r="E597" s="255">
        <f ca="1"/>
        <v>1</v>
      </c>
      <c r="F597" s="255">
        <f ca="1"/>
        <v>1</v>
      </c>
      <c r="G597" s="356">
        <f ca="1">IF(TRIM(D597)=C597,
   _xlfn.XLOOKUP(C597, Cartera1017[ID Mantenimiento],Cartera1017[Comienzo Desarrollo]),
IF(TRIM(D597)="Desarrollo",
   _xlfn.XLOOKUP(C597,Cartera1017[ID Mantenimiento],Cartera1017[Comienzo Desarrollo]),
IF(TRIM(D597)="Calidad",
   _xlfn.XLOOKUP(C597,Cartera1017[ID Mantenimiento],Cartera1017[Comienzo Calidad]),
IF(TRIM(D597)="Producción",
   _xlfn.XLOOKUP(C597,Cartera1017[ID Mantenimiento],Cartera1017[Comienzo Producción]),
""))))</f>
        <v>46037</v>
      </c>
      <c r="H597" s="160">
        <f ca="1">IF(TRIM(D597)=C597,
   _xlfn.XLOOKUP(C597, Cartera1017[ID Mantenimiento],Cartera1017[Fin Producción]),
IF(TRIM(D597)="Desarrollo",
   _xlfn.XLOOKUP(C597,Cartera1017[ID Mantenimiento],Cartera1017[Fin Desarrollo]),
IF(TRIM(D597)="Calidad",
   _xlfn.XLOOKUP(C597,Cartera1017[ID Mantenimiento],Cartera1017[Fin Calidad]),
IF(TRIM(D597)="Producción",
   _xlfn.XLOOKUP(C597,Cartera1017[ID Mantenimiento],Cartera1017[Fin Producción]),
""))))</f>
        <v>46052</v>
      </c>
    </row>
    <row r="598" spans="1:8" hidden="1" outlineLevel="1">
      <c r="A598" t="str">
        <f ca="1"/>
        <v>Operaciones</v>
      </c>
      <c r="B598" t="str">
        <f ca="1"/>
        <v>08. Producción Finalizada</v>
      </c>
      <c r="C598" t="str">
        <f ca="1"/>
        <v>2025-M0652</v>
      </c>
      <c r="D598" t="str">
        <f ca="1"/>
        <v xml:space="preserve">   Calidad</v>
      </c>
      <c r="E598" s="255">
        <f ca="1"/>
        <v>1</v>
      </c>
      <c r="F598" s="255">
        <f ca="1"/>
        <v>1</v>
      </c>
      <c r="G598" s="356">
        <f ca="1">IF(TRIM(D598)=C598,
   _xlfn.XLOOKUP(C598, Cartera1017[ID Mantenimiento],Cartera1017[Comienzo Desarrollo]),
IF(TRIM(D598)="Desarrollo",
   _xlfn.XLOOKUP(C598,Cartera1017[ID Mantenimiento],Cartera1017[Comienzo Desarrollo]),
IF(TRIM(D598)="Calidad",
   _xlfn.XLOOKUP(C598,Cartera1017[ID Mantenimiento],Cartera1017[Comienzo Calidad]),
IF(TRIM(D598)="Producción",
   _xlfn.XLOOKUP(C598,Cartera1017[ID Mantenimiento],Cartera1017[Comienzo Producción]),
""))))</f>
        <v>46055</v>
      </c>
      <c r="H598" s="160">
        <f ca="1">IF(TRIM(D598)=C598,
   _xlfn.XLOOKUP(C598, Cartera1017[ID Mantenimiento],Cartera1017[Fin Producción]),
IF(TRIM(D598)="Desarrollo",
   _xlfn.XLOOKUP(C598,Cartera1017[ID Mantenimiento],Cartera1017[Fin Desarrollo]),
IF(TRIM(D598)="Calidad",
   _xlfn.XLOOKUP(C598,Cartera1017[ID Mantenimiento],Cartera1017[Fin Calidad]),
IF(TRIM(D598)="Producción",
   _xlfn.XLOOKUP(C598,Cartera1017[ID Mantenimiento],Cartera1017[Fin Producción]),
""))))</f>
        <v>46083</v>
      </c>
    </row>
    <row r="599" spans="1:8" hidden="1" outlineLevel="1">
      <c r="A599" t="str">
        <f ca="1"/>
        <v>Operaciones</v>
      </c>
      <c r="B599" t="str">
        <f ca="1"/>
        <v>08. Producción Finalizada</v>
      </c>
      <c r="C599" t="str">
        <f ca="1"/>
        <v>2025-M0652</v>
      </c>
      <c r="D599" t="str">
        <f ca="1"/>
        <v xml:space="preserve">   Producción</v>
      </c>
      <c r="E599" s="255">
        <f ca="1"/>
        <v>1</v>
      </c>
      <c r="F599" s="255">
        <f ca="1"/>
        <v>1</v>
      </c>
      <c r="G599" s="356">
        <f ca="1">IF(TRIM(D599)=C599,
   _xlfn.XLOOKUP(C599, Cartera1017[ID Mantenimiento],Cartera1017[Comienzo Desarrollo]),
IF(TRIM(D599)="Desarrollo",
   _xlfn.XLOOKUP(C599,Cartera1017[ID Mantenimiento],Cartera1017[Comienzo Desarrollo]),
IF(TRIM(D599)="Calidad",
   _xlfn.XLOOKUP(C599,Cartera1017[ID Mantenimiento],Cartera1017[Comienzo Calidad]),
IF(TRIM(D599)="Producción",
   _xlfn.XLOOKUP(C599,Cartera1017[ID Mantenimiento],Cartera1017[Comienzo Producción]),
""))))</f>
        <v>46084</v>
      </c>
      <c r="H599" s="160">
        <f ca="1">IF(TRIM(D599)=C599,
   _xlfn.XLOOKUP(C599, Cartera1017[ID Mantenimiento],Cartera1017[Fin Producción]),
IF(TRIM(D599)="Desarrollo",
   _xlfn.XLOOKUP(C599,Cartera1017[ID Mantenimiento],Cartera1017[Fin Desarrollo]),
IF(TRIM(D599)="Calidad",
   _xlfn.XLOOKUP(C599,Cartera1017[ID Mantenimiento],Cartera1017[Fin Calidad]),
IF(TRIM(D599)="Producción",
   _xlfn.XLOOKUP(C599,Cartera1017[ID Mantenimiento],Cartera1017[Fin Producción]),
""))))</f>
        <v>46108</v>
      </c>
    </row>
    <row r="600" spans="1:8" hidden="1" collapsed="1">
      <c r="A600" t="str">
        <f ca="1"/>
        <v>Operaciones</v>
      </c>
      <c r="B600" t="str">
        <f ca="1"/>
        <v>03. En Desarrollo</v>
      </c>
      <c r="C600" t="str">
        <f ca="1"/>
        <v>2025-M0639</v>
      </c>
      <c r="D600" t="str">
        <f ca="1"/>
        <v>2025-M0639</v>
      </c>
      <c r="E600" s="255">
        <f ca="1"/>
        <v>0.39</v>
      </c>
      <c r="F600" s="255">
        <f ca="1"/>
        <v>0.45238095238095238</v>
      </c>
      <c r="G600" s="356">
        <f ca="1">IF(TRIM(D600)=C600,
   _xlfn.XLOOKUP(C600, Cartera1017[ID Mantenimiento],Cartera1017[Comienzo Desarrollo]),
IF(TRIM(D600)="Desarrollo",
   _xlfn.XLOOKUP(C600,Cartera1017[ID Mantenimiento],Cartera1017[Comienzo Desarrollo]),
IF(TRIM(D600)="Calidad",
   _xlfn.XLOOKUP(C600,Cartera1017[ID Mantenimiento],Cartera1017[Comienzo Calidad]),
IF(TRIM(D600)="Producción",
   _xlfn.XLOOKUP(C600,Cartera1017[ID Mantenimiento],Cartera1017[Comienzo Producción]),
""))))</f>
        <v>46083</v>
      </c>
      <c r="H600" s="160">
        <f ca="1">IF(TRIM(D600)=C600,
   _xlfn.XLOOKUP(C600, Cartera1017[ID Mantenimiento],Cartera1017[Fin Producción]),
IF(TRIM(D600)="Desarrollo",
   _xlfn.XLOOKUP(C600,Cartera1017[ID Mantenimiento],Cartera1017[Fin Desarrollo]),
IF(TRIM(D600)="Calidad",
   _xlfn.XLOOKUP(C600,Cartera1017[ID Mantenimiento],Cartera1017[Fin Calidad]),
IF(TRIM(D600)="Producción",
   _xlfn.XLOOKUP(C600,Cartera1017[ID Mantenimiento],Cartera1017[Fin Producción]),
""))))</f>
        <v>46262</v>
      </c>
    </row>
    <row r="601" spans="1:8" hidden="1" outlineLevel="1">
      <c r="A601" t="str">
        <f ca="1"/>
        <v>Operaciones</v>
      </c>
      <c r="B601" t="str">
        <f ca="1"/>
        <v>03. En Desarrollo</v>
      </c>
      <c r="C601" t="str">
        <f ca="1"/>
        <v>2025-M0639</v>
      </c>
      <c r="D601" t="str">
        <f ca="1"/>
        <v xml:space="preserve">   Desarrollo</v>
      </c>
      <c r="E601" s="255">
        <f ca="1"/>
        <v>0.39</v>
      </c>
      <c r="F601" s="255">
        <f ca="1"/>
        <v>0.45238095238095238</v>
      </c>
      <c r="G601" s="356">
        <f ca="1">IF(TRIM(D601)=C601,
   _xlfn.XLOOKUP(C601, Cartera1017[ID Mantenimiento],Cartera1017[Comienzo Desarrollo]),
IF(TRIM(D601)="Desarrollo",
   _xlfn.XLOOKUP(C601,Cartera1017[ID Mantenimiento],Cartera1017[Comienzo Desarrollo]),
IF(TRIM(D601)="Calidad",
   _xlfn.XLOOKUP(C601,Cartera1017[ID Mantenimiento],Cartera1017[Comienzo Calidad]),
IF(TRIM(D601)="Producción",
   _xlfn.XLOOKUP(C601,Cartera1017[ID Mantenimiento],Cartera1017[Comienzo Producción]),
""))))</f>
        <v>46083</v>
      </c>
      <c r="H601" s="160">
        <f ca="1">IF(TRIM(D601)=C601,
   _xlfn.XLOOKUP(C601, Cartera1017[ID Mantenimiento],Cartera1017[Fin Producción]),
IF(TRIM(D601)="Desarrollo",
   _xlfn.XLOOKUP(C601,Cartera1017[ID Mantenimiento],Cartera1017[Fin Desarrollo]),
IF(TRIM(D601)="Calidad",
   _xlfn.XLOOKUP(C601,Cartera1017[ID Mantenimiento],Cartera1017[Fin Calidad]),
IF(TRIM(D601)="Producción",
   _xlfn.XLOOKUP(C601,Cartera1017[ID Mantenimiento],Cartera1017[Fin Producción]),
""))))</f>
        <v>46167</v>
      </c>
    </row>
    <row r="602" spans="1:8" hidden="1" outlineLevel="1">
      <c r="A602" t="str">
        <f ca="1"/>
        <v>Operaciones</v>
      </c>
      <c r="B602" t="str">
        <f ca="1"/>
        <v>03. En Desarrollo</v>
      </c>
      <c r="C602" t="str">
        <f ca="1"/>
        <v>2025-M0639</v>
      </c>
      <c r="D602" t="str">
        <f ca="1"/>
        <v xml:space="preserve">   Calidad</v>
      </c>
      <c r="E602" s="255">
        <f ca="1"/>
        <v>0.39</v>
      </c>
      <c r="F602" s="255">
        <f ca="1"/>
        <v>0.45238095238095238</v>
      </c>
      <c r="G602" s="356">
        <f ca="1">IF(TRIM(D602)=C602,
   _xlfn.XLOOKUP(C602, Cartera1017[ID Mantenimiento],Cartera1017[Comienzo Desarrollo]),
IF(TRIM(D602)="Desarrollo",
   _xlfn.XLOOKUP(C602,Cartera1017[ID Mantenimiento],Cartera1017[Comienzo Desarrollo]),
IF(TRIM(D602)="Calidad",
   _xlfn.XLOOKUP(C602,Cartera1017[ID Mantenimiento],Cartera1017[Comienzo Calidad]),
IF(TRIM(D602)="Producción",
   _xlfn.XLOOKUP(C602,Cartera1017[ID Mantenimiento],Cartera1017[Comienzo Producción]),
""))))</f>
        <v>46168</v>
      </c>
      <c r="H602" s="160">
        <f ca="1">IF(TRIM(D602)=C602,
   _xlfn.XLOOKUP(C602, Cartera1017[ID Mantenimiento],Cartera1017[Fin Producción]),
IF(TRIM(D602)="Desarrollo",
   _xlfn.XLOOKUP(C602,Cartera1017[ID Mantenimiento],Cartera1017[Fin Desarrollo]),
IF(TRIM(D602)="Calidad",
   _xlfn.XLOOKUP(C602,Cartera1017[ID Mantenimiento],Cartera1017[Fin Calidad]),
IF(TRIM(D602)="Producción",
   _xlfn.XLOOKUP(C602,Cartera1017[ID Mantenimiento],Cartera1017[Fin Producción]),
""))))</f>
        <v>46234</v>
      </c>
    </row>
    <row r="603" spans="1:8" hidden="1" outlineLevel="1">
      <c r="A603" t="str">
        <f ca="1"/>
        <v>Operaciones</v>
      </c>
      <c r="B603" t="str">
        <f ca="1"/>
        <v>03. En Desarrollo</v>
      </c>
      <c r="C603" t="str">
        <f ca="1"/>
        <v>2025-M0639</v>
      </c>
      <c r="D603" t="str">
        <f ca="1"/>
        <v xml:space="preserve">   Producción</v>
      </c>
      <c r="E603" s="255">
        <f ca="1"/>
        <v>0.39</v>
      </c>
      <c r="F603" s="255">
        <f ca="1"/>
        <v>0.45238095238095238</v>
      </c>
      <c r="G603" s="356">
        <f ca="1">IF(TRIM(D603)=C603,
   _xlfn.XLOOKUP(C603, Cartera1017[ID Mantenimiento],Cartera1017[Comienzo Desarrollo]),
IF(TRIM(D603)="Desarrollo",
   _xlfn.XLOOKUP(C603,Cartera1017[ID Mantenimiento],Cartera1017[Comienzo Desarrollo]),
IF(TRIM(D603)="Calidad",
   _xlfn.XLOOKUP(C603,Cartera1017[ID Mantenimiento],Cartera1017[Comienzo Calidad]),
IF(TRIM(D603)="Producción",
   _xlfn.XLOOKUP(C603,Cartera1017[ID Mantenimiento],Cartera1017[Comienzo Producción]),
""))))</f>
        <v>46237</v>
      </c>
      <c r="H603" s="160">
        <f ca="1">IF(TRIM(D603)=C603,
   _xlfn.XLOOKUP(C603, Cartera1017[ID Mantenimiento],Cartera1017[Fin Producción]),
IF(TRIM(D603)="Desarrollo",
   _xlfn.XLOOKUP(C603,Cartera1017[ID Mantenimiento],Cartera1017[Fin Desarrollo]),
IF(TRIM(D603)="Calidad",
   _xlfn.XLOOKUP(C603,Cartera1017[ID Mantenimiento],Cartera1017[Fin Calidad]),
IF(TRIM(D603)="Producción",
   _xlfn.XLOOKUP(C603,Cartera1017[ID Mantenimiento],Cartera1017[Fin Producción]),
""))))</f>
        <v>46262</v>
      </c>
    </row>
    <row r="604" spans="1:8" hidden="1" collapsed="1">
      <c r="A604" t="str">
        <f ca="1"/>
        <v>Banca Digital</v>
      </c>
      <c r="B604" t="str">
        <f ca="1"/>
        <v>05. En Calidad</v>
      </c>
      <c r="C604" t="str">
        <f ca="1"/>
        <v>2025-M0675</v>
      </c>
      <c r="D604" t="str">
        <f ca="1"/>
        <v>2025-M0675</v>
      </c>
      <c r="E604" s="255">
        <f ca="1"/>
        <v>0.7</v>
      </c>
      <c r="F604" s="255">
        <f ca="1"/>
        <v>0.91935483870967738</v>
      </c>
      <c r="G604" s="356">
        <f ca="1">IF(TRIM(D604)=C604,
   _xlfn.XLOOKUP(C604, Cartera1017[ID Mantenimiento],Cartera1017[Comienzo Desarrollo]),
IF(TRIM(D604)="Desarrollo",
   _xlfn.XLOOKUP(C604,Cartera1017[ID Mantenimiento],Cartera1017[Comienzo Desarrollo]),
IF(TRIM(D604)="Calidad",
   _xlfn.XLOOKUP(C604,Cartera1017[ID Mantenimiento],Cartera1017[Comienzo Calidad]),
IF(TRIM(D604)="Producción",
   _xlfn.XLOOKUP(C604,Cartera1017[ID Mantenimiento],Cartera1017[Comienzo Producción]),
""))))</f>
        <v>46083</v>
      </c>
      <c r="H604" s="160">
        <f ca="1">IF(TRIM(D604)=C604,
   _xlfn.XLOOKUP(C604, Cartera1017[ID Mantenimiento],Cartera1017[Fin Producción]),
IF(TRIM(D604)="Desarrollo",
   _xlfn.XLOOKUP(C604,Cartera1017[ID Mantenimiento],Cartera1017[Fin Desarrollo]),
IF(TRIM(D604)="Calidad",
   _xlfn.XLOOKUP(C604,Cartera1017[ID Mantenimiento],Cartera1017[Fin Calidad]),
IF(TRIM(D604)="Producción",
   _xlfn.XLOOKUP(C604,Cartera1017[ID Mantenimiento],Cartera1017[Fin Producción]),
""))))</f>
        <v>46169</v>
      </c>
    </row>
    <row r="605" spans="1:8" hidden="1" outlineLevel="1">
      <c r="A605" t="str">
        <f ca="1"/>
        <v>Banca Digital</v>
      </c>
      <c r="B605" t="str">
        <f ca="1"/>
        <v>05. En Calidad</v>
      </c>
      <c r="C605" t="str">
        <f ca="1"/>
        <v>2025-M0675</v>
      </c>
      <c r="D605" t="str">
        <f ca="1"/>
        <v xml:space="preserve">   Desarrollo</v>
      </c>
      <c r="E605" s="255">
        <f ca="1"/>
        <v>0.7</v>
      </c>
      <c r="F605" s="255">
        <f ca="1"/>
        <v>0.91935483870967738</v>
      </c>
      <c r="G605" s="356">
        <f ca="1">IF(TRIM(D605)=C605,
   _xlfn.XLOOKUP(C605, Cartera1017[ID Mantenimiento],Cartera1017[Comienzo Desarrollo]),
IF(TRIM(D605)="Desarrollo",
   _xlfn.XLOOKUP(C605,Cartera1017[ID Mantenimiento],Cartera1017[Comienzo Desarrollo]),
IF(TRIM(D605)="Calidad",
   _xlfn.XLOOKUP(C605,Cartera1017[ID Mantenimiento],Cartera1017[Comienzo Calidad]),
IF(TRIM(D605)="Producción",
   _xlfn.XLOOKUP(C605,Cartera1017[ID Mantenimiento],Cartera1017[Comienzo Producción]),
""))))</f>
        <v>46083</v>
      </c>
      <c r="H605" s="160">
        <f ca="1">IF(TRIM(D605)=C605,
   _xlfn.XLOOKUP(C605, Cartera1017[ID Mantenimiento],Cartera1017[Fin Producción]),
IF(TRIM(D605)="Desarrollo",
   _xlfn.XLOOKUP(C605,Cartera1017[ID Mantenimiento],Cartera1017[Fin Desarrollo]),
IF(TRIM(D605)="Calidad",
   _xlfn.XLOOKUP(C605,Cartera1017[ID Mantenimiento],Cartera1017[Fin Calidad]),
IF(TRIM(D605)="Producción",
   _xlfn.XLOOKUP(C605,Cartera1017[ID Mantenimiento],Cartera1017[Fin Producción]),
""))))</f>
        <v>46108</v>
      </c>
    </row>
    <row r="606" spans="1:8" hidden="1" outlineLevel="1">
      <c r="A606" t="str">
        <f ca="1"/>
        <v>Banca Digital</v>
      </c>
      <c r="B606" t="str">
        <f ca="1"/>
        <v>05. En Calidad</v>
      </c>
      <c r="C606" t="str">
        <f ca="1"/>
        <v>2025-M0675</v>
      </c>
      <c r="D606" t="str">
        <f ca="1"/>
        <v xml:space="preserve">   Calidad</v>
      </c>
      <c r="E606" s="255">
        <f ca="1"/>
        <v>0.7</v>
      </c>
      <c r="F606" s="255">
        <f ca="1"/>
        <v>0.91935483870967738</v>
      </c>
      <c r="G606" s="356">
        <f ca="1">IF(TRIM(D606)=C606,
   _xlfn.XLOOKUP(C606, Cartera1017[ID Mantenimiento],Cartera1017[Comienzo Desarrollo]),
IF(TRIM(D606)="Desarrollo",
   _xlfn.XLOOKUP(C606,Cartera1017[ID Mantenimiento],Cartera1017[Comienzo Desarrollo]),
IF(TRIM(D606)="Calidad",
   _xlfn.XLOOKUP(C606,Cartera1017[ID Mantenimiento],Cartera1017[Comienzo Calidad]),
IF(TRIM(D606)="Producción",
   _xlfn.XLOOKUP(C606,Cartera1017[ID Mantenimiento],Cartera1017[Comienzo Producción]),
""))))</f>
        <v>46111</v>
      </c>
      <c r="H606" s="160">
        <f ca="1">IF(TRIM(D606)=C606,
   _xlfn.XLOOKUP(C606, Cartera1017[ID Mantenimiento],Cartera1017[Fin Producción]),
IF(TRIM(D606)="Desarrollo",
   _xlfn.XLOOKUP(C606,Cartera1017[ID Mantenimiento],Cartera1017[Fin Desarrollo]),
IF(TRIM(D606)="Calidad",
   _xlfn.XLOOKUP(C606,Cartera1017[ID Mantenimiento],Cartera1017[Fin Calidad]),
IF(TRIM(D606)="Producción",
   _xlfn.XLOOKUP(C606,Cartera1017[ID Mantenimiento],Cartera1017[Fin Producción]),
""))))</f>
        <v>46141</v>
      </c>
    </row>
    <row r="607" spans="1:8" hidden="1" outlineLevel="1">
      <c r="A607" t="str">
        <f ca="1"/>
        <v>Banca Digital</v>
      </c>
      <c r="B607" t="str">
        <f ca="1"/>
        <v>05. En Calidad</v>
      </c>
      <c r="C607" t="str">
        <f ca="1"/>
        <v>2025-M0675</v>
      </c>
      <c r="D607" t="str">
        <f ca="1"/>
        <v xml:space="preserve">   Producción</v>
      </c>
      <c r="E607" s="255">
        <f ca="1"/>
        <v>0.7</v>
      </c>
      <c r="F607" s="255">
        <f ca="1"/>
        <v>0.91935483870967738</v>
      </c>
      <c r="G607" s="356">
        <f ca="1">IF(TRIM(D607)=C607,
   _xlfn.XLOOKUP(C607, Cartera1017[ID Mantenimiento],Cartera1017[Comienzo Desarrollo]),
IF(TRIM(D607)="Desarrollo",
   _xlfn.XLOOKUP(C607,Cartera1017[ID Mantenimiento],Cartera1017[Comienzo Desarrollo]),
IF(TRIM(D607)="Calidad",
   _xlfn.XLOOKUP(C607,Cartera1017[ID Mantenimiento],Cartera1017[Comienzo Calidad]),
IF(TRIM(D607)="Producción",
   _xlfn.XLOOKUP(C607,Cartera1017[ID Mantenimiento],Cartera1017[Comienzo Producción]),
""))))</f>
        <v>46142</v>
      </c>
      <c r="H607" s="160">
        <f ca="1">IF(TRIM(D607)=C607,
   _xlfn.XLOOKUP(C607, Cartera1017[ID Mantenimiento],Cartera1017[Fin Producción]),
IF(TRIM(D607)="Desarrollo",
   _xlfn.XLOOKUP(C607,Cartera1017[ID Mantenimiento],Cartera1017[Fin Desarrollo]),
IF(TRIM(D607)="Calidad",
   _xlfn.XLOOKUP(C607,Cartera1017[ID Mantenimiento],Cartera1017[Fin Calidad]),
IF(TRIM(D607)="Producción",
   _xlfn.XLOOKUP(C607,Cartera1017[ID Mantenimiento],Cartera1017[Fin Producción]),
""))))</f>
        <v>46169</v>
      </c>
    </row>
    <row r="608" spans="1:8" hidden="1" collapsed="1">
      <c r="A608" t="str">
        <f ca="1"/>
        <v>Operaciones</v>
      </c>
      <c r="B608" t="str">
        <f ca="1"/>
        <v>03. En Desarrollo</v>
      </c>
      <c r="C608" t="str">
        <f ca="1"/>
        <v>2025-M0660</v>
      </c>
      <c r="D608" t="str">
        <f ca="1"/>
        <v>2025-M0660</v>
      </c>
      <c r="E608" s="255">
        <f ca="1"/>
        <v>0.25</v>
      </c>
      <c r="F608" s="255">
        <f ca="1"/>
        <v>0.25</v>
      </c>
      <c r="G608" s="356">
        <f ca="1">IF(TRIM(D608)=C608,
   _xlfn.XLOOKUP(C608, Cartera1017[ID Mantenimiento],Cartera1017[Comienzo Desarrollo]),
IF(TRIM(D608)="Desarrollo",
   _xlfn.XLOOKUP(C608,Cartera1017[ID Mantenimiento],Cartera1017[Comienzo Desarrollo]),
IF(TRIM(D608)="Calidad",
   _xlfn.XLOOKUP(C608,Cartera1017[ID Mantenimiento],Cartera1017[Comienzo Calidad]),
IF(TRIM(D608)="Producción",
   _xlfn.XLOOKUP(C608,Cartera1017[ID Mantenimiento],Cartera1017[Comienzo Producción]),
""))))</f>
        <v>46083</v>
      </c>
      <c r="H608" s="160">
        <f ca="1">IF(TRIM(D608)=C608,
   _xlfn.XLOOKUP(C608, Cartera1017[ID Mantenimiento],Cartera1017[Fin Producción]),
IF(TRIM(D608)="Desarrollo",
   _xlfn.XLOOKUP(C608,Cartera1017[ID Mantenimiento],Cartera1017[Fin Desarrollo]),
IF(TRIM(D608)="Calidad",
   _xlfn.XLOOKUP(C608,Cartera1017[ID Mantenimiento],Cartera1017[Fin Calidad]),
IF(TRIM(D608)="Producción",
   _xlfn.XLOOKUP(C608,Cartera1017[ID Mantenimiento],Cartera1017[Fin Producción]),
""))))</f>
        <v>46206</v>
      </c>
    </row>
    <row r="609" spans="1:8" hidden="1" outlineLevel="1">
      <c r="A609" t="str">
        <f ca="1"/>
        <v>Operaciones</v>
      </c>
      <c r="B609" t="str">
        <f ca="1"/>
        <v>03. En Desarrollo</v>
      </c>
      <c r="C609" t="str">
        <f ca="1"/>
        <v>2025-M0660</v>
      </c>
      <c r="D609" t="str">
        <f ca="1"/>
        <v xml:space="preserve">   Desarrollo</v>
      </c>
      <c r="E609" s="255">
        <f ca="1"/>
        <v>0.25</v>
      </c>
      <c r="F609" s="255">
        <f ca="1"/>
        <v>0.25</v>
      </c>
      <c r="G609" s="356">
        <f ca="1">IF(TRIM(D609)=C609,
   _xlfn.XLOOKUP(C609, Cartera1017[ID Mantenimiento],Cartera1017[Comienzo Desarrollo]),
IF(TRIM(D609)="Desarrollo",
   _xlfn.XLOOKUP(C609,Cartera1017[ID Mantenimiento],Cartera1017[Comienzo Desarrollo]),
IF(TRIM(D609)="Calidad",
   _xlfn.XLOOKUP(C609,Cartera1017[ID Mantenimiento],Cartera1017[Comienzo Calidad]),
IF(TRIM(D609)="Producción",
   _xlfn.XLOOKUP(C609,Cartera1017[ID Mantenimiento],Cartera1017[Comienzo Producción]),
""))))</f>
        <v>46083</v>
      </c>
      <c r="H609" s="160">
        <f ca="1">IF(TRIM(D609)=C609,
   _xlfn.XLOOKUP(C609, Cartera1017[ID Mantenimiento],Cartera1017[Fin Producción]),
IF(TRIM(D609)="Desarrollo",
   _xlfn.XLOOKUP(C609,Cartera1017[ID Mantenimiento],Cartera1017[Fin Desarrollo]),
IF(TRIM(D609)="Calidad",
   _xlfn.XLOOKUP(C609,Cartera1017[ID Mantenimiento],Cartera1017[Fin Calidad]),
IF(TRIM(D609)="Producción",
   _xlfn.XLOOKUP(C609,Cartera1017[ID Mantenimiento],Cartera1017[Fin Producción]),
""))))</f>
        <v>46171</v>
      </c>
    </row>
    <row r="610" spans="1:8" hidden="1" outlineLevel="1">
      <c r="A610" t="str">
        <f ca="1"/>
        <v>Operaciones</v>
      </c>
      <c r="B610" t="str">
        <f ca="1"/>
        <v>03. En Desarrollo</v>
      </c>
      <c r="C610" t="str">
        <f ca="1"/>
        <v>2025-M0660</v>
      </c>
      <c r="D610" t="str">
        <f ca="1"/>
        <v xml:space="preserve">   Calidad</v>
      </c>
      <c r="E610" s="255">
        <f ca="1"/>
        <v>0.25</v>
      </c>
      <c r="F610" s="255">
        <f ca="1"/>
        <v>0.25</v>
      </c>
      <c r="G610" s="356">
        <f ca="1">IF(TRIM(D610)=C610,
   _xlfn.XLOOKUP(C610, Cartera1017[ID Mantenimiento],Cartera1017[Comienzo Desarrollo]),
IF(TRIM(D610)="Desarrollo",
   _xlfn.XLOOKUP(C610,Cartera1017[ID Mantenimiento],Cartera1017[Comienzo Desarrollo]),
IF(TRIM(D610)="Calidad",
   _xlfn.XLOOKUP(C610,Cartera1017[ID Mantenimiento],Cartera1017[Comienzo Calidad]),
IF(TRIM(D610)="Producción",
   _xlfn.XLOOKUP(C610,Cartera1017[ID Mantenimiento],Cartera1017[Comienzo Producción]),
""))))</f>
        <v>46174</v>
      </c>
      <c r="H610" s="160">
        <f ca="1">IF(TRIM(D610)=C610,
   _xlfn.XLOOKUP(C610, Cartera1017[ID Mantenimiento],Cartera1017[Fin Producción]),
IF(TRIM(D610)="Desarrollo",
   _xlfn.XLOOKUP(C610,Cartera1017[ID Mantenimiento],Cartera1017[Fin Desarrollo]),
IF(TRIM(D610)="Calidad",
   _xlfn.XLOOKUP(C610,Cartera1017[ID Mantenimiento],Cartera1017[Fin Calidad]),
IF(TRIM(D610)="Producción",
   _xlfn.XLOOKUP(C610,Cartera1017[ID Mantenimiento],Cartera1017[Fin Producción]),
""))))</f>
        <v>46203</v>
      </c>
    </row>
    <row r="611" spans="1:8" hidden="1" outlineLevel="1">
      <c r="A611" t="str">
        <f ca="1"/>
        <v>Operaciones</v>
      </c>
      <c r="B611" t="str">
        <f ca="1"/>
        <v>03. En Desarrollo</v>
      </c>
      <c r="C611" t="str">
        <f ca="1"/>
        <v>2025-M0660</v>
      </c>
      <c r="D611" t="str">
        <f ca="1"/>
        <v xml:space="preserve">   Producción</v>
      </c>
      <c r="E611" s="255">
        <f ca="1"/>
        <v>0.25</v>
      </c>
      <c r="F611" s="255">
        <f ca="1"/>
        <v>0.25</v>
      </c>
      <c r="G611" s="356">
        <f ca="1">IF(TRIM(D611)=C611,
   _xlfn.XLOOKUP(C611, Cartera1017[ID Mantenimiento],Cartera1017[Comienzo Desarrollo]),
IF(TRIM(D611)="Desarrollo",
   _xlfn.XLOOKUP(C611,Cartera1017[ID Mantenimiento],Cartera1017[Comienzo Desarrollo]),
IF(TRIM(D611)="Calidad",
   _xlfn.XLOOKUP(C611,Cartera1017[ID Mantenimiento],Cartera1017[Comienzo Calidad]),
IF(TRIM(D611)="Producción",
   _xlfn.XLOOKUP(C611,Cartera1017[ID Mantenimiento],Cartera1017[Comienzo Producción]),
""))))</f>
        <v>46204</v>
      </c>
      <c r="H611" s="160">
        <f ca="1">IF(TRIM(D611)=C611,
   _xlfn.XLOOKUP(C611, Cartera1017[ID Mantenimiento],Cartera1017[Fin Producción]),
IF(TRIM(D611)="Desarrollo",
   _xlfn.XLOOKUP(C611,Cartera1017[ID Mantenimiento],Cartera1017[Fin Desarrollo]),
IF(TRIM(D611)="Calidad",
   _xlfn.XLOOKUP(C611,Cartera1017[ID Mantenimiento],Cartera1017[Fin Calidad]),
IF(TRIM(D611)="Producción",
   _xlfn.XLOOKUP(C611,Cartera1017[ID Mantenimiento],Cartera1017[Fin Producción]),
""))))</f>
        <v>46206</v>
      </c>
    </row>
    <row r="612" spans="1:8" hidden="1" collapsed="1">
      <c r="A612" t="str">
        <f ca="1"/>
        <v>Tecnologías de Información</v>
      </c>
      <c r="B612" t="str">
        <f ca="1"/>
        <v>08. Producción Finalizada</v>
      </c>
      <c r="C612" t="str">
        <f ca="1"/>
        <v>2025-M0650</v>
      </c>
      <c r="D612" t="str">
        <f ca="1"/>
        <v>2025-M0650</v>
      </c>
      <c r="E612" s="255">
        <f ca="1"/>
        <v>1</v>
      </c>
      <c r="F612" s="255">
        <f ca="1"/>
        <v>1</v>
      </c>
      <c r="G612" s="356">
        <f ca="1">IF(TRIM(D612)=C612,
   _xlfn.XLOOKUP(C612, Cartera1017[ID Mantenimiento],Cartera1017[Comienzo Desarrollo]),
IF(TRIM(D612)="Desarrollo",
   _xlfn.XLOOKUP(C612,Cartera1017[ID Mantenimiento],Cartera1017[Comienzo Desarrollo]),
IF(TRIM(D612)="Calidad",
   _xlfn.XLOOKUP(C612,Cartera1017[ID Mantenimiento],Cartera1017[Comienzo Calidad]),
IF(TRIM(D612)="Producción",
   _xlfn.XLOOKUP(C612,Cartera1017[ID Mantenimiento],Cartera1017[Comienzo Producción]),
""))))</f>
        <v>45947</v>
      </c>
      <c r="H612" s="160">
        <f ca="1">IF(TRIM(D612)=C612,
   _xlfn.XLOOKUP(C612, Cartera1017[ID Mantenimiento],Cartera1017[Fin Producción]),
IF(TRIM(D612)="Desarrollo",
   _xlfn.XLOOKUP(C612,Cartera1017[ID Mantenimiento],Cartera1017[Fin Desarrollo]),
IF(TRIM(D612)="Calidad",
   _xlfn.XLOOKUP(C612,Cartera1017[ID Mantenimiento],Cartera1017[Fin Calidad]),
IF(TRIM(D612)="Producción",
   _xlfn.XLOOKUP(C612,Cartera1017[ID Mantenimiento],Cartera1017[Fin Producción]),
""))))</f>
        <v>46108</v>
      </c>
    </row>
    <row r="613" spans="1:8" hidden="1" outlineLevel="1">
      <c r="A613" t="str">
        <f ca="1"/>
        <v>Tecnologías de Información</v>
      </c>
      <c r="B613" t="str">
        <f ca="1"/>
        <v>08. Producción Finalizada</v>
      </c>
      <c r="C613" t="str">
        <f ca="1"/>
        <v>2025-M0650</v>
      </c>
      <c r="D613" t="str">
        <f ca="1"/>
        <v xml:space="preserve">   Desarrollo</v>
      </c>
      <c r="E613" s="255">
        <f ca="1"/>
        <v>1</v>
      </c>
      <c r="F613" s="255">
        <f ca="1"/>
        <v>1</v>
      </c>
      <c r="G613" s="356">
        <f ca="1">IF(TRIM(D613)=C613,
   _xlfn.XLOOKUP(C613, Cartera1017[ID Mantenimiento],Cartera1017[Comienzo Desarrollo]),
IF(TRIM(D613)="Desarrollo",
   _xlfn.XLOOKUP(C613,Cartera1017[ID Mantenimiento],Cartera1017[Comienzo Desarrollo]),
IF(TRIM(D613)="Calidad",
   _xlfn.XLOOKUP(C613,Cartera1017[ID Mantenimiento],Cartera1017[Comienzo Calidad]),
IF(TRIM(D613)="Producción",
   _xlfn.XLOOKUP(C613,Cartera1017[ID Mantenimiento],Cartera1017[Comienzo Producción]),
""))))</f>
        <v>45947</v>
      </c>
      <c r="H613" s="160">
        <f ca="1">IF(TRIM(D613)=C613,
   _xlfn.XLOOKUP(C613, Cartera1017[ID Mantenimiento],Cartera1017[Fin Producción]),
IF(TRIM(D613)="Desarrollo",
   _xlfn.XLOOKUP(C613,Cartera1017[ID Mantenimiento],Cartera1017[Fin Desarrollo]),
IF(TRIM(D613)="Calidad",
   _xlfn.XLOOKUP(C613,Cartera1017[ID Mantenimiento],Cartera1017[Fin Calidad]),
IF(TRIM(D613)="Producción",
   _xlfn.XLOOKUP(C613,Cartera1017[ID Mantenimiento],Cartera1017[Fin Producción]),
""))))</f>
        <v>45958</v>
      </c>
    </row>
    <row r="614" spans="1:8" hidden="1" outlineLevel="1">
      <c r="A614" t="str">
        <f ca="1"/>
        <v>Tecnologías de Información</v>
      </c>
      <c r="B614" t="str">
        <f ca="1"/>
        <v>08. Producción Finalizada</v>
      </c>
      <c r="C614" t="str">
        <f ca="1"/>
        <v>2025-M0650</v>
      </c>
      <c r="D614" t="str">
        <f ca="1"/>
        <v xml:space="preserve">   Calidad</v>
      </c>
      <c r="E614" s="255">
        <f ca="1"/>
        <v>1</v>
      </c>
      <c r="F614" s="255">
        <f ca="1"/>
        <v>1</v>
      </c>
      <c r="G614" s="356">
        <f ca="1">IF(TRIM(D614)=C614,
   _xlfn.XLOOKUP(C614, Cartera1017[ID Mantenimiento],Cartera1017[Comienzo Desarrollo]),
IF(TRIM(D614)="Desarrollo",
   _xlfn.XLOOKUP(C614,Cartera1017[ID Mantenimiento],Cartera1017[Comienzo Desarrollo]),
IF(TRIM(D614)="Calidad",
   _xlfn.XLOOKUP(C614,Cartera1017[ID Mantenimiento],Cartera1017[Comienzo Calidad]),
IF(TRIM(D614)="Producción",
   _xlfn.XLOOKUP(C614,Cartera1017[ID Mantenimiento],Cartera1017[Comienzo Producción]),
""))))</f>
        <v>45964</v>
      </c>
      <c r="H614" s="160">
        <f ca="1">IF(TRIM(D614)=C614,
   _xlfn.XLOOKUP(C614, Cartera1017[ID Mantenimiento],Cartera1017[Fin Producción]),
IF(TRIM(D614)="Desarrollo",
   _xlfn.XLOOKUP(C614,Cartera1017[ID Mantenimiento],Cartera1017[Fin Desarrollo]),
IF(TRIM(D614)="Calidad",
   _xlfn.XLOOKUP(C614,Cartera1017[ID Mantenimiento],Cartera1017[Fin Calidad]),
IF(TRIM(D614)="Producción",
   _xlfn.XLOOKUP(C614,Cartera1017[ID Mantenimiento],Cartera1017[Fin Producción]),
""))))</f>
        <v>45996</v>
      </c>
    </row>
    <row r="615" spans="1:8" hidden="1" outlineLevel="1">
      <c r="A615" t="str">
        <f ca="1"/>
        <v>Tecnologías de Información</v>
      </c>
      <c r="B615" t="str">
        <f ca="1"/>
        <v>08. Producción Finalizada</v>
      </c>
      <c r="C615" t="str">
        <f ca="1"/>
        <v>2025-M0650</v>
      </c>
      <c r="D615" t="str">
        <f ca="1"/>
        <v xml:space="preserve">   Producción</v>
      </c>
      <c r="E615" s="255">
        <f ca="1"/>
        <v>1</v>
      </c>
      <c r="F615" s="255">
        <f ca="1"/>
        <v>1</v>
      </c>
      <c r="G615" s="356">
        <f ca="1">IF(TRIM(D615)=C615,
   _xlfn.XLOOKUP(C615, Cartera1017[ID Mantenimiento],Cartera1017[Comienzo Desarrollo]),
IF(TRIM(D615)="Desarrollo",
   _xlfn.XLOOKUP(C615,Cartera1017[ID Mantenimiento],Cartera1017[Comienzo Desarrollo]),
IF(TRIM(D615)="Calidad",
   _xlfn.XLOOKUP(C615,Cartera1017[ID Mantenimiento],Cartera1017[Comienzo Calidad]),
IF(TRIM(D615)="Producción",
   _xlfn.XLOOKUP(C615,Cartera1017[ID Mantenimiento],Cartera1017[Comienzo Producción]),
""))))</f>
        <v>46072</v>
      </c>
      <c r="H615" s="160">
        <f ca="1">IF(TRIM(D615)=C615,
   _xlfn.XLOOKUP(C615, Cartera1017[ID Mantenimiento],Cartera1017[Fin Producción]),
IF(TRIM(D615)="Desarrollo",
   _xlfn.XLOOKUP(C615,Cartera1017[ID Mantenimiento],Cartera1017[Fin Desarrollo]),
IF(TRIM(D615)="Calidad",
   _xlfn.XLOOKUP(C615,Cartera1017[ID Mantenimiento],Cartera1017[Fin Calidad]),
IF(TRIM(D615)="Producción",
   _xlfn.XLOOKUP(C615,Cartera1017[ID Mantenimiento],Cartera1017[Fin Producción]),
""))))</f>
        <v>46108</v>
      </c>
    </row>
    <row r="616" spans="1:8" hidden="1" collapsed="1">
      <c r="A616" t="str">
        <f ca="1"/>
        <v>Tecnologías de Información</v>
      </c>
      <c r="B616" t="str">
        <f ca="1"/>
        <v>10. Paralizado</v>
      </c>
      <c r="C616" t="str">
        <f ca="1"/>
        <v>2025-M0651</v>
      </c>
      <c r="D616" t="str">
        <f ca="1"/>
        <v>2025-M0651</v>
      </c>
      <c r="E616" s="255">
        <f ca="1"/>
        <v>0.12</v>
      </c>
      <c r="F616" s="255" t="str">
        <f ca="1"/>
        <v/>
      </c>
      <c r="G616" s="356">
        <f ca="1">IF(TRIM(D616)=C616,
   _xlfn.XLOOKUP(C616, Cartera1017[ID Mantenimiento],Cartera1017[Comienzo Desarrollo]),
IF(TRIM(D616)="Desarrollo",
   _xlfn.XLOOKUP(C616,Cartera1017[ID Mantenimiento],Cartera1017[Comienzo Desarrollo]),
IF(TRIM(D616)="Calidad",
   _xlfn.XLOOKUP(C616,Cartera1017[ID Mantenimiento],Cartera1017[Comienzo Calidad]),
IF(TRIM(D616)="Producción",
   _xlfn.XLOOKUP(C616,Cartera1017[ID Mantenimiento],Cartera1017[Comienzo Producción]),
""))))</f>
        <v>0</v>
      </c>
      <c r="H616" s="160">
        <f ca="1">IF(TRIM(D616)=C616,
   _xlfn.XLOOKUP(C616, Cartera1017[ID Mantenimiento],Cartera1017[Fin Producción]),
IF(TRIM(D616)="Desarrollo",
   _xlfn.XLOOKUP(C616,Cartera1017[ID Mantenimiento],Cartera1017[Fin Desarrollo]),
IF(TRIM(D616)="Calidad",
   _xlfn.XLOOKUP(C616,Cartera1017[ID Mantenimiento],Cartera1017[Fin Calidad]),
IF(TRIM(D616)="Producción",
   _xlfn.XLOOKUP(C616,Cartera1017[ID Mantenimiento],Cartera1017[Fin Producción]),
""))))</f>
        <v>46173</v>
      </c>
    </row>
    <row r="617" spans="1:8" hidden="1" outlineLevel="1">
      <c r="A617" t="str">
        <f ca="1"/>
        <v>Tecnologías de Información</v>
      </c>
      <c r="B617" t="str">
        <f ca="1"/>
        <v>10. Paralizado</v>
      </c>
      <c r="C617" t="str">
        <f ca="1"/>
        <v>2025-M0651</v>
      </c>
      <c r="D617" t="str">
        <f ca="1"/>
        <v xml:space="preserve">   Desarrollo</v>
      </c>
      <c r="E617" s="255">
        <f ca="1"/>
        <v>0.12</v>
      </c>
      <c r="F617" s="255" t="str">
        <f ca="1"/>
        <v/>
      </c>
      <c r="G617" s="356">
        <f ca="1">IF(TRIM(D617)=C617,
   _xlfn.XLOOKUP(C617, Cartera1017[ID Mantenimiento],Cartera1017[Comienzo Desarrollo]),
IF(TRIM(D617)="Desarrollo",
   _xlfn.XLOOKUP(C617,Cartera1017[ID Mantenimiento],Cartera1017[Comienzo Desarrollo]),
IF(TRIM(D617)="Calidad",
   _xlfn.XLOOKUP(C617,Cartera1017[ID Mantenimiento],Cartera1017[Comienzo Calidad]),
IF(TRIM(D617)="Producción",
   _xlfn.XLOOKUP(C617,Cartera1017[ID Mantenimiento],Cartera1017[Comienzo Producción]),
""))))</f>
        <v>0</v>
      </c>
      <c r="H617" s="160">
        <f ca="1">IF(TRIM(D617)=C617,
   _xlfn.XLOOKUP(C617, Cartera1017[ID Mantenimiento],Cartera1017[Fin Producción]),
IF(TRIM(D617)="Desarrollo",
   _xlfn.XLOOKUP(C617,Cartera1017[ID Mantenimiento],Cartera1017[Fin Desarrollo]),
IF(TRIM(D617)="Calidad",
   _xlfn.XLOOKUP(C617,Cartera1017[ID Mantenimiento],Cartera1017[Fin Calidad]),
IF(TRIM(D617)="Producción",
   _xlfn.XLOOKUP(C617,Cartera1017[ID Mantenimiento],Cartera1017[Fin Producción]),
""))))</f>
        <v>0</v>
      </c>
    </row>
    <row r="618" spans="1:8" hidden="1" outlineLevel="1">
      <c r="A618" t="str">
        <f ca="1"/>
        <v>Tecnologías de Información</v>
      </c>
      <c r="B618" t="str">
        <f ca="1"/>
        <v>10. Paralizado</v>
      </c>
      <c r="C618" t="str">
        <f ca="1"/>
        <v>2025-M0651</v>
      </c>
      <c r="D618" t="str">
        <f ca="1"/>
        <v xml:space="preserve">   Calidad</v>
      </c>
      <c r="E618" s="255">
        <f ca="1"/>
        <v>0.12</v>
      </c>
      <c r="F618" s="255" t="str">
        <f ca="1"/>
        <v/>
      </c>
      <c r="G618" s="356">
        <f ca="1">IF(TRIM(D618)=C618,
   _xlfn.XLOOKUP(C618, Cartera1017[ID Mantenimiento],Cartera1017[Comienzo Desarrollo]),
IF(TRIM(D618)="Desarrollo",
   _xlfn.XLOOKUP(C618,Cartera1017[ID Mantenimiento],Cartera1017[Comienzo Desarrollo]),
IF(TRIM(D618)="Calidad",
   _xlfn.XLOOKUP(C618,Cartera1017[ID Mantenimiento],Cartera1017[Comienzo Calidad]),
IF(TRIM(D618)="Producción",
   _xlfn.XLOOKUP(C618,Cartera1017[ID Mantenimiento],Cartera1017[Comienzo Producción]),
""))))</f>
        <v>0</v>
      </c>
      <c r="H618" s="160">
        <f ca="1">IF(TRIM(D618)=C618,
   _xlfn.XLOOKUP(C618, Cartera1017[ID Mantenimiento],Cartera1017[Fin Producción]),
IF(TRIM(D618)="Desarrollo",
   _xlfn.XLOOKUP(C618,Cartera1017[ID Mantenimiento],Cartera1017[Fin Desarrollo]),
IF(TRIM(D618)="Calidad",
   _xlfn.XLOOKUP(C618,Cartera1017[ID Mantenimiento],Cartera1017[Fin Calidad]),
IF(TRIM(D618)="Producción",
   _xlfn.XLOOKUP(C618,Cartera1017[ID Mantenimiento],Cartera1017[Fin Producción]),
""))))</f>
        <v>0</v>
      </c>
    </row>
    <row r="619" spans="1:8" hidden="1" outlineLevel="1">
      <c r="A619" t="str">
        <f ca="1"/>
        <v>Tecnologías de Información</v>
      </c>
      <c r="B619" t="str">
        <f ca="1"/>
        <v>10. Paralizado</v>
      </c>
      <c r="C619" t="str">
        <f ca="1"/>
        <v>2025-M0651</v>
      </c>
      <c r="D619" t="str">
        <f ca="1"/>
        <v xml:space="preserve">   Producción</v>
      </c>
      <c r="E619" s="255">
        <f ca="1"/>
        <v>0.12</v>
      </c>
      <c r="F619" s="255" t="str">
        <f ca="1"/>
        <v/>
      </c>
      <c r="G619" s="356">
        <f ca="1">IF(TRIM(D619)=C619,
   _xlfn.XLOOKUP(C619, Cartera1017[ID Mantenimiento],Cartera1017[Comienzo Desarrollo]),
IF(TRIM(D619)="Desarrollo",
   _xlfn.XLOOKUP(C619,Cartera1017[ID Mantenimiento],Cartera1017[Comienzo Desarrollo]),
IF(TRIM(D619)="Calidad",
   _xlfn.XLOOKUP(C619,Cartera1017[ID Mantenimiento],Cartera1017[Comienzo Calidad]),
IF(TRIM(D619)="Producción",
   _xlfn.XLOOKUP(C619,Cartera1017[ID Mantenimiento],Cartera1017[Comienzo Producción]),
""))))</f>
        <v>0</v>
      </c>
      <c r="H619" s="160">
        <f ca="1">IF(TRIM(D619)=C619,
   _xlfn.XLOOKUP(C619, Cartera1017[ID Mantenimiento],Cartera1017[Fin Producción]),
IF(TRIM(D619)="Desarrollo",
   _xlfn.XLOOKUP(C619,Cartera1017[ID Mantenimiento],Cartera1017[Fin Desarrollo]),
IF(TRIM(D619)="Calidad",
   _xlfn.XLOOKUP(C619,Cartera1017[ID Mantenimiento],Cartera1017[Fin Calidad]),
IF(TRIM(D619)="Producción",
   _xlfn.XLOOKUP(C619,Cartera1017[ID Mantenimiento],Cartera1017[Fin Producción]),
""))))</f>
        <v>46173</v>
      </c>
    </row>
    <row r="620" spans="1:8" hidden="1" collapsed="1">
      <c r="A620" t="str">
        <f ca="1"/>
        <v>Productos e Inclusión Financiera</v>
      </c>
      <c r="B620" t="str">
        <f ca="1"/>
        <v>08. Producción Finalizada</v>
      </c>
      <c r="C620" t="str">
        <f ca="1"/>
        <v>2025-M0680</v>
      </c>
      <c r="D620" t="str">
        <f ca="1"/>
        <v>2025-M0680</v>
      </c>
      <c r="E620" s="255">
        <f ca="1"/>
        <v>1</v>
      </c>
      <c r="F620" s="255">
        <f ca="1"/>
        <v>1</v>
      </c>
      <c r="G620" s="356">
        <f ca="1">IF(TRIM(D620)=C620,
   _xlfn.XLOOKUP(C620, Cartera1017[ID Mantenimiento],Cartera1017[Comienzo Desarrollo]),
IF(TRIM(D620)="Desarrollo",
   _xlfn.XLOOKUP(C620,Cartera1017[ID Mantenimiento],Cartera1017[Comienzo Desarrollo]),
IF(TRIM(D620)="Calidad",
   _xlfn.XLOOKUP(C620,Cartera1017[ID Mantenimiento],Cartera1017[Comienzo Calidad]),
IF(TRIM(D620)="Producción",
   _xlfn.XLOOKUP(C620,Cartera1017[ID Mantenimiento],Cartera1017[Comienzo Producción]),
""))))</f>
        <v>45947</v>
      </c>
      <c r="H620" s="160">
        <f ca="1">IF(TRIM(D620)=C620,
   _xlfn.XLOOKUP(C620, Cartera1017[ID Mantenimiento],Cartera1017[Fin Producción]),
IF(TRIM(D620)="Desarrollo",
   _xlfn.XLOOKUP(C620,Cartera1017[ID Mantenimiento],Cartera1017[Fin Desarrollo]),
IF(TRIM(D620)="Calidad",
   _xlfn.XLOOKUP(C620,Cartera1017[ID Mantenimiento],Cartera1017[Fin Calidad]),
IF(TRIM(D620)="Producción",
   _xlfn.XLOOKUP(C620,Cartera1017[ID Mantenimiento],Cartera1017[Fin Producción]),
""))))</f>
        <v>46076</v>
      </c>
    </row>
    <row r="621" spans="1:8" hidden="1" outlineLevel="1">
      <c r="A621" t="str">
        <f ca="1"/>
        <v>Productos e Inclusión Financiera</v>
      </c>
      <c r="B621" t="str">
        <f ca="1"/>
        <v>08. Producción Finalizada</v>
      </c>
      <c r="C621" t="str">
        <f ca="1"/>
        <v>2025-M0680</v>
      </c>
      <c r="D621" t="str">
        <f ca="1"/>
        <v xml:space="preserve">   Desarrollo</v>
      </c>
      <c r="E621" s="255">
        <f ca="1"/>
        <v>1</v>
      </c>
      <c r="F621" s="255">
        <f ca="1"/>
        <v>1</v>
      </c>
      <c r="G621" s="356">
        <f ca="1">IF(TRIM(D621)=C621,
   _xlfn.XLOOKUP(C621, Cartera1017[ID Mantenimiento],Cartera1017[Comienzo Desarrollo]),
IF(TRIM(D621)="Desarrollo",
   _xlfn.XLOOKUP(C621,Cartera1017[ID Mantenimiento],Cartera1017[Comienzo Desarrollo]),
IF(TRIM(D621)="Calidad",
   _xlfn.XLOOKUP(C621,Cartera1017[ID Mantenimiento],Cartera1017[Comienzo Calidad]),
IF(TRIM(D621)="Producción",
   _xlfn.XLOOKUP(C621,Cartera1017[ID Mantenimiento],Cartera1017[Comienzo Producción]),
""))))</f>
        <v>45947</v>
      </c>
      <c r="H621" s="160">
        <f ca="1">IF(TRIM(D621)=C621,
   _xlfn.XLOOKUP(C621, Cartera1017[ID Mantenimiento],Cartera1017[Fin Producción]),
IF(TRIM(D621)="Desarrollo",
   _xlfn.XLOOKUP(C621,Cartera1017[ID Mantenimiento],Cartera1017[Fin Desarrollo]),
IF(TRIM(D621)="Calidad",
   _xlfn.XLOOKUP(C621,Cartera1017[ID Mantenimiento],Cartera1017[Fin Calidad]),
IF(TRIM(D621)="Producción",
   _xlfn.XLOOKUP(C621,Cartera1017[ID Mantenimiento],Cartera1017[Fin Producción]),
""))))</f>
        <v>45951</v>
      </c>
    </row>
    <row r="622" spans="1:8" hidden="1" outlineLevel="1">
      <c r="A622" t="str">
        <f ca="1"/>
        <v>Productos e Inclusión Financiera</v>
      </c>
      <c r="B622" t="str">
        <f ca="1"/>
        <v>08. Producción Finalizada</v>
      </c>
      <c r="C622" t="str">
        <f ca="1"/>
        <v>2025-M0680</v>
      </c>
      <c r="D622" t="str">
        <f ca="1"/>
        <v xml:space="preserve">   Calidad</v>
      </c>
      <c r="E622" s="255">
        <f ca="1"/>
        <v>1</v>
      </c>
      <c r="F622" s="255">
        <f ca="1"/>
        <v>1</v>
      </c>
      <c r="G622" s="356">
        <f ca="1">IF(TRIM(D622)=C622,
   _xlfn.XLOOKUP(C622, Cartera1017[ID Mantenimiento],Cartera1017[Comienzo Desarrollo]),
IF(TRIM(D622)="Desarrollo",
   _xlfn.XLOOKUP(C622,Cartera1017[ID Mantenimiento],Cartera1017[Comienzo Desarrollo]),
IF(TRIM(D622)="Calidad",
   _xlfn.XLOOKUP(C622,Cartera1017[ID Mantenimiento],Cartera1017[Comienzo Calidad]),
IF(TRIM(D622)="Producción",
   _xlfn.XLOOKUP(C622,Cartera1017[ID Mantenimiento],Cartera1017[Comienzo Producción]),
""))))</f>
        <v>45952</v>
      </c>
      <c r="H622" s="160">
        <f ca="1">IF(TRIM(D622)=C622,
   _xlfn.XLOOKUP(C622, Cartera1017[ID Mantenimiento],Cartera1017[Fin Producción]),
IF(TRIM(D622)="Desarrollo",
   _xlfn.XLOOKUP(C622,Cartera1017[ID Mantenimiento],Cartera1017[Fin Desarrollo]),
IF(TRIM(D622)="Calidad",
   _xlfn.XLOOKUP(C622,Cartera1017[ID Mantenimiento],Cartera1017[Fin Calidad]),
IF(TRIM(D622)="Producción",
   _xlfn.XLOOKUP(C622,Cartera1017[ID Mantenimiento],Cartera1017[Fin Producción]),
""))))</f>
        <v>45957</v>
      </c>
    </row>
    <row r="623" spans="1:8" hidden="1" outlineLevel="1">
      <c r="A623" t="str">
        <f ca="1"/>
        <v>Productos e Inclusión Financiera</v>
      </c>
      <c r="B623" t="str">
        <f ca="1"/>
        <v>08. Producción Finalizada</v>
      </c>
      <c r="C623" t="str">
        <f ca="1"/>
        <v>2025-M0680</v>
      </c>
      <c r="D623" t="str">
        <f ca="1"/>
        <v xml:space="preserve">   Producción</v>
      </c>
      <c r="E623" s="255">
        <f ca="1"/>
        <v>1</v>
      </c>
      <c r="F623" s="255">
        <f ca="1"/>
        <v>1</v>
      </c>
      <c r="G623" s="356">
        <f ca="1">IF(TRIM(D623)=C623,
   _xlfn.XLOOKUP(C623, Cartera1017[ID Mantenimiento],Cartera1017[Comienzo Desarrollo]),
IF(TRIM(D623)="Desarrollo",
   _xlfn.XLOOKUP(C623,Cartera1017[ID Mantenimiento],Cartera1017[Comienzo Desarrollo]),
IF(TRIM(D623)="Calidad",
   _xlfn.XLOOKUP(C623,Cartera1017[ID Mantenimiento],Cartera1017[Comienzo Calidad]),
IF(TRIM(D623)="Producción",
   _xlfn.XLOOKUP(C623,Cartera1017[ID Mantenimiento],Cartera1017[Comienzo Producción]),
""))))</f>
        <v>45959</v>
      </c>
      <c r="H623" s="160">
        <f ca="1">IF(TRIM(D623)=C623,
   _xlfn.XLOOKUP(C623, Cartera1017[ID Mantenimiento],Cartera1017[Fin Producción]),
IF(TRIM(D623)="Desarrollo",
   _xlfn.XLOOKUP(C623,Cartera1017[ID Mantenimiento],Cartera1017[Fin Desarrollo]),
IF(TRIM(D623)="Calidad",
   _xlfn.XLOOKUP(C623,Cartera1017[ID Mantenimiento],Cartera1017[Fin Calidad]),
IF(TRIM(D623)="Producción",
   _xlfn.XLOOKUP(C623,Cartera1017[ID Mantenimiento],Cartera1017[Fin Producción]),
""))))</f>
        <v>46076</v>
      </c>
    </row>
    <row r="624" spans="1:8" hidden="1" collapsed="1">
      <c r="A624" t="str">
        <f ca="1"/>
        <v>Banca Digital</v>
      </c>
      <c r="B624" t="str">
        <f ca="1"/>
        <v>03. En Desarrollo</v>
      </c>
      <c r="C624" t="str">
        <f ca="1"/>
        <v>2025-M0698</v>
      </c>
      <c r="D624" t="str">
        <f ca="1"/>
        <v>2025-M0698</v>
      </c>
      <c r="E624" s="255">
        <f ca="1"/>
        <v>0.25</v>
      </c>
      <c r="F624" s="255">
        <f ca="1"/>
        <v>1</v>
      </c>
      <c r="G624" s="356">
        <f ca="1">IF(TRIM(D624)=C624,
   _xlfn.XLOOKUP(C624, Cartera1017[ID Mantenimiento],Cartera1017[Comienzo Desarrollo]),
IF(TRIM(D624)="Desarrollo",
   _xlfn.XLOOKUP(C624,Cartera1017[ID Mantenimiento],Cartera1017[Comienzo Desarrollo]),
IF(TRIM(D624)="Calidad",
   _xlfn.XLOOKUP(C624,Cartera1017[ID Mantenimiento],Cartera1017[Comienzo Calidad]),
IF(TRIM(D624)="Producción",
   _xlfn.XLOOKUP(C624,Cartera1017[ID Mantenimiento],Cartera1017[Comienzo Producción]),
""))))</f>
        <v>46083</v>
      </c>
      <c r="H624" s="160">
        <f ca="1">IF(TRIM(D624)=C624,
   _xlfn.XLOOKUP(C624, Cartera1017[ID Mantenimiento],Cartera1017[Fin Producción]),
IF(TRIM(D624)="Desarrollo",
   _xlfn.XLOOKUP(C624,Cartera1017[ID Mantenimiento],Cartera1017[Fin Desarrollo]),
IF(TRIM(D624)="Calidad",
   _xlfn.XLOOKUP(C624,Cartera1017[ID Mantenimiento],Cartera1017[Fin Calidad]),
IF(TRIM(D624)="Producción",
   _xlfn.XLOOKUP(C624,Cartera1017[ID Mantenimiento],Cartera1017[Fin Producción]),
""))))</f>
        <v>46122</v>
      </c>
    </row>
    <row r="625" spans="1:8" hidden="1" outlineLevel="1">
      <c r="A625" t="str">
        <f ca="1"/>
        <v>Banca Digital</v>
      </c>
      <c r="B625" t="str">
        <f ca="1"/>
        <v>03. En Desarrollo</v>
      </c>
      <c r="C625" t="str">
        <f ca="1"/>
        <v>2025-M0698</v>
      </c>
      <c r="D625" t="str">
        <f ca="1"/>
        <v xml:space="preserve">   Desarrollo</v>
      </c>
      <c r="E625" s="255">
        <f ca="1"/>
        <v>0.25</v>
      </c>
      <c r="F625" s="255">
        <f ca="1"/>
        <v>1</v>
      </c>
      <c r="G625" s="356">
        <f ca="1">IF(TRIM(D625)=C625,
   _xlfn.XLOOKUP(C625, Cartera1017[ID Mantenimiento],Cartera1017[Comienzo Desarrollo]),
IF(TRIM(D625)="Desarrollo",
   _xlfn.XLOOKUP(C625,Cartera1017[ID Mantenimiento],Cartera1017[Comienzo Desarrollo]),
IF(TRIM(D625)="Calidad",
   _xlfn.XLOOKUP(C625,Cartera1017[ID Mantenimiento],Cartera1017[Comienzo Calidad]),
IF(TRIM(D625)="Producción",
   _xlfn.XLOOKUP(C625,Cartera1017[ID Mantenimiento],Cartera1017[Comienzo Producción]),
""))))</f>
        <v>46083</v>
      </c>
      <c r="H625" s="160">
        <f ca="1">IF(TRIM(D625)=C625,
   _xlfn.XLOOKUP(C625, Cartera1017[ID Mantenimiento],Cartera1017[Fin Producción]),
IF(TRIM(D625)="Desarrollo",
   _xlfn.XLOOKUP(C625,Cartera1017[ID Mantenimiento],Cartera1017[Fin Desarrollo]),
IF(TRIM(D625)="Calidad",
   _xlfn.XLOOKUP(C625,Cartera1017[ID Mantenimiento],Cartera1017[Fin Calidad]),
IF(TRIM(D625)="Producción",
   _xlfn.XLOOKUP(C625,Cartera1017[ID Mantenimiento],Cartera1017[Fin Producción]),
""))))</f>
        <v>46109</v>
      </c>
    </row>
    <row r="626" spans="1:8" hidden="1" outlineLevel="1">
      <c r="A626" t="str">
        <f ca="1"/>
        <v>Banca Digital</v>
      </c>
      <c r="B626" t="str">
        <f ca="1"/>
        <v>03. En Desarrollo</v>
      </c>
      <c r="C626" t="str">
        <f ca="1"/>
        <v>2025-M0698</v>
      </c>
      <c r="D626" t="str">
        <f ca="1"/>
        <v xml:space="preserve">   Calidad</v>
      </c>
      <c r="E626" s="255">
        <f ca="1"/>
        <v>0.25</v>
      </c>
      <c r="F626" s="255">
        <f ca="1"/>
        <v>1</v>
      </c>
      <c r="G626" s="356">
        <f ca="1">IF(TRIM(D626)=C626,
   _xlfn.XLOOKUP(C626, Cartera1017[ID Mantenimiento],Cartera1017[Comienzo Desarrollo]),
IF(TRIM(D626)="Desarrollo",
   _xlfn.XLOOKUP(C626,Cartera1017[ID Mantenimiento],Cartera1017[Comienzo Desarrollo]),
IF(TRIM(D626)="Calidad",
   _xlfn.XLOOKUP(C626,Cartera1017[ID Mantenimiento],Cartera1017[Comienzo Calidad]),
IF(TRIM(D626)="Producción",
   _xlfn.XLOOKUP(C626,Cartera1017[ID Mantenimiento],Cartera1017[Comienzo Producción]),
""))))</f>
        <v>46108</v>
      </c>
      <c r="H626" s="160">
        <f ca="1">IF(TRIM(D626)=C626,
   _xlfn.XLOOKUP(C626, Cartera1017[ID Mantenimiento],Cartera1017[Fin Producción]),
IF(TRIM(D626)="Desarrollo",
   _xlfn.XLOOKUP(C626,Cartera1017[ID Mantenimiento],Cartera1017[Fin Desarrollo]),
IF(TRIM(D626)="Calidad",
   _xlfn.XLOOKUP(C626,Cartera1017[ID Mantenimiento],Cartera1017[Fin Calidad]),
IF(TRIM(D626)="Producción",
   _xlfn.XLOOKUP(C626,Cartera1017[ID Mantenimiento],Cartera1017[Fin Producción]),
""))))</f>
        <v>46114</v>
      </c>
    </row>
    <row r="627" spans="1:8" hidden="1" outlineLevel="1">
      <c r="A627" t="str">
        <f ca="1"/>
        <v>Banca Digital</v>
      </c>
      <c r="B627" t="str">
        <f ca="1"/>
        <v>03. En Desarrollo</v>
      </c>
      <c r="C627" t="str">
        <f ca="1"/>
        <v>2025-M0698</v>
      </c>
      <c r="D627" t="str">
        <f ca="1"/>
        <v xml:space="preserve">   Producción</v>
      </c>
      <c r="E627" s="255">
        <f ca="1"/>
        <v>0.25</v>
      </c>
      <c r="F627" s="255">
        <f ca="1"/>
        <v>1</v>
      </c>
      <c r="G627" s="356">
        <f ca="1">IF(TRIM(D627)=C627,
   _xlfn.XLOOKUP(C627, Cartera1017[ID Mantenimiento],Cartera1017[Comienzo Desarrollo]),
IF(TRIM(D627)="Desarrollo",
   _xlfn.XLOOKUP(C627,Cartera1017[ID Mantenimiento],Cartera1017[Comienzo Desarrollo]),
IF(TRIM(D627)="Calidad",
   _xlfn.XLOOKUP(C627,Cartera1017[ID Mantenimiento],Cartera1017[Comienzo Calidad]),
IF(TRIM(D627)="Producción",
   _xlfn.XLOOKUP(C627,Cartera1017[ID Mantenimiento],Cartera1017[Comienzo Producción]),
""))))</f>
        <v>46118</v>
      </c>
      <c r="H627" s="160">
        <f ca="1">IF(TRIM(D627)=C627,
   _xlfn.XLOOKUP(C627, Cartera1017[ID Mantenimiento],Cartera1017[Fin Producción]),
IF(TRIM(D627)="Desarrollo",
   _xlfn.XLOOKUP(C627,Cartera1017[ID Mantenimiento],Cartera1017[Fin Desarrollo]),
IF(TRIM(D627)="Calidad",
   _xlfn.XLOOKUP(C627,Cartera1017[ID Mantenimiento],Cartera1017[Fin Calidad]),
IF(TRIM(D627)="Producción",
   _xlfn.XLOOKUP(C627,Cartera1017[ID Mantenimiento],Cartera1017[Fin Producción]),
""))))</f>
        <v>46122</v>
      </c>
    </row>
    <row r="628" spans="1:8" hidden="1" collapsed="1">
      <c r="A628" t="str">
        <f ca="1"/>
        <v>Productos e Inclusión Financiera</v>
      </c>
      <c r="B628" t="str">
        <f ca="1"/>
        <v>06. Calidad Finalizado</v>
      </c>
      <c r="C628" t="str">
        <f ca="1"/>
        <v>2025-M0709</v>
      </c>
      <c r="D628" t="str">
        <f ca="1"/>
        <v>2025-M0709</v>
      </c>
      <c r="E628" s="255">
        <f ca="1"/>
        <v>0.85</v>
      </c>
      <c r="F628" s="255">
        <f ca="1"/>
        <v>1</v>
      </c>
      <c r="G628" s="356">
        <f ca="1">IF(TRIM(D628)=C628,
   _xlfn.XLOOKUP(C628, Cartera1017[ID Mantenimiento],Cartera1017[Comienzo Desarrollo]),
IF(TRIM(D628)="Desarrollo",
   _xlfn.XLOOKUP(C628,Cartera1017[ID Mantenimiento],Cartera1017[Comienzo Desarrollo]),
IF(TRIM(D628)="Calidad",
   _xlfn.XLOOKUP(C628,Cartera1017[ID Mantenimiento],Cartera1017[Comienzo Calidad]),
IF(TRIM(D628)="Producción",
   _xlfn.XLOOKUP(C628,Cartera1017[ID Mantenimiento],Cartera1017[Comienzo Producción]),
""))))</f>
        <v>45967</v>
      </c>
      <c r="H628" s="160">
        <f ca="1">IF(TRIM(D628)=C628,
   _xlfn.XLOOKUP(C628, Cartera1017[ID Mantenimiento],Cartera1017[Fin Producción]),
IF(TRIM(D628)="Desarrollo",
   _xlfn.XLOOKUP(C628,Cartera1017[ID Mantenimiento],Cartera1017[Fin Desarrollo]),
IF(TRIM(D628)="Calidad",
   _xlfn.XLOOKUP(C628,Cartera1017[ID Mantenimiento],Cartera1017[Fin Calidad]),
IF(TRIM(D628)="Producción",
   _xlfn.XLOOKUP(C628,Cartera1017[ID Mantenimiento],Cartera1017[Fin Producción]),
""))))</f>
        <v>46108</v>
      </c>
    </row>
    <row r="629" spans="1:8" hidden="1" outlineLevel="1">
      <c r="A629" t="str">
        <f ca="1"/>
        <v>Productos e Inclusión Financiera</v>
      </c>
      <c r="B629" t="str">
        <f ca="1"/>
        <v>06. Calidad Finalizado</v>
      </c>
      <c r="C629" t="str">
        <f ca="1"/>
        <v>2025-M0709</v>
      </c>
      <c r="D629" t="str">
        <f ca="1"/>
        <v xml:space="preserve">   Desarrollo</v>
      </c>
      <c r="E629" s="255">
        <f ca="1"/>
        <v>0.85</v>
      </c>
      <c r="F629" s="255">
        <f ca="1"/>
        <v>1</v>
      </c>
      <c r="G629" s="356">
        <f ca="1">IF(TRIM(D629)=C629,
   _xlfn.XLOOKUP(C629, Cartera1017[ID Mantenimiento],Cartera1017[Comienzo Desarrollo]),
IF(TRIM(D629)="Desarrollo",
   _xlfn.XLOOKUP(C629,Cartera1017[ID Mantenimiento],Cartera1017[Comienzo Desarrollo]),
IF(TRIM(D629)="Calidad",
   _xlfn.XLOOKUP(C629,Cartera1017[ID Mantenimiento],Cartera1017[Comienzo Calidad]),
IF(TRIM(D629)="Producción",
   _xlfn.XLOOKUP(C629,Cartera1017[ID Mantenimiento],Cartera1017[Comienzo Producción]),
""))))</f>
        <v>45967</v>
      </c>
      <c r="H629" s="160">
        <f ca="1">IF(TRIM(D629)=C629,
   _xlfn.XLOOKUP(C629, Cartera1017[ID Mantenimiento],Cartera1017[Fin Producción]),
IF(TRIM(D629)="Desarrollo",
   _xlfn.XLOOKUP(C629,Cartera1017[ID Mantenimiento],Cartera1017[Fin Desarrollo]),
IF(TRIM(D629)="Calidad",
   _xlfn.XLOOKUP(C629,Cartera1017[ID Mantenimiento],Cartera1017[Fin Calidad]),
IF(TRIM(D629)="Producción",
   _xlfn.XLOOKUP(C629,Cartera1017[ID Mantenimiento],Cartera1017[Fin Producción]),
""))))</f>
        <v>46017</v>
      </c>
    </row>
    <row r="630" spans="1:8" hidden="1" outlineLevel="1">
      <c r="A630" t="str">
        <f ca="1"/>
        <v>Productos e Inclusión Financiera</v>
      </c>
      <c r="B630" t="str">
        <f ca="1"/>
        <v>06. Calidad Finalizado</v>
      </c>
      <c r="C630" t="str">
        <f ca="1"/>
        <v>2025-M0709</v>
      </c>
      <c r="D630" t="str">
        <f ca="1"/>
        <v xml:space="preserve">   Calidad</v>
      </c>
      <c r="E630" s="255">
        <f ca="1"/>
        <v>0.85</v>
      </c>
      <c r="F630" s="255">
        <f ca="1"/>
        <v>1</v>
      </c>
      <c r="G630" s="356">
        <f ca="1">IF(TRIM(D630)=C630,
   _xlfn.XLOOKUP(C630, Cartera1017[ID Mantenimiento],Cartera1017[Comienzo Desarrollo]),
IF(TRIM(D630)="Desarrollo",
   _xlfn.XLOOKUP(C630,Cartera1017[ID Mantenimiento],Cartera1017[Comienzo Desarrollo]),
IF(TRIM(D630)="Calidad",
   _xlfn.XLOOKUP(C630,Cartera1017[ID Mantenimiento],Cartera1017[Comienzo Calidad]),
IF(TRIM(D630)="Producción",
   _xlfn.XLOOKUP(C630,Cartera1017[ID Mantenimiento],Cartera1017[Comienzo Producción]),
""))))</f>
        <v>46030</v>
      </c>
      <c r="H630" s="160">
        <f ca="1">IF(TRIM(D630)=C630,
   _xlfn.XLOOKUP(C630, Cartera1017[ID Mantenimiento],Cartera1017[Fin Producción]),
IF(TRIM(D630)="Desarrollo",
   _xlfn.XLOOKUP(C630,Cartera1017[ID Mantenimiento],Cartera1017[Fin Desarrollo]),
IF(TRIM(D630)="Calidad",
   _xlfn.XLOOKUP(C630,Cartera1017[ID Mantenimiento],Cartera1017[Fin Calidad]),
IF(TRIM(D630)="Producción",
   _xlfn.XLOOKUP(C630,Cartera1017[ID Mantenimiento],Cartera1017[Fin Producción]),
""))))</f>
        <v>46045</v>
      </c>
    </row>
    <row r="631" spans="1:8" hidden="1" outlineLevel="1">
      <c r="A631" t="str">
        <f ca="1"/>
        <v>Productos e Inclusión Financiera</v>
      </c>
      <c r="B631" t="str">
        <f ca="1"/>
        <v>06. Calidad Finalizado</v>
      </c>
      <c r="C631" t="str">
        <f ca="1"/>
        <v>2025-M0709</v>
      </c>
      <c r="D631" t="str">
        <f ca="1"/>
        <v xml:space="preserve">   Producción</v>
      </c>
      <c r="E631" s="255">
        <f ca="1"/>
        <v>0.85</v>
      </c>
      <c r="F631" s="255">
        <f ca="1"/>
        <v>1</v>
      </c>
      <c r="G631" s="356">
        <f ca="1">IF(TRIM(D631)=C631,
   _xlfn.XLOOKUP(C631, Cartera1017[ID Mantenimiento],Cartera1017[Comienzo Desarrollo]),
IF(TRIM(D631)="Desarrollo",
   _xlfn.XLOOKUP(C631,Cartera1017[ID Mantenimiento],Cartera1017[Comienzo Desarrollo]),
IF(TRIM(D631)="Calidad",
   _xlfn.XLOOKUP(C631,Cartera1017[ID Mantenimiento],Cartera1017[Comienzo Calidad]),
IF(TRIM(D631)="Producción",
   _xlfn.XLOOKUP(C631,Cartera1017[ID Mantenimiento],Cartera1017[Comienzo Producción]),
""))))</f>
        <v>46072</v>
      </c>
      <c r="H631" s="160">
        <f ca="1">IF(TRIM(D631)=C631,
   _xlfn.XLOOKUP(C631, Cartera1017[ID Mantenimiento],Cartera1017[Fin Producción]),
IF(TRIM(D631)="Desarrollo",
   _xlfn.XLOOKUP(C631,Cartera1017[ID Mantenimiento],Cartera1017[Fin Desarrollo]),
IF(TRIM(D631)="Calidad",
   _xlfn.XLOOKUP(C631,Cartera1017[ID Mantenimiento],Cartera1017[Fin Calidad]),
IF(TRIM(D631)="Producción",
   _xlfn.XLOOKUP(C631,Cartera1017[ID Mantenimiento],Cartera1017[Fin Producción]),
""))))</f>
        <v>46108</v>
      </c>
    </row>
    <row r="632" spans="1:8" hidden="1" collapsed="1">
      <c r="A632" t="str">
        <f ca="1"/>
        <v>Productos e Inclusión Financiera</v>
      </c>
      <c r="B632" t="str">
        <f ca="1"/>
        <v>10. Paralizado</v>
      </c>
      <c r="C632" t="str">
        <f ca="1"/>
        <v>2025-M0714</v>
      </c>
      <c r="D632" t="str">
        <f ca="1"/>
        <v>2025-M0714</v>
      </c>
      <c r="E632" s="255">
        <f ca="1"/>
        <v>0.12</v>
      </c>
      <c r="F632" s="255" t="str">
        <f ca="1"/>
        <v/>
      </c>
      <c r="G632" s="356">
        <f ca="1">IF(TRIM(D632)=C632,
   _xlfn.XLOOKUP(C632, Cartera1017[ID Mantenimiento],Cartera1017[Comienzo Desarrollo]),
IF(TRIM(D632)="Desarrollo",
   _xlfn.XLOOKUP(C632,Cartera1017[ID Mantenimiento],Cartera1017[Comienzo Desarrollo]),
IF(TRIM(D632)="Calidad",
   _xlfn.XLOOKUP(C632,Cartera1017[ID Mantenimiento],Cartera1017[Comienzo Calidad]),
IF(TRIM(D632)="Producción",
   _xlfn.XLOOKUP(C632,Cartera1017[ID Mantenimiento],Cartera1017[Comienzo Producción]),
""))))</f>
        <v>0</v>
      </c>
      <c r="H632" s="160">
        <f ca="1">IF(TRIM(D632)=C632,
   _xlfn.XLOOKUP(C632, Cartera1017[ID Mantenimiento],Cartera1017[Fin Producción]),
IF(TRIM(D632)="Desarrollo",
   _xlfn.XLOOKUP(C632,Cartera1017[ID Mantenimiento],Cartera1017[Fin Desarrollo]),
IF(TRIM(D632)="Calidad",
   _xlfn.XLOOKUP(C632,Cartera1017[ID Mantenimiento],Cartera1017[Fin Calidad]),
IF(TRIM(D632)="Producción",
   _xlfn.XLOOKUP(C632,Cartera1017[ID Mantenimiento],Cartera1017[Fin Producción]),
""))))</f>
        <v>46356</v>
      </c>
    </row>
    <row r="633" spans="1:8" hidden="1" outlineLevel="1">
      <c r="A633" t="str">
        <f ca="1"/>
        <v>Productos e Inclusión Financiera</v>
      </c>
      <c r="B633" t="str">
        <f ca="1"/>
        <v>10. Paralizado</v>
      </c>
      <c r="C633" t="str">
        <f ca="1"/>
        <v>2025-M0714</v>
      </c>
      <c r="D633" t="str">
        <f ca="1"/>
        <v xml:space="preserve">   Desarrollo</v>
      </c>
      <c r="E633" s="255">
        <f ca="1"/>
        <v>0.12</v>
      </c>
      <c r="F633" s="255" t="str">
        <f ca="1"/>
        <v/>
      </c>
      <c r="G633" s="356">
        <f ca="1">IF(TRIM(D633)=C633,
   _xlfn.XLOOKUP(C633, Cartera1017[ID Mantenimiento],Cartera1017[Comienzo Desarrollo]),
IF(TRIM(D633)="Desarrollo",
   _xlfn.XLOOKUP(C633,Cartera1017[ID Mantenimiento],Cartera1017[Comienzo Desarrollo]),
IF(TRIM(D633)="Calidad",
   _xlfn.XLOOKUP(C633,Cartera1017[ID Mantenimiento],Cartera1017[Comienzo Calidad]),
IF(TRIM(D633)="Producción",
   _xlfn.XLOOKUP(C633,Cartera1017[ID Mantenimiento],Cartera1017[Comienzo Producción]),
""))))</f>
        <v>0</v>
      </c>
      <c r="H633" s="160">
        <f ca="1">IF(TRIM(D633)=C633,
   _xlfn.XLOOKUP(C633, Cartera1017[ID Mantenimiento],Cartera1017[Fin Producción]),
IF(TRIM(D633)="Desarrollo",
   _xlfn.XLOOKUP(C633,Cartera1017[ID Mantenimiento],Cartera1017[Fin Desarrollo]),
IF(TRIM(D633)="Calidad",
   _xlfn.XLOOKUP(C633,Cartera1017[ID Mantenimiento],Cartera1017[Fin Calidad]),
IF(TRIM(D633)="Producción",
   _xlfn.XLOOKUP(C633,Cartera1017[ID Mantenimiento],Cartera1017[Fin Producción]),
""))))</f>
        <v>0</v>
      </c>
    </row>
    <row r="634" spans="1:8" hidden="1" outlineLevel="1">
      <c r="A634" t="str">
        <f ca="1"/>
        <v>Productos e Inclusión Financiera</v>
      </c>
      <c r="B634" t="str">
        <f ca="1"/>
        <v>10. Paralizado</v>
      </c>
      <c r="C634" t="str">
        <f ca="1"/>
        <v>2025-M0714</v>
      </c>
      <c r="D634" t="str">
        <f ca="1"/>
        <v xml:space="preserve">   Calidad</v>
      </c>
      <c r="E634" s="255">
        <f ca="1"/>
        <v>0.12</v>
      </c>
      <c r="F634" s="255" t="str">
        <f ca="1"/>
        <v/>
      </c>
      <c r="G634" s="356">
        <f ca="1">IF(TRIM(D634)=C634,
   _xlfn.XLOOKUP(C634, Cartera1017[ID Mantenimiento],Cartera1017[Comienzo Desarrollo]),
IF(TRIM(D634)="Desarrollo",
   _xlfn.XLOOKUP(C634,Cartera1017[ID Mantenimiento],Cartera1017[Comienzo Desarrollo]),
IF(TRIM(D634)="Calidad",
   _xlfn.XLOOKUP(C634,Cartera1017[ID Mantenimiento],Cartera1017[Comienzo Calidad]),
IF(TRIM(D634)="Producción",
   _xlfn.XLOOKUP(C634,Cartera1017[ID Mantenimiento],Cartera1017[Comienzo Producción]),
""))))</f>
        <v>0</v>
      </c>
      <c r="H634" s="160">
        <f ca="1">IF(TRIM(D634)=C634,
   _xlfn.XLOOKUP(C634, Cartera1017[ID Mantenimiento],Cartera1017[Fin Producción]),
IF(TRIM(D634)="Desarrollo",
   _xlfn.XLOOKUP(C634,Cartera1017[ID Mantenimiento],Cartera1017[Fin Desarrollo]),
IF(TRIM(D634)="Calidad",
   _xlfn.XLOOKUP(C634,Cartera1017[ID Mantenimiento],Cartera1017[Fin Calidad]),
IF(TRIM(D634)="Producción",
   _xlfn.XLOOKUP(C634,Cartera1017[ID Mantenimiento],Cartera1017[Fin Producción]),
""))))</f>
        <v>0</v>
      </c>
    </row>
    <row r="635" spans="1:8" hidden="1" outlineLevel="1">
      <c r="A635" t="str">
        <f ca="1"/>
        <v>Productos e Inclusión Financiera</v>
      </c>
      <c r="B635" t="str">
        <f ca="1"/>
        <v>10. Paralizado</v>
      </c>
      <c r="C635" t="str">
        <f ca="1"/>
        <v>2025-M0714</v>
      </c>
      <c r="D635" t="str">
        <f ca="1"/>
        <v xml:space="preserve">   Producción</v>
      </c>
      <c r="E635" s="255">
        <f ca="1"/>
        <v>0.12</v>
      </c>
      <c r="F635" s="255" t="str">
        <f ca="1"/>
        <v/>
      </c>
      <c r="G635" s="356">
        <f ca="1">IF(TRIM(D635)=C635,
   _xlfn.XLOOKUP(C635, Cartera1017[ID Mantenimiento],Cartera1017[Comienzo Desarrollo]),
IF(TRIM(D635)="Desarrollo",
   _xlfn.XLOOKUP(C635,Cartera1017[ID Mantenimiento],Cartera1017[Comienzo Desarrollo]),
IF(TRIM(D635)="Calidad",
   _xlfn.XLOOKUP(C635,Cartera1017[ID Mantenimiento],Cartera1017[Comienzo Calidad]),
IF(TRIM(D635)="Producción",
   _xlfn.XLOOKUP(C635,Cartera1017[ID Mantenimiento],Cartera1017[Comienzo Producción]),
""))))</f>
        <v>0</v>
      </c>
      <c r="H635" s="160">
        <f ca="1">IF(TRIM(D635)=C635,
   _xlfn.XLOOKUP(C635, Cartera1017[ID Mantenimiento],Cartera1017[Fin Producción]),
IF(TRIM(D635)="Desarrollo",
   _xlfn.XLOOKUP(C635,Cartera1017[ID Mantenimiento],Cartera1017[Fin Desarrollo]),
IF(TRIM(D635)="Calidad",
   _xlfn.XLOOKUP(C635,Cartera1017[ID Mantenimiento],Cartera1017[Fin Calidad]),
IF(TRIM(D635)="Producción",
   _xlfn.XLOOKUP(C635,Cartera1017[ID Mantenimiento],Cartera1017[Fin Producción]),
""))))</f>
        <v>46356</v>
      </c>
    </row>
    <row r="636" spans="1:8" hidden="1" collapsed="1">
      <c r="A636" t="str">
        <f ca="1"/>
        <v>Productos e Inclusión Financiera</v>
      </c>
      <c r="B636" t="str">
        <f ca="1"/>
        <v>06. Calidad Finalizado</v>
      </c>
      <c r="C636" t="str">
        <f ca="1"/>
        <v>2025-M0691</v>
      </c>
      <c r="D636" t="str">
        <f ca="1"/>
        <v>2025-M0691</v>
      </c>
      <c r="E636" s="255">
        <f ca="1"/>
        <v>0.85</v>
      </c>
      <c r="F636" s="255">
        <f ca="1"/>
        <v>1</v>
      </c>
      <c r="G636" s="356">
        <f ca="1">IF(TRIM(D636)=C636,
   _xlfn.XLOOKUP(C636, Cartera1017[ID Mantenimiento],Cartera1017[Comienzo Desarrollo]),
IF(TRIM(D636)="Desarrollo",
   _xlfn.XLOOKUP(C636,Cartera1017[ID Mantenimiento],Cartera1017[Comienzo Desarrollo]),
IF(TRIM(D636)="Calidad",
   _xlfn.XLOOKUP(C636,Cartera1017[ID Mantenimiento],Cartera1017[Comienzo Calidad]),
IF(TRIM(D636)="Producción",
   _xlfn.XLOOKUP(C636,Cartera1017[ID Mantenimiento],Cartera1017[Comienzo Producción]),
""))))</f>
        <v>45957</v>
      </c>
      <c r="H636" s="160">
        <f ca="1">IF(TRIM(D636)=C636,
   _xlfn.XLOOKUP(C636, Cartera1017[ID Mantenimiento],Cartera1017[Fin Producción]),
IF(TRIM(D636)="Desarrollo",
   _xlfn.XLOOKUP(C636,Cartera1017[ID Mantenimiento],Cartera1017[Fin Desarrollo]),
IF(TRIM(D636)="Calidad",
   _xlfn.XLOOKUP(C636,Cartera1017[ID Mantenimiento],Cartera1017[Fin Calidad]),
IF(TRIM(D636)="Producción",
   _xlfn.XLOOKUP(C636,Cartera1017[ID Mantenimiento],Cartera1017[Fin Producción]),
""))))</f>
        <v>46108</v>
      </c>
    </row>
    <row r="637" spans="1:8" hidden="1" outlineLevel="1">
      <c r="A637" t="str">
        <f ca="1"/>
        <v>Productos e Inclusión Financiera</v>
      </c>
      <c r="B637" t="str">
        <f ca="1"/>
        <v>06. Calidad Finalizado</v>
      </c>
      <c r="C637" t="str">
        <f ca="1"/>
        <v>2025-M0691</v>
      </c>
      <c r="D637" t="str">
        <f ca="1"/>
        <v xml:space="preserve">   Desarrollo</v>
      </c>
      <c r="E637" s="255">
        <f ca="1"/>
        <v>0.85</v>
      </c>
      <c r="F637" s="255">
        <f ca="1"/>
        <v>1</v>
      </c>
      <c r="G637" s="356">
        <f ca="1">IF(TRIM(D637)=C637,
   _xlfn.XLOOKUP(C637, Cartera1017[ID Mantenimiento],Cartera1017[Comienzo Desarrollo]),
IF(TRIM(D637)="Desarrollo",
   _xlfn.XLOOKUP(C637,Cartera1017[ID Mantenimiento],Cartera1017[Comienzo Desarrollo]),
IF(TRIM(D637)="Calidad",
   _xlfn.XLOOKUP(C637,Cartera1017[ID Mantenimiento],Cartera1017[Comienzo Calidad]),
IF(TRIM(D637)="Producción",
   _xlfn.XLOOKUP(C637,Cartera1017[ID Mantenimiento],Cartera1017[Comienzo Producción]),
""))))</f>
        <v>45957</v>
      </c>
      <c r="H637" s="160">
        <f ca="1">IF(TRIM(D637)=C637,
   _xlfn.XLOOKUP(C637, Cartera1017[ID Mantenimiento],Cartera1017[Fin Producción]),
IF(TRIM(D637)="Desarrollo",
   _xlfn.XLOOKUP(C637,Cartera1017[ID Mantenimiento],Cartera1017[Fin Desarrollo]),
IF(TRIM(D637)="Calidad",
   _xlfn.XLOOKUP(C637,Cartera1017[ID Mantenimiento],Cartera1017[Fin Calidad]),
IF(TRIM(D637)="Producción",
   _xlfn.XLOOKUP(C637,Cartera1017[ID Mantenimiento],Cartera1017[Fin Producción]),
""))))</f>
        <v>46034</v>
      </c>
    </row>
    <row r="638" spans="1:8" hidden="1" outlineLevel="1">
      <c r="A638" t="str">
        <f ca="1"/>
        <v>Productos e Inclusión Financiera</v>
      </c>
      <c r="B638" t="str">
        <f ca="1"/>
        <v>06. Calidad Finalizado</v>
      </c>
      <c r="C638" t="str">
        <f ca="1"/>
        <v>2025-M0691</v>
      </c>
      <c r="D638" t="str">
        <f ca="1"/>
        <v xml:space="preserve">   Calidad</v>
      </c>
      <c r="E638" s="255">
        <f ca="1"/>
        <v>0.85</v>
      </c>
      <c r="F638" s="255">
        <f ca="1"/>
        <v>1</v>
      </c>
      <c r="G638" s="356">
        <f ca="1">IF(TRIM(D638)=C638,
   _xlfn.XLOOKUP(C638, Cartera1017[ID Mantenimiento],Cartera1017[Comienzo Desarrollo]),
IF(TRIM(D638)="Desarrollo",
   _xlfn.XLOOKUP(C638,Cartera1017[ID Mantenimiento],Cartera1017[Comienzo Desarrollo]),
IF(TRIM(D638)="Calidad",
   _xlfn.XLOOKUP(C638,Cartera1017[ID Mantenimiento],Cartera1017[Comienzo Calidad]),
IF(TRIM(D638)="Producción",
   _xlfn.XLOOKUP(C638,Cartera1017[ID Mantenimiento],Cartera1017[Comienzo Producción]),
""))))</f>
        <v>46037</v>
      </c>
      <c r="H638" s="160">
        <f ca="1">IF(TRIM(D638)=C638,
   _xlfn.XLOOKUP(C638, Cartera1017[ID Mantenimiento],Cartera1017[Fin Producción]),
IF(TRIM(D638)="Desarrollo",
   _xlfn.XLOOKUP(C638,Cartera1017[ID Mantenimiento],Cartera1017[Fin Desarrollo]),
IF(TRIM(D638)="Calidad",
   _xlfn.XLOOKUP(C638,Cartera1017[ID Mantenimiento],Cartera1017[Fin Calidad]),
IF(TRIM(D638)="Producción",
   _xlfn.XLOOKUP(C638,Cartera1017[ID Mantenimiento],Cartera1017[Fin Producción]),
""))))</f>
        <v>46059</v>
      </c>
    </row>
    <row r="639" spans="1:8" hidden="1" outlineLevel="1">
      <c r="A639" t="str">
        <f ca="1"/>
        <v>Productos e Inclusión Financiera</v>
      </c>
      <c r="B639" t="str">
        <f ca="1"/>
        <v>06. Calidad Finalizado</v>
      </c>
      <c r="C639" t="str">
        <f ca="1"/>
        <v>2025-M0691</v>
      </c>
      <c r="D639" t="str">
        <f ca="1"/>
        <v xml:space="preserve">   Producción</v>
      </c>
      <c r="E639" s="255">
        <f ca="1"/>
        <v>0.85</v>
      </c>
      <c r="F639" s="255">
        <f ca="1"/>
        <v>1</v>
      </c>
      <c r="G639" s="356">
        <f ca="1">IF(TRIM(D639)=C639,
   _xlfn.XLOOKUP(C639, Cartera1017[ID Mantenimiento],Cartera1017[Comienzo Desarrollo]),
IF(TRIM(D639)="Desarrollo",
   _xlfn.XLOOKUP(C639,Cartera1017[ID Mantenimiento],Cartera1017[Comienzo Desarrollo]),
IF(TRIM(D639)="Calidad",
   _xlfn.XLOOKUP(C639,Cartera1017[ID Mantenimiento],Cartera1017[Comienzo Calidad]),
IF(TRIM(D639)="Producción",
   _xlfn.XLOOKUP(C639,Cartera1017[ID Mantenimiento],Cartera1017[Comienzo Producción]),
""))))</f>
        <v>46072</v>
      </c>
      <c r="H639" s="160">
        <f ca="1">IF(TRIM(D639)=C639,
   _xlfn.XLOOKUP(C639, Cartera1017[ID Mantenimiento],Cartera1017[Fin Producción]),
IF(TRIM(D639)="Desarrollo",
   _xlfn.XLOOKUP(C639,Cartera1017[ID Mantenimiento],Cartera1017[Fin Desarrollo]),
IF(TRIM(D639)="Calidad",
   _xlfn.XLOOKUP(C639,Cartera1017[ID Mantenimiento],Cartera1017[Fin Calidad]),
IF(TRIM(D639)="Producción",
   _xlfn.XLOOKUP(C639,Cartera1017[ID Mantenimiento],Cartera1017[Fin Producción]),
""))))</f>
        <v>46108</v>
      </c>
    </row>
    <row r="640" spans="1:8" hidden="1" collapsed="1">
      <c r="A640" t="str">
        <f ca="1"/>
        <v>Tecnologías de Información</v>
      </c>
      <c r="B640" t="str">
        <f ca="1"/>
        <v>03. En Desarrollo</v>
      </c>
      <c r="C640" t="str">
        <f ca="1"/>
        <v>2025-M0665</v>
      </c>
      <c r="D640" t="str">
        <f ca="1"/>
        <v>2025-M0665</v>
      </c>
      <c r="E640" s="255">
        <f ca="1"/>
        <v>0.15</v>
      </c>
      <c r="F640" s="255">
        <f ca="1"/>
        <v>1</v>
      </c>
      <c r="G640" s="356">
        <f ca="1">IF(TRIM(D640)=C640,
   _xlfn.XLOOKUP(C640, Cartera1017[ID Mantenimiento],Cartera1017[Comienzo Desarrollo]),
IF(TRIM(D640)="Desarrollo",
   _xlfn.XLOOKUP(C640,Cartera1017[ID Mantenimiento],Cartera1017[Comienzo Desarrollo]),
IF(TRIM(D640)="Calidad",
   _xlfn.XLOOKUP(C640,Cartera1017[ID Mantenimiento],Cartera1017[Comienzo Calidad]),
IF(TRIM(D640)="Producción",
   _xlfn.XLOOKUP(C640,Cartera1017[ID Mantenimiento],Cartera1017[Comienzo Producción]),
""))))</f>
        <v>46083</v>
      </c>
      <c r="H640" s="160">
        <f ca="1">IF(TRIM(D640)=C640,
   _xlfn.XLOOKUP(C640, Cartera1017[ID Mantenimiento],Cartera1017[Fin Producción]),
IF(TRIM(D640)="Desarrollo",
   _xlfn.XLOOKUP(C640,Cartera1017[ID Mantenimiento],Cartera1017[Fin Desarrollo]),
IF(TRIM(D640)="Calidad",
   _xlfn.XLOOKUP(C640,Cartera1017[ID Mantenimiento],Cartera1017[Fin Calidad]),
IF(TRIM(D640)="Producción",
   _xlfn.XLOOKUP(C640,Cartera1017[ID Mantenimiento],Cartera1017[Fin Producción]),
""))))</f>
        <v>46136</v>
      </c>
    </row>
    <row r="641" spans="1:8" hidden="1" outlineLevel="1">
      <c r="A641" t="str">
        <f ca="1"/>
        <v>Tecnologías de Información</v>
      </c>
      <c r="B641" t="str">
        <f ca="1"/>
        <v>03. En Desarrollo</v>
      </c>
      <c r="C641" t="str">
        <f ca="1"/>
        <v>2025-M0665</v>
      </c>
      <c r="D641" t="str">
        <f ca="1"/>
        <v xml:space="preserve">   Desarrollo</v>
      </c>
      <c r="E641" s="255">
        <f ca="1"/>
        <v>0.15</v>
      </c>
      <c r="F641" s="255">
        <f ca="1"/>
        <v>1</v>
      </c>
      <c r="G641" s="356">
        <f ca="1">IF(TRIM(D641)=C641,
   _xlfn.XLOOKUP(C641, Cartera1017[ID Mantenimiento],Cartera1017[Comienzo Desarrollo]),
IF(TRIM(D641)="Desarrollo",
   _xlfn.XLOOKUP(C641,Cartera1017[ID Mantenimiento],Cartera1017[Comienzo Desarrollo]),
IF(TRIM(D641)="Calidad",
   _xlfn.XLOOKUP(C641,Cartera1017[ID Mantenimiento],Cartera1017[Comienzo Calidad]),
IF(TRIM(D641)="Producción",
   _xlfn.XLOOKUP(C641,Cartera1017[ID Mantenimiento],Cartera1017[Comienzo Producción]),
""))))</f>
        <v>46083</v>
      </c>
      <c r="H641" s="160">
        <f ca="1">IF(TRIM(D641)=C641,
   _xlfn.XLOOKUP(C641, Cartera1017[ID Mantenimiento],Cartera1017[Fin Producción]),
IF(TRIM(D641)="Desarrollo",
   _xlfn.XLOOKUP(C641,Cartera1017[ID Mantenimiento],Cartera1017[Fin Desarrollo]),
IF(TRIM(D641)="Calidad",
   _xlfn.XLOOKUP(C641,Cartera1017[ID Mantenimiento],Cartera1017[Fin Calidad]),
IF(TRIM(D641)="Producción",
   _xlfn.XLOOKUP(C641,Cartera1017[ID Mantenimiento],Cartera1017[Fin Producción]),
""))))</f>
        <v>46094</v>
      </c>
    </row>
    <row r="642" spans="1:8" hidden="1" outlineLevel="1">
      <c r="A642" t="str">
        <f ca="1"/>
        <v>Tecnologías de Información</v>
      </c>
      <c r="B642" t="str">
        <f ca="1"/>
        <v>03. En Desarrollo</v>
      </c>
      <c r="C642" t="str">
        <f ca="1"/>
        <v>2025-M0665</v>
      </c>
      <c r="D642" t="str">
        <f ca="1"/>
        <v xml:space="preserve">   Calidad</v>
      </c>
      <c r="E642" s="255">
        <f ca="1"/>
        <v>0.15</v>
      </c>
      <c r="F642" s="255">
        <f ca="1"/>
        <v>1</v>
      </c>
      <c r="G642" s="356">
        <f ca="1">IF(TRIM(D642)=C642,
   _xlfn.XLOOKUP(C642, Cartera1017[ID Mantenimiento],Cartera1017[Comienzo Desarrollo]),
IF(TRIM(D642)="Desarrollo",
   _xlfn.XLOOKUP(C642,Cartera1017[ID Mantenimiento],Cartera1017[Comienzo Desarrollo]),
IF(TRIM(D642)="Calidad",
   _xlfn.XLOOKUP(C642,Cartera1017[ID Mantenimiento],Cartera1017[Comienzo Calidad]),
IF(TRIM(D642)="Producción",
   _xlfn.XLOOKUP(C642,Cartera1017[ID Mantenimiento],Cartera1017[Comienzo Producción]),
""))))</f>
        <v>46097</v>
      </c>
      <c r="H642" s="160">
        <f ca="1">IF(TRIM(D642)=C642,
   _xlfn.XLOOKUP(C642, Cartera1017[ID Mantenimiento],Cartera1017[Fin Producción]),
IF(TRIM(D642)="Desarrollo",
   _xlfn.XLOOKUP(C642,Cartera1017[ID Mantenimiento],Cartera1017[Fin Desarrollo]),
IF(TRIM(D642)="Calidad",
   _xlfn.XLOOKUP(C642,Cartera1017[ID Mantenimiento],Cartera1017[Fin Calidad]),
IF(TRIM(D642)="Producción",
   _xlfn.XLOOKUP(C642,Cartera1017[ID Mantenimiento],Cartera1017[Fin Producción]),
""))))</f>
        <v>46127</v>
      </c>
    </row>
    <row r="643" spans="1:8" hidden="1" outlineLevel="1">
      <c r="A643" t="str">
        <f ca="1"/>
        <v>Tecnologías de Información</v>
      </c>
      <c r="B643" t="str">
        <f ca="1"/>
        <v>03. En Desarrollo</v>
      </c>
      <c r="C643" t="str">
        <f ca="1"/>
        <v>2025-M0665</v>
      </c>
      <c r="D643" t="str">
        <f ca="1"/>
        <v xml:space="preserve">   Producción</v>
      </c>
      <c r="E643" s="255">
        <f ca="1"/>
        <v>0.15</v>
      </c>
      <c r="F643" s="255">
        <f ca="1"/>
        <v>1</v>
      </c>
      <c r="G643" s="356">
        <f ca="1">IF(TRIM(D643)=C643,
   _xlfn.XLOOKUP(C643, Cartera1017[ID Mantenimiento],Cartera1017[Comienzo Desarrollo]),
IF(TRIM(D643)="Desarrollo",
   _xlfn.XLOOKUP(C643,Cartera1017[ID Mantenimiento],Cartera1017[Comienzo Desarrollo]),
IF(TRIM(D643)="Calidad",
   _xlfn.XLOOKUP(C643,Cartera1017[ID Mantenimiento],Cartera1017[Comienzo Calidad]),
IF(TRIM(D643)="Producción",
   _xlfn.XLOOKUP(C643,Cartera1017[ID Mantenimiento],Cartera1017[Comienzo Producción]),
""))))</f>
        <v>46132</v>
      </c>
      <c r="H643" s="160">
        <f ca="1">IF(TRIM(D643)=C643,
   _xlfn.XLOOKUP(C643, Cartera1017[ID Mantenimiento],Cartera1017[Fin Producción]),
IF(TRIM(D643)="Desarrollo",
   _xlfn.XLOOKUP(C643,Cartera1017[ID Mantenimiento],Cartera1017[Fin Desarrollo]),
IF(TRIM(D643)="Calidad",
   _xlfn.XLOOKUP(C643,Cartera1017[ID Mantenimiento],Cartera1017[Fin Calidad]),
IF(TRIM(D643)="Producción",
   _xlfn.XLOOKUP(C643,Cartera1017[ID Mantenimiento],Cartera1017[Fin Producción]),
""))))</f>
        <v>46136</v>
      </c>
    </row>
    <row r="644" spans="1:8" hidden="1" collapsed="1">
      <c r="A644" t="str">
        <f ca="1"/>
        <v>Productos e Inclusión Financiera</v>
      </c>
      <c r="B644" t="str">
        <f ca="1"/>
        <v>03. En Desarrollo</v>
      </c>
      <c r="C644" t="str">
        <f ca="1"/>
        <v>2025-M0672</v>
      </c>
      <c r="D644" t="str">
        <f ca="1"/>
        <v>2025-M0672</v>
      </c>
      <c r="E644" s="255">
        <f ca="1"/>
        <v>0.15</v>
      </c>
      <c r="F644" s="255">
        <f ca="1"/>
        <v>1</v>
      </c>
      <c r="G644" s="356">
        <f ca="1">IF(TRIM(D644)=C644,
   _xlfn.XLOOKUP(C644, Cartera1017[ID Mantenimiento],Cartera1017[Comienzo Desarrollo]),
IF(TRIM(D644)="Desarrollo",
   _xlfn.XLOOKUP(C644,Cartera1017[ID Mantenimiento],Cartera1017[Comienzo Desarrollo]),
IF(TRIM(D644)="Calidad",
   _xlfn.XLOOKUP(C644,Cartera1017[ID Mantenimiento],Cartera1017[Comienzo Calidad]),
IF(TRIM(D644)="Producción",
   _xlfn.XLOOKUP(C644,Cartera1017[ID Mantenimiento],Cartera1017[Comienzo Producción]),
""))))</f>
        <v>46083</v>
      </c>
      <c r="H644" s="160">
        <f ca="1">IF(TRIM(D644)=C644,
   _xlfn.XLOOKUP(C644, Cartera1017[ID Mantenimiento],Cartera1017[Fin Producción]),
IF(TRIM(D644)="Desarrollo",
   _xlfn.XLOOKUP(C644,Cartera1017[ID Mantenimiento],Cartera1017[Fin Desarrollo]),
IF(TRIM(D644)="Calidad",
   _xlfn.XLOOKUP(C644,Cartera1017[ID Mantenimiento],Cartera1017[Fin Calidad]),
IF(TRIM(D644)="Producción",
   _xlfn.XLOOKUP(C644,Cartera1017[ID Mantenimiento],Cartera1017[Fin Producción]),
""))))</f>
        <v>46129</v>
      </c>
    </row>
    <row r="645" spans="1:8" hidden="1" outlineLevel="1">
      <c r="A645" t="str">
        <f ca="1"/>
        <v>Productos e Inclusión Financiera</v>
      </c>
      <c r="B645" t="str">
        <f ca="1"/>
        <v>03. En Desarrollo</v>
      </c>
      <c r="C645" t="str">
        <f ca="1"/>
        <v>2025-M0672</v>
      </c>
      <c r="D645" t="str">
        <f ca="1"/>
        <v xml:space="preserve">   Desarrollo</v>
      </c>
      <c r="E645" s="255">
        <f ca="1"/>
        <v>0.15</v>
      </c>
      <c r="F645" s="255">
        <f ca="1"/>
        <v>1</v>
      </c>
      <c r="G645" s="356">
        <f ca="1">IF(TRIM(D645)=C645,
   _xlfn.XLOOKUP(C645, Cartera1017[ID Mantenimiento],Cartera1017[Comienzo Desarrollo]),
IF(TRIM(D645)="Desarrollo",
   _xlfn.XLOOKUP(C645,Cartera1017[ID Mantenimiento],Cartera1017[Comienzo Desarrollo]),
IF(TRIM(D645)="Calidad",
   _xlfn.XLOOKUP(C645,Cartera1017[ID Mantenimiento],Cartera1017[Comienzo Calidad]),
IF(TRIM(D645)="Producción",
   _xlfn.XLOOKUP(C645,Cartera1017[ID Mantenimiento],Cartera1017[Comienzo Producción]),
""))))</f>
        <v>46083</v>
      </c>
      <c r="H645" s="160">
        <f ca="1">IF(TRIM(D645)=C645,
   _xlfn.XLOOKUP(C645, Cartera1017[ID Mantenimiento],Cartera1017[Fin Producción]),
IF(TRIM(D645)="Desarrollo",
   _xlfn.XLOOKUP(C645,Cartera1017[ID Mantenimiento],Cartera1017[Fin Desarrollo]),
IF(TRIM(D645)="Calidad",
   _xlfn.XLOOKUP(C645,Cartera1017[ID Mantenimiento],Cartera1017[Fin Calidad]),
IF(TRIM(D645)="Producción",
   _xlfn.XLOOKUP(C645,Cartera1017[ID Mantenimiento],Cartera1017[Fin Producción]),
""))))</f>
        <v>46091</v>
      </c>
    </row>
    <row r="646" spans="1:8" hidden="1" outlineLevel="1">
      <c r="A646" t="str">
        <f ca="1"/>
        <v>Productos e Inclusión Financiera</v>
      </c>
      <c r="B646" t="str">
        <f ca="1"/>
        <v>03. En Desarrollo</v>
      </c>
      <c r="C646" t="str">
        <f ca="1"/>
        <v>2025-M0672</v>
      </c>
      <c r="D646" t="str">
        <f ca="1"/>
        <v xml:space="preserve">   Calidad</v>
      </c>
      <c r="E646" s="255">
        <f ca="1"/>
        <v>0.15</v>
      </c>
      <c r="F646" s="255">
        <f ca="1"/>
        <v>1</v>
      </c>
      <c r="G646" s="356">
        <f ca="1">IF(TRIM(D646)=C646,
   _xlfn.XLOOKUP(C646, Cartera1017[ID Mantenimiento],Cartera1017[Comienzo Desarrollo]),
IF(TRIM(D646)="Desarrollo",
   _xlfn.XLOOKUP(C646,Cartera1017[ID Mantenimiento],Cartera1017[Comienzo Desarrollo]),
IF(TRIM(D646)="Calidad",
   _xlfn.XLOOKUP(C646,Cartera1017[ID Mantenimiento],Cartera1017[Comienzo Calidad]),
IF(TRIM(D646)="Producción",
   _xlfn.XLOOKUP(C646,Cartera1017[ID Mantenimiento],Cartera1017[Comienzo Producción]),
""))))</f>
        <v>46093</v>
      </c>
      <c r="H646" s="160">
        <f ca="1">IF(TRIM(D646)=C646,
   _xlfn.XLOOKUP(C646, Cartera1017[ID Mantenimiento],Cartera1017[Fin Producción]),
IF(TRIM(D646)="Desarrollo",
   _xlfn.XLOOKUP(C646,Cartera1017[ID Mantenimiento],Cartera1017[Fin Desarrollo]),
IF(TRIM(D646)="Calidad",
   _xlfn.XLOOKUP(C646,Cartera1017[ID Mantenimiento],Cartera1017[Fin Calidad]),
IF(TRIM(D646)="Producción",
   _xlfn.XLOOKUP(C646,Cartera1017[ID Mantenimiento],Cartera1017[Fin Producción]),
""))))</f>
        <v>46124</v>
      </c>
    </row>
    <row r="647" spans="1:8" hidden="1" outlineLevel="1">
      <c r="A647" t="str">
        <f ca="1"/>
        <v>Productos e Inclusión Financiera</v>
      </c>
      <c r="B647" t="str">
        <f ca="1"/>
        <v>03. En Desarrollo</v>
      </c>
      <c r="C647" t="str">
        <f ca="1"/>
        <v>2025-M0672</v>
      </c>
      <c r="D647" t="str">
        <f ca="1"/>
        <v xml:space="preserve">   Producción</v>
      </c>
      <c r="E647" s="255">
        <f ca="1"/>
        <v>0.15</v>
      </c>
      <c r="F647" s="255">
        <f ca="1"/>
        <v>1</v>
      </c>
      <c r="G647" s="356">
        <f ca="1">IF(TRIM(D647)=C647,
   _xlfn.XLOOKUP(C647, Cartera1017[ID Mantenimiento],Cartera1017[Comienzo Desarrollo]),
IF(TRIM(D647)="Desarrollo",
   _xlfn.XLOOKUP(C647,Cartera1017[ID Mantenimiento],Cartera1017[Comienzo Desarrollo]),
IF(TRIM(D647)="Calidad",
   _xlfn.XLOOKUP(C647,Cartera1017[ID Mantenimiento],Cartera1017[Comienzo Calidad]),
IF(TRIM(D647)="Producción",
   _xlfn.XLOOKUP(C647,Cartera1017[ID Mantenimiento],Cartera1017[Comienzo Producción]),
""))))</f>
        <v>46125</v>
      </c>
      <c r="H647" s="160">
        <f ca="1">IF(TRIM(D647)=C647,
   _xlfn.XLOOKUP(C647, Cartera1017[ID Mantenimiento],Cartera1017[Fin Producción]),
IF(TRIM(D647)="Desarrollo",
   _xlfn.XLOOKUP(C647,Cartera1017[ID Mantenimiento],Cartera1017[Fin Desarrollo]),
IF(TRIM(D647)="Calidad",
   _xlfn.XLOOKUP(C647,Cartera1017[ID Mantenimiento],Cartera1017[Fin Calidad]),
IF(TRIM(D647)="Producción",
   _xlfn.XLOOKUP(C647,Cartera1017[ID Mantenimiento],Cartera1017[Fin Producción]),
""))))</f>
        <v>46129</v>
      </c>
    </row>
    <row r="648" spans="1:8" hidden="1" collapsed="1">
      <c r="A648" t="str">
        <f ca="1"/>
        <v>Tecnologías de Información</v>
      </c>
      <c r="B648" t="str">
        <f ca="1"/>
        <v>08. Producción Finalizada</v>
      </c>
      <c r="C648" t="str">
        <f ca="1"/>
        <v>2025-M0673</v>
      </c>
      <c r="D648" t="str">
        <f ca="1"/>
        <v>2025-M0673</v>
      </c>
      <c r="E648" s="255">
        <f ca="1"/>
        <v>1</v>
      </c>
      <c r="F648" s="255">
        <f ca="1"/>
        <v>1</v>
      </c>
      <c r="G648" s="356">
        <f ca="1">IF(TRIM(D648)=C648,
   _xlfn.XLOOKUP(C648, Cartera1017[ID Mantenimiento],Cartera1017[Comienzo Desarrollo]),
IF(TRIM(D648)="Desarrollo",
   _xlfn.XLOOKUP(C648,Cartera1017[ID Mantenimiento],Cartera1017[Comienzo Desarrollo]),
IF(TRIM(D648)="Calidad",
   _xlfn.XLOOKUP(C648,Cartera1017[ID Mantenimiento],Cartera1017[Comienzo Calidad]),
IF(TRIM(D648)="Producción",
   _xlfn.XLOOKUP(C648,Cartera1017[ID Mantenimiento],Cartera1017[Comienzo Producción]),
""))))</f>
        <v>45944</v>
      </c>
      <c r="H648" s="160">
        <f ca="1">IF(TRIM(D648)=C648,
   _xlfn.XLOOKUP(C648, Cartera1017[ID Mantenimiento],Cartera1017[Fin Producción]),
IF(TRIM(D648)="Desarrollo",
   _xlfn.XLOOKUP(C648,Cartera1017[ID Mantenimiento],Cartera1017[Fin Desarrollo]),
IF(TRIM(D648)="Calidad",
   _xlfn.XLOOKUP(C648,Cartera1017[ID Mantenimiento],Cartera1017[Fin Calidad]),
IF(TRIM(D648)="Producción",
   _xlfn.XLOOKUP(C648,Cartera1017[ID Mantenimiento],Cartera1017[Fin Producción]),
""))))</f>
        <v>46051</v>
      </c>
    </row>
    <row r="649" spans="1:8" hidden="1" outlineLevel="1">
      <c r="A649" t="str">
        <f ca="1"/>
        <v>Tecnologías de Información</v>
      </c>
      <c r="B649" t="str">
        <f ca="1"/>
        <v>08. Producción Finalizada</v>
      </c>
      <c r="C649" t="str">
        <f ca="1"/>
        <v>2025-M0673</v>
      </c>
      <c r="D649" t="str">
        <f ca="1"/>
        <v xml:space="preserve">   Desarrollo</v>
      </c>
      <c r="E649" s="255">
        <f ca="1"/>
        <v>1</v>
      </c>
      <c r="F649" s="255">
        <f ca="1"/>
        <v>1</v>
      </c>
      <c r="G649" s="356">
        <f ca="1">IF(TRIM(D649)=C649,
   _xlfn.XLOOKUP(C649, Cartera1017[ID Mantenimiento],Cartera1017[Comienzo Desarrollo]),
IF(TRIM(D649)="Desarrollo",
   _xlfn.XLOOKUP(C649,Cartera1017[ID Mantenimiento],Cartera1017[Comienzo Desarrollo]),
IF(TRIM(D649)="Calidad",
   _xlfn.XLOOKUP(C649,Cartera1017[ID Mantenimiento],Cartera1017[Comienzo Calidad]),
IF(TRIM(D649)="Producción",
   _xlfn.XLOOKUP(C649,Cartera1017[ID Mantenimiento],Cartera1017[Comienzo Producción]),
""))))</f>
        <v>45944</v>
      </c>
      <c r="H649" s="160" t="str">
        <f ca="1">IF(TRIM(D649)=C649,
   _xlfn.XLOOKUP(C649, Cartera1017[ID Mantenimiento],Cartera1017[Fin Producción]),
IF(TRIM(D649)="Desarrollo",
   _xlfn.XLOOKUP(C649,Cartera1017[ID Mantenimiento],Cartera1017[Fin Desarrollo]),
IF(TRIM(D649)="Calidad",
   _xlfn.XLOOKUP(C649,Cartera1017[ID Mantenimiento],Cartera1017[Fin Calidad]),
IF(TRIM(D649)="Producción",
   _xlfn.XLOOKUP(C649,Cartera1017[ID Mantenimiento],Cartera1017[Fin Producción]),
""))))</f>
        <v/>
      </c>
    </row>
    <row r="650" spans="1:8" hidden="1" outlineLevel="1">
      <c r="A650" t="str">
        <f ca="1"/>
        <v>Tecnologías de Información</v>
      </c>
      <c r="B650" t="str">
        <f ca="1"/>
        <v>08. Producción Finalizada</v>
      </c>
      <c r="C650" t="str">
        <f ca="1"/>
        <v>2025-M0673</v>
      </c>
      <c r="D650" t="str">
        <f ca="1"/>
        <v xml:space="preserve">   Calidad</v>
      </c>
      <c r="E650" s="255">
        <f ca="1"/>
        <v>1</v>
      </c>
      <c r="F650" s="255">
        <f ca="1"/>
        <v>1</v>
      </c>
      <c r="G650" s="356" t="str">
        <f ca="1">IF(TRIM(D650)=C650,
   _xlfn.XLOOKUP(C650, Cartera1017[ID Mantenimiento],Cartera1017[Comienzo Desarrollo]),
IF(TRIM(D650)="Desarrollo",
   _xlfn.XLOOKUP(C650,Cartera1017[ID Mantenimiento],Cartera1017[Comienzo Desarrollo]),
IF(TRIM(D650)="Calidad",
   _xlfn.XLOOKUP(C650,Cartera1017[ID Mantenimiento],Cartera1017[Comienzo Calidad]),
IF(TRIM(D650)="Producción",
   _xlfn.XLOOKUP(C650,Cartera1017[ID Mantenimiento],Cartera1017[Comienzo Producción]),
""))))</f>
        <v/>
      </c>
      <c r="H650" s="160" t="str">
        <f ca="1">IF(TRIM(D650)=C650,
   _xlfn.XLOOKUP(C650, Cartera1017[ID Mantenimiento],Cartera1017[Fin Producción]),
IF(TRIM(D650)="Desarrollo",
   _xlfn.XLOOKUP(C650,Cartera1017[ID Mantenimiento],Cartera1017[Fin Desarrollo]),
IF(TRIM(D650)="Calidad",
   _xlfn.XLOOKUP(C650,Cartera1017[ID Mantenimiento],Cartera1017[Fin Calidad]),
IF(TRIM(D650)="Producción",
   _xlfn.XLOOKUP(C650,Cartera1017[ID Mantenimiento],Cartera1017[Fin Producción]),
""))))</f>
        <v/>
      </c>
    </row>
    <row r="651" spans="1:8" hidden="1" outlineLevel="1">
      <c r="A651" t="str">
        <f ca="1"/>
        <v>Tecnologías de Información</v>
      </c>
      <c r="B651" t="str">
        <f ca="1"/>
        <v>08. Producción Finalizada</v>
      </c>
      <c r="C651" t="str">
        <f ca="1"/>
        <v>2025-M0673</v>
      </c>
      <c r="D651" t="str">
        <f ca="1"/>
        <v xml:space="preserve">   Producción</v>
      </c>
      <c r="E651" s="255">
        <f ca="1"/>
        <v>1</v>
      </c>
      <c r="F651" s="255">
        <f ca="1"/>
        <v>1</v>
      </c>
      <c r="G651" s="356">
        <f ca="1">IF(TRIM(D651)=C651,
   _xlfn.XLOOKUP(C651, Cartera1017[ID Mantenimiento],Cartera1017[Comienzo Desarrollo]),
IF(TRIM(D651)="Desarrollo",
   _xlfn.XLOOKUP(C651,Cartera1017[ID Mantenimiento],Cartera1017[Comienzo Desarrollo]),
IF(TRIM(D651)="Calidad",
   _xlfn.XLOOKUP(C651,Cartera1017[ID Mantenimiento],Cartera1017[Comienzo Calidad]),
IF(TRIM(D651)="Producción",
   _xlfn.XLOOKUP(C651,Cartera1017[ID Mantenimiento],Cartera1017[Comienzo Producción]),
""))))</f>
        <v>46045</v>
      </c>
      <c r="H651" s="160">
        <f ca="1">IF(TRIM(D651)=C651,
   _xlfn.XLOOKUP(C651, Cartera1017[ID Mantenimiento],Cartera1017[Fin Producción]),
IF(TRIM(D651)="Desarrollo",
   _xlfn.XLOOKUP(C651,Cartera1017[ID Mantenimiento],Cartera1017[Fin Desarrollo]),
IF(TRIM(D651)="Calidad",
   _xlfn.XLOOKUP(C651,Cartera1017[ID Mantenimiento],Cartera1017[Fin Calidad]),
IF(TRIM(D651)="Producción",
   _xlfn.XLOOKUP(C651,Cartera1017[ID Mantenimiento],Cartera1017[Fin Producción]),
""))))</f>
        <v>46051</v>
      </c>
    </row>
    <row r="652" spans="1:8" hidden="1" collapsed="1">
      <c r="A652" t="str">
        <f ca="1"/>
        <v>Productos e Inclusión Financiera</v>
      </c>
      <c r="B652" t="str">
        <f ca="1"/>
        <v>08. Producción Finalizada</v>
      </c>
      <c r="C652" t="str">
        <f ca="1"/>
        <v>2025-M0692</v>
      </c>
      <c r="D652" t="str">
        <f ca="1"/>
        <v>2025-M0692</v>
      </c>
      <c r="E652" s="255">
        <f ca="1"/>
        <v>1</v>
      </c>
      <c r="F652" s="255">
        <f ca="1"/>
        <v>1</v>
      </c>
      <c r="G652" s="356">
        <f ca="1">IF(TRIM(D652)=C652,
   _xlfn.XLOOKUP(C652, Cartera1017[ID Mantenimiento],Cartera1017[Comienzo Desarrollo]),
IF(TRIM(D652)="Desarrollo",
   _xlfn.XLOOKUP(C652,Cartera1017[ID Mantenimiento],Cartera1017[Comienzo Desarrollo]),
IF(TRIM(D652)="Calidad",
   _xlfn.XLOOKUP(C652,Cartera1017[ID Mantenimiento],Cartera1017[Comienzo Calidad]),
IF(TRIM(D652)="Producción",
   _xlfn.XLOOKUP(C652,Cartera1017[ID Mantenimiento],Cartera1017[Comienzo Producción]),
""))))</f>
        <v>45957</v>
      </c>
      <c r="H652" s="160">
        <f ca="1">IF(TRIM(D652)=C652,
   _xlfn.XLOOKUP(C652, Cartera1017[ID Mantenimiento],Cartera1017[Fin Producción]),
IF(TRIM(D652)="Desarrollo",
   _xlfn.XLOOKUP(C652,Cartera1017[ID Mantenimiento],Cartera1017[Fin Desarrollo]),
IF(TRIM(D652)="Calidad",
   _xlfn.XLOOKUP(C652,Cartera1017[ID Mantenimiento],Cartera1017[Fin Calidad]),
IF(TRIM(D652)="Producción",
   _xlfn.XLOOKUP(C652,Cartera1017[ID Mantenimiento],Cartera1017[Fin Producción]),
""))))</f>
        <v>46108</v>
      </c>
    </row>
    <row r="653" spans="1:8" hidden="1" outlineLevel="1">
      <c r="A653" t="str">
        <f ca="1"/>
        <v>Productos e Inclusión Financiera</v>
      </c>
      <c r="B653" t="str">
        <f ca="1"/>
        <v>08. Producción Finalizada</v>
      </c>
      <c r="C653" t="str">
        <f ca="1"/>
        <v>2025-M0692</v>
      </c>
      <c r="D653" t="str">
        <f ca="1"/>
        <v xml:space="preserve">   Desarrollo</v>
      </c>
      <c r="E653" s="255">
        <f ca="1"/>
        <v>1</v>
      </c>
      <c r="F653" s="255">
        <f ca="1"/>
        <v>1</v>
      </c>
      <c r="G653" s="356">
        <f ca="1">IF(TRIM(D653)=C653,
   _xlfn.XLOOKUP(C653, Cartera1017[ID Mantenimiento],Cartera1017[Comienzo Desarrollo]),
IF(TRIM(D653)="Desarrollo",
   _xlfn.XLOOKUP(C653,Cartera1017[ID Mantenimiento],Cartera1017[Comienzo Desarrollo]),
IF(TRIM(D653)="Calidad",
   _xlfn.XLOOKUP(C653,Cartera1017[ID Mantenimiento],Cartera1017[Comienzo Calidad]),
IF(TRIM(D653)="Producción",
   _xlfn.XLOOKUP(C653,Cartera1017[ID Mantenimiento],Cartera1017[Comienzo Producción]),
""))))</f>
        <v>45957</v>
      </c>
      <c r="H653" s="160">
        <f ca="1">IF(TRIM(D653)=C653,
   _xlfn.XLOOKUP(C653, Cartera1017[ID Mantenimiento],Cartera1017[Fin Producción]),
IF(TRIM(D653)="Desarrollo",
   _xlfn.XLOOKUP(C653,Cartera1017[ID Mantenimiento],Cartera1017[Fin Desarrollo]),
IF(TRIM(D653)="Calidad",
   _xlfn.XLOOKUP(C653,Cartera1017[ID Mantenimiento],Cartera1017[Fin Calidad]),
IF(TRIM(D653)="Producción",
   _xlfn.XLOOKUP(C653,Cartera1017[ID Mantenimiento],Cartera1017[Fin Producción]),
""))))</f>
        <v>46028</v>
      </c>
    </row>
    <row r="654" spans="1:8" hidden="1" outlineLevel="1">
      <c r="A654" t="str">
        <f ca="1"/>
        <v>Productos e Inclusión Financiera</v>
      </c>
      <c r="B654" t="str">
        <f ca="1"/>
        <v>08. Producción Finalizada</v>
      </c>
      <c r="C654" t="str">
        <f ca="1"/>
        <v>2025-M0692</v>
      </c>
      <c r="D654" t="str">
        <f ca="1"/>
        <v xml:space="preserve">   Calidad</v>
      </c>
      <c r="E654" s="255">
        <f ca="1"/>
        <v>1</v>
      </c>
      <c r="F654" s="255">
        <f ca="1"/>
        <v>1</v>
      </c>
      <c r="G654" s="356">
        <f ca="1">IF(TRIM(D654)=C654,
   _xlfn.XLOOKUP(C654, Cartera1017[ID Mantenimiento],Cartera1017[Comienzo Desarrollo]),
IF(TRIM(D654)="Desarrollo",
   _xlfn.XLOOKUP(C654,Cartera1017[ID Mantenimiento],Cartera1017[Comienzo Desarrollo]),
IF(TRIM(D654)="Calidad",
   _xlfn.XLOOKUP(C654,Cartera1017[ID Mantenimiento],Cartera1017[Comienzo Calidad]),
IF(TRIM(D654)="Producción",
   _xlfn.XLOOKUP(C654,Cartera1017[ID Mantenimiento],Cartera1017[Comienzo Producción]),
""))))</f>
        <v>46029</v>
      </c>
      <c r="H654" s="160">
        <f ca="1">IF(TRIM(D654)=C654,
   _xlfn.XLOOKUP(C654, Cartera1017[ID Mantenimiento],Cartera1017[Fin Producción]),
IF(TRIM(D654)="Desarrollo",
   _xlfn.XLOOKUP(C654,Cartera1017[ID Mantenimiento],Cartera1017[Fin Desarrollo]),
IF(TRIM(D654)="Calidad",
   _xlfn.XLOOKUP(C654,Cartera1017[ID Mantenimiento],Cartera1017[Fin Calidad]),
IF(TRIM(D654)="Producción",
   _xlfn.XLOOKUP(C654,Cartera1017[ID Mantenimiento],Cartera1017[Fin Producción]),
""))))</f>
        <v>46097</v>
      </c>
    </row>
    <row r="655" spans="1:8" hidden="1" outlineLevel="1">
      <c r="A655" t="str">
        <f ca="1"/>
        <v>Productos e Inclusión Financiera</v>
      </c>
      <c r="B655" t="str">
        <f ca="1"/>
        <v>08. Producción Finalizada</v>
      </c>
      <c r="C655" t="str">
        <f ca="1"/>
        <v>2025-M0692</v>
      </c>
      <c r="D655" t="str">
        <f ca="1"/>
        <v xml:space="preserve">   Producción</v>
      </c>
      <c r="E655" s="255">
        <f ca="1"/>
        <v>1</v>
      </c>
      <c r="F655" s="255">
        <f ca="1"/>
        <v>1</v>
      </c>
      <c r="G655" s="356">
        <f ca="1">IF(TRIM(D655)=C655,
   _xlfn.XLOOKUP(C655, Cartera1017[ID Mantenimiento],Cartera1017[Comienzo Desarrollo]),
IF(TRIM(D655)="Desarrollo",
   _xlfn.XLOOKUP(C655,Cartera1017[ID Mantenimiento],Cartera1017[Comienzo Desarrollo]),
IF(TRIM(D655)="Calidad",
   _xlfn.XLOOKUP(C655,Cartera1017[ID Mantenimiento],Cartera1017[Comienzo Calidad]),
IF(TRIM(D655)="Producción",
   _xlfn.XLOOKUP(C655,Cartera1017[ID Mantenimiento],Cartera1017[Comienzo Producción]),
""))))</f>
        <v>46098</v>
      </c>
      <c r="H655" s="160">
        <f ca="1">IF(TRIM(D655)=C655,
   _xlfn.XLOOKUP(C655, Cartera1017[ID Mantenimiento],Cartera1017[Fin Producción]),
IF(TRIM(D655)="Desarrollo",
   _xlfn.XLOOKUP(C655,Cartera1017[ID Mantenimiento],Cartera1017[Fin Desarrollo]),
IF(TRIM(D655)="Calidad",
   _xlfn.XLOOKUP(C655,Cartera1017[ID Mantenimiento],Cartera1017[Fin Calidad]),
IF(TRIM(D655)="Producción",
   _xlfn.XLOOKUP(C655,Cartera1017[ID Mantenimiento],Cartera1017[Fin Producción]),
""))))</f>
        <v>46108</v>
      </c>
    </row>
    <row r="656" spans="1:8" hidden="1" collapsed="1">
      <c r="A656" t="str">
        <f ca="1"/>
        <v>Tecnologías de Información</v>
      </c>
      <c r="B656" t="str">
        <f ca="1"/>
        <v>03. En Desarrollo</v>
      </c>
      <c r="C656" t="str">
        <f ca="1"/>
        <v>2025-M0742</v>
      </c>
      <c r="D656" t="str">
        <f ca="1"/>
        <v>2025-M0742</v>
      </c>
      <c r="E656" s="255">
        <f ca="1"/>
        <v>0.25</v>
      </c>
      <c r="F656" s="255">
        <f ca="1"/>
        <v>1</v>
      </c>
      <c r="G656" s="356">
        <f ca="1">IF(TRIM(D656)=C656,
   _xlfn.XLOOKUP(C656, Cartera1017[ID Mantenimiento],Cartera1017[Comienzo Desarrollo]),
IF(TRIM(D656)="Desarrollo",
   _xlfn.XLOOKUP(C656,Cartera1017[ID Mantenimiento],Cartera1017[Comienzo Desarrollo]),
IF(TRIM(D656)="Calidad",
   _xlfn.XLOOKUP(C656,Cartera1017[ID Mantenimiento],Cartera1017[Comienzo Calidad]),
IF(TRIM(D656)="Producción",
   _xlfn.XLOOKUP(C656,Cartera1017[ID Mantenimiento],Cartera1017[Comienzo Producción]),
""))))</f>
        <v>46083</v>
      </c>
      <c r="H656" s="160">
        <f ca="1">IF(TRIM(D656)=C656,
   _xlfn.XLOOKUP(C656, Cartera1017[ID Mantenimiento],Cartera1017[Fin Producción]),
IF(TRIM(D656)="Desarrollo",
   _xlfn.XLOOKUP(C656,Cartera1017[ID Mantenimiento],Cartera1017[Fin Desarrollo]),
IF(TRIM(D656)="Calidad",
   _xlfn.XLOOKUP(C656,Cartera1017[ID Mantenimiento],Cartera1017[Fin Calidad]),
IF(TRIM(D656)="Producción",
   _xlfn.XLOOKUP(C656,Cartera1017[ID Mantenimiento],Cartera1017[Fin Producción]),
""))))</f>
        <v>46118</v>
      </c>
    </row>
    <row r="657" spans="1:8" hidden="1" outlineLevel="1">
      <c r="A657" t="str">
        <f ca="1"/>
        <v>Tecnologías de Información</v>
      </c>
      <c r="B657" t="str">
        <f ca="1"/>
        <v>03. En Desarrollo</v>
      </c>
      <c r="C657" t="str">
        <f ca="1"/>
        <v>2025-M0742</v>
      </c>
      <c r="D657" t="str">
        <f ca="1"/>
        <v xml:space="preserve">   Desarrollo</v>
      </c>
      <c r="E657" s="255">
        <f ca="1"/>
        <v>0.25</v>
      </c>
      <c r="F657" s="255">
        <f ca="1"/>
        <v>1</v>
      </c>
      <c r="G657" s="356">
        <f ca="1">IF(TRIM(D657)=C657,
   _xlfn.XLOOKUP(C657, Cartera1017[ID Mantenimiento],Cartera1017[Comienzo Desarrollo]),
IF(TRIM(D657)="Desarrollo",
   _xlfn.XLOOKUP(C657,Cartera1017[ID Mantenimiento],Cartera1017[Comienzo Desarrollo]),
IF(TRIM(D657)="Calidad",
   _xlfn.XLOOKUP(C657,Cartera1017[ID Mantenimiento],Cartera1017[Comienzo Calidad]),
IF(TRIM(D657)="Producción",
   _xlfn.XLOOKUP(C657,Cartera1017[ID Mantenimiento],Cartera1017[Comienzo Producción]),
""))))</f>
        <v>46083</v>
      </c>
      <c r="H657" s="160">
        <f ca="1">IF(TRIM(D657)=C657,
   _xlfn.XLOOKUP(C657, Cartera1017[ID Mantenimiento],Cartera1017[Fin Producción]),
IF(TRIM(D657)="Desarrollo",
   _xlfn.XLOOKUP(C657,Cartera1017[ID Mantenimiento],Cartera1017[Fin Desarrollo]),
IF(TRIM(D657)="Calidad",
   _xlfn.XLOOKUP(C657,Cartera1017[ID Mantenimiento],Cartera1017[Fin Calidad]),
IF(TRIM(D657)="Producción",
   _xlfn.XLOOKUP(C657,Cartera1017[ID Mantenimiento],Cartera1017[Fin Producción]),
""))))</f>
        <v>46105</v>
      </c>
    </row>
    <row r="658" spans="1:8" hidden="1" outlineLevel="1">
      <c r="A658" t="str">
        <f ca="1"/>
        <v>Tecnologías de Información</v>
      </c>
      <c r="B658" t="str">
        <f ca="1"/>
        <v>03. En Desarrollo</v>
      </c>
      <c r="C658" t="str">
        <f ca="1"/>
        <v>2025-M0742</v>
      </c>
      <c r="D658" t="str">
        <f ca="1"/>
        <v xml:space="preserve">   Calidad</v>
      </c>
      <c r="E658" s="255">
        <f ca="1"/>
        <v>0.25</v>
      </c>
      <c r="F658" s="255">
        <f ca="1"/>
        <v>1</v>
      </c>
      <c r="G658" s="356">
        <f ca="1">IF(TRIM(D658)=C658,
   _xlfn.XLOOKUP(C658, Cartera1017[ID Mantenimiento],Cartera1017[Comienzo Desarrollo]),
IF(TRIM(D658)="Desarrollo",
   _xlfn.XLOOKUP(C658,Cartera1017[ID Mantenimiento],Cartera1017[Comienzo Desarrollo]),
IF(TRIM(D658)="Calidad",
   _xlfn.XLOOKUP(C658,Cartera1017[ID Mantenimiento],Cartera1017[Comienzo Calidad]),
IF(TRIM(D658)="Producción",
   _xlfn.XLOOKUP(C658,Cartera1017[ID Mantenimiento],Cartera1017[Comienzo Producción]),
""))))</f>
        <v>46107</v>
      </c>
      <c r="H658" s="160">
        <f ca="1">IF(TRIM(D658)=C658,
   _xlfn.XLOOKUP(C658, Cartera1017[ID Mantenimiento],Cartera1017[Fin Producción]),
IF(TRIM(D658)="Desarrollo",
   _xlfn.XLOOKUP(C658,Cartera1017[ID Mantenimiento],Cartera1017[Fin Desarrollo]),
IF(TRIM(D658)="Calidad",
   _xlfn.XLOOKUP(C658,Cartera1017[ID Mantenimiento],Cartera1017[Fin Calidad]),
IF(TRIM(D658)="Producción",
   _xlfn.XLOOKUP(C658,Cartera1017[ID Mantenimiento],Cartera1017[Fin Producción]),
""))))</f>
        <v>46111</v>
      </c>
    </row>
    <row r="659" spans="1:8" hidden="1" outlineLevel="1">
      <c r="A659" t="str">
        <f ca="1"/>
        <v>Tecnologías de Información</v>
      </c>
      <c r="B659" t="str">
        <f ca="1"/>
        <v>03. En Desarrollo</v>
      </c>
      <c r="C659" t="str">
        <f ca="1"/>
        <v>2025-M0742</v>
      </c>
      <c r="D659" t="str">
        <f ca="1"/>
        <v xml:space="preserve">   Producción</v>
      </c>
      <c r="E659" s="255">
        <f ca="1"/>
        <v>0.25</v>
      </c>
      <c r="F659" s="255">
        <f ca="1"/>
        <v>1</v>
      </c>
      <c r="G659" s="356">
        <f ca="1">IF(TRIM(D659)=C659,
   _xlfn.XLOOKUP(C659, Cartera1017[ID Mantenimiento],Cartera1017[Comienzo Desarrollo]),
IF(TRIM(D659)="Desarrollo",
   _xlfn.XLOOKUP(C659,Cartera1017[ID Mantenimiento],Cartera1017[Comienzo Desarrollo]),
IF(TRIM(D659)="Calidad",
   _xlfn.XLOOKUP(C659,Cartera1017[ID Mantenimiento],Cartera1017[Comienzo Calidad]),
IF(TRIM(D659)="Producción",
   _xlfn.XLOOKUP(C659,Cartera1017[ID Mantenimiento],Cartera1017[Comienzo Producción]),
""))))</f>
        <v>46113</v>
      </c>
      <c r="H659" s="160">
        <f ca="1">IF(TRIM(D659)=C659,
   _xlfn.XLOOKUP(C659, Cartera1017[ID Mantenimiento],Cartera1017[Fin Producción]),
IF(TRIM(D659)="Desarrollo",
   _xlfn.XLOOKUP(C659,Cartera1017[ID Mantenimiento],Cartera1017[Fin Desarrollo]),
IF(TRIM(D659)="Calidad",
   _xlfn.XLOOKUP(C659,Cartera1017[ID Mantenimiento],Cartera1017[Fin Calidad]),
IF(TRIM(D659)="Producción",
   _xlfn.XLOOKUP(C659,Cartera1017[ID Mantenimiento],Cartera1017[Fin Producción]),
""))))</f>
        <v>46118</v>
      </c>
    </row>
    <row r="660" spans="1:8" hidden="1" collapsed="1">
      <c r="A660" t="str">
        <f ca="1"/>
        <v>Operaciones</v>
      </c>
      <c r="B660" t="str">
        <f ca="1"/>
        <v>08. Producción Finalizada</v>
      </c>
      <c r="C660" t="str">
        <f ca="1"/>
        <v>2025-M0738</v>
      </c>
      <c r="D660" t="str">
        <f ca="1"/>
        <v>2025-M0738</v>
      </c>
      <c r="E660" s="255">
        <f ca="1"/>
        <v>1</v>
      </c>
      <c r="F660" s="255">
        <f ca="1"/>
        <v>1</v>
      </c>
      <c r="G660" s="356">
        <f ca="1">IF(TRIM(D660)=C660,
   _xlfn.XLOOKUP(C660, Cartera1017[ID Mantenimiento],Cartera1017[Comienzo Desarrollo]),
IF(TRIM(D660)="Desarrollo",
   _xlfn.XLOOKUP(C660,Cartera1017[ID Mantenimiento],Cartera1017[Comienzo Desarrollo]),
IF(TRIM(D660)="Calidad",
   _xlfn.XLOOKUP(C660,Cartera1017[ID Mantenimiento],Cartera1017[Comienzo Calidad]),
IF(TRIM(D660)="Producción",
   _xlfn.XLOOKUP(C660,Cartera1017[ID Mantenimiento],Cartera1017[Comienzo Producción]),
""))))</f>
        <v>46002</v>
      </c>
      <c r="H660" s="160">
        <f ca="1">IF(TRIM(D660)=C660,
   _xlfn.XLOOKUP(C660, Cartera1017[ID Mantenimiento],Cartera1017[Fin Producción]),
IF(TRIM(D660)="Desarrollo",
   _xlfn.XLOOKUP(C660,Cartera1017[ID Mantenimiento],Cartera1017[Fin Desarrollo]),
IF(TRIM(D660)="Calidad",
   _xlfn.XLOOKUP(C660,Cartera1017[ID Mantenimiento],Cartera1017[Fin Calidad]),
IF(TRIM(D660)="Producción",
   _xlfn.XLOOKUP(C660,Cartera1017[ID Mantenimiento],Cartera1017[Fin Producción]),
""))))</f>
        <v>46087</v>
      </c>
    </row>
    <row r="661" spans="1:8" hidden="1" outlineLevel="1">
      <c r="A661" t="str">
        <f ca="1"/>
        <v>Operaciones</v>
      </c>
      <c r="B661" t="str">
        <f ca="1"/>
        <v>08. Producción Finalizada</v>
      </c>
      <c r="C661" t="str">
        <f ca="1"/>
        <v>2025-M0738</v>
      </c>
      <c r="D661" t="str">
        <f ca="1"/>
        <v xml:space="preserve">   Desarrollo</v>
      </c>
      <c r="E661" s="255">
        <f ca="1"/>
        <v>1</v>
      </c>
      <c r="F661" s="255">
        <f ca="1"/>
        <v>1</v>
      </c>
      <c r="G661" s="356">
        <f ca="1">IF(TRIM(D661)=C661,
   _xlfn.XLOOKUP(C661, Cartera1017[ID Mantenimiento],Cartera1017[Comienzo Desarrollo]),
IF(TRIM(D661)="Desarrollo",
   _xlfn.XLOOKUP(C661,Cartera1017[ID Mantenimiento],Cartera1017[Comienzo Desarrollo]),
IF(TRIM(D661)="Calidad",
   _xlfn.XLOOKUP(C661,Cartera1017[ID Mantenimiento],Cartera1017[Comienzo Calidad]),
IF(TRIM(D661)="Producción",
   _xlfn.XLOOKUP(C661,Cartera1017[ID Mantenimiento],Cartera1017[Comienzo Producción]),
""))))</f>
        <v>46002</v>
      </c>
      <c r="H661" s="160">
        <f ca="1">IF(TRIM(D661)=C661,
   _xlfn.XLOOKUP(C661, Cartera1017[ID Mantenimiento],Cartera1017[Fin Producción]),
IF(TRIM(D661)="Desarrollo",
   _xlfn.XLOOKUP(C661,Cartera1017[ID Mantenimiento],Cartera1017[Fin Desarrollo]),
IF(TRIM(D661)="Calidad",
   _xlfn.XLOOKUP(C661,Cartera1017[ID Mantenimiento],Cartera1017[Fin Calidad]),
IF(TRIM(D661)="Producción",
   _xlfn.XLOOKUP(C661,Cartera1017[ID Mantenimiento],Cartera1017[Fin Producción]),
""))))</f>
        <v>46034</v>
      </c>
    </row>
    <row r="662" spans="1:8" hidden="1" outlineLevel="1">
      <c r="A662" t="str">
        <f ca="1"/>
        <v>Operaciones</v>
      </c>
      <c r="B662" t="str">
        <f ca="1"/>
        <v>08. Producción Finalizada</v>
      </c>
      <c r="C662" t="str">
        <f ca="1"/>
        <v>2025-M0738</v>
      </c>
      <c r="D662" t="str">
        <f ca="1"/>
        <v xml:space="preserve">   Calidad</v>
      </c>
      <c r="E662" s="255">
        <f ca="1"/>
        <v>1</v>
      </c>
      <c r="F662" s="255">
        <f ca="1"/>
        <v>1</v>
      </c>
      <c r="G662" s="356">
        <f ca="1">IF(TRIM(D662)=C662,
   _xlfn.XLOOKUP(C662, Cartera1017[ID Mantenimiento],Cartera1017[Comienzo Desarrollo]),
IF(TRIM(D662)="Desarrollo",
   _xlfn.XLOOKUP(C662,Cartera1017[ID Mantenimiento],Cartera1017[Comienzo Desarrollo]),
IF(TRIM(D662)="Calidad",
   _xlfn.XLOOKUP(C662,Cartera1017[ID Mantenimiento],Cartera1017[Comienzo Calidad]),
IF(TRIM(D662)="Producción",
   _xlfn.XLOOKUP(C662,Cartera1017[ID Mantenimiento],Cartera1017[Comienzo Producción]),
""))))</f>
        <v>46036</v>
      </c>
      <c r="H662" s="160">
        <f ca="1">IF(TRIM(D662)=C662,
   _xlfn.XLOOKUP(C662, Cartera1017[ID Mantenimiento],Cartera1017[Fin Producción]),
IF(TRIM(D662)="Desarrollo",
   _xlfn.XLOOKUP(C662,Cartera1017[ID Mantenimiento],Cartera1017[Fin Desarrollo]),
IF(TRIM(D662)="Calidad",
   _xlfn.XLOOKUP(C662,Cartera1017[ID Mantenimiento],Cartera1017[Fin Calidad]),
IF(TRIM(D662)="Producción",
   _xlfn.XLOOKUP(C662,Cartera1017[ID Mantenimiento],Cartera1017[Fin Producción]),
""))))</f>
        <v>46050</v>
      </c>
    </row>
    <row r="663" spans="1:8" hidden="1" outlineLevel="1">
      <c r="A663" t="str">
        <f ca="1"/>
        <v>Operaciones</v>
      </c>
      <c r="B663" t="str">
        <f ca="1"/>
        <v>08. Producción Finalizada</v>
      </c>
      <c r="C663" t="str">
        <f ca="1"/>
        <v>2025-M0738</v>
      </c>
      <c r="D663" t="str">
        <f ca="1"/>
        <v xml:space="preserve">   Producción</v>
      </c>
      <c r="E663" s="255">
        <f ca="1"/>
        <v>1</v>
      </c>
      <c r="F663" s="255">
        <f ca="1"/>
        <v>1</v>
      </c>
      <c r="G663" s="356">
        <f ca="1">IF(TRIM(D663)=C663,
   _xlfn.XLOOKUP(C663, Cartera1017[ID Mantenimiento],Cartera1017[Comienzo Desarrollo]),
IF(TRIM(D663)="Desarrollo",
   _xlfn.XLOOKUP(C663,Cartera1017[ID Mantenimiento],Cartera1017[Comienzo Desarrollo]),
IF(TRIM(D663)="Calidad",
   _xlfn.XLOOKUP(C663,Cartera1017[ID Mantenimiento],Cartera1017[Comienzo Calidad]),
IF(TRIM(D663)="Producción",
   _xlfn.XLOOKUP(C663,Cartera1017[ID Mantenimiento],Cartera1017[Comienzo Producción]),
""))))</f>
        <v>46065</v>
      </c>
      <c r="H663" s="160">
        <f ca="1">IF(TRIM(D663)=C663,
   _xlfn.XLOOKUP(C663, Cartera1017[ID Mantenimiento],Cartera1017[Fin Producción]),
IF(TRIM(D663)="Desarrollo",
   _xlfn.XLOOKUP(C663,Cartera1017[ID Mantenimiento],Cartera1017[Fin Desarrollo]),
IF(TRIM(D663)="Calidad",
   _xlfn.XLOOKUP(C663,Cartera1017[ID Mantenimiento],Cartera1017[Fin Calidad]),
IF(TRIM(D663)="Producción",
   _xlfn.XLOOKUP(C663,Cartera1017[ID Mantenimiento],Cartera1017[Fin Producción]),
""))))</f>
        <v>46087</v>
      </c>
    </row>
    <row r="664" spans="1:8" hidden="1" collapsed="1">
      <c r="A664" t="str">
        <f ca="1"/>
        <v>Tecnologías de Información</v>
      </c>
      <c r="B664" t="str">
        <f ca="1"/>
        <v>03. En Desarrollo</v>
      </c>
      <c r="C664" t="str">
        <f ca="1"/>
        <v>2025-M0743</v>
      </c>
      <c r="D664" t="str">
        <f ca="1"/>
        <v>2025-M0743</v>
      </c>
      <c r="E664" s="255">
        <f ca="1"/>
        <v>0.25</v>
      </c>
      <c r="F664" s="255">
        <f ca="1"/>
        <v>1</v>
      </c>
      <c r="G664" s="356">
        <f ca="1">IF(TRIM(D664)=C664,
   _xlfn.XLOOKUP(C664, Cartera1017[ID Mantenimiento],Cartera1017[Comienzo Desarrollo]),
IF(TRIM(D664)="Desarrollo",
   _xlfn.XLOOKUP(C664,Cartera1017[ID Mantenimiento],Cartera1017[Comienzo Desarrollo]),
IF(TRIM(D664)="Calidad",
   _xlfn.XLOOKUP(C664,Cartera1017[ID Mantenimiento],Cartera1017[Comienzo Calidad]),
IF(TRIM(D664)="Producción",
   _xlfn.XLOOKUP(C664,Cartera1017[ID Mantenimiento],Cartera1017[Comienzo Producción]),
""))))</f>
        <v>46083</v>
      </c>
      <c r="H664" s="160">
        <f ca="1">IF(TRIM(D664)=C664,
   _xlfn.XLOOKUP(C664, Cartera1017[ID Mantenimiento],Cartera1017[Fin Producción]),
IF(TRIM(D664)="Desarrollo",
   _xlfn.XLOOKUP(C664,Cartera1017[ID Mantenimiento],Cartera1017[Fin Desarrollo]),
IF(TRIM(D664)="Calidad",
   _xlfn.XLOOKUP(C664,Cartera1017[ID Mantenimiento],Cartera1017[Fin Calidad]),
IF(TRIM(D664)="Producción",
   _xlfn.XLOOKUP(C664,Cartera1017[ID Mantenimiento],Cartera1017[Fin Producción]),
""))))</f>
        <v>46118</v>
      </c>
    </row>
    <row r="665" spans="1:8" hidden="1" outlineLevel="1">
      <c r="A665" t="str">
        <f ca="1"/>
        <v>Tecnologías de Información</v>
      </c>
      <c r="B665" t="str">
        <f ca="1"/>
        <v>03. En Desarrollo</v>
      </c>
      <c r="C665" t="str">
        <f ca="1"/>
        <v>2025-M0743</v>
      </c>
      <c r="D665" t="str">
        <f ca="1"/>
        <v xml:space="preserve">   Desarrollo</v>
      </c>
      <c r="E665" s="255">
        <f ca="1"/>
        <v>0.25</v>
      </c>
      <c r="F665" s="255">
        <f ca="1"/>
        <v>1</v>
      </c>
      <c r="G665" s="356">
        <f ca="1">IF(TRIM(D665)=C665,
   _xlfn.XLOOKUP(C665, Cartera1017[ID Mantenimiento],Cartera1017[Comienzo Desarrollo]),
IF(TRIM(D665)="Desarrollo",
   _xlfn.XLOOKUP(C665,Cartera1017[ID Mantenimiento],Cartera1017[Comienzo Desarrollo]),
IF(TRIM(D665)="Calidad",
   _xlfn.XLOOKUP(C665,Cartera1017[ID Mantenimiento],Cartera1017[Comienzo Calidad]),
IF(TRIM(D665)="Producción",
   _xlfn.XLOOKUP(C665,Cartera1017[ID Mantenimiento],Cartera1017[Comienzo Producción]),
""))))</f>
        <v>46083</v>
      </c>
      <c r="H665" s="160">
        <f ca="1">IF(TRIM(D665)=C665,
   _xlfn.XLOOKUP(C665, Cartera1017[ID Mantenimiento],Cartera1017[Fin Producción]),
IF(TRIM(D665)="Desarrollo",
   _xlfn.XLOOKUP(C665,Cartera1017[ID Mantenimiento],Cartera1017[Fin Desarrollo]),
IF(TRIM(D665)="Calidad",
   _xlfn.XLOOKUP(C665,Cartera1017[ID Mantenimiento],Cartera1017[Fin Calidad]),
IF(TRIM(D665)="Producción",
   _xlfn.XLOOKUP(C665,Cartera1017[ID Mantenimiento],Cartera1017[Fin Producción]),
""))))</f>
        <v>46105</v>
      </c>
    </row>
    <row r="666" spans="1:8" hidden="1" outlineLevel="1">
      <c r="A666" t="str">
        <f ca="1"/>
        <v>Tecnologías de Información</v>
      </c>
      <c r="B666" t="str">
        <f ca="1"/>
        <v>03. En Desarrollo</v>
      </c>
      <c r="C666" t="str">
        <f ca="1"/>
        <v>2025-M0743</v>
      </c>
      <c r="D666" t="str">
        <f ca="1"/>
        <v xml:space="preserve">   Calidad</v>
      </c>
      <c r="E666" s="255">
        <f ca="1"/>
        <v>0.25</v>
      </c>
      <c r="F666" s="255">
        <f ca="1"/>
        <v>1</v>
      </c>
      <c r="G666" s="356">
        <f ca="1">IF(TRIM(D666)=C666,
   _xlfn.XLOOKUP(C666, Cartera1017[ID Mantenimiento],Cartera1017[Comienzo Desarrollo]),
IF(TRIM(D666)="Desarrollo",
   _xlfn.XLOOKUP(C666,Cartera1017[ID Mantenimiento],Cartera1017[Comienzo Desarrollo]),
IF(TRIM(D666)="Calidad",
   _xlfn.XLOOKUP(C666,Cartera1017[ID Mantenimiento],Cartera1017[Comienzo Calidad]),
IF(TRIM(D666)="Producción",
   _xlfn.XLOOKUP(C666,Cartera1017[ID Mantenimiento],Cartera1017[Comienzo Producción]),
""))))</f>
        <v>46107</v>
      </c>
      <c r="H666" s="160">
        <f ca="1">IF(TRIM(D666)=C666,
   _xlfn.XLOOKUP(C666, Cartera1017[ID Mantenimiento],Cartera1017[Fin Producción]),
IF(TRIM(D666)="Desarrollo",
   _xlfn.XLOOKUP(C666,Cartera1017[ID Mantenimiento],Cartera1017[Fin Desarrollo]),
IF(TRIM(D666)="Calidad",
   _xlfn.XLOOKUP(C666,Cartera1017[ID Mantenimiento],Cartera1017[Fin Calidad]),
IF(TRIM(D666)="Producción",
   _xlfn.XLOOKUP(C666,Cartera1017[ID Mantenimiento],Cartera1017[Fin Producción]),
""))))</f>
        <v>46111</v>
      </c>
    </row>
    <row r="667" spans="1:8" hidden="1" outlineLevel="1">
      <c r="A667" t="str">
        <f ca="1"/>
        <v>Tecnologías de Información</v>
      </c>
      <c r="B667" t="str">
        <f ca="1"/>
        <v>03. En Desarrollo</v>
      </c>
      <c r="C667" t="str">
        <f ca="1"/>
        <v>2025-M0743</v>
      </c>
      <c r="D667" t="str">
        <f ca="1"/>
        <v xml:space="preserve">   Producción</v>
      </c>
      <c r="E667" s="255">
        <f ca="1"/>
        <v>0.25</v>
      </c>
      <c r="F667" s="255">
        <f ca="1"/>
        <v>1</v>
      </c>
      <c r="G667" s="356">
        <f ca="1">IF(TRIM(D667)=C667,
   _xlfn.XLOOKUP(C667, Cartera1017[ID Mantenimiento],Cartera1017[Comienzo Desarrollo]),
IF(TRIM(D667)="Desarrollo",
   _xlfn.XLOOKUP(C667,Cartera1017[ID Mantenimiento],Cartera1017[Comienzo Desarrollo]),
IF(TRIM(D667)="Calidad",
   _xlfn.XLOOKUP(C667,Cartera1017[ID Mantenimiento],Cartera1017[Comienzo Calidad]),
IF(TRIM(D667)="Producción",
   _xlfn.XLOOKUP(C667,Cartera1017[ID Mantenimiento],Cartera1017[Comienzo Producción]),
""))))</f>
        <v>46113</v>
      </c>
      <c r="H667" s="160">
        <f ca="1">IF(TRIM(D667)=C667,
   _xlfn.XLOOKUP(C667, Cartera1017[ID Mantenimiento],Cartera1017[Fin Producción]),
IF(TRIM(D667)="Desarrollo",
   _xlfn.XLOOKUP(C667,Cartera1017[ID Mantenimiento],Cartera1017[Fin Desarrollo]),
IF(TRIM(D667)="Calidad",
   _xlfn.XLOOKUP(C667,Cartera1017[ID Mantenimiento],Cartera1017[Fin Calidad]),
IF(TRIM(D667)="Producción",
   _xlfn.XLOOKUP(C667,Cartera1017[ID Mantenimiento],Cartera1017[Fin Producción]),
""))))</f>
        <v>46118</v>
      </c>
    </row>
    <row r="668" spans="1:8" hidden="1" collapsed="1">
      <c r="A668" t="str">
        <f ca="1"/>
        <v>Finanzas y Tesorería</v>
      </c>
      <c r="B668" t="str">
        <f ca="1"/>
        <v>05. En Calidad</v>
      </c>
      <c r="C668" t="str">
        <f ca="1"/>
        <v>2025-M0736</v>
      </c>
      <c r="D668" t="str">
        <f ca="1"/>
        <v>2025-M0736</v>
      </c>
      <c r="E668" s="255">
        <f ca="1"/>
        <v>0.7</v>
      </c>
      <c r="F668" s="255">
        <f ca="1"/>
        <v>0.90654205607476634</v>
      </c>
      <c r="G668" s="356">
        <f ca="1">IF(TRIM(D668)=C668,
   _xlfn.XLOOKUP(C668, Cartera1017[ID Mantenimiento],Cartera1017[Comienzo Desarrollo]),
IF(TRIM(D668)="Desarrollo",
   _xlfn.XLOOKUP(C668,Cartera1017[ID Mantenimiento],Cartera1017[Comienzo Desarrollo]),
IF(TRIM(D668)="Calidad",
   _xlfn.XLOOKUP(C668,Cartera1017[ID Mantenimiento],Cartera1017[Comienzo Calidad]),
IF(TRIM(D668)="Producción",
   _xlfn.XLOOKUP(C668,Cartera1017[ID Mantenimiento],Cartera1017[Comienzo Producción]),
""))))</f>
        <v>46027</v>
      </c>
      <c r="H668" s="160">
        <f ca="1">IF(TRIM(D668)=C668,
   _xlfn.XLOOKUP(C668, Cartera1017[ID Mantenimiento],Cartera1017[Fin Producción]),
IF(TRIM(D668)="Desarrollo",
   _xlfn.XLOOKUP(C668,Cartera1017[ID Mantenimiento],Cartera1017[Fin Desarrollo]),
IF(TRIM(D668)="Calidad",
   _xlfn.XLOOKUP(C668,Cartera1017[ID Mantenimiento],Cartera1017[Fin Calidad]),
IF(TRIM(D668)="Producción",
   _xlfn.XLOOKUP(C668,Cartera1017[ID Mantenimiento],Cartera1017[Fin Producción]),
""))))</f>
        <v>46176</v>
      </c>
    </row>
    <row r="669" spans="1:8" hidden="1" outlineLevel="1">
      <c r="A669" t="str">
        <f ca="1"/>
        <v>Finanzas y Tesorería</v>
      </c>
      <c r="B669" t="str">
        <f ca="1"/>
        <v>05. En Calidad</v>
      </c>
      <c r="C669" t="str">
        <f ca="1"/>
        <v>2025-M0736</v>
      </c>
      <c r="D669" t="str">
        <f ca="1"/>
        <v xml:space="preserve">   Desarrollo</v>
      </c>
      <c r="E669" s="255">
        <f ca="1"/>
        <v>0.7</v>
      </c>
      <c r="F669" s="255">
        <f ca="1"/>
        <v>0.90654205607476634</v>
      </c>
      <c r="G669" s="356">
        <f ca="1">IF(TRIM(D669)=C669,
   _xlfn.XLOOKUP(C669, Cartera1017[ID Mantenimiento],Cartera1017[Comienzo Desarrollo]),
IF(TRIM(D669)="Desarrollo",
   _xlfn.XLOOKUP(C669,Cartera1017[ID Mantenimiento],Cartera1017[Comienzo Desarrollo]),
IF(TRIM(D669)="Calidad",
   _xlfn.XLOOKUP(C669,Cartera1017[ID Mantenimiento],Cartera1017[Comienzo Calidad]),
IF(TRIM(D669)="Producción",
   _xlfn.XLOOKUP(C669,Cartera1017[ID Mantenimiento],Cartera1017[Comienzo Producción]),
""))))</f>
        <v>46027</v>
      </c>
      <c r="H669" s="160">
        <f ca="1">IF(TRIM(D669)=C669,
   _xlfn.XLOOKUP(C669, Cartera1017[ID Mantenimiento],Cartera1017[Fin Producción]),
IF(TRIM(D669)="Desarrollo",
   _xlfn.XLOOKUP(C669,Cartera1017[ID Mantenimiento],Cartera1017[Fin Desarrollo]),
IF(TRIM(D669)="Calidad",
   _xlfn.XLOOKUP(C669,Cartera1017[ID Mantenimiento],Cartera1017[Fin Calidad]),
IF(TRIM(D669)="Producción",
   _xlfn.XLOOKUP(C669,Cartera1017[ID Mantenimiento],Cartera1017[Fin Producción]),
""))))</f>
        <v>46122</v>
      </c>
    </row>
    <row r="670" spans="1:8" hidden="1" outlineLevel="1">
      <c r="A670" t="str">
        <f ca="1"/>
        <v>Finanzas y Tesorería</v>
      </c>
      <c r="B670" t="str">
        <f ca="1"/>
        <v>05. En Calidad</v>
      </c>
      <c r="C670" t="str">
        <f ca="1"/>
        <v>2025-M0736</v>
      </c>
      <c r="D670" t="str">
        <f ca="1"/>
        <v xml:space="preserve">   Calidad</v>
      </c>
      <c r="E670" s="255">
        <f ca="1"/>
        <v>0.7</v>
      </c>
      <c r="F670" s="255">
        <f ca="1"/>
        <v>0.90654205607476634</v>
      </c>
      <c r="G670" s="356">
        <f ca="1">IF(TRIM(D670)=C670,
   _xlfn.XLOOKUP(C670, Cartera1017[ID Mantenimiento],Cartera1017[Comienzo Desarrollo]),
IF(TRIM(D670)="Desarrollo",
   _xlfn.XLOOKUP(C670,Cartera1017[ID Mantenimiento],Cartera1017[Comienzo Desarrollo]),
IF(TRIM(D670)="Calidad",
   _xlfn.XLOOKUP(C670,Cartera1017[ID Mantenimiento],Cartera1017[Comienzo Calidad]),
IF(TRIM(D670)="Producción",
   _xlfn.XLOOKUP(C670,Cartera1017[ID Mantenimiento],Cartera1017[Comienzo Producción]),
""))))</f>
        <v>46123</v>
      </c>
      <c r="H670" s="160">
        <f ca="1">IF(TRIM(D670)=C670,
   _xlfn.XLOOKUP(C670, Cartera1017[ID Mantenimiento],Cartera1017[Fin Producción]),
IF(TRIM(D670)="Desarrollo",
   _xlfn.XLOOKUP(C670,Cartera1017[ID Mantenimiento],Cartera1017[Fin Desarrollo]),
IF(TRIM(D670)="Calidad",
   _xlfn.XLOOKUP(C670,Cartera1017[ID Mantenimiento],Cartera1017[Fin Calidad]),
IF(TRIM(D670)="Producción",
   _xlfn.XLOOKUP(C670,Cartera1017[ID Mantenimiento],Cartera1017[Fin Producción]),
""))))</f>
        <v>46170</v>
      </c>
    </row>
    <row r="671" spans="1:8" hidden="1" outlineLevel="1">
      <c r="A671" t="str">
        <f ca="1"/>
        <v>Finanzas y Tesorería</v>
      </c>
      <c r="B671" t="str">
        <f ca="1"/>
        <v>05. En Calidad</v>
      </c>
      <c r="C671" t="str">
        <f ca="1"/>
        <v>2025-M0736</v>
      </c>
      <c r="D671" t="str">
        <f ca="1"/>
        <v xml:space="preserve">   Producción</v>
      </c>
      <c r="E671" s="255">
        <f ca="1"/>
        <v>0.7</v>
      </c>
      <c r="F671" s="255">
        <f ca="1"/>
        <v>0.90654205607476634</v>
      </c>
      <c r="G671" s="356">
        <f ca="1">IF(TRIM(D671)=C671,
   _xlfn.XLOOKUP(C671, Cartera1017[ID Mantenimiento],Cartera1017[Comienzo Desarrollo]),
IF(TRIM(D671)="Desarrollo",
   _xlfn.XLOOKUP(C671,Cartera1017[ID Mantenimiento],Cartera1017[Comienzo Desarrollo]),
IF(TRIM(D671)="Calidad",
   _xlfn.XLOOKUP(C671,Cartera1017[ID Mantenimiento],Cartera1017[Comienzo Calidad]),
IF(TRIM(D671)="Producción",
   _xlfn.XLOOKUP(C671,Cartera1017[ID Mantenimiento],Cartera1017[Comienzo Producción]),
""))))</f>
        <v>46171</v>
      </c>
      <c r="H671" s="160">
        <f ca="1">IF(TRIM(D671)=C671,
   _xlfn.XLOOKUP(C671, Cartera1017[ID Mantenimiento],Cartera1017[Fin Producción]),
IF(TRIM(D671)="Desarrollo",
   _xlfn.XLOOKUP(C671,Cartera1017[ID Mantenimiento],Cartera1017[Fin Desarrollo]),
IF(TRIM(D671)="Calidad",
   _xlfn.XLOOKUP(C671,Cartera1017[ID Mantenimiento],Cartera1017[Fin Calidad]),
IF(TRIM(D671)="Producción",
   _xlfn.XLOOKUP(C671,Cartera1017[ID Mantenimiento],Cartera1017[Fin Producción]),
""))))</f>
        <v>46176</v>
      </c>
    </row>
    <row r="672" spans="1:8" hidden="1" collapsed="1">
      <c r="A672" t="str">
        <f ca="1"/>
        <v>Operaciones</v>
      </c>
      <c r="B672" t="str">
        <f ca="1"/>
        <v>10. Paralizado</v>
      </c>
      <c r="C672" t="str">
        <f ca="1"/>
        <v>2025-M0751</v>
      </c>
      <c r="D672" t="str">
        <f ca="1"/>
        <v>2025-M0751</v>
      </c>
      <c r="E672" s="255">
        <f ca="1"/>
        <v>0.12</v>
      </c>
      <c r="F672" s="255">
        <f ca="1"/>
        <v>1</v>
      </c>
      <c r="G672" s="356">
        <f ca="1">IF(TRIM(D672)=C672,
   _xlfn.XLOOKUP(C672, Cartera1017[ID Mantenimiento],Cartera1017[Comienzo Desarrollo]),
IF(TRIM(D672)="Desarrollo",
   _xlfn.XLOOKUP(C672,Cartera1017[ID Mantenimiento],Cartera1017[Comienzo Desarrollo]),
IF(TRIM(D672)="Calidad",
   _xlfn.XLOOKUP(C672,Cartera1017[ID Mantenimiento],Cartera1017[Comienzo Calidad]),
IF(TRIM(D672)="Producción",
   _xlfn.XLOOKUP(C672,Cartera1017[ID Mantenimiento],Cartera1017[Comienzo Producción]),
""))))</f>
        <v>45992</v>
      </c>
      <c r="H672" s="160">
        <f ca="1">IF(TRIM(D672)=C672,
   _xlfn.XLOOKUP(C672, Cartera1017[ID Mantenimiento],Cartera1017[Fin Producción]),
IF(TRIM(D672)="Desarrollo",
   _xlfn.XLOOKUP(C672,Cartera1017[ID Mantenimiento],Cartera1017[Fin Desarrollo]),
IF(TRIM(D672)="Calidad",
   _xlfn.XLOOKUP(C672,Cartera1017[ID Mantenimiento],Cartera1017[Fin Calidad]),
IF(TRIM(D672)="Producción",
   _xlfn.XLOOKUP(C672,Cartera1017[ID Mantenimiento],Cartera1017[Fin Producción]),
""))))</f>
        <v>46129</v>
      </c>
    </row>
    <row r="673" spans="1:8" hidden="1" outlineLevel="1">
      <c r="A673" t="str">
        <f ca="1"/>
        <v>Operaciones</v>
      </c>
      <c r="B673" t="str">
        <f ca="1"/>
        <v>10. Paralizado</v>
      </c>
      <c r="C673" t="str">
        <f ca="1"/>
        <v>2025-M0751</v>
      </c>
      <c r="D673" t="str">
        <f ca="1"/>
        <v xml:space="preserve">   Desarrollo</v>
      </c>
      <c r="E673" s="255">
        <f ca="1"/>
        <v>0.12</v>
      </c>
      <c r="F673" s="255">
        <f ca="1"/>
        <v>1</v>
      </c>
      <c r="G673" s="356">
        <f ca="1">IF(TRIM(D673)=C673,
   _xlfn.XLOOKUP(C673, Cartera1017[ID Mantenimiento],Cartera1017[Comienzo Desarrollo]),
IF(TRIM(D673)="Desarrollo",
   _xlfn.XLOOKUP(C673,Cartera1017[ID Mantenimiento],Cartera1017[Comienzo Desarrollo]),
IF(TRIM(D673)="Calidad",
   _xlfn.XLOOKUP(C673,Cartera1017[ID Mantenimiento],Cartera1017[Comienzo Calidad]),
IF(TRIM(D673)="Producción",
   _xlfn.XLOOKUP(C673,Cartera1017[ID Mantenimiento],Cartera1017[Comienzo Producción]),
""))))</f>
        <v>45992</v>
      </c>
      <c r="H673" s="160">
        <f ca="1">IF(TRIM(D673)=C673,
   _xlfn.XLOOKUP(C673, Cartera1017[ID Mantenimiento],Cartera1017[Fin Producción]),
IF(TRIM(D673)="Desarrollo",
   _xlfn.XLOOKUP(C673,Cartera1017[ID Mantenimiento],Cartera1017[Fin Desarrollo]),
IF(TRIM(D673)="Calidad",
   _xlfn.XLOOKUP(C673,Cartera1017[ID Mantenimiento],Cartera1017[Fin Calidad]),
IF(TRIM(D673)="Producción",
   _xlfn.XLOOKUP(C673,Cartera1017[ID Mantenimiento],Cartera1017[Fin Producción]),
""))))</f>
        <v>46076</v>
      </c>
    </row>
    <row r="674" spans="1:8" hidden="1" outlineLevel="1">
      <c r="A674" t="str">
        <f ca="1"/>
        <v>Operaciones</v>
      </c>
      <c r="B674" t="str">
        <f ca="1"/>
        <v>10. Paralizado</v>
      </c>
      <c r="C674" t="str">
        <f ca="1"/>
        <v>2025-M0751</v>
      </c>
      <c r="D674" t="str">
        <f ca="1"/>
        <v xml:space="preserve">   Calidad</v>
      </c>
      <c r="E674" s="255">
        <f ca="1"/>
        <v>0.12</v>
      </c>
      <c r="F674" s="255">
        <f ca="1"/>
        <v>1</v>
      </c>
      <c r="G674" s="356">
        <f ca="1">IF(TRIM(D674)=C674,
   _xlfn.XLOOKUP(C674, Cartera1017[ID Mantenimiento],Cartera1017[Comienzo Desarrollo]),
IF(TRIM(D674)="Desarrollo",
   _xlfn.XLOOKUP(C674,Cartera1017[ID Mantenimiento],Cartera1017[Comienzo Desarrollo]),
IF(TRIM(D674)="Calidad",
   _xlfn.XLOOKUP(C674,Cartera1017[ID Mantenimiento],Cartera1017[Comienzo Calidad]),
IF(TRIM(D674)="Producción",
   _xlfn.XLOOKUP(C674,Cartera1017[ID Mantenimiento],Cartera1017[Comienzo Producción]),
""))))</f>
        <v>46078</v>
      </c>
      <c r="H674" s="160">
        <f ca="1">IF(TRIM(D674)=C674,
   _xlfn.XLOOKUP(C674, Cartera1017[ID Mantenimiento],Cartera1017[Fin Producción]),
IF(TRIM(D674)="Desarrollo",
   _xlfn.XLOOKUP(C674,Cartera1017[ID Mantenimiento],Cartera1017[Fin Desarrollo]),
IF(TRIM(D674)="Calidad",
   _xlfn.XLOOKUP(C674,Cartera1017[ID Mantenimiento],Cartera1017[Fin Calidad]),
IF(TRIM(D674)="Producción",
   _xlfn.XLOOKUP(C674,Cartera1017[ID Mantenimiento],Cartera1017[Fin Producción]),
""))))</f>
        <v>46107</v>
      </c>
    </row>
    <row r="675" spans="1:8" hidden="1" outlineLevel="1">
      <c r="A675" t="str">
        <f ca="1"/>
        <v>Operaciones</v>
      </c>
      <c r="B675" t="str">
        <f ca="1"/>
        <v>10. Paralizado</v>
      </c>
      <c r="C675" t="str">
        <f ca="1"/>
        <v>2025-M0751</v>
      </c>
      <c r="D675" t="str">
        <f ca="1"/>
        <v xml:space="preserve">   Producción</v>
      </c>
      <c r="E675" s="255">
        <f ca="1"/>
        <v>0.12</v>
      </c>
      <c r="F675" s="255">
        <f ca="1"/>
        <v>1</v>
      </c>
      <c r="G675" s="356">
        <f ca="1">IF(TRIM(D675)=C675,
   _xlfn.XLOOKUP(C675, Cartera1017[ID Mantenimiento],Cartera1017[Comienzo Desarrollo]),
IF(TRIM(D675)="Desarrollo",
   _xlfn.XLOOKUP(C675,Cartera1017[ID Mantenimiento],Cartera1017[Comienzo Desarrollo]),
IF(TRIM(D675)="Calidad",
   _xlfn.XLOOKUP(C675,Cartera1017[ID Mantenimiento],Cartera1017[Comienzo Calidad]),
IF(TRIM(D675)="Producción",
   _xlfn.XLOOKUP(C675,Cartera1017[ID Mantenimiento],Cartera1017[Comienzo Producción]),
""))))</f>
        <v>46111</v>
      </c>
      <c r="H675" s="160">
        <f ca="1">IF(TRIM(D675)=C675,
   _xlfn.XLOOKUP(C675, Cartera1017[ID Mantenimiento],Cartera1017[Fin Producción]),
IF(TRIM(D675)="Desarrollo",
   _xlfn.XLOOKUP(C675,Cartera1017[ID Mantenimiento],Cartera1017[Fin Desarrollo]),
IF(TRIM(D675)="Calidad",
   _xlfn.XLOOKUP(C675,Cartera1017[ID Mantenimiento],Cartera1017[Fin Calidad]),
IF(TRIM(D675)="Producción",
   _xlfn.XLOOKUP(C675,Cartera1017[ID Mantenimiento],Cartera1017[Fin Producción]),
""))))</f>
        <v>46129</v>
      </c>
    </row>
    <row r="676" spans="1:8" hidden="1" collapsed="1">
      <c r="A676" t="str">
        <f ca="1"/>
        <v>Productos e Inclusión Financiera</v>
      </c>
      <c r="B676" t="str">
        <f ca="1"/>
        <v>05. En Calidad</v>
      </c>
      <c r="C676" t="str">
        <f ca="1"/>
        <v>2025-M0722</v>
      </c>
      <c r="D676" t="str">
        <f ca="1"/>
        <v>2025-M0722</v>
      </c>
      <c r="E676" s="255">
        <f ca="1"/>
        <v>0.7</v>
      </c>
      <c r="F676" s="255">
        <f ca="1"/>
        <v>0.9</v>
      </c>
      <c r="G676" s="356">
        <f ca="1">IF(TRIM(D676)=C676,
   _xlfn.XLOOKUP(C676, Cartera1017[ID Mantenimiento],Cartera1017[Comienzo Desarrollo]),
IF(TRIM(D676)="Desarrollo",
   _xlfn.XLOOKUP(C676,Cartera1017[ID Mantenimiento],Cartera1017[Comienzo Desarrollo]),
IF(TRIM(D676)="Calidad",
   _xlfn.XLOOKUP(C676,Cartera1017[ID Mantenimiento],Cartera1017[Comienzo Calidad]),
IF(TRIM(D676)="Producción",
   _xlfn.XLOOKUP(C676,Cartera1017[ID Mantenimiento],Cartera1017[Comienzo Producción]),
""))))</f>
        <v>46049</v>
      </c>
      <c r="H676" s="160">
        <f ca="1">IF(TRIM(D676)=C676,
   _xlfn.XLOOKUP(C676, Cartera1017[ID Mantenimiento],Cartera1017[Fin Producción]),
IF(TRIM(D676)="Desarrollo",
   _xlfn.XLOOKUP(C676,Cartera1017[ID Mantenimiento],Cartera1017[Fin Desarrollo]),
IF(TRIM(D676)="Calidad",
   _xlfn.XLOOKUP(C676,Cartera1017[ID Mantenimiento],Cartera1017[Fin Calidad]),
IF(TRIM(D676)="Producción",
   _xlfn.XLOOKUP(C676,Cartera1017[ID Mantenimiento],Cartera1017[Fin Producción]),
""))))</f>
        <v>46175</v>
      </c>
    </row>
    <row r="677" spans="1:8" hidden="1" outlineLevel="1">
      <c r="A677" t="str">
        <f ca="1"/>
        <v>Productos e Inclusión Financiera</v>
      </c>
      <c r="B677" t="str">
        <f ca="1"/>
        <v>05. En Calidad</v>
      </c>
      <c r="C677" t="str">
        <f ca="1"/>
        <v>2025-M0722</v>
      </c>
      <c r="D677" t="str">
        <f ca="1"/>
        <v xml:space="preserve">   Desarrollo</v>
      </c>
      <c r="E677" s="255">
        <f ca="1"/>
        <v>0.7</v>
      </c>
      <c r="F677" s="255">
        <f ca="1"/>
        <v>0.9</v>
      </c>
      <c r="G677" s="356">
        <f ca="1">IF(TRIM(D677)=C677,
   _xlfn.XLOOKUP(C677, Cartera1017[ID Mantenimiento],Cartera1017[Comienzo Desarrollo]),
IF(TRIM(D677)="Desarrollo",
   _xlfn.XLOOKUP(C677,Cartera1017[ID Mantenimiento],Cartera1017[Comienzo Desarrollo]),
IF(TRIM(D677)="Calidad",
   _xlfn.XLOOKUP(C677,Cartera1017[ID Mantenimiento],Cartera1017[Comienzo Calidad]),
IF(TRIM(D677)="Producción",
   _xlfn.XLOOKUP(C677,Cartera1017[ID Mantenimiento],Cartera1017[Comienzo Producción]),
""))))</f>
        <v>46049</v>
      </c>
      <c r="H677" s="160">
        <f ca="1">IF(TRIM(D677)=C677,
   _xlfn.XLOOKUP(C677, Cartera1017[ID Mantenimiento],Cartera1017[Fin Producción]),
IF(TRIM(D677)="Desarrollo",
   _xlfn.XLOOKUP(C677,Cartera1017[ID Mantenimiento],Cartera1017[Fin Desarrollo]),
IF(TRIM(D677)="Calidad",
   _xlfn.XLOOKUP(C677,Cartera1017[ID Mantenimiento],Cartera1017[Fin Calidad]),
IF(TRIM(D677)="Producción",
   _xlfn.XLOOKUP(C677,Cartera1017[ID Mantenimiento],Cartera1017[Fin Producción]),
""))))</f>
        <v>46121</v>
      </c>
    </row>
    <row r="678" spans="1:8" hidden="1" outlineLevel="1">
      <c r="A678" t="str">
        <f ca="1"/>
        <v>Productos e Inclusión Financiera</v>
      </c>
      <c r="B678" t="str">
        <f ca="1"/>
        <v>05. En Calidad</v>
      </c>
      <c r="C678" t="str">
        <f ca="1"/>
        <v>2025-M0722</v>
      </c>
      <c r="D678" t="str">
        <f ca="1"/>
        <v xml:space="preserve">   Calidad</v>
      </c>
      <c r="E678" s="255">
        <f ca="1"/>
        <v>0.7</v>
      </c>
      <c r="F678" s="255">
        <f ca="1"/>
        <v>0.9</v>
      </c>
      <c r="G678" s="356">
        <f ca="1">IF(TRIM(D678)=C678,
   _xlfn.XLOOKUP(C678, Cartera1017[ID Mantenimiento],Cartera1017[Comienzo Desarrollo]),
IF(TRIM(D678)="Desarrollo",
   _xlfn.XLOOKUP(C678,Cartera1017[ID Mantenimiento],Cartera1017[Comienzo Desarrollo]),
IF(TRIM(D678)="Calidad",
   _xlfn.XLOOKUP(C678,Cartera1017[ID Mantenimiento],Cartera1017[Comienzo Calidad]),
IF(TRIM(D678)="Producción",
   _xlfn.XLOOKUP(C678,Cartera1017[ID Mantenimiento],Cartera1017[Comienzo Producción]),
""))))</f>
        <v>46125</v>
      </c>
      <c r="H678" s="160">
        <f ca="1">IF(TRIM(D678)=C678,
   _xlfn.XLOOKUP(C678, Cartera1017[ID Mantenimiento],Cartera1017[Fin Producción]),
IF(TRIM(D678)="Desarrollo",
   _xlfn.XLOOKUP(C678,Cartera1017[ID Mantenimiento],Cartera1017[Fin Desarrollo]),
IF(TRIM(D678)="Calidad",
   _xlfn.XLOOKUP(C678,Cartera1017[ID Mantenimiento],Cartera1017[Fin Calidad]),
IF(TRIM(D678)="Producción",
   _xlfn.XLOOKUP(C678,Cartera1017[ID Mantenimiento],Cartera1017[Fin Producción]),
""))))</f>
        <v>46160</v>
      </c>
    </row>
    <row r="679" spans="1:8" hidden="1" outlineLevel="1">
      <c r="A679" t="str">
        <f ca="1"/>
        <v>Productos e Inclusión Financiera</v>
      </c>
      <c r="B679" t="str">
        <f ca="1"/>
        <v>05. En Calidad</v>
      </c>
      <c r="C679" t="str">
        <f ca="1"/>
        <v>2025-M0722</v>
      </c>
      <c r="D679" t="str">
        <f ca="1"/>
        <v xml:space="preserve">   Producción</v>
      </c>
      <c r="E679" s="255">
        <f ca="1"/>
        <v>0.7</v>
      </c>
      <c r="F679" s="255">
        <f ca="1"/>
        <v>0.9</v>
      </c>
      <c r="G679" s="356">
        <f ca="1">IF(TRIM(D679)=C679,
   _xlfn.XLOOKUP(C679, Cartera1017[ID Mantenimiento],Cartera1017[Comienzo Desarrollo]),
IF(TRIM(D679)="Desarrollo",
   _xlfn.XLOOKUP(C679,Cartera1017[ID Mantenimiento],Cartera1017[Comienzo Desarrollo]),
IF(TRIM(D679)="Calidad",
   _xlfn.XLOOKUP(C679,Cartera1017[ID Mantenimiento],Cartera1017[Comienzo Calidad]),
IF(TRIM(D679)="Producción",
   _xlfn.XLOOKUP(C679,Cartera1017[ID Mantenimiento],Cartera1017[Comienzo Producción]),
""))))</f>
        <v>46161</v>
      </c>
      <c r="H679" s="160">
        <f ca="1">IF(TRIM(D679)=C679,
   _xlfn.XLOOKUP(C679, Cartera1017[ID Mantenimiento],Cartera1017[Fin Producción]),
IF(TRIM(D679)="Desarrollo",
   _xlfn.XLOOKUP(C679,Cartera1017[ID Mantenimiento],Cartera1017[Fin Desarrollo]),
IF(TRIM(D679)="Calidad",
   _xlfn.XLOOKUP(C679,Cartera1017[ID Mantenimiento],Cartera1017[Fin Calidad]),
IF(TRIM(D679)="Producción",
   _xlfn.XLOOKUP(C679,Cartera1017[ID Mantenimiento],Cartera1017[Fin Producción]),
""))))</f>
        <v>46175</v>
      </c>
    </row>
    <row r="680" spans="1:8" hidden="1" collapsed="1">
      <c r="A680" t="str">
        <f ca="1"/>
        <v>Oficialía de PLAFT</v>
      </c>
      <c r="B680" t="str">
        <f ca="1"/>
        <v>06. Calidad Finalizado</v>
      </c>
      <c r="C680" t="str">
        <f ca="1"/>
        <v>2025-M0715</v>
      </c>
      <c r="D680" t="str">
        <f ca="1"/>
        <v>2025-M0715</v>
      </c>
      <c r="E680" s="255">
        <f ca="1"/>
        <v>0.9</v>
      </c>
      <c r="F680" s="255">
        <f ca="1"/>
        <v>1</v>
      </c>
      <c r="G680" s="356">
        <f ca="1">IF(TRIM(D680)=C680,
   _xlfn.XLOOKUP(C680, Cartera1017[ID Mantenimiento],Cartera1017[Comienzo Desarrollo]),
IF(TRIM(D680)="Desarrollo",
   _xlfn.XLOOKUP(C680,Cartera1017[ID Mantenimiento],Cartera1017[Comienzo Desarrollo]),
IF(TRIM(D680)="Calidad",
   _xlfn.XLOOKUP(C680,Cartera1017[ID Mantenimiento],Cartera1017[Comienzo Calidad]),
IF(TRIM(D680)="Producción",
   _xlfn.XLOOKUP(C680,Cartera1017[ID Mantenimiento],Cartera1017[Comienzo Producción]),
""))))</f>
        <v>45972</v>
      </c>
      <c r="H680" s="160">
        <f ca="1">IF(TRIM(D680)=C680,
   _xlfn.XLOOKUP(C680, Cartera1017[ID Mantenimiento],Cartera1017[Fin Producción]),
IF(TRIM(D680)="Desarrollo",
   _xlfn.XLOOKUP(C680,Cartera1017[ID Mantenimiento],Cartera1017[Fin Desarrollo]),
IF(TRIM(D680)="Calidad",
   _xlfn.XLOOKUP(C680,Cartera1017[ID Mantenimiento],Cartera1017[Fin Calidad]),
IF(TRIM(D680)="Producción",
   _xlfn.XLOOKUP(C680,Cartera1017[ID Mantenimiento],Cartera1017[Fin Producción]),
""))))</f>
        <v>46160</v>
      </c>
    </row>
    <row r="681" spans="1:8" hidden="1" outlineLevel="1">
      <c r="A681" t="str">
        <f ca="1"/>
        <v>Oficialía de PLAFT</v>
      </c>
      <c r="B681" t="str">
        <f ca="1"/>
        <v>06. Calidad Finalizado</v>
      </c>
      <c r="C681" t="str">
        <f ca="1"/>
        <v>2025-M0715</v>
      </c>
      <c r="D681" t="str">
        <f ca="1"/>
        <v xml:space="preserve">   Desarrollo</v>
      </c>
      <c r="E681" s="255">
        <f ca="1"/>
        <v>0.9</v>
      </c>
      <c r="F681" s="255">
        <f ca="1"/>
        <v>1</v>
      </c>
      <c r="G681" s="356">
        <f ca="1">IF(TRIM(D681)=C681,
   _xlfn.XLOOKUP(C681, Cartera1017[ID Mantenimiento],Cartera1017[Comienzo Desarrollo]),
IF(TRIM(D681)="Desarrollo",
   _xlfn.XLOOKUP(C681,Cartera1017[ID Mantenimiento],Cartera1017[Comienzo Desarrollo]),
IF(TRIM(D681)="Calidad",
   _xlfn.XLOOKUP(C681,Cartera1017[ID Mantenimiento],Cartera1017[Comienzo Calidad]),
IF(TRIM(D681)="Producción",
   _xlfn.XLOOKUP(C681,Cartera1017[ID Mantenimiento],Cartera1017[Comienzo Producción]),
""))))</f>
        <v>45972</v>
      </c>
      <c r="H681" s="160">
        <f ca="1">IF(TRIM(D681)=C681,
   _xlfn.XLOOKUP(C681, Cartera1017[ID Mantenimiento],Cartera1017[Fin Producción]),
IF(TRIM(D681)="Desarrollo",
   _xlfn.XLOOKUP(C681,Cartera1017[ID Mantenimiento],Cartera1017[Fin Desarrollo]),
IF(TRIM(D681)="Calidad",
   _xlfn.XLOOKUP(C681,Cartera1017[ID Mantenimiento],Cartera1017[Fin Calidad]),
IF(TRIM(D681)="Producción",
   _xlfn.XLOOKUP(C681,Cartera1017[ID Mantenimiento],Cartera1017[Fin Producción]),
""))))</f>
        <v>46112</v>
      </c>
    </row>
    <row r="682" spans="1:8" hidden="1" outlineLevel="1">
      <c r="A682" t="str">
        <f ca="1"/>
        <v>Oficialía de PLAFT</v>
      </c>
      <c r="B682" t="str">
        <f ca="1"/>
        <v>06. Calidad Finalizado</v>
      </c>
      <c r="C682" t="str">
        <f ca="1"/>
        <v>2025-M0715</v>
      </c>
      <c r="D682" t="str">
        <f ca="1"/>
        <v xml:space="preserve">   Calidad</v>
      </c>
      <c r="E682" s="255">
        <f ca="1"/>
        <v>0.9</v>
      </c>
      <c r="F682" s="255">
        <f ca="1"/>
        <v>1</v>
      </c>
      <c r="G682" s="356">
        <f ca="1">IF(TRIM(D682)=C682,
   _xlfn.XLOOKUP(C682, Cartera1017[ID Mantenimiento],Cartera1017[Comienzo Desarrollo]),
IF(TRIM(D682)="Desarrollo",
   _xlfn.XLOOKUP(C682,Cartera1017[ID Mantenimiento],Cartera1017[Comienzo Desarrollo]),
IF(TRIM(D682)="Calidad",
   _xlfn.XLOOKUP(C682,Cartera1017[ID Mantenimiento],Cartera1017[Comienzo Calidad]),
IF(TRIM(D682)="Producción",
   _xlfn.XLOOKUP(C682,Cartera1017[ID Mantenimiento],Cartera1017[Comienzo Producción]),
""))))</f>
        <v>46113</v>
      </c>
      <c r="H682" s="160">
        <f ca="1">IF(TRIM(D682)=C682,
   _xlfn.XLOOKUP(C682, Cartera1017[ID Mantenimiento],Cartera1017[Fin Producción]),
IF(TRIM(D682)="Desarrollo",
   _xlfn.XLOOKUP(C682,Cartera1017[ID Mantenimiento],Cartera1017[Fin Desarrollo]),
IF(TRIM(D682)="Calidad",
   _xlfn.XLOOKUP(C682,Cartera1017[ID Mantenimiento],Cartera1017[Fin Calidad]),
IF(TRIM(D682)="Producción",
   _xlfn.XLOOKUP(C682,Cartera1017[ID Mantenimiento],Cartera1017[Fin Producción]),
""))))</f>
        <v>46142</v>
      </c>
    </row>
    <row r="683" spans="1:8" hidden="1" outlineLevel="1">
      <c r="A683" t="str">
        <f ca="1"/>
        <v>Oficialía de PLAFT</v>
      </c>
      <c r="B683" t="str">
        <f ca="1"/>
        <v>06. Calidad Finalizado</v>
      </c>
      <c r="C683" t="str">
        <f ca="1"/>
        <v>2025-M0715</v>
      </c>
      <c r="D683" t="str">
        <f ca="1"/>
        <v xml:space="preserve">   Producción</v>
      </c>
      <c r="E683" s="255">
        <f ca="1"/>
        <v>0.9</v>
      </c>
      <c r="F683" s="255">
        <f ca="1"/>
        <v>1</v>
      </c>
      <c r="G683" s="356">
        <f ca="1">IF(TRIM(D683)=C683,
   _xlfn.XLOOKUP(C683, Cartera1017[ID Mantenimiento],Cartera1017[Comienzo Desarrollo]),
IF(TRIM(D683)="Desarrollo",
   _xlfn.XLOOKUP(C683,Cartera1017[ID Mantenimiento],Cartera1017[Comienzo Desarrollo]),
IF(TRIM(D683)="Calidad",
   _xlfn.XLOOKUP(C683,Cartera1017[ID Mantenimiento],Cartera1017[Comienzo Calidad]),
IF(TRIM(D683)="Producción",
   _xlfn.XLOOKUP(C683,Cartera1017[ID Mantenimiento],Cartera1017[Comienzo Producción]),
""))))</f>
        <v>46157</v>
      </c>
      <c r="H683" s="160">
        <f ca="1">IF(TRIM(D683)=C683,
   _xlfn.XLOOKUP(C683, Cartera1017[ID Mantenimiento],Cartera1017[Fin Producción]),
IF(TRIM(D683)="Desarrollo",
   _xlfn.XLOOKUP(C683,Cartera1017[ID Mantenimiento],Cartera1017[Fin Desarrollo]),
IF(TRIM(D683)="Calidad",
   _xlfn.XLOOKUP(C683,Cartera1017[ID Mantenimiento],Cartera1017[Fin Calidad]),
IF(TRIM(D683)="Producción",
   _xlfn.XLOOKUP(C683,Cartera1017[ID Mantenimiento],Cartera1017[Fin Producción]),
""))))</f>
        <v>46160</v>
      </c>
    </row>
    <row r="684" spans="1:8" hidden="1" collapsed="1">
      <c r="A684" t="str">
        <f ca="1"/>
        <v>Operaciones</v>
      </c>
      <c r="B684" t="str">
        <f ca="1"/>
        <v>08. Producción Finalizada</v>
      </c>
      <c r="C684" t="str">
        <f ca="1"/>
        <v>2025-M0739</v>
      </c>
      <c r="D684" t="str">
        <f ca="1"/>
        <v>2025-M0739</v>
      </c>
      <c r="E684" s="255">
        <f ca="1"/>
        <v>1</v>
      </c>
      <c r="F684" s="255">
        <f ca="1"/>
        <v>1</v>
      </c>
      <c r="G684" s="356">
        <f ca="1">IF(TRIM(D684)=C684,
   _xlfn.XLOOKUP(C684, Cartera1017[ID Mantenimiento],Cartera1017[Comienzo Desarrollo]),
IF(TRIM(D684)="Desarrollo",
   _xlfn.XLOOKUP(C684,Cartera1017[ID Mantenimiento],Cartera1017[Comienzo Desarrollo]),
IF(TRIM(D684)="Calidad",
   _xlfn.XLOOKUP(C684,Cartera1017[ID Mantenimiento],Cartera1017[Comienzo Calidad]),
IF(TRIM(D684)="Producción",
   _xlfn.XLOOKUP(C684,Cartera1017[ID Mantenimiento],Cartera1017[Comienzo Producción]),
""))))</f>
        <v>45988</v>
      </c>
      <c r="H684" s="160">
        <f ca="1">IF(TRIM(D684)=C684,
   _xlfn.XLOOKUP(C684, Cartera1017[ID Mantenimiento],Cartera1017[Fin Producción]),
IF(TRIM(D684)="Desarrollo",
   _xlfn.XLOOKUP(C684,Cartera1017[ID Mantenimiento],Cartera1017[Fin Desarrollo]),
IF(TRIM(D684)="Calidad",
   _xlfn.XLOOKUP(C684,Cartera1017[ID Mantenimiento],Cartera1017[Fin Calidad]),
IF(TRIM(D684)="Producción",
   _xlfn.XLOOKUP(C684,Cartera1017[ID Mantenimiento],Cartera1017[Fin Producción]),
""))))</f>
        <v>46087</v>
      </c>
    </row>
    <row r="685" spans="1:8" hidden="1" outlineLevel="1">
      <c r="A685" t="str">
        <f ca="1"/>
        <v>Operaciones</v>
      </c>
      <c r="B685" t="str">
        <f ca="1"/>
        <v>08. Producción Finalizada</v>
      </c>
      <c r="C685" t="str">
        <f ca="1"/>
        <v>2025-M0739</v>
      </c>
      <c r="D685" t="str">
        <f ca="1"/>
        <v xml:space="preserve">   Desarrollo</v>
      </c>
      <c r="E685" s="255">
        <f ca="1"/>
        <v>1</v>
      </c>
      <c r="F685" s="255">
        <f ca="1"/>
        <v>1</v>
      </c>
      <c r="G685" s="356">
        <f ca="1">IF(TRIM(D685)=C685,
   _xlfn.XLOOKUP(C685, Cartera1017[ID Mantenimiento],Cartera1017[Comienzo Desarrollo]),
IF(TRIM(D685)="Desarrollo",
   _xlfn.XLOOKUP(C685,Cartera1017[ID Mantenimiento],Cartera1017[Comienzo Desarrollo]),
IF(TRIM(D685)="Calidad",
   _xlfn.XLOOKUP(C685,Cartera1017[ID Mantenimiento],Cartera1017[Comienzo Calidad]),
IF(TRIM(D685)="Producción",
   _xlfn.XLOOKUP(C685,Cartera1017[ID Mantenimiento],Cartera1017[Comienzo Producción]),
""))))</f>
        <v>45988</v>
      </c>
      <c r="H685" s="160">
        <f ca="1">IF(TRIM(D685)=C685,
   _xlfn.XLOOKUP(C685, Cartera1017[ID Mantenimiento],Cartera1017[Fin Producción]),
IF(TRIM(D685)="Desarrollo",
   _xlfn.XLOOKUP(C685,Cartera1017[ID Mantenimiento],Cartera1017[Fin Desarrollo]),
IF(TRIM(D685)="Calidad",
   _xlfn.XLOOKUP(C685,Cartera1017[ID Mantenimiento],Cartera1017[Fin Calidad]),
IF(TRIM(D685)="Producción",
   _xlfn.XLOOKUP(C685,Cartera1017[ID Mantenimiento],Cartera1017[Fin Producción]),
""))))</f>
        <v>46029</v>
      </c>
    </row>
    <row r="686" spans="1:8" hidden="1" outlineLevel="1">
      <c r="A686" t="str">
        <f ca="1"/>
        <v>Operaciones</v>
      </c>
      <c r="B686" t="str">
        <f ca="1"/>
        <v>08. Producción Finalizada</v>
      </c>
      <c r="C686" t="str">
        <f ca="1"/>
        <v>2025-M0739</v>
      </c>
      <c r="D686" t="str">
        <f ca="1"/>
        <v xml:space="preserve">   Calidad</v>
      </c>
      <c r="E686" s="255">
        <f ca="1"/>
        <v>1</v>
      </c>
      <c r="F686" s="255">
        <f ca="1"/>
        <v>1</v>
      </c>
      <c r="G686" s="356">
        <f ca="1">IF(TRIM(D686)=C686,
   _xlfn.XLOOKUP(C686, Cartera1017[ID Mantenimiento],Cartera1017[Comienzo Desarrollo]),
IF(TRIM(D686)="Desarrollo",
   _xlfn.XLOOKUP(C686,Cartera1017[ID Mantenimiento],Cartera1017[Comienzo Desarrollo]),
IF(TRIM(D686)="Calidad",
   _xlfn.XLOOKUP(C686,Cartera1017[ID Mantenimiento],Cartera1017[Comienzo Calidad]),
IF(TRIM(D686)="Producción",
   _xlfn.XLOOKUP(C686,Cartera1017[ID Mantenimiento],Cartera1017[Comienzo Producción]),
""))))</f>
        <v>46036</v>
      </c>
      <c r="H686" s="160">
        <f ca="1">IF(TRIM(D686)=C686,
   _xlfn.XLOOKUP(C686, Cartera1017[ID Mantenimiento],Cartera1017[Fin Producción]),
IF(TRIM(D686)="Desarrollo",
   _xlfn.XLOOKUP(C686,Cartera1017[ID Mantenimiento],Cartera1017[Fin Desarrollo]),
IF(TRIM(D686)="Calidad",
   _xlfn.XLOOKUP(C686,Cartera1017[ID Mantenimiento],Cartera1017[Fin Calidad]),
IF(TRIM(D686)="Producción",
   _xlfn.XLOOKUP(C686,Cartera1017[ID Mantenimiento],Cartera1017[Fin Producción]),
""))))</f>
        <v>46049</v>
      </c>
    </row>
    <row r="687" spans="1:8" hidden="1" outlineLevel="1">
      <c r="A687" t="str">
        <f ca="1"/>
        <v>Operaciones</v>
      </c>
      <c r="B687" t="str">
        <f ca="1"/>
        <v>08. Producción Finalizada</v>
      </c>
      <c r="C687" t="str">
        <f ca="1"/>
        <v>2025-M0739</v>
      </c>
      <c r="D687" t="str">
        <f ca="1"/>
        <v xml:space="preserve">   Producción</v>
      </c>
      <c r="E687" s="255">
        <f ca="1"/>
        <v>1</v>
      </c>
      <c r="F687" s="255">
        <f ca="1"/>
        <v>1</v>
      </c>
      <c r="G687" s="356">
        <f ca="1">IF(TRIM(D687)=C687,
   _xlfn.XLOOKUP(C687, Cartera1017[ID Mantenimiento],Cartera1017[Comienzo Desarrollo]),
IF(TRIM(D687)="Desarrollo",
   _xlfn.XLOOKUP(C687,Cartera1017[ID Mantenimiento],Cartera1017[Comienzo Desarrollo]),
IF(TRIM(D687)="Calidad",
   _xlfn.XLOOKUP(C687,Cartera1017[ID Mantenimiento],Cartera1017[Comienzo Calidad]),
IF(TRIM(D687)="Producción",
   _xlfn.XLOOKUP(C687,Cartera1017[ID Mantenimiento],Cartera1017[Comienzo Producción]),
""))))</f>
        <v>46051</v>
      </c>
      <c r="H687" s="160">
        <f ca="1">IF(TRIM(D687)=C687,
   _xlfn.XLOOKUP(C687, Cartera1017[ID Mantenimiento],Cartera1017[Fin Producción]),
IF(TRIM(D687)="Desarrollo",
   _xlfn.XLOOKUP(C687,Cartera1017[ID Mantenimiento],Cartera1017[Fin Desarrollo]),
IF(TRIM(D687)="Calidad",
   _xlfn.XLOOKUP(C687,Cartera1017[ID Mantenimiento],Cartera1017[Fin Calidad]),
IF(TRIM(D687)="Producción",
   _xlfn.XLOOKUP(C687,Cartera1017[ID Mantenimiento],Cartera1017[Fin Producción]),
""))))</f>
        <v>46087</v>
      </c>
    </row>
    <row r="688" spans="1:8" hidden="1" collapsed="1">
      <c r="A688" t="str">
        <f ca="1"/>
        <v>Operaciones</v>
      </c>
      <c r="B688" t="str">
        <f ca="1"/>
        <v>08. Producción Finalizada</v>
      </c>
      <c r="C688" t="str">
        <f ca="1"/>
        <v>2025-M0740</v>
      </c>
      <c r="D688" t="str">
        <f ca="1"/>
        <v>2025-M0740</v>
      </c>
      <c r="E688" s="255">
        <f ca="1"/>
        <v>1</v>
      </c>
      <c r="F688" s="255">
        <f ca="1"/>
        <v>1</v>
      </c>
      <c r="G688" s="356">
        <f ca="1">IF(TRIM(D688)=C688,
   _xlfn.XLOOKUP(C688, Cartera1017[ID Mantenimiento],Cartera1017[Comienzo Desarrollo]),
IF(TRIM(D688)="Desarrollo",
   _xlfn.XLOOKUP(C688,Cartera1017[ID Mantenimiento],Cartera1017[Comienzo Desarrollo]),
IF(TRIM(D688)="Calidad",
   _xlfn.XLOOKUP(C688,Cartera1017[ID Mantenimiento],Cartera1017[Comienzo Calidad]),
IF(TRIM(D688)="Producción",
   _xlfn.XLOOKUP(C688,Cartera1017[ID Mantenimiento],Cartera1017[Comienzo Producción]),
""))))</f>
        <v>45988</v>
      </c>
      <c r="H688" s="160">
        <f ca="1">IF(TRIM(D688)=C688,
   _xlfn.XLOOKUP(C688, Cartera1017[ID Mantenimiento],Cartera1017[Fin Producción]),
IF(TRIM(D688)="Desarrollo",
   _xlfn.XLOOKUP(C688,Cartera1017[ID Mantenimiento],Cartera1017[Fin Desarrollo]),
IF(TRIM(D688)="Calidad",
   _xlfn.XLOOKUP(C688,Cartera1017[ID Mantenimiento],Cartera1017[Fin Calidad]),
IF(TRIM(D688)="Producción",
   _xlfn.XLOOKUP(C688,Cartera1017[ID Mantenimiento],Cartera1017[Fin Producción]),
""))))</f>
        <v>46087</v>
      </c>
    </row>
    <row r="689" spans="1:8" hidden="1" outlineLevel="1">
      <c r="A689" t="str">
        <f ca="1"/>
        <v>Operaciones</v>
      </c>
      <c r="B689" t="str">
        <f ca="1"/>
        <v>08. Producción Finalizada</v>
      </c>
      <c r="C689" t="str">
        <f ca="1"/>
        <v>2025-M0740</v>
      </c>
      <c r="D689" t="str">
        <f ca="1"/>
        <v xml:space="preserve">   Desarrollo</v>
      </c>
      <c r="E689" s="255">
        <f ca="1"/>
        <v>1</v>
      </c>
      <c r="F689" s="255">
        <f ca="1"/>
        <v>1</v>
      </c>
      <c r="G689" s="356">
        <f ca="1">IF(TRIM(D689)=C689,
   _xlfn.XLOOKUP(C689, Cartera1017[ID Mantenimiento],Cartera1017[Comienzo Desarrollo]),
IF(TRIM(D689)="Desarrollo",
   _xlfn.XLOOKUP(C689,Cartera1017[ID Mantenimiento],Cartera1017[Comienzo Desarrollo]),
IF(TRIM(D689)="Calidad",
   _xlfn.XLOOKUP(C689,Cartera1017[ID Mantenimiento],Cartera1017[Comienzo Calidad]),
IF(TRIM(D689)="Producción",
   _xlfn.XLOOKUP(C689,Cartera1017[ID Mantenimiento],Cartera1017[Comienzo Producción]),
""))))</f>
        <v>45988</v>
      </c>
      <c r="H689" s="160">
        <f ca="1">IF(TRIM(D689)=C689,
   _xlfn.XLOOKUP(C689, Cartera1017[ID Mantenimiento],Cartera1017[Fin Producción]),
IF(TRIM(D689)="Desarrollo",
   _xlfn.XLOOKUP(C689,Cartera1017[ID Mantenimiento],Cartera1017[Fin Desarrollo]),
IF(TRIM(D689)="Calidad",
   _xlfn.XLOOKUP(C689,Cartera1017[ID Mantenimiento],Cartera1017[Fin Calidad]),
IF(TRIM(D689)="Producción",
   _xlfn.XLOOKUP(C689,Cartera1017[ID Mantenimiento],Cartera1017[Fin Producción]),
""))))</f>
        <v>46029</v>
      </c>
    </row>
    <row r="690" spans="1:8" hidden="1" outlineLevel="1">
      <c r="A690" t="str">
        <f ca="1"/>
        <v>Operaciones</v>
      </c>
      <c r="B690" t="str">
        <f ca="1"/>
        <v>08. Producción Finalizada</v>
      </c>
      <c r="C690" t="str">
        <f ca="1"/>
        <v>2025-M0740</v>
      </c>
      <c r="D690" t="str">
        <f ca="1"/>
        <v xml:space="preserve">   Calidad</v>
      </c>
      <c r="E690" s="255">
        <f ca="1"/>
        <v>1</v>
      </c>
      <c r="F690" s="255">
        <f ca="1"/>
        <v>1</v>
      </c>
      <c r="G690" s="356">
        <f ca="1">IF(TRIM(D690)=C690,
   _xlfn.XLOOKUP(C690, Cartera1017[ID Mantenimiento],Cartera1017[Comienzo Desarrollo]),
IF(TRIM(D690)="Desarrollo",
   _xlfn.XLOOKUP(C690,Cartera1017[ID Mantenimiento],Cartera1017[Comienzo Desarrollo]),
IF(TRIM(D690)="Calidad",
   _xlfn.XLOOKUP(C690,Cartera1017[ID Mantenimiento],Cartera1017[Comienzo Calidad]),
IF(TRIM(D690)="Producción",
   _xlfn.XLOOKUP(C690,Cartera1017[ID Mantenimiento],Cartera1017[Comienzo Producción]),
""))))</f>
        <v>46036</v>
      </c>
      <c r="H690" s="160">
        <f ca="1">IF(TRIM(D690)=C690,
   _xlfn.XLOOKUP(C690, Cartera1017[ID Mantenimiento],Cartera1017[Fin Producción]),
IF(TRIM(D690)="Desarrollo",
   _xlfn.XLOOKUP(C690,Cartera1017[ID Mantenimiento],Cartera1017[Fin Desarrollo]),
IF(TRIM(D690)="Calidad",
   _xlfn.XLOOKUP(C690,Cartera1017[ID Mantenimiento],Cartera1017[Fin Calidad]),
IF(TRIM(D690)="Producción",
   _xlfn.XLOOKUP(C690,Cartera1017[ID Mantenimiento],Cartera1017[Fin Producción]),
""))))</f>
        <v>46049</v>
      </c>
    </row>
    <row r="691" spans="1:8" hidden="1" outlineLevel="1">
      <c r="A691" t="str">
        <f ca="1"/>
        <v>Operaciones</v>
      </c>
      <c r="B691" t="str">
        <f ca="1"/>
        <v>08. Producción Finalizada</v>
      </c>
      <c r="C691" t="str">
        <f ca="1"/>
        <v>2025-M0740</v>
      </c>
      <c r="D691" t="str">
        <f ca="1"/>
        <v xml:space="preserve">   Producción</v>
      </c>
      <c r="E691" s="255">
        <f ca="1"/>
        <v>1</v>
      </c>
      <c r="F691" s="255">
        <f ca="1"/>
        <v>1</v>
      </c>
      <c r="G691" s="356">
        <f ca="1">IF(TRIM(D691)=C691,
   _xlfn.XLOOKUP(C691, Cartera1017[ID Mantenimiento],Cartera1017[Comienzo Desarrollo]),
IF(TRIM(D691)="Desarrollo",
   _xlfn.XLOOKUP(C691,Cartera1017[ID Mantenimiento],Cartera1017[Comienzo Desarrollo]),
IF(TRIM(D691)="Calidad",
   _xlfn.XLOOKUP(C691,Cartera1017[ID Mantenimiento],Cartera1017[Comienzo Calidad]),
IF(TRIM(D691)="Producción",
   _xlfn.XLOOKUP(C691,Cartera1017[ID Mantenimiento],Cartera1017[Comienzo Producción]),
""))))</f>
        <v>46051</v>
      </c>
      <c r="H691" s="160">
        <f ca="1">IF(TRIM(D691)=C691,
   _xlfn.XLOOKUP(C691, Cartera1017[ID Mantenimiento],Cartera1017[Fin Producción]),
IF(TRIM(D691)="Desarrollo",
   _xlfn.XLOOKUP(C691,Cartera1017[ID Mantenimiento],Cartera1017[Fin Desarrollo]),
IF(TRIM(D691)="Calidad",
   _xlfn.XLOOKUP(C691,Cartera1017[ID Mantenimiento],Cartera1017[Fin Calidad]),
IF(TRIM(D691)="Producción",
   _xlfn.XLOOKUP(C691,Cartera1017[ID Mantenimiento],Cartera1017[Fin Producción]),
""))))</f>
        <v>46087</v>
      </c>
    </row>
    <row r="692" spans="1:8" hidden="1" collapsed="1">
      <c r="A692" t="str">
        <f ca="1"/>
        <v>Operaciones</v>
      </c>
      <c r="B692" t="str">
        <f ca="1"/>
        <v>08. Producción Finalizada</v>
      </c>
      <c r="C692" t="str">
        <f ca="1"/>
        <v>2025-M0759</v>
      </c>
      <c r="D692" t="str">
        <f ca="1"/>
        <v>2025-M0759</v>
      </c>
      <c r="E692" s="255">
        <f ca="1"/>
        <v>1</v>
      </c>
      <c r="F692" s="255">
        <f ca="1"/>
        <v>1</v>
      </c>
      <c r="G692" s="356">
        <f ca="1">IF(TRIM(D692)=C692,
   _xlfn.XLOOKUP(C692, Cartera1017[ID Mantenimiento],Cartera1017[Comienzo Desarrollo]),
IF(TRIM(D692)="Desarrollo",
   _xlfn.XLOOKUP(C692,Cartera1017[ID Mantenimiento],Cartera1017[Comienzo Desarrollo]),
IF(TRIM(D692)="Calidad",
   _xlfn.XLOOKUP(C692,Cartera1017[ID Mantenimiento],Cartera1017[Comienzo Calidad]),
IF(TRIM(D692)="Producción",
   _xlfn.XLOOKUP(C692,Cartera1017[ID Mantenimiento],Cartera1017[Comienzo Producción]),
""))))</f>
        <v>45995</v>
      </c>
      <c r="H692" s="160">
        <f ca="1">IF(TRIM(D692)=C692,
   _xlfn.XLOOKUP(C692, Cartera1017[ID Mantenimiento],Cartera1017[Fin Producción]),
IF(TRIM(D692)="Desarrollo",
   _xlfn.XLOOKUP(C692,Cartera1017[ID Mantenimiento],Cartera1017[Fin Desarrollo]),
IF(TRIM(D692)="Calidad",
   _xlfn.XLOOKUP(C692,Cartera1017[ID Mantenimiento],Cartera1017[Fin Calidad]),
IF(TRIM(D692)="Producción",
   _xlfn.XLOOKUP(C692,Cartera1017[ID Mantenimiento],Cartera1017[Fin Producción]),
""))))</f>
        <v>46037</v>
      </c>
    </row>
    <row r="693" spans="1:8" hidden="1" outlineLevel="1">
      <c r="A693" t="str">
        <f ca="1"/>
        <v>Operaciones</v>
      </c>
      <c r="B693" t="str">
        <f ca="1"/>
        <v>08. Producción Finalizada</v>
      </c>
      <c r="C693" t="str">
        <f ca="1"/>
        <v>2025-M0759</v>
      </c>
      <c r="D693" t="str">
        <f ca="1"/>
        <v xml:space="preserve">   Desarrollo</v>
      </c>
      <c r="E693" s="255">
        <f ca="1"/>
        <v>1</v>
      </c>
      <c r="F693" s="255">
        <f ca="1"/>
        <v>1</v>
      </c>
      <c r="G693" s="356">
        <f ca="1">IF(TRIM(D693)=C693,
   _xlfn.XLOOKUP(C693, Cartera1017[ID Mantenimiento],Cartera1017[Comienzo Desarrollo]),
IF(TRIM(D693)="Desarrollo",
   _xlfn.XLOOKUP(C693,Cartera1017[ID Mantenimiento],Cartera1017[Comienzo Desarrollo]),
IF(TRIM(D693)="Calidad",
   _xlfn.XLOOKUP(C693,Cartera1017[ID Mantenimiento],Cartera1017[Comienzo Calidad]),
IF(TRIM(D693)="Producción",
   _xlfn.XLOOKUP(C693,Cartera1017[ID Mantenimiento],Cartera1017[Comienzo Producción]),
""))))</f>
        <v>45995</v>
      </c>
      <c r="H693" s="160">
        <f ca="1">IF(TRIM(D693)=C693,
   _xlfn.XLOOKUP(C693, Cartera1017[ID Mantenimiento],Cartera1017[Fin Producción]),
IF(TRIM(D693)="Desarrollo",
   _xlfn.XLOOKUP(C693,Cartera1017[ID Mantenimiento],Cartera1017[Fin Desarrollo]),
IF(TRIM(D693)="Calidad",
   _xlfn.XLOOKUP(C693,Cartera1017[ID Mantenimiento],Cartera1017[Fin Calidad]),
IF(TRIM(D693)="Producción",
   _xlfn.XLOOKUP(C693,Cartera1017[ID Mantenimiento],Cartera1017[Fin Producción]),
""))))</f>
        <v>46006</v>
      </c>
    </row>
    <row r="694" spans="1:8" hidden="1" outlineLevel="1">
      <c r="A694" t="str">
        <f ca="1"/>
        <v>Operaciones</v>
      </c>
      <c r="B694" t="str">
        <f ca="1"/>
        <v>08. Producción Finalizada</v>
      </c>
      <c r="C694" t="str">
        <f ca="1"/>
        <v>2025-M0759</v>
      </c>
      <c r="D694" t="str">
        <f ca="1"/>
        <v xml:space="preserve">   Calidad</v>
      </c>
      <c r="E694" s="255">
        <f ca="1"/>
        <v>1</v>
      </c>
      <c r="F694" s="255">
        <f ca="1"/>
        <v>1</v>
      </c>
      <c r="G694" s="356">
        <f ca="1">IF(TRIM(D694)=C694,
   _xlfn.XLOOKUP(C694, Cartera1017[ID Mantenimiento],Cartera1017[Comienzo Desarrollo]),
IF(TRIM(D694)="Desarrollo",
   _xlfn.XLOOKUP(C694,Cartera1017[ID Mantenimiento],Cartera1017[Comienzo Desarrollo]),
IF(TRIM(D694)="Calidad",
   _xlfn.XLOOKUP(C694,Cartera1017[ID Mantenimiento],Cartera1017[Comienzo Calidad]),
IF(TRIM(D694)="Producción",
   _xlfn.XLOOKUP(C694,Cartera1017[ID Mantenimiento],Cartera1017[Comienzo Producción]),
""))))</f>
        <v>46013</v>
      </c>
      <c r="H694" s="160">
        <f ca="1">IF(TRIM(D694)=C694,
   _xlfn.XLOOKUP(C694, Cartera1017[ID Mantenimiento],Cartera1017[Fin Producción]),
IF(TRIM(D694)="Desarrollo",
   _xlfn.XLOOKUP(C694,Cartera1017[ID Mantenimiento],Cartera1017[Fin Desarrollo]),
IF(TRIM(D694)="Calidad",
   _xlfn.XLOOKUP(C694,Cartera1017[ID Mantenimiento],Cartera1017[Fin Calidad]),
IF(TRIM(D694)="Producción",
   _xlfn.XLOOKUP(C694,Cartera1017[ID Mantenimiento],Cartera1017[Fin Producción]),
""))))</f>
        <v>46014</v>
      </c>
    </row>
    <row r="695" spans="1:8" hidden="1" outlineLevel="1">
      <c r="A695" t="str">
        <f ca="1"/>
        <v>Operaciones</v>
      </c>
      <c r="B695" t="str">
        <f ca="1"/>
        <v>08. Producción Finalizada</v>
      </c>
      <c r="C695" t="str">
        <f ca="1"/>
        <v>2025-M0759</v>
      </c>
      <c r="D695" t="str">
        <f ca="1"/>
        <v xml:space="preserve">   Producción</v>
      </c>
      <c r="E695" s="255">
        <f ca="1"/>
        <v>1</v>
      </c>
      <c r="F695" s="255">
        <f ca="1"/>
        <v>1</v>
      </c>
      <c r="G695" s="356">
        <f ca="1">IF(TRIM(D695)=C695,
   _xlfn.XLOOKUP(C695, Cartera1017[ID Mantenimiento],Cartera1017[Comienzo Desarrollo]),
IF(TRIM(D695)="Desarrollo",
   _xlfn.XLOOKUP(C695,Cartera1017[ID Mantenimiento],Cartera1017[Comienzo Desarrollo]),
IF(TRIM(D695)="Calidad",
   _xlfn.XLOOKUP(C695,Cartera1017[ID Mantenimiento],Cartera1017[Comienzo Calidad]),
IF(TRIM(D695)="Producción",
   _xlfn.XLOOKUP(C695,Cartera1017[ID Mantenimiento],Cartera1017[Comienzo Producción]),
""))))</f>
        <v>46029</v>
      </c>
      <c r="H695" s="160">
        <f ca="1">IF(TRIM(D695)=C695,
   _xlfn.XLOOKUP(C695, Cartera1017[ID Mantenimiento],Cartera1017[Fin Producción]),
IF(TRIM(D695)="Desarrollo",
   _xlfn.XLOOKUP(C695,Cartera1017[ID Mantenimiento],Cartera1017[Fin Desarrollo]),
IF(TRIM(D695)="Calidad",
   _xlfn.XLOOKUP(C695,Cartera1017[ID Mantenimiento],Cartera1017[Fin Calidad]),
IF(TRIM(D695)="Producción",
   _xlfn.XLOOKUP(C695,Cartera1017[ID Mantenimiento],Cartera1017[Fin Producción]),
""))))</f>
        <v>46037</v>
      </c>
    </row>
    <row r="696" spans="1:8" hidden="1" collapsed="1">
      <c r="A696" t="str">
        <f ca="1"/>
        <v>Administración y Logística</v>
      </c>
      <c r="B696" t="str">
        <f ca="1"/>
        <v>03. En Desarrollo</v>
      </c>
      <c r="C696" t="str">
        <f ca="1"/>
        <v>2025-M0764</v>
      </c>
      <c r="D696" t="str">
        <f ca="1"/>
        <v>2025-M0764</v>
      </c>
      <c r="E696" s="255">
        <f ca="1"/>
        <v>0.15</v>
      </c>
      <c r="F696" s="255">
        <f ca="1"/>
        <v>0.49137931034482757</v>
      </c>
      <c r="G696" s="356">
        <f ca="1">IF(TRIM(D696)=C696,
   _xlfn.XLOOKUP(C696, Cartera1017[ID Mantenimiento],Cartera1017[Comienzo Desarrollo]),
IF(TRIM(D696)="Desarrollo",
   _xlfn.XLOOKUP(C696,Cartera1017[ID Mantenimiento],Cartera1017[Comienzo Desarrollo]),
IF(TRIM(D696)="Calidad",
   _xlfn.XLOOKUP(C696,Cartera1017[ID Mantenimiento],Cartera1017[Comienzo Calidad]),
IF(TRIM(D696)="Producción",
   _xlfn.XLOOKUP(C696,Cartera1017[ID Mantenimiento],Cartera1017[Comienzo Producción]),
""))))</f>
        <v>46083</v>
      </c>
      <c r="H696" s="160">
        <f ca="1">IF(TRIM(D696)=C696,
   _xlfn.XLOOKUP(C696, Cartera1017[ID Mantenimiento],Cartera1017[Fin Producción]),
IF(TRIM(D696)="Desarrollo",
   _xlfn.XLOOKUP(C696,Cartera1017[ID Mantenimiento],Cartera1017[Fin Desarrollo]),
IF(TRIM(D696)="Calidad",
   _xlfn.XLOOKUP(C696,Cartera1017[ID Mantenimiento],Cartera1017[Fin Calidad]),
IF(TRIM(D696)="Producción",
   _xlfn.XLOOKUP(C696,Cartera1017[ID Mantenimiento],Cartera1017[Fin Producción]),
""))))</f>
        <v>46248</v>
      </c>
    </row>
    <row r="697" spans="1:8" hidden="1" outlineLevel="1">
      <c r="A697" t="str">
        <f ca="1"/>
        <v>Administración y Logística</v>
      </c>
      <c r="B697" t="str">
        <f ca="1"/>
        <v>03. En Desarrollo</v>
      </c>
      <c r="C697" t="str">
        <f ca="1"/>
        <v>2025-M0764</v>
      </c>
      <c r="D697" t="str">
        <f ca="1"/>
        <v xml:space="preserve">   Desarrollo</v>
      </c>
      <c r="E697" s="255">
        <f ca="1"/>
        <v>0.15</v>
      </c>
      <c r="F697" s="255">
        <f ca="1"/>
        <v>0.49137931034482757</v>
      </c>
      <c r="G697" s="356">
        <f ca="1">IF(TRIM(D697)=C697,
   _xlfn.XLOOKUP(C697, Cartera1017[ID Mantenimiento],Cartera1017[Comienzo Desarrollo]),
IF(TRIM(D697)="Desarrollo",
   _xlfn.XLOOKUP(C697,Cartera1017[ID Mantenimiento],Cartera1017[Comienzo Desarrollo]),
IF(TRIM(D697)="Calidad",
   _xlfn.XLOOKUP(C697,Cartera1017[ID Mantenimiento],Cartera1017[Comienzo Calidad]),
IF(TRIM(D697)="Producción",
   _xlfn.XLOOKUP(C697,Cartera1017[ID Mantenimiento],Cartera1017[Comienzo Producción]),
""))))</f>
        <v>46083</v>
      </c>
      <c r="H697" s="160">
        <f ca="1">IF(TRIM(D697)=C697,
   _xlfn.XLOOKUP(C697, Cartera1017[ID Mantenimiento],Cartera1017[Fin Producción]),
IF(TRIM(D697)="Desarrollo",
   _xlfn.XLOOKUP(C697,Cartera1017[ID Mantenimiento],Cartera1017[Fin Desarrollo]),
IF(TRIM(D697)="Calidad",
   _xlfn.XLOOKUP(C697,Cartera1017[ID Mantenimiento],Cartera1017[Fin Calidad]),
IF(TRIM(D697)="Producción",
   _xlfn.XLOOKUP(C697,Cartera1017[ID Mantenimiento],Cartera1017[Fin Producción]),
""))))</f>
        <v>46203</v>
      </c>
    </row>
    <row r="698" spans="1:8" hidden="1" outlineLevel="1">
      <c r="A698" t="str">
        <f ca="1"/>
        <v>Administración y Logística</v>
      </c>
      <c r="B698" t="str">
        <f ca="1"/>
        <v>03. En Desarrollo</v>
      </c>
      <c r="C698" t="str">
        <f ca="1"/>
        <v>2025-M0764</v>
      </c>
      <c r="D698" t="str">
        <f ca="1"/>
        <v xml:space="preserve">   Calidad</v>
      </c>
      <c r="E698" s="255">
        <f ca="1"/>
        <v>0.15</v>
      </c>
      <c r="F698" s="255">
        <f ca="1"/>
        <v>0.49137931034482757</v>
      </c>
      <c r="G698" s="356">
        <f ca="1">IF(TRIM(D698)=C698,
   _xlfn.XLOOKUP(C698, Cartera1017[ID Mantenimiento],Cartera1017[Comienzo Desarrollo]),
IF(TRIM(D698)="Desarrollo",
   _xlfn.XLOOKUP(C698,Cartera1017[ID Mantenimiento],Cartera1017[Comienzo Desarrollo]),
IF(TRIM(D698)="Calidad",
   _xlfn.XLOOKUP(C698,Cartera1017[ID Mantenimiento],Cartera1017[Comienzo Calidad]),
IF(TRIM(D698)="Producción",
   _xlfn.XLOOKUP(C698,Cartera1017[ID Mantenimiento],Cartera1017[Comienzo Producción]),
""))))</f>
        <v>46204</v>
      </c>
      <c r="H698" s="160">
        <f ca="1">IF(TRIM(D698)=C698,
   _xlfn.XLOOKUP(C698, Cartera1017[ID Mantenimiento],Cartera1017[Fin Producción]),
IF(TRIM(D698)="Desarrollo",
   _xlfn.XLOOKUP(C698,Cartera1017[ID Mantenimiento],Cartera1017[Fin Desarrollo]),
IF(TRIM(D698)="Calidad",
   _xlfn.XLOOKUP(C698,Cartera1017[ID Mantenimiento],Cartera1017[Fin Calidad]),
IF(TRIM(D698)="Producción",
   _xlfn.XLOOKUP(C698,Cartera1017[ID Mantenimiento],Cartera1017[Fin Producción]),
""))))</f>
        <v>46238</v>
      </c>
    </row>
    <row r="699" spans="1:8" hidden="1" outlineLevel="1">
      <c r="A699" t="str">
        <f ca="1"/>
        <v>Administración y Logística</v>
      </c>
      <c r="B699" t="str">
        <f ca="1"/>
        <v>03. En Desarrollo</v>
      </c>
      <c r="C699" t="str">
        <f ca="1"/>
        <v>2025-M0764</v>
      </c>
      <c r="D699" t="str">
        <f ca="1"/>
        <v xml:space="preserve">   Producción</v>
      </c>
      <c r="E699" s="255">
        <f ca="1"/>
        <v>0.15</v>
      </c>
      <c r="F699" s="255">
        <f ca="1"/>
        <v>0.49137931034482757</v>
      </c>
      <c r="G699" s="356">
        <f ca="1">IF(TRIM(D699)=C699,
   _xlfn.XLOOKUP(C699, Cartera1017[ID Mantenimiento],Cartera1017[Comienzo Desarrollo]),
IF(TRIM(D699)="Desarrollo",
   _xlfn.XLOOKUP(C699,Cartera1017[ID Mantenimiento],Cartera1017[Comienzo Desarrollo]),
IF(TRIM(D699)="Calidad",
   _xlfn.XLOOKUP(C699,Cartera1017[ID Mantenimiento],Cartera1017[Comienzo Calidad]),
IF(TRIM(D699)="Producción",
   _xlfn.XLOOKUP(C699,Cartera1017[ID Mantenimiento],Cartera1017[Comienzo Producción]),
""))))</f>
        <v>46239</v>
      </c>
      <c r="H699" s="160">
        <f ca="1">IF(TRIM(D699)=C699,
   _xlfn.XLOOKUP(C699, Cartera1017[ID Mantenimiento],Cartera1017[Fin Producción]),
IF(TRIM(D699)="Desarrollo",
   _xlfn.XLOOKUP(C699,Cartera1017[ID Mantenimiento],Cartera1017[Fin Desarrollo]),
IF(TRIM(D699)="Calidad",
   _xlfn.XLOOKUP(C699,Cartera1017[ID Mantenimiento],Cartera1017[Fin Calidad]),
IF(TRIM(D699)="Producción",
   _xlfn.XLOOKUP(C699,Cartera1017[ID Mantenimiento],Cartera1017[Fin Producción]),
""))))</f>
        <v>46248</v>
      </c>
    </row>
    <row r="700" spans="1:8" hidden="1" collapsed="1">
      <c r="A700" t="str">
        <f ca="1"/>
        <v>Tecnologías de Información</v>
      </c>
      <c r="B700" t="str">
        <f ca="1"/>
        <v>08. Producción Finalizada</v>
      </c>
      <c r="C700" t="str">
        <f ca="1"/>
        <v>2025-M0731</v>
      </c>
      <c r="D700" t="str">
        <f ca="1"/>
        <v>2025-M0731</v>
      </c>
      <c r="E700" s="255">
        <f ca="1"/>
        <v>1</v>
      </c>
      <c r="F700" s="255">
        <f ca="1"/>
        <v>1</v>
      </c>
      <c r="G700" s="356">
        <f ca="1">IF(TRIM(D700)=C700,
   _xlfn.XLOOKUP(C700, Cartera1017[ID Mantenimiento],Cartera1017[Comienzo Desarrollo]),
IF(TRIM(D700)="Desarrollo",
   _xlfn.XLOOKUP(C700,Cartera1017[ID Mantenimiento],Cartera1017[Comienzo Desarrollo]),
IF(TRIM(D700)="Calidad",
   _xlfn.XLOOKUP(C700,Cartera1017[ID Mantenimiento],Cartera1017[Comienzo Calidad]),
IF(TRIM(D700)="Producción",
   _xlfn.XLOOKUP(C700,Cartera1017[ID Mantenimiento],Cartera1017[Comienzo Producción]),
""))))</f>
        <v>45985</v>
      </c>
      <c r="H700" s="160">
        <f ca="1">IF(TRIM(D700)=C700,
   _xlfn.XLOOKUP(C700, Cartera1017[ID Mantenimiento],Cartera1017[Fin Producción]),
IF(TRIM(D700)="Desarrollo",
   _xlfn.XLOOKUP(C700,Cartera1017[ID Mantenimiento],Cartera1017[Fin Desarrollo]),
IF(TRIM(D700)="Calidad",
   _xlfn.XLOOKUP(C700,Cartera1017[ID Mantenimiento],Cartera1017[Fin Calidad]),
IF(TRIM(D700)="Producción",
   _xlfn.XLOOKUP(C700,Cartera1017[ID Mantenimiento],Cartera1017[Fin Producción]),
""))))</f>
        <v>46030</v>
      </c>
    </row>
    <row r="701" spans="1:8" hidden="1" outlineLevel="1">
      <c r="A701" t="str">
        <f ca="1"/>
        <v>Tecnologías de Información</v>
      </c>
      <c r="B701" t="str">
        <f ca="1"/>
        <v>08. Producción Finalizada</v>
      </c>
      <c r="C701" t="str">
        <f ca="1"/>
        <v>2025-M0731</v>
      </c>
      <c r="D701" t="str">
        <f ca="1"/>
        <v xml:space="preserve">   Desarrollo</v>
      </c>
      <c r="E701" s="255">
        <f ca="1"/>
        <v>1</v>
      </c>
      <c r="F701" s="255">
        <f ca="1"/>
        <v>1</v>
      </c>
      <c r="G701" s="356">
        <f ca="1">IF(TRIM(D701)=C701,
   _xlfn.XLOOKUP(C701, Cartera1017[ID Mantenimiento],Cartera1017[Comienzo Desarrollo]),
IF(TRIM(D701)="Desarrollo",
   _xlfn.XLOOKUP(C701,Cartera1017[ID Mantenimiento],Cartera1017[Comienzo Desarrollo]),
IF(TRIM(D701)="Calidad",
   _xlfn.XLOOKUP(C701,Cartera1017[ID Mantenimiento],Cartera1017[Comienzo Calidad]),
IF(TRIM(D701)="Producción",
   _xlfn.XLOOKUP(C701,Cartera1017[ID Mantenimiento],Cartera1017[Comienzo Producción]),
""))))</f>
        <v>45985</v>
      </c>
      <c r="H701" s="160" t="str">
        <f ca="1">IF(TRIM(D701)=C701,
   _xlfn.XLOOKUP(C701, Cartera1017[ID Mantenimiento],Cartera1017[Fin Producción]),
IF(TRIM(D701)="Desarrollo",
   _xlfn.XLOOKUP(C701,Cartera1017[ID Mantenimiento],Cartera1017[Fin Desarrollo]),
IF(TRIM(D701)="Calidad",
   _xlfn.XLOOKUP(C701,Cartera1017[ID Mantenimiento],Cartera1017[Fin Calidad]),
IF(TRIM(D701)="Producción",
   _xlfn.XLOOKUP(C701,Cartera1017[ID Mantenimiento],Cartera1017[Fin Producción]),
""))))</f>
        <v/>
      </c>
    </row>
    <row r="702" spans="1:8" hidden="1" outlineLevel="1">
      <c r="A702" t="str">
        <f ca="1"/>
        <v>Tecnologías de Información</v>
      </c>
      <c r="B702" t="str">
        <f ca="1"/>
        <v>08. Producción Finalizada</v>
      </c>
      <c r="C702" t="str">
        <f ca="1"/>
        <v>2025-M0731</v>
      </c>
      <c r="D702" t="str">
        <f ca="1"/>
        <v xml:space="preserve">   Calidad</v>
      </c>
      <c r="E702" s="255">
        <f ca="1"/>
        <v>1</v>
      </c>
      <c r="F702" s="255">
        <f ca="1"/>
        <v>1</v>
      </c>
      <c r="G702" s="356" t="str">
        <f ca="1">IF(TRIM(D702)=C702,
   _xlfn.XLOOKUP(C702, Cartera1017[ID Mantenimiento],Cartera1017[Comienzo Desarrollo]),
IF(TRIM(D702)="Desarrollo",
   _xlfn.XLOOKUP(C702,Cartera1017[ID Mantenimiento],Cartera1017[Comienzo Desarrollo]),
IF(TRIM(D702)="Calidad",
   _xlfn.XLOOKUP(C702,Cartera1017[ID Mantenimiento],Cartera1017[Comienzo Calidad]),
IF(TRIM(D702)="Producción",
   _xlfn.XLOOKUP(C702,Cartera1017[ID Mantenimiento],Cartera1017[Comienzo Producción]),
""))))</f>
        <v/>
      </c>
      <c r="H702" s="160" t="str">
        <f ca="1">IF(TRIM(D702)=C702,
   _xlfn.XLOOKUP(C702, Cartera1017[ID Mantenimiento],Cartera1017[Fin Producción]),
IF(TRIM(D702)="Desarrollo",
   _xlfn.XLOOKUP(C702,Cartera1017[ID Mantenimiento],Cartera1017[Fin Desarrollo]),
IF(TRIM(D702)="Calidad",
   _xlfn.XLOOKUP(C702,Cartera1017[ID Mantenimiento],Cartera1017[Fin Calidad]),
IF(TRIM(D702)="Producción",
   _xlfn.XLOOKUP(C702,Cartera1017[ID Mantenimiento],Cartera1017[Fin Producción]),
""))))</f>
        <v/>
      </c>
    </row>
    <row r="703" spans="1:8" hidden="1" outlineLevel="1">
      <c r="A703" t="str">
        <f ca="1"/>
        <v>Tecnologías de Información</v>
      </c>
      <c r="B703" t="str">
        <f ca="1"/>
        <v>08. Producción Finalizada</v>
      </c>
      <c r="C703" t="str">
        <f ca="1"/>
        <v>2025-M0731</v>
      </c>
      <c r="D703" t="str">
        <f ca="1"/>
        <v xml:space="preserve">   Producción</v>
      </c>
      <c r="E703" s="255">
        <f ca="1"/>
        <v>1</v>
      </c>
      <c r="F703" s="255">
        <f ca="1"/>
        <v>1</v>
      </c>
      <c r="G703" s="356">
        <f ca="1">IF(TRIM(D703)=C703,
   _xlfn.XLOOKUP(C703, Cartera1017[ID Mantenimiento],Cartera1017[Comienzo Desarrollo]),
IF(TRIM(D703)="Desarrollo",
   _xlfn.XLOOKUP(C703,Cartera1017[ID Mantenimiento],Cartera1017[Comienzo Desarrollo]),
IF(TRIM(D703)="Calidad",
   _xlfn.XLOOKUP(C703,Cartera1017[ID Mantenimiento],Cartera1017[Comienzo Calidad]),
IF(TRIM(D703)="Producción",
   _xlfn.XLOOKUP(C703,Cartera1017[ID Mantenimiento],Cartera1017[Comienzo Producción]),
""))))</f>
        <v>45989</v>
      </c>
      <c r="H703" s="160">
        <f ca="1">IF(TRIM(D703)=C703,
   _xlfn.XLOOKUP(C703, Cartera1017[ID Mantenimiento],Cartera1017[Fin Producción]),
IF(TRIM(D703)="Desarrollo",
   _xlfn.XLOOKUP(C703,Cartera1017[ID Mantenimiento],Cartera1017[Fin Desarrollo]),
IF(TRIM(D703)="Calidad",
   _xlfn.XLOOKUP(C703,Cartera1017[ID Mantenimiento],Cartera1017[Fin Calidad]),
IF(TRIM(D703)="Producción",
   _xlfn.XLOOKUP(C703,Cartera1017[ID Mantenimiento],Cartera1017[Fin Producción]),
""))))</f>
        <v>46030</v>
      </c>
    </row>
    <row r="704" spans="1:8" hidden="1" collapsed="1">
      <c r="A704" t="str">
        <f ca="1"/>
        <v>Administración y Logística</v>
      </c>
      <c r="B704" t="str">
        <f ca="1"/>
        <v>08. Producción Finalizada</v>
      </c>
      <c r="C704" t="str">
        <f ca="1"/>
        <v>2025-M0747</v>
      </c>
      <c r="D704" t="str">
        <f ca="1"/>
        <v>2025-M0747</v>
      </c>
      <c r="E704" s="255">
        <f ca="1"/>
        <v>1</v>
      </c>
      <c r="F704" s="255">
        <f ca="1"/>
        <v>1</v>
      </c>
      <c r="G704" s="356">
        <f ca="1">IF(TRIM(D704)=C704,
   _xlfn.XLOOKUP(C704, Cartera1017[ID Mantenimiento],Cartera1017[Comienzo Desarrollo]),
IF(TRIM(D704)="Desarrollo",
   _xlfn.XLOOKUP(C704,Cartera1017[ID Mantenimiento],Cartera1017[Comienzo Desarrollo]),
IF(TRIM(D704)="Calidad",
   _xlfn.XLOOKUP(C704,Cartera1017[ID Mantenimiento],Cartera1017[Comienzo Calidad]),
IF(TRIM(D704)="Producción",
   _xlfn.XLOOKUP(C704,Cartera1017[ID Mantenimiento],Cartera1017[Comienzo Producción]),
""))))</f>
        <v>45989</v>
      </c>
      <c r="H704" s="160">
        <f ca="1">IF(TRIM(D704)=C704,
   _xlfn.XLOOKUP(C704, Cartera1017[ID Mantenimiento],Cartera1017[Fin Producción]),
IF(TRIM(D704)="Desarrollo",
   _xlfn.XLOOKUP(C704,Cartera1017[ID Mantenimiento],Cartera1017[Fin Desarrollo]),
IF(TRIM(D704)="Calidad",
   _xlfn.XLOOKUP(C704,Cartera1017[ID Mantenimiento],Cartera1017[Fin Calidad]),
IF(TRIM(D704)="Producción",
   _xlfn.XLOOKUP(C704,Cartera1017[ID Mantenimiento],Cartera1017[Fin Producción]),
""))))</f>
        <v>46030</v>
      </c>
    </row>
    <row r="705" spans="1:8" hidden="1" outlineLevel="1">
      <c r="A705" t="str">
        <f ca="1"/>
        <v>Administración y Logística</v>
      </c>
      <c r="B705" t="str">
        <f ca="1"/>
        <v>08. Producción Finalizada</v>
      </c>
      <c r="C705" t="str">
        <f ca="1"/>
        <v>2025-M0747</v>
      </c>
      <c r="D705" t="str">
        <f ca="1"/>
        <v xml:space="preserve">   Desarrollo</v>
      </c>
      <c r="E705" s="255">
        <f ca="1"/>
        <v>1</v>
      </c>
      <c r="F705" s="255">
        <f ca="1"/>
        <v>1</v>
      </c>
      <c r="G705" s="356">
        <f ca="1">IF(TRIM(D705)=C705,
   _xlfn.XLOOKUP(C705, Cartera1017[ID Mantenimiento],Cartera1017[Comienzo Desarrollo]),
IF(TRIM(D705)="Desarrollo",
   _xlfn.XLOOKUP(C705,Cartera1017[ID Mantenimiento],Cartera1017[Comienzo Desarrollo]),
IF(TRIM(D705)="Calidad",
   _xlfn.XLOOKUP(C705,Cartera1017[ID Mantenimiento],Cartera1017[Comienzo Calidad]),
IF(TRIM(D705)="Producción",
   _xlfn.XLOOKUP(C705,Cartera1017[ID Mantenimiento],Cartera1017[Comienzo Producción]),
""))))</f>
        <v>45989</v>
      </c>
      <c r="H705" s="160">
        <f ca="1">IF(TRIM(D705)=C705,
   _xlfn.XLOOKUP(C705, Cartera1017[ID Mantenimiento],Cartera1017[Fin Producción]),
IF(TRIM(D705)="Desarrollo",
   _xlfn.XLOOKUP(C705,Cartera1017[ID Mantenimiento],Cartera1017[Fin Desarrollo]),
IF(TRIM(D705)="Calidad",
   _xlfn.XLOOKUP(C705,Cartera1017[ID Mantenimiento],Cartera1017[Fin Calidad]),
IF(TRIM(D705)="Producción",
   _xlfn.XLOOKUP(C705,Cartera1017[ID Mantenimiento],Cartera1017[Fin Producción]),
""))))</f>
        <v>45989</v>
      </c>
    </row>
    <row r="706" spans="1:8" hidden="1" outlineLevel="1">
      <c r="A706" t="str">
        <f ca="1"/>
        <v>Administración y Logística</v>
      </c>
      <c r="B706" t="str">
        <f ca="1"/>
        <v>08. Producción Finalizada</v>
      </c>
      <c r="C706" t="str">
        <f ca="1"/>
        <v>2025-M0747</v>
      </c>
      <c r="D706" t="str">
        <f ca="1"/>
        <v xml:space="preserve">   Calidad</v>
      </c>
      <c r="E706" s="255">
        <f ca="1"/>
        <v>1</v>
      </c>
      <c r="F706" s="255">
        <f ca="1"/>
        <v>1</v>
      </c>
      <c r="G706" s="356">
        <f ca="1">IF(TRIM(D706)=C706,
   _xlfn.XLOOKUP(C706, Cartera1017[ID Mantenimiento],Cartera1017[Comienzo Desarrollo]),
IF(TRIM(D706)="Desarrollo",
   _xlfn.XLOOKUP(C706,Cartera1017[ID Mantenimiento],Cartera1017[Comienzo Desarrollo]),
IF(TRIM(D706)="Calidad",
   _xlfn.XLOOKUP(C706,Cartera1017[ID Mantenimiento],Cartera1017[Comienzo Calidad]),
IF(TRIM(D706)="Producción",
   _xlfn.XLOOKUP(C706,Cartera1017[ID Mantenimiento],Cartera1017[Comienzo Producción]),
""))))</f>
        <v>45989</v>
      </c>
      <c r="H706" s="160">
        <f ca="1">IF(TRIM(D706)=C706,
   _xlfn.XLOOKUP(C706, Cartera1017[ID Mantenimiento],Cartera1017[Fin Producción]),
IF(TRIM(D706)="Desarrollo",
   _xlfn.XLOOKUP(C706,Cartera1017[ID Mantenimiento],Cartera1017[Fin Desarrollo]),
IF(TRIM(D706)="Calidad",
   _xlfn.XLOOKUP(C706,Cartera1017[ID Mantenimiento],Cartera1017[Fin Calidad]),
IF(TRIM(D706)="Producción",
   _xlfn.XLOOKUP(C706,Cartera1017[ID Mantenimiento],Cartera1017[Fin Producción]),
""))))</f>
        <v>45989</v>
      </c>
    </row>
    <row r="707" spans="1:8" hidden="1" outlineLevel="1">
      <c r="A707" t="str">
        <f ca="1"/>
        <v>Administración y Logística</v>
      </c>
      <c r="B707" t="str">
        <f ca="1"/>
        <v>08. Producción Finalizada</v>
      </c>
      <c r="C707" t="str">
        <f ca="1"/>
        <v>2025-M0747</v>
      </c>
      <c r="D707" t="str">
        <f ca="1"/>
        <v xml:space="preserve">   Producción</v>
      </c>
      <c r="E707" s="255">
        <f ca="1"/>
        <v>1</v>
      </c>
      <c r="F707" s="255">
        <f ca="1"/>
        <v>1</v>
      </c>
      <c r="G707" s="356">
        <f ca="1">IF(TRIM(D707)=C707,
   _xlfn.XLOOKUP(C707, Cartera1017[ID Mantenimiento],Cartera1017[Comienzo Desarrollo]),
IF(TRIM(D707)="Desarrollo",
   _xlfn.XLOOKUP(C707,Cartera1017[ID Mantenimiento],Cartera1017[Comienzo Desarrollo]),
IF(TRIM(D707)="Calidad",
   _xlfn.XLOOKUP(C707,Cartera1017[ID Mantenimiento],Cartera1017[Comienzo Calidad]),
IF(TRIM(D707)="Producción",
   _xlfn.XLOOKUP(C707,Cartera1017[ID Mantenimiento],Cartera1017[Comienzo Producción]),
""))))</f>
        <v>46029</v>
      </c>
      <c r="H707" s="160">
        <f ca="1">IF(TRIM(D707)=C707,
   _xlfn.XLOOKUP(C707, Cartera1017[ID Mantenimiento],Cartera1017[Fin Producción]),
IF(TRIM(D707)="Desarrollo",
   _xlfn.XLOOKUP(C707,Cartera1017[ID Mantenimiento],Cartera1017[Fin Desarrollo]),
IF(TRIM(D707)="Calidad",
   _xlfn.XLOOKUP(C707,Cartera1017[ID Mantenimiento],Cartera1017[Fin Calidad]),
IF(TRIM(D707)="Producción",
   _xlfn.XLOOKUP(C707,Cartera1017[ID Mantenimiento],Cartera1017[Fin Producción]),
""))))</f>
        <v>46030</v>
      </c>
    </row>
    <row r="708" spans="1:8" hidden="1" collapsed="1">
      <c r="A708" t="str">
        <f ca="1"/>
        <v>Banca Digital</v>
      </c>
      <c r="B708" t="str">
        <f ca="1"/>
        <v>03. En Desarrollo</v>
      </c>
      <c r="C708" t="str">
        <f ca="1"/>
        <v>2023-M0546</v>
      </c>
      <c r="D708" t="str">
        <f ca="1"/>
        <v>2023-M0546</v>
      </c>
      <c r="E708" s="255">
        <f ca="1"/>
        <v>0.45</v>
      </c>
      <c r="F708" s="255">
        <f ca="1"/>
        <v>1</v>
      </c>
      <c r="G708" s="356">
        <f ca="1">IF(TRIM(D708)=C708,
   _xlfn.XLOOKUP(C708, Cartera1017[ID Mantenimiento],Cartera1017[Comienzo Desarrollo]),
IF(TRIM(D708)="Desarrollo",
   _xlfn.XLOOKUP(C708,Cartera1017[ID Mantenimiento],Cartera1017[Comienzo Desarrollo]),
IF(TRIM(D708)="Calidad",
   _xlfn.XLOOKUP(C708,Cartera1017[ID Mantenimiento],Cartera1017[Comienzo Calidad]),
IF(TRIM(D708)="Producción",
   _xlfn.XLOOKUP(C708,Cartera1017[ID Mantenimiento],Cartera1017[Comienzo Producción]),
""))))</f>
        <v>46072</v>
      </c>
      <c r="H708" s="160">
        <f ca="1">IF(TRIM(D708)=C708,
   _xlfn.XLOOKUP(C708, Cartera1017[ID Mantenimiento],Cartera1017[Fin Producción]),
IF(TRIM(D708)="Desarrollo",
   _xlfn.XLOOKUP(C708,Cartera1017[ID Mantenimiento],Cartera1017[Fin Desarrollo]),
IF(TRIM(D708)="Calidad",
   _xlfn.XLOOKUP(C708,Cartera1017[ID Mantenimiento],Cartera1017[Fin Calidad]),
IF(TRIM(D708)="Producción",
   _xlfn.XLOOKUP(C708,Cartera1017[ID Mantenimiento],Cartera1017[Fin Producción]),
""))))</f>
        <v>46127</v>
      </c>
    </row>
    <row r="709" spans="1:8" hidden="1" outlineLevel="1">
      <c r="A709" t="str">
        <f ca="1"/>
        <v>Banca Digital</v>
      </c>
      <c r="B709" t="str">
        <f ca="1"/>
        <v>03. En Desarrollo</v>
      </c>
      <c r="C709" t="str">
        <f ca="1"/>
        <v>2023-M0546</v>
      </c>
      <c r="D709" t="str">
        <f ca="1"/>
        <v xml:space="preserve">   Desarrollo</v>
      </c>
      <c r="E709" s="255">
        <f ca="1"/>
        <v>0.45</v>
      </c>
      <c r="F709" s="255">
        <f ca="1"/>
        <v>1</v>
      </c>
      <c r="G709" s="356">
        <f ca="1">IF(TRIM(D709)=C709,
   _xlfn.XLOOKUP(C709, Cartera1017[ID Mantenimiento],Cartera1017[Comienzo Desarrollo]),
IF(TRIM(D709)="Desarrollo",
   _xlfn.XLOOKUP(C709,Cartera1017[ID Mantenimiento],Cartera1017[Comienzo Desarrollo]),
IF(TRIM(D709)="Calidad",
   _xlfn.XLOOKUP(C709,Cartera1017[ID Mantenimiento],Cartera1017[Comienzo Calidad]),
IF(TRIM(D709)="Producción",
   _xlfn.XLOOKUP(C709,Cartera1017[ID Mantenimiento],Cartera1017[Comienzo Producción]),
""))))</f>
        <v>46072</v>
      </c>
      <c r="H709" s="160">
        <f ca="1">IF(TRIM(D709)=C709,
   _xlfn.XLOOKUP(C709, Cartera1017[ID Mantenimiento],Cartera1017[Fin Producción]),
IF(TRIM(D709)="Desarrollo",
   _xlfn.XLOOKUP(C709,Cartera1017[ID Mantenimiento],Cartera1017[Fin Desarrollo]),
IF(TRIM(D709)="Calidad",
   _xlfn.XLOOKUP(C709,Cartera1017[ID Mantenimiento],Cartera1017[Fin Calidad]),
IF(TRIM(D709)="Producción",
   _xlfn.XLOOKUP(C709,Cartera1017[ID Mantenimiento],Cartera1017[Fin Producción]),
""))))</f>
        <v>46076</v>
      </c>
    </row>
    <row r="710" spans="1:8" hidden="1" outlineLevel="1">
      <c r="A710" t="str">
        <f ca="1"/>
        <v>Banca Digital</v>
      </c>
      <c r="B710" t="str">
        <f ca="1"/>
        <v>03. En Desarrollo</v>
      </c>
      <c r="C710" t="str">
        <f ca="1"/>
        <v>2023-M0546</v>
      </c>
      <c r="D710" t="str">
        <f ca="1"/>
        <v xml:space="preserve">   Calidad</v>
      </c>
      <c r="E710" s="255">
        <f ca="1"/>
        <v>0.45</v>
      </c>
      <c r="F710" s="255">
        <f ca="1"/>
        <v>1</v>
      </c>
      <c r="G710" s="356">
        <f ca="1">IF(TRIM(D710)=C710,
   _xlfn.XLOOKUP(C710, Cartera1017[ID Mantenimiento],Cartera1017[Comienzo Desarrollo]),
IF(TRIM(D710)="Desarrollo",
   _xlfn.XLOOKUP(C710,Cartera1017[ID Mantenimiento],Cartera1017[Comienzo Desarrollo]),
IF(TRIM(D710)="Calidad",
   _xlfn.XLOOKUP(C710,Cartera1017[ID Mantenimiento],Cartera1017[Comienzo Calidad]),
IF(TRIM(D710)="Producción",
   _xlfn.XLOOKUP(C710,Cartera1017[ID Mantenimiento],Cartera1017[Comienzo Producción]),
""))))</f>
        <v>46084</v>
      </c>
      <c r="H710" s="160">
        <f ca="1">IF(TRIM(D710)=C710,
   _xlfn.XLOOKUP(C710, Cartera1017[ID Mantenimiento],Cartera1017[Fin Producción]),
IF(TRIM(D710)="Desarrollo",
   _xlfn.XLOOKUP(C710,Cartera1017[ID Mantenimiento],Cartera1017[Fin Desarrollo]),
IF(TRIM(D710)="Calidad",
   _xlfn.XLOOKUP(C710,Cartera1017[ID Mantenimiento],Cartera1017[Fin Calidad]),
IF(TRIM(D710)="Producción",
   _xlfn.XLOOKUP(C710,Cartera1017[ID Mantenimiento],Cartera1017[Fin Producción]),
""))))</f>
        <v>46119</v>
      </c>
    </row>
    <row r="711" spans="1:8" hidden="1" outlineLevel="1">
      <c r="A711" t="str">
        <f ca="1"/>
        <v>Banca Digital</v>
      </c>
      <c r="B711" t="str">
        <f ca="1"/>
        <v>03. En Desarrollo</v>
      </c>
      <c r="C711" t="str">
        <f ca="1"/>
        <v>2023-M0546</v>
      </c>
      <c r="D711" t="str">
        <f ca="1"/>
        <v xml:space="preserve">   Producción</v>
      </c>
      <c r="E711" s="255">
        <f ca="1"/>
        <v>0.45</v>
      </c>
      <c r="F711" s="255">
        <f ca="1"/>
        <v>1</v>
      </c>
      <c r="G711" s="356">
        <f ca="1">IF(TRIM(D711)=C711,
   _xlfn.XLOOKUP(C711, Cartera1017[ID Mantenimiento],Cartera1017[Comienzo Desarrollo]),
IF(TRIM(D711)="Desarrollo",
   _xlfn.XLOOKUP(C711,Cartera1017[ID Mantenimiento],Cartera1017[Comienzo Desarrollo]),
IF(TRIM(D711)="Calidad",
   _xlfn.XLOOKUP(C711,Cartera1017[ID Mantenimiento],Cartera1017[Comienzo Calidad]),
IF(TRIM(D711)="Producción",
   _xlfn.XLOOKUP(C711,Cartera1017[ID Mantenimiento],Cartera1017[Comienzo Producción]),
""))))</f>
        <v>46122</v>
      </c>
      <c r="H711" s="160">
        <f ca="1">IF(TRIM(D711)=C711,
   _xlfn.XLOOKUP(C711, Cartera1017[ID Mantenimiento],Cartera1017[Fin Producción]),
IF(TRIM(D711)="Desarrollo",
   _xlfn.XLOOKUP(C711,Cartera1017[ID Mantenimiento],Cartera1017[Fin Desarrollo]),
IF(TRIM(D711)="Calidad",
   _xlfn.XLOOKUP(C711,Cartera1017[ID Mantenimiento],Cartera1017[Fin Calidad]),
IF(TRIM(D711)="Producción",
   _xlfn.XLOOKUP(C711,Cartera1017[ID Mantenimiento],Cartera1017[Fin Producción]),
""))))</f>
        <v>46127</v>
      </c>
    </row>
    <row r="712" spans="1:8" hidden="1" collapsed="1">
      <c r="A712" t="str">
        <f ca="1"/>
        <v>Operaciones</v>
      </c>
      <c r="B712" t="str">
        <f ca="1"/>
        <v>08. Producción Finalizada</v>
      </c>
      <c r="C712" t="str">
        <f ca="1"/>
        <v>2025-M0688</v>
      </c>
      <c r="D712" t="str">
        <f ca="1"/>
        <v>2025-M0688</v>
      </c>
      <c r="E712" s="255">
        <f ca="1"/>
        <v>1</v>
      </c>
      <c r="F712" s="255">
        <f ca="1"/>
        <v>1</v>
      </c>
      <c r="G712" s="356"/>
    </row>
    <row r="713" spans="1:8" hidden="1">
      <c r="A713" t="str">
        <f ca="1"/>
        <v>Operaciones</v>
      </c>
      <c r="B713" t="str">
        <f ca="1"/>
        <v>08. Producción Finalizada</v>
      </c>
      <c r="C713" t="str">
        <f ca="1"/>
        <v>2025-M0688</v>
      </c>
      <c r="D713" t="str">
        <f ca="1"/>
        <v xml:space="preserve">   Desarrollo</v>
      </c>
      <c r="E713" s="255">
        <f ca="1"/>
        <v>1</v>
      </c>
      <c r="F713" s="255">
        <f ca="1"/>
        <v>1</v>
      </c>
      <c r="G713" s="356"/>
    </row>
    <row r="714" spans="1:8" hidden="1">
      <c r="A714" t="str">
        <f ca="1"/>
        <v>Operaciones</v>
      </c>
      <c r="B714" t="str">
        <f ca="1"/>
        <v>08. Producción Finalizada</v>
      </c>
      <c r="C714" t="str">
        <f ca="1"/>
        <v>2025-M0688</v>
      </c>
      <c r="D714" t="str">
        <f ca="1"/>
        <v xml:space="preserve">   Calidad</v>
      </c>
      <c r="E714" s="255">
        <f ca="1"/>
        <v>1</v>
      </c>
      <c r="F714" s="255">
        <f ca="1"/>
        <v>1</v>
      </c>
      <c r="G714" s="356"/>
    </row>
    <row r="715" spans="1:8" hidden="1">
      <c r="A715" t="str">
        <f ca="1"/>
        <v>Operaciones</v>
      </c>
      <c r="B715" t="str">
        <f ca="1"/>
        <v>08. Producción Finalizada</v>
      </c>
      <c r="C715" t="str">
        <f ca="1"/>
        <v>2025-M0688</v>
      </c>
      <c r="D715" t="str">
        <f ca="1"/>
        <v xml:space="preserve">   Producción</v>
      </c>
      <c r="E715" s="255">
        <f ca="1"/>
        <v>1</v>
      </c>
      <c r="F715" s="255">
        <f ca="1"/>
        <v>1</v>
      </c>
      <c r="G715" s="356"/>
    </row>
    <row r="716" spans="1:8" hidden="1">
      <c r="A716" t="str">
        <f ca="1"/>
        <v>Tecnologías de Información</v>
      </c>
      <c r="B716" t="str">
        <f ca="1"/>
        <v>03. En Desarrollo</v>
      </c>
      <c r="C716" t="str">
        <f ca="1"/>
        <v>2026-M0150</v>
      </c>
      <c r="D716" t="str">
        <f ca="1"/>
        <v>2026-M0150</v>
      </c>
      <c r="E716" s="255">
        <f ca="1"/>
        <v>0.25</v>
      </c>
      <c r="F716" s="255">
        <f ca="1"/>
        <v>0.47058823529411764</v>
      </c>
      <c r="G716" s="356"/>
    </row>
    <row r="717" spans="1:8" hidden="1">
      <c r="A717" t="str">
        <f ca="1"/>
        <v>Tecnologías de Información</v>
      </c>
      <c r="B717" t="str">
        <f ca="1"/>
        <v>03. En Desarrollo</v>
      </c>
      <c r="C717" t="str">
        <f ca="1"/>
        <v>2026-M0150</v>
      </c>
      <c r="D717" t="str">
        <f ca="1"/>
        <v xml:space="preserve">   Desarrollo</v>
      </c>
      <c r="E717" s="255">
        <f ca="1"/>
        <v>0.25</v>
      </c>
      <c r="F717" s="255">
        <f ca="1"/>
        <v>0.47058823529411764</v>
      </c>
      <c r="G717" s="356"/>
    </row>
    <row r="718" spans="1:8" hidden="1">
      <c r="A718" t="str">
        <f ca="1"/>
        <v>Tecnologías de Información</v>
      </c>
      <c r="B718" t="str">
        <f ca="1"/>
        <v>03. En Desarrollo</v>
      </c>
      <c r="C718" t="str">
        <f ca="1"/>
        <v>2026-M0150</v>
      </c>
      <c r="D718" t="str">
        <f ca="1"/>
        <v xml:space="preserve">   Calidad</v>
      </c>
      <c r="E718" s="255">
        <f ca="1"/>
        <v>0.25</v>
      </c>
      <c r="F718" s="255">
        <f ca="1"/>
        <v>0.47058823529411764</v>
      </c>
      <c r="G718" s="356"/>
    </row>
    <row r="719" spans="1:8" hidden="1">
      <c r="A719" t="str">
        <f ca="1"/>
        <v>Tecnologías de Información</v>
      </c>
      <c r="B719" t="str">
        <f ca="1"/>
        <v>03. En Desarrollo</v>
      </c>
      <c r="C719" t="str">
        <f ca="1"/>
        <v>2026-M0150</v>
      </c>
      <c r="D719" t="str">
        <f ca="1"/>
        <v xml:space="preserve">   Producción</v>
      </c>
      <c r="E719" s="255">
        <f ca="1"/>
        <v>0.25</v>
      </c>
      <c r="F719" s="255">
        <f ca="1"/>
        <v>0.47058823529411764</v>
      </c>
      <c r="G719" s="356"/>
    </row>
    <row r="720" spans="1:8" hidden="1">
      <c r="A720" t="str">
        <f ca="1"/>
        <v>Operaciones</v>
      </c>
      <c r="B720" t="str">
        <f ca="1"/>
        <v>08. Producción Finalizada</v>
      </c>
      <c r="C720" t="str">
        <f ca="1"/>
        <v>2025-M0767</v>
      </c>
      <c r="D720" t="str">
        <f ca="1"/>
        <v>2025-M0767</v>
      </c>
      <c r="E720" s="255">
        <f ca="1"/>
        <v>1</v>
      </c>
      <c r="F720" s="255">
        <f ca="1"/>
        <v>1</v>
      </c>
      <c r="G720" s="356"/>
    </row>
    <row r="721" spans="1:6" hidden="1">
      <c r="A721" t="str">
        <f ca="1"/>
        <v>Operaciones</v>
      </c>
      <c r="B721" t="str">
        <f ca="1"/>
        <v>08. Producción Finalizada</v>
      </c>
      <c r="C721" t="str">
        <f ca="1"/>
        <v>2025-M0767</v>
      </c>
      <c r="D721" t="str">
        <f ca="1"/>
        <v xml:space="preserve">   Desarrollo</v>
      </c>
      <c r="E721" s="255">
        <f ca="1"/>
        <v>1</v>
      </c>
      <c r="F721" s="255">
        <f ca="1"/>
        <v>1</v>
      </c>
    </row>
    <row r="722" spans="1:6" hidden="1">
      <c r="A722" t="str">
        <f ca="1"/>
        <v>Operaciones</v>
      </c>
      <c r="B722" t="str">
        <f ca="1"/>
        <v>08. Producción Finalizada</v>
      </c>
      <c r="C722" t="str">
        <f ca="1"/>
        <v>2025-M0767</v>
      </c>
      <c r="D722" t="str">
        <f ca="1"/>
        <v xml:space="preserve">   Calidad</v>
      </c>
      <c r="E722" s="255">
        <f ca="1"/>
        <v>1</v>
      </c>
      <c r="F722" s="255">
        <f ca="1"/>
        <v>1</v>
      </c>
    </row>
    <row r="723" spans="1:6" hidden="1">
      <c r="A723" t="str">
        <f ca="1"/>
        <v>Operaciones</v>
      </c>
      <c r="B723" t="str">
        <f ca="1"/>
        <v>08. Producción Finalizada</v>
      </c>
      <c r="C723" t="str">
        <f ca="1"/>
        <v>2025-M0767</v>
      </c>
      <c r="D723" t="str">
        <f ca="1"/>
        <v xml:space="preserve">   Producción</v>
      </c>
      <c r="E723" s="255">
        <f ca="1"/>
        <v>1</v>
      </c>
      <c r="F723" s="255">
        <f ca="1"/>
        <v>1</v>
      </c>
    </row>
    <row r="724" spans="1:6" hidden="1">
      <c r="A724" t="str">
        <f ca="1"/>
        <v>Recursos Humanos y Cultura</v>
      </c>
      <c r="B724" t="str">
        <f ca="1"/>
        <v>08. Producción Finalizada</v>
      </c>
      <c r="C724" t="str">
        <f ca="1"/>
        <v>2025-M0768</v>
      </c>
      <c r="D724" t="str">
        <f ca="1"/>
        <v>2025-M0768</v>
      </c>
      <c r="E724" s="255">
        <f ca="1"/>
        <v>1</v>
      </c>
      <c r="F724" s="255">
        <f ca="1"/>
        <v>1</v>
      </c>
    </row>
    <row r="725" spans="1:6" hidden="1">
      <c r="A725" t="str">
        <f ca="1"/>
        <v>Recursos Humanos y Cultura</v>
      </c>
      <c r="B725" t="str">
        <f ca="1"/>
        <v>08. Producción Finalizada</v>
      </c>
      <c r="C725" t="str">
        <f ca="1"/>
        <v>2025-M0768</v>
      </c>
      <c r="D725" t="str">
        <f ca="1"/>
        <v xml:space="preserve">   Desarrollo</v>
      </c>
      <c r="E725" s="255">
        <f ca="1"/>
        <v>1</v>
      </c>
      <c r="F725" s="255">
        <f ca="1"/>
        <v>1</v>
      </c>
    </row>
    <row r="726" spans="1:6" hidden="1">
      <c r="A726" t="str">
        <f ca="1"/>
        <v>Recursos Humanos y Cultura</v>
      </c>
      <c r="B726" t="str">
        <f ca="1"/>
        <v>08. Producción Finalizada</v>
      </c>
      <c r="C726" t="str">
        <f ca="1"/>
        <v>2025-M0768</v>
      </c>
      <c r="D726" t="str">
        <f ca="1"/>
        <v xml:space="preserve">   Calidad</v>
      </c>
      <c r="E726" s="255">
        <f ca="1"/>
        <v>1</v>
      </c>
      <c r="F726" s="255">
        <f ca="1"/>
        <v>1</v>
      </c>
    </row>
    <row r="727" spans="1:6" hidden="1">
      <c r="A727" t="str">
        <f ca="1"/>
        <v>Recursos Humanos y Cultura</v>
      </c>
      <c r="B727" t="str">
        <f ca="1"/>
        <v>08. Producción Finalizada</v>
      </c>
      <c r="C727" t="str">
        <f ca="1"/>
        <v>2025-M0768</v>
      </c>
      <c r="D727" t="str">
        <f ca="1"/>
        <v xml:space="preserve">   Producción</v>
      </c>
      <c r="E727" s="255">
        <f ca="1"/>
        <v>1</v>
      </c>
      <c r="F727" s="255">
        <f ca="1"/>
        <v>1</v>
      </c>
    </row>
    <row r="728" spans="1:6" hidden="1">
      <c r="A728" t="str">
        <f ca="1"/>
        <v>Riesgos</v>
      </c>
      <c r="B728" t="str">
        <f ca="1"/>
        <v>05. En Calidad</v>
      </c>
      <c r="C728" t="str">
        <f ca="1"/>
        <v>2025-M0770</v>
      </c>
      <c r="D728" t="str">
        <f ca="1"/>
        <v>2025-M0770</v>
      </c>
      <c r="E728" s="255">
        <f ca="1"/>
        <v>0.7</v>
      </c>
      <c r="F728" s="255">
        <f ca="1"/>
        <v>0.7142857142857143</v>
      </c>
    </row>
    <row r="729" spans="1:6" hidden="1">
      <c r="A729" t="str">
        <f ca="1"/>
        <v>Riesgos</v>
      </c>
      <c r="B729" t="str">
        <f ca="1"/>
        <v>05. En Calidad</v>
      </c>
      <c r="C729" t="str">
        <f ca="1"/>
        <v>2025-M0770</v>
      </c>
      <c r="D729" t="str">
        <f ca="1"/>
        <v xml:space="preserve">   Desarrollo</v>
      </c>
      <c r="E729" s="255">
        <f ca="1"/>
        <v>0.7</v>
      </c>
      <c r="F729" s="255">
        <f ca="1"/>
        <v>0.7142857142857143</v>
      </c>
    </row>
    <row r="730" spans="1:6" hidden="1">
      <c r="A730" t="str">
        <f ca="1"/>
        <v>Riesgos</v>
      </c>
      <c r="B730" t="str">
        <f ca="1"/>
        <v>05. En Calidad</v>
      </c>
      <c r="C730" t="str">
        <f ca="1"/>
        <v>2025-M0770</v>
      </c>
      <c r="D730" t="str">
        <f ca="1"/>
        <v xml:space="preserve">   Calidad</v>
      </c>
      <c r="E730" s="255">
        <f ca="1"/>
        <v>0.7</v>
      </c>
      <c r="F730" s="255">
        <f ca="1"/>
        <v>0.7142857142857143</v>
      </c>
    </row>
    <row r="731" spans="1:6" hidden="1">
      <c r="A731" t="str">
        <f ca="1"/>
        <v>Riesgos</v>
      </c>
      <c r="B731" t="str">
        <f ca="1"/>
        <v>05. En Calidad</v>
      </c>
      <c r="C731" t="str">
        <f ca="1"/>
        <v>2025-M0770</v>
      </c>
      <c r="D731" t="str">
        <f ca="1"/>
        <v xml:space="preserve">   Producción</v>
      </c>
      <c r="E731" s="255">
        <f ca="1"/>
        <v>0.7</v>
      </c>
      <c r="F731" s="255">
        <f ca="1"/>
        <v>0.7142857142857143</v>
      </c>
    </row>
    <row r="732" spans="1:6" hidden="1">
      <c r="A732" t="str">
        <f ca="1"/>
        <v>Riesgos</v>
      </c>
      <c r="B732" t="str">
        <f ca="1"/>
        <v>05. En Calidad</v>
      </c>
      <c r="C732" t="str">
        <f ca="1"/>
        <v>2025-M0773</v>
      </c>
      <c r="D732" t="str">
        <f ca="1"/>
        <v>2025-M0773</v>
      </c>
      <c r="E732" s="255">
        <f ca="1"/>
        <v>0.7</v>
      </c>
      <c r="F732" s="255">
        <f ca="1"/>
        <v>0.76315789473684215</v>
      </c>
    </row>
    <row r="733" spans="1:6" hidden="1">
      <c r="A733" t="str">
        <f ca="1"/>
        <v>Riesgos</v>
      </c>
      <c r="B733" t="str">
        <f ca="1"/>
        <v>05. En Calidad</v>
      </c>
      <c r="C733" t="str">
        <f ca="1"/>
        <v>2025-M0773</v>
      </c>
      <c r="D733" t="str">
        <f ca="1"/>
        <v xml:space="preserve">   Desarrollo</v>
      </c>
      <c r="E733" s="255">
        <f ca="1"/>
        <v>0.7</v>
      </c>
      <c r="F733" s="255">
        <f ca="1"/>
        <v>0.76315789473684215</v>
      </c>
    </row>
    <row r="734" spans="1:6" hidden="1">
      <c r="A734" t="str">
        <f ca="1"/>
        <v>Riesgos</v>
      </c>
      <c r="B734" t="str">
        <f ca="1"/>
        <v>05. En Calidad</v>
      </c>
      <c r="C734" t="str">
        <f ca="1"/>
        <v>2025-M0773</v>
      </c>
      <c r="D734" t="str">
        <f ca="1"/>
        <v xml:space="preserve">   Calidad</v>
      </c>
      <c r="E734" s="255">
        <f ca="1"/>
        <v>0.7</v>
      </c>
      <c r="F734" s="255">
        <f ca="1"/>
        <v>0.76315789473684215</v>
      </c>
    </row>
    <row r="735" spans="1:6" hidden="1">
      <c r="A735" t="str">
        <f ca="1"/>
        <v>Riesgos</v>
      </c>
      <c r="B735" t="str">
        <f ca="1"/>
        <v>05. En Calidad</v>
      </c>
      <c r="C735" t="str">
        <f ca="1"/>
        <v>2025-M0773</v>
      </c>
      <c r="D735" t="str">
        <f ca="1"/>
        <v xml:space="preserve">   Producción</v>
      </c>
      <c r="E735" s="255">
        <f ca="1"/>
        <v>0.7</v>
      </c>
      <c r="F735" s="255">
        <f ca="1"/>
        <v>0.76315789473684215</v>
      </c>
    </row>
    <row r="736" spans="1:6" hidden="1">
      <c r="A736" t="str">
        <f ca="1"/>
        <v>Operaciones</v>
      </c>
      <c r="B736" t="str">
        <f ca="1"/>
        <v>08. Producción Finalizada</v>
      </c>
      <c r="C736" t="str">
        <f ca="1"/>
        <v>2026-M0004</v>
      </c>
      <c r="D736" t="str">
        <f ca="1"/>
        <v>2026-M0004</v>
      </c>
      <c r="E736" s="255">
        <f ca="1"/>
        <v>1</v>
      </c>
      <c r="F736" s="255">
        <f ca="1"/>
        <v>1</v>
      </c>
    </row>
    <row r="737" spans="1:6" hidden="1">
      <c r="A737" t="str">
        <f ca="1"/>
        <v>Operaciones</v>
      </c>
      <c r="B737" t="str">
        <f ca="1"/>
        <v>08. Producción Finalizada</v>
      </c>
      <c r="C737" t="str">
        <f ca="1"/>
        <v>2026-M0004</v>
      </c>
      <c r="D737" t="str">
        <f ca="1"/>
        <v xml:space="preserve">   Desarrollo</v>
      </c>
      <c r="E737" s="255">
        <f ca="1"/>
        <v>1</v>
      </c>
      <c r="F737" s="255">
        <f ca="1"/>
        <v>1</v>
      </c>
    </row>
    <row r="738" spans="1:6" hidden="1">
      <c r="A738" t="str">
        <f ca="1"/>
        <v>Operaciones</v>
      </c>
      <c r="B738" t="str">
        <f ca="1"/>
        <v>08. Producción Finalizada</v>
      </c>
      <c r="C738" t="str">
        <f ca="1"/>
        <v>2026-M0004</v>
      </c>
      <c r="D738" t="str">
        <f ca="1"/>
        <v xml:space="preserve">   Calidad</v>
      </c>
      <c r="E738" s="255">
        <f ca="1"/>
        <v>1</v>
      </c>
      <c r="F738" s="255">
        <f ca="1"/>
        <v>1</v>
      </c>
    </row>
    <row r="739" spans="1:6" hidden="1">
      <c r="A739" t="str">
        <f ca="1"/>
        <v>Operaciones</v>
      </c>
      <c r="B739" t="str">
        <f ca="1"/>
        <v>08. Producción Finalizada</v>
      </c>
      <c r="C739" t="str">
        <f ca="1"/>
        <v>2026-M0004</v>
      </c>
      <c r="D739" t="str">
        <f ca="1"/>
        <v xml:space="preserve">   Producción</v>
      </c>
      <c r="E739" s="255">
        <f ca="1"/>
        <v>1</v>
      </c>
      <c r="F739" s="255">
        <f ca="1"/>
        <v>1</v>
      </c>
    </row>
    <row r="740" spans="1:6" hidden="1">
      <c r="A740" t="str">
        <f ca="1"/>
        <v>Operaciones</v>
      </c>
      <c r="B740" t="str">
        <f ca="1"/>
        <v>08. Producción Finalizada</v>
      </c>
      <c r="C740" t="str">
        <f ca="1"/>
        <v>2026-M0005</v>
      </c>
      <c r="D740" t="str">
        <f ca="1"/>
        <v>2026-M0005</v>
      </c>
      <c r="E740" s="255">
        <f ca="1"/>
        <v>1</v>
      </c>
      <c r="F740" s="255">
        <f ca="1"/>
        <v>1</v>
      </c>
    </row>
    <row r="741" spans="1:6" hidden="1">
      <c r="A741" t="str">
        <f ca="1"/>
        <v>Operaciones</v>
      </c>
      <c r="B741" t="str">
        <f ca="1"/>
        <v>08. Producción Finalizada</v>
      </c>
      <c r="C741" t="str">
        <f ca="1"/>
        <v>2026-M0005</v>
      </c>
      <c r="D741" t="str">
        <f ca="1"/>
        <v xml:space="preserve">   Desarrollo</v>
      </c>
      <c r="E741" s="255">
        <f ca="1"/>
        <v>1</v>
      </c>
      <c r="F741" s="255">
        <f ca="1"/>
        <v>1</v>
      </c>
    </row>
    <row r="742" spans="1:6" hidden="1">
      <c r="A742" t="str">
        <f ca="1"/>
        <v>Operaciones</v>
      </c>
      <c r="B742" t="str">
        <f ca="1"/>
        <v>08. Producción Finalizada</v>
      </c>
      <c r="C742" t="str">
        <f ca="1"/>
        <v>2026-M0005</v>
      </c>
      <c r="D742" t="str">
        <f ca="1"/>
        <v xml:space="preserve">   Calidad</v>
      </c>
      <c r="E742" s="255">
        <f ca="1"/>
        <v>1</v>
      </c>
      <c r="F742" s="255">
        <f ca="1"/>
        <v>1</v>
      </c>
    </row>
    <row r="743" spans="1:6" hidden="1">
      <c r="A743" t="str">
        <f ca="1"/>
        <v>Operaciones</v>
      </c>
      <c r="B743" t="str">
        <f ca="1"/>
        <v>08. Producción Finalizada</v>
      </c>
      <c r="C743" t="str">
        <f ca="1"/>
        <v>2026-M0005</v>
      </c>
      <c r="D743" t="str">
        <f ca="1"/>
        <v xml:space="preserve">   Producción</v>
      </c>
      <c r="E743" s="255">
        <f ca="1"/>
        <v>1</v>
      </c>
      <c r="F743" s="255">
        <f ca="1"/>
        <v>1</v>
      </c>
    </row>
    <row r="744" spans="1:6" hidden="1">
      <c r="A744" t="str">
        <f ca="1"/>
        <v>Operaciones</v>
      </c>
      <c r="B744" t="str">
        <f ca="1"/>
        <v>03. En Desarrollo</v>
      </c>
      <c r="C744" t="str">
        <f ca="1"/>
        <v>2026-M0009</v>
      </c>
      <c r="D744" t="str">
        <f ca="1"/>
        <v>2026-M0009</v>
      </c>
      <c r="E744" s="255">
        <f ca="1"/>
        <v>0.15</v>
      </c>
      <c r="F744" s="255" t="str">
        <f ca="1"/>
        <v/>
      </c>
    </row>
    <row r="745" spans="1:6" hidden="1">
      <c r="A745" t="str">
        <f ca="1"/>
        <v>Operaciones</v>
      </c>
      <c r="B745" t="str">
        <f ca="1"/>
        <v>03. En Desarrollo</v>
      </c>
      <c r="C745" t="str">
        <f ca="1"/>
        <v>2026-M0009</v>
      </c>
      <c r="D745" t="str">
        <f ca="1"/>
        <v xml:space="preserve">   Desarrollo</v>
      </c>
      <c r="E745" s="255">
        <f ca="1"/>
        <v>0.15</v>
      </c>
      <c r="F745" s="255" t="str">
        <f ca="1"/>
        <v/>
      </c>
    </row>
    <row r="746" spans="1:6" hidden="1">
      <c r="A746" t="str">
        <f ca="1"/>
        <v>Operaciones</v>
      </c>
      <c r="B746" t="str">
        <f ca="1"/>
        <v>03. En Desarrollo</v>
      </c>
      <c r="C746" t="str">
        <f ca="1"/>
        <v>2026-M0009</v>
      </c>
      <c r="D746" t="str">
        <f ca="1"/>
        <v xml:space="preserve">   Calidad</v>
      </c>
      <c r="E746" s="255">
        <f ca="1"/>
        <v>0.15</v>
      </c>
      <c r="F746" s="255" t="str">
        <f ca="1"/>
        <v/>
      </c>
    </row>
    <row r="747" spans="1:6" hidden="1">
      <c r="A747" t="str">
        <f ca="1"/>
        <v>Operaciones</v>
      </c>
      <c r="B747" t="str">
        <f ca="1"/>
        <v>03. En Desarrollo</v>
      </c>
      <c r="C747" t="str">
        <f ca="1"/>
        <v>2026-M0009</v>
      </c>
      <c r="D747" t="str">
        <f ca="1"/>
        <v xml:space="preserve">   Producción</v>
      </c>
      <c r="E747" s="255">
        <f ca="1"/>
        <v>0.15</v>
      </c>
      <c r="F747" s="255" t="str">
        <f ca="1"/>
        <v/>
      </c>
    </row>
    <row r="748" spans="1:6" hidden="1">
      <c r="A748" t="str">
        <f ca="1"/>
        <v>Operaciones</v>
      </c>
      <c r="B748" t="str">
        <f ca="1"/>
        <v>08. Producción Finalizada</v>
      </c>
      <c r="C748" t="str">
        <f ca="1"/>
        <v>2026-M0012</v>
      </c>
      <c r="D748" t="str">
        <f ca="1"/>
        <v>2026-M0012</v>
      </c>
      <c r="E748" s="255">
        <f ca="1"/>
        <v>1</v>
      </c>
      <c r="F748" s="255">
        <f ca="1"/>
        <v>1</v>
      </c>
    </row>
    <row r="749" spans="1:6" hidden="1">
      <c r="A749" t="str">
        <f ca="1"/>
        <v>Operaciones</v>
      </c>
      <c r="B749" t="str">
        <f ca="1"/>
        <v>08. Producción Finalizada</v>
      </c>
      <c r="C749" t="str">
        <f ca="1"/>
        <v>2026-M0012</v>
      </c>
      <c r="D749" t="str">
        <f ca="1"/>
        <v xml:space="preserve">   Desarrollo</v>
      </c>
      <c r="E749" s="255">
        <f ca="1"/>
        <v>1</v>
      </c>
      <c r="F749" s="255">
        <f ca="1"/>
        <v>1</v>
      </c>
    </row>
    <row r="750" spans="1:6" hidden="1">
      <c r="A750" t="str">
        <f ca="1"/>
        <v>Operaciones</v>
      </c>
      <c r="B750" t="str">
        <f ca="1"/>
        <v>08. Producción Finalizada</v>
      </c>
      <c r="C750" t="str">
        <f ca="1"/>
        <v>2026-M0012</v>
      </c>
      <c r="D750" t="str">
        <f ca="1"/>
        <v xml:space="preserve">   Calidad</v>
      </c>
      <c r="E750" s="255">
        <f ca="1"/>
        <v>1</v>
      </c>
      <c r="F750" s="255">
        <f ca="1"/>
        <v>1</v>
      </c>
    </row>
    <row r="751" spans="1:6" hidden="1">
      <c r="A751" t="str">
        <f ca="1"/>
        <v>Operaciones</v>
      </c>
      <c r="B751" t="str">
        <f ca="1"/>
        <v>08. Producción Finalizada</v>
      </c>
      <c r="C751" t="str">
        <f ca="1"/>
        <v>2026-M0012</v>
      </c>
      <c r="D751" t="str">
        <f ca="1"/>
        <v xml:space="preserve">   Producción</v>
      </c>
      <c r="E751" s="255">
        <f ca="1"/>
        <v>1</v>
      </c>
      <c r="F751" s="255">
        <f ca="1"/>
        <v>1</v>
      </c>
    </row>
    <row r="752" spans="1:6" hidden="1">
      <c r="A752" t="str">
        <f ca="1"/>
        <v>Recursos Humanos y Cultura</v>
      </c>
      <c r="B752" t="str">
        <f ca="1"/>
        <v>08. Producción Finalizada</v>
      </c>
      <c r="C752" t="str">
        <f ca="1"/>
        <v>2026-M0025</v>
      </c>
      <c r="D752" t="str">
        <f ca="1"/>
        <v>2026-M0025</v>
      </c>
      <c r="E752" s="255">
        <f ca="1"/>
        <v>1</v>
      </c>
      <c r="F752" s="255">
        <f ca="1"/>
        <v>1</v>
      </c>
    </row>
    <row r="753" spans="1:6" hidden="1">
      <c r="A753" t="str">
        <f ca="1"/>
        <v>Recursos Humanos y Cultura</v>
      </c>
      <c r="B753" t="str">
        <f ca="1"/>
        <v>08. Producción Finalizada</v>
      </c>
      <c r="C753" t="str">
        <f ca="1"/>
        <v>2026-M0025</v>
      </c>
      <c r="D753" t="str">
        <f ca="1"/>
        <v xml:space="preserve">   Desarrollo</v>
      </c>
      <c r="E753" s="255">
        <f ca="1"/>
        <v>1</v>
      </c>
      <c r="F753" s="255">
        <f ca="1"/>
        <v>1</v>
      </c>
    </row>
    <row r="754" spans="1:6" hidden="1">
      <c r="A754" t="str">
        <f ca="1"/>
        <v>Recursos Humanos y Cultura</v>
      </c>
      <c r="B754" t="str">
        <f ca="1"/>
        <v>08. Producción Finalizada</v>
      </c>
      <c r="C754" t="str">
        <f ca="1"/>
        <v>2026-M0025</v>
      </c>
      <c r="D754" t="str">
        <f ca="1"/>
        <v xml:space="preserve">   Calidad</v>
      </c>
      <c r="E754" s="255">
        <f ca="1"/>
        <v>1</v>
      </c>
      <c r="F754" s="255">
        <f ca="1"/>
        <v>1</v>
      </c>
    </row>
    <row r="755" spans="1:6" hidden="1">
      <c r="A755" t="str">
        <f ca="1"/>
        <v>Recursos Humanos y Cultura</v>
      </c>
      <c r="B755" t="str">
        <f ca="1"/>
        <v>08. Producción Finalizada</v>
      </c>
      <c r="C755" t="str">
        <f ca="1"/>
        <v>2026-M0025</v>
      </c>
      <c r="D755" t="str">
        <f ca="1"/>
        <v xml:space="preserve">   Producción</v>
      </c>
      <c r="E755" s="255">
        <f ca="1"/>
        <v>1</v>
      </c>
      <c r="F755" s="255">
        <f ca="1"/>
        <v>1</v>
      </c>
    </row>
    <row r="756" spans="1:6" hidden="1">
      <c r="A756" t="str">
        <f ca="1"/>
        <v>Recursos Humanos y Cultura</v>
      </c>
      <c r="B756" t="str">
        <f ca="1"/>
        <v>08. Producción Finalizada</v>
      </c>
      <c r="C756" t="str">
        <f ca="1"/>
        <v>2025-M0774</v>
      </c>
      <c r="D756" t="str">
        <f ca="1"/>
        <v>2025-M0774</v>
      </c>
      <c r="E756" s="255">
        <f ca="1"/>
        <v>1</v>
      </c>
      <c r="F756" s="255">
        <f ca="1"/>
        <v>1</v>
      </c>
    </row>
    <row r="757" spans="1:6" hidden="1">
      <c r="A757" t="str">
        <f ca="1"/>
        <v>Recursos Humanos y Cultura</v>
      </c>
      <c r="B757" t="str">
        <f ca="1"/>
        <v>08. Producción Finalizada</v>
      </c>
      <c r="C757" t="str">
        <f ca="1"/>
        <v>2025-M0774</v>
      </c>
      <c r="D757" t="str">
        <f ca="1"/>
        <v xml:space="preserve">   Desarrollo</v>
      </c>
      <c r="E757" s="255">
        <f ca="1"/>
        <v>1</v>
      </c>
      <c r="F757" s="255">
        <f ca="1"/>
        <v>1</v>
      </c>
    </row>
    <row r="758" spans="1:6" hidden="1">
      <c r="A758" t="str">
        <f ca="1"/>
        <v>Recursos Humanos y Cultura</v>
      </c>
      <c r="B758" t="str">
        <f ca="1"/>
        <v>08. Producción Finalizada</v>
      </c>
      <c r="C758" t="str">
        <f ca="1"/>
        <v>2025-M0774</v>
      </c>
      <c r="D758" t="str">
        <f ca="1"/>
        <v xml:space="preserve">   Calidad</v>
      </c>
      <c r="E758" s="255">
        <f ca="1"/>
        <v>1</v>
      </c>
      <c r="F758" s="255">
        <f ca="1"/>
        <v>1</v>
      </c>
    </row>
    <row r="759" spans="1:6" hidden="1">
      <c r="A759" t="str">
        <f ca="1"/>
        <v>Recursos Humanos y Cultura</v>
      </c>
      <c r="B759" t="str">
        <f ca="1"/>
        <v>08. Producción Finalizada</v>
      </c>
      <c r="C759" t="str">
        <f ca="1"/>
        <v>2025-M0774</v>
      </c>
      <c r="D759" t="str">
        <f ca="1"/>
        <v xml:space="preserve">   Producción</v>
      </c>
      <c r="E759" s="255">
        <f ca="1"/>
        <v>1</v>
      </c>
      <c r="F759" s="255">
        <f ca="1"/>
        <v>1</v>
      </c>
    </row>
    <row r="760" spans="1:6" hidden="1">
      <c r="A760" t="str">
        <f ca="1"/>
        <v>Operaciones</v>
      </c>
      <c r="B760" t="str">
        <f ca="1"/>
        <v>03. En Desarrollo</v>
      </c>
      <c r="C760" t="str">
        <f ca="1"/>
        <v>2026-M0061</v>
      </c>
      <c r="D760" t="str">
        <f ca="1"/>
        <v>2026-M0061</v>
      </c>
      <c r="E760" s="255">
        <f ca="1"/>
        <v>0.15</v>
      </c>
      <c r="F760" s="255" t="str">
        <f ca="1"/>
        <v/>
      </c>
    </row>
    <row r="761" spans="1:6" hidden="1">
      <c r="A761" t="str">
        <f ca="1"/>
        <v>Operaciones</v>
      </c>
      <c r="B761" t="str">
        <f ca="1"/>
        <v>03. En Desarrollo</v>
      </c>
      <c r="C761" t="str">
        <f ca="1"/>
        <v>2026-M0061</v>
      </c>
      <c r="D761" t="str">
        <f ca="1"/>
        <v xml:space="preserve">   Desarrollo</v>
      </c>
      <c r="E761" s="255">
        <f ca="1"/>
        <v>0.15</v>
      </c>
      <c r="F761" s="255" t="str">
        <f ca="1"/>
        <v/>
      </c>
    </row>
    <row r="762" spans="1:6" hidden="1">
      <c r="A762" t="str">
        <f ca="1"/>
        <v>Operaciones</v>
      </c>
      <c r="B762" t="str">
        <f ca="1"/>
        <v>03. En Desarrollo</v>
      </c>
      <c r="C762" t="str">
        <f ca="1"/>
        <v>2026-M0061</v>
      </c>
      <c r="D762" t="str">
        <f ca="1"/>
        <v xml:space="preserve">   Calidad</v>
      </c>
      <c r="E762" s="255">
        <f ca="1"/>
        <v>0.15</v>
      </c>
      <c r="F762" s="255" t="str">
        <f ca="1"/>
        <v/>
      </c>
    </row>
    <row r="763" spans="1:6" hidden="1">
      <c r="A763" t="str">
        <f ca="1"/>
        <v>Operaciones</v>
      </c>
      <c r="B763" t="str">
        <f ca="1"/>
        <v>03. En Desarrollo</v>
      </c>
      <c r="C763" t="str">
        <f ca="1"/>
        <v>2026-M0061</v>
      </c>
      <c r="D763" t="str">
        <f ca="1"/>
        <v xml:space="preserve">   Producción</v>
      </c>
      <c r="E763" s="255">
        <f ca="1"/>
        <v>0.15</v>
      </c>
      <c r="F763" s="255" t="str">
        <f ca="1"/>
        <v/>
      </c>
    </row>
    <row r="764" spans="1:6" hidden="1">
      <c r="A764" t="str">
        <f ca="1"/>
        <v>Operaciones</v>
      </c>
      <c r="B764" t="str">
        <f ca="1"/>
        <v>03. En Desarrollo</v>
      </c>
      <c r="C764" t="str">
        <f ca="1"/>
        <v>2026-M0008</v>
      </c>
      <c r="D764" t="str">
        <f ca="1"/>
        <v>2026-M0008</v>
      </c>
      <c r="E764" s="255">
        <f ca="1"/>
        <v>0.25</v>
      </c>
      <c r="F764" s="255" t="str">
        <f ca="1"/>
        <v/>
      </c>
    </row>
    <row r="765" spans="1:6" hidden="1">
      <c r="A765" t="str">
        <f ca="1"/>
        <v>Operaciones</v>
      </c>
      <c r="B765" t="str">
        <f ca="1"/>
        <v>03. En Desarrollo</v>
      </c>
      <c r="C765" t="str">
        <f ca="1"/>
        <v>2026-M0008</v>
      </c>
      <c r="D765" t="str">
        <f ca="1"/>
        <v xml:space="preserve">   Desarrollo</v>
      </c>
      <c r="E765" s="255">
        <f ca="1"/>
        <v>0.25</v>
      </c>
      <c r="F765" s="255" t="str">
        <f ca="1"/>
        <v/>
      </c>
    </row>
    <row r="766" spans="1:6" hidden="1">
      <c r="A766" t="str">
        <f ca="1"/>
        <v>Operaciones</v>
      </c>
      <c r="B766" t="str">
        <f ca="1"/>
        <v>03. En Desarrollo</v>
      </c>
      <c r="C766" t="str">
        <f ca="1"/>
        <v>2026-M0008</v>
      </c>
      <c r="D766" t="str">
        <f ca="1"/>
        <v xml:space="preserve">   Calidad</v>
      </c>
      <c r="E766" s="255">
        <f ca="1"/>
        <v>0.25</v>
      </c>
      <c r="F766" s="255" t="str">
        <f ca="1"/>
        <v/>
      </c>
    </row>
    <row r="767" spans="1:6" hidden="1">
      <c r="A767" t="str">
        <f ca="1"/>
        <v>Operaciones</v>
      </c>
      <c r="B767" t="str">
        <f ca="1"/>
        <v>03. En Desarrollo</v>
      </c>
      <c r="C767" t="str">
        <f ca="1"/>
        <v>2026-M0008</v>
      </c>
      <c r="D767" t="str">
        <f ca="1"/>
        <v xml:space="preserve">   Producción</v>
      </c>
      <c r="E767" s="255">
        <f ca="1"/>
        <v>0.25</v>
      </c>
      <c r="F767" s="255" t="str">
        <f ca="1"/>
        <v/>
      </c>
    </row>
    <row r="768" spans="1:6" hidden="1">
      <c r="A768" t="str">
        <f ca="1"/>
        <v>Operaciones</v>
      </c>
      <c r="B768" t="str">
        <f ca="1"/>
        <v>06. Calidad Finalizado</v>
      </c>
      <c r="C768" t="str">
        <f ca="1"/>
        <v>2026-M0013</v>
      </c>
      <c r="D768" t="str">
        <f ca="1"/>
        <v>2026-M0013</v>
      </c>
      <c r="E768" s="255">
        <f ca="1"/>
        <v>0.85</v>
      </c>
      <c r="F768" s="255" t="str">
        <f ca="1"/>
        <v/>
      </c>
    </row>
    <row r="769" spans="1:6" hidden="1">
      <c r="A769" t="str">
        <f ca="1"/>
        <v>Operaciones</v>
      </c>
      <c r="B769" t="str">
        <f ca="1"/>
        <v>06. Calidad Finalizado</v>
      </c>
      <c r="C769" t="str">
        <f ca="1"/>
        <v>2026-M0013</v>
      </c>
      <c r="D769" t="str">
        <f ca="1"/>
        <v xml:space="preserve">   Desarrollo</v>
      </c>
      <c r="E769" s="255">
        <f ca="1"/>
        <v>0.85</v>
      </c>
      <c r="F769" s="255" t="str">
        <f ca="1"/>
        <v/>
      </c>
    </row>
    <row r="770" spans="1:6" hidden="1">
      <c r="A770" t="str">
        <f ca="1"/>
        <v>Operaciones</v>
      </c>
      <c r="B770" t="str">
        <f ca="1"/>
        <v>06. Calidad Finalizado</v>
      </c>
      <c r="C770" t="str">
        <f ca="1"/>
        <v>2026-M0013</v>
      </c>
      <c r="D770" t="str">
        <f ca="1"/>
        <v xml:space="preserve">   Calidad</v>
      </c>
      <c r="E770" s="255">
        <f ca="1"/>
        <v>0.85</v>
      </c>
      <c r="F770" s="255" t="str">
        <f ca="1"/>
        <v/>
      </c>
    </row>
    <row r="771" spans="1:6" hidden="1">
      <c r="A771" t="str">
        <f ca="1"/>
        <v>Operaciones</v>
      </c>
      <c r="B771" t="str">
        <f ca="1"/>
        <v>06. Calidad Finalizado</v>
      </c>
      <c r="C771" t="str">
        <f ca="1"/>
        <v>2026-M0013</v>
      </c>
      <c r="D771" t="str">
        <f ca="1"/>
        <v xml:space="preserve">   Producción</v>
      </c>
      <c r="E771" s="255">
        <f ca="1"/>
        <v>0.85</v>
      </c>
      <c r="F771" s="255" t="str">
        <f ca="1"/>
        <v/>
      </c>
    </row>
    <row r="772" spans="1:6" hidden="1">
      <c r="A772" t="str">
        <f ca="1"/>
        <v>Riesgos</v>
      </c>
      <c r="B772" t="str">
        <f ca="1"/>
        <v>03. En Desarrollo</v>
      </c>
      <c r="C772" t="str">
        <f ca="1"/>
        <v>2026-M0015</v>
      </c>
      <c r="D772" t="str">
        <f ca="1"/>
        <v>2026-M0015</v>
      </c>
      <c r="E772" s="255">
        <f ca="1"/>
        <v>0.15</v>
      </c>
      <c r="F772" s="255">
        <f ca="1"/>
        <v>0</v>
      </c>
    </row>
    <row r="773" spans="1:6" hidden="1">
      <c r="A773" t="str">
        <f ca="1"/>
        <v>Riesgos</v>
      </c>
      <c r="B773" t="str">
        <f ca="1"/>
        <v>03. En Desarrollo</v>
      </c>
      <c r="C773" t="str">
        <f ca="1"/>
        <v>2026-M0015</v>
      </c>
      <c r="D773" t="str">
        <f ca="1"/>
        <v xml:space="preserve">   Desarrollo</v>
      </c>
      <c r="E773" s="255">
        <f ca="1"/>
        <v>0.15</v>
      </c>
      <c r="F773" s="255">
        <f ca="1"/>
        <v>0</v>
      </c>
    </row>
    <row r="774" spans="1:6" hidden="1">
      <c r="A774" t="str">
        <f ca="1"/>
        <v>Riesgos</v>
      </c>
      <c r="B774" t="str">
        <f ca="1"/>
        <v>03. En Desarrollo</v>
      </c>
      <c r="C774" t="str">
        <f ca="1"/>
        <v>2026-M0015</v>
      </c>
      <c r="D774" t="str">
        <f ca="1"/>
        <v xml:space="preserve">   Calidad</v>
      </c>
      <c r="E774" s="255">
        <f ca="1"/>
        <v>0.15</v>
      </c>
      <c r="F774" s="255">
        <f ca="1"/>
        <v>0</v>
      </c>
    </row>
    <row r="775" spans="1:6" hidden="1">
      <c r="A775" t="str">
        <f ca="1"/>
        <v>Riesgos</v>
      </c>
      <c r="B775" t="str">
        <f ca="1"/>
        <v>03. En Desarrollo</v>
      </c>
      <c r="C775" t="str">
        <f ca="1"/>
        <v>2026-M0015</v>
      </c>
      <c r="D775" t="str">
        <f ca="1"/>
        <v xml:space="preserve">   Producción</v>
      </c>
      <c r="E775" s="255">
        <f ca="1"/>
        <v>0.15</v>
      </c>
      <c r="F775" s="255">
        <f ca="1"/>
        <v>0</v>
      </c>
    </row>
    <row r="776" spans="1:6" hidden="1">
      <c r="A776" t="str">
        <f ca="1"/>
        <v>Banca Digital</v>
      </c>
      <c r="B776" t="str">
        <f ca="1"/>
        <v>03. En Desarrollo</v>
      </c>
      <c r="C776" t="str">
        <f ca="1"/>
        <v>2026-M0018</v>
      </c>
      <c r="D776" t="str">
        <f ca="1"/>
        <v>2026-M0018</v>
      </c>
      <c r="E776" s="255">
        <f ca="1"/>
        <v>0.25</v>
      </c>
      <c r="F776" s="255" t="str">
        <f ca="1"/>
        <v/>
      </c>
    </row>
    <row r="777" spans="1:6" hidden="1">
      <c r="A777" t="str">
        <f ca="1"/>
        <v>Banca Digital</v>
      </c>
      <c r="B777" t="str">
        <f ca="1"/>
        <v>03. En Desarrollo</v>
      </c>
      <c r="C777" t="str">
        <f ca="1"/>
        <v>2026-M0018</v>
      </c>
      <c r="D777" t="str">
        <f ca="1"/>
        <v xml:space="preserve">   Desarrollo</v>
      </c>
      <c r="E777" s="255">
        <f ca="1"/>
        <v>0.25</v>
      </c>
      <c r="F777" s="255" t="str">
        <f ca="1"/>
        <v/>
      </c>
    </row>
    <row r="778" spans="1:6" hidden="1">
      <c r="A778" t="str">
        <f ca="1"/>
        <v>Banca Digital</v>
      </c>
      <c r="B778" t="str">
        <f ca="1"/>
        <v>03. En Desarrollo</v>
      </c>
      <c r="C778" t="str">
        <f ca="1"/>
        <v>2026-M0018</v>
      </c>
      <c r="D778" t="str">
        <f ca="1"/>
        <v xml:space="preserve">   Calidad</v>
      </c>
      <c r="E778" s="255">
        <f ca="1"/>
        <v>0.25</v>
      </c>
      <c r="F778" s="255" t="str">
        <f ca="1"/>
        <v/>
      </c>
    </row>
    <row r="779" spans="1:6" hidden="1">
      <c r="A779" t="str">
        <f ca="1"/>
        <v>Banca Digital</v>
      </c>
      <c r="B779" t="str">
        <f ca="1"/>
        <v>03. En Desarrollo</v>
      </c>
      <c r="C779" t="str">
        <f ca="1"/>
        <v>2026-M0018</v>
      </c>
      <c r="D779" t="str">
        <f ca="1"/>
        <v xml:space="preserve">   Producción</v>
      </c>
      <c r="E779" s="255">
        <f ca="1"/>
        <v>0.25</v>
      </c>
      <c r="F779" s="255" t="str">
        <f ca="1"/>
        <v/>
      </c>
    </row>
    <row r="780" spans="1:6" hidden="1">
      <c r="A780" t="str">
        <f ca="1"/>
        <v>Recursos Humanos y Cultura</v>
      </c>
      <c r="B780" t="str">
        <f ca="1"/>
        <v>08. Producción Finalizada</v>
      </c>
      <c r="C780" t="str">
        <f ca="1"/>
        <v>2026-M0024</v>
      </c>
      <c r="D780" t="str">
        <f ca="1"/>
        <v>2026-M0024</v>
      </c>
      <c r="E780" s="255">
        <f ca="1"/>
        <v>1</v>
      </c>
      <c r="F780" s="255">
        <f ca="1"/>
        <v>1</v>
      </c>
    </row>
    <row r="781" spans="1:6" hidden="1">
      <c r="A781" t="str">
        <f ca="1"/>
        <v>Recursos Humanos y Cultura</v>
      </c>
      <c r="B781" t="str">
        <f ca="1"/>
        <v>08. Producción Finalizada</v>
      </c>
      <c r="C781" t="str">
        <f ca="1"/>
        <v>2026-M0024</v>
      </c>
      <c r="D781" t="str">
        <f ca="1"/>
        <v xml:space="preserve">   Desarrollo</v>
      </c>
      <c r="E781" s="255">
        <f ca="1"/>
        <v>1</v>
      </c>
      <c r="F781" s="255">
        <f ca="1"/>
        <v>1</v>
      </c>
    </row>
    <row r="782" spans="1:6" hidden="1">
      <c r="A782" t="str">
        <f ca="1"/>
        <v>Recursos Humanos y Cultura</v>
      </c>
      <c r="B782" t="str">
        <f ca="1"/>
        <v>08. Producción Finalizada</v>
      </c>
      <c r="C782" t="str">
        <f ca="1"/>
        <v>2026-M0024</v>
      </c>
      <c r="D782" t="str">
        <f ca="1"/>
        <v xml:space="preserve">   Calidad</v>
      </c>
      <c r="E782" s="255">
        <f ca="1"/>
        <v>1</v>
      </c>
      <c r="F782" s="255">
        <f ca="1"/>
        <v>1</v>
      </c>
    </row>
    <row r="783" spans="1:6" hidden="1">
      <c r="A783" t="str">
        <f ca="1"/>
        <v>Recursos Humanos y Cultura</v>
      </c>
      <c r="B783" t="str">
        <f ca="1"/>
        <v>08. Producción Finalizada</v>
      </c>
      <c r="C783" t="str">
        <f ca="1"/>
        <v>2026-M0024</v>
      </c>
      <c r="D783" t="str">
        <f ca="1"/>
        <v xml:space="preserve">   Producción</v>
      </c>
      <c r="E783" s="255">
        <f ca="1"/>
        <v>1</v>
      </c>
      <c r="F783" s="255">
        <f ca="1"/>
        <v>1</v>
      </c>
    </row>
    <row r="784" spans="1:6" hidden="1">
      <c r="A784" t="str">
        <f ca="1"/>
        <v>Recursos Humanos y Cultura</v>
      </c>
      <c r="B784" t="str">
        <f ca="1"/>
        <v>05. En Calidad</v>
      </c>
      <c r="C784" t="str">
        <f ca="1"/>
        <v>2026-M0026</v>
      </c>
      <c r="D784" t="str">
        <f ca="1"/>
        <v>2026-M0026</v>
      </c>
      <c r="E784" s="255">
        <f ca="1"/>
        <v>0.7</v>
      </c>
      <c r="F784" s="255">
        <f ca="1"/>
        <v>0.797752808988764</v>
      </c>
    </row>
    <row r="785" spans="1:6" hidden="1">
      <c r="A785" t="str">
        <f ca="1"/>
        <v>Recursos Humanos y Cultura</v>
      </c>
      <c r="B785" t="str">
        <f ca="1"/>
        <v>05. En Calidad</v>
      </c>
      <c r="C785" t="str">
        <f ca="1"/>
        <v>2026-M0026</v>
      </c>
      <c r="D785" t="str">
        <f ca="1"/>
        <v xml:space="preserve">   Desarrollo</v>
      </c>
      <c r="E785" s="255">
        <f ca="1"/>
        <v>0.7</v>
      </c>
      <c r="F785" s="255">
        <f ca="1"/>
        <v>0.797752808988764</v>
      </c>
    </row>
    <row r="786" spans="1:6" hidden="1">
      <c r="A786" t="str">
        <f ca="1"/>
        <v>Recursos Humanos y Cultura</v>
      </c>
      <c r="B786" t="str">
        <f ca="1"/>
        <v>05. En Calidad</v>
      </c>
      <c r="C786" t="str">
        <f ca="1"/>
        <v>2026-M0026</v>
      </c>
      <c r="D786" t="str">
        <f ca="1"/>
        <v xml:space="preserve">   Calidad</v>
      </c>
      <c r="E786" s="255">
        <f ca="1"/>
        <v>0.7</v>
      </c>
      <c r="F786" s="255">
        <f ca="1"/>
        <v>0.797752808988764</v>
      </c>
    </row>
    <row r="787" spans="1:6" hidden="1">
      <c r="A787" t="str">
        <f ca="1"/>
        <v>Recursos Humanos y Cultura</v>
      </c>
      <c r="B787" t="str">
        <f ca="1"/>
        <v>05. En Calidad</v>
      </c>
      <c r="C787" t="str">
        <f ca="1"/>
        <v>2026-M0026</v>
      </c>
      <c r="D787" t="str">
        <f ca="1"/>
        <v xml:space="preserve">   Producción</v>
      </c>
      <c r="E787" s="255">
        <f ca="1"/>
        <v>0.7</v>
      </c>
      <c r="F787" s="255">
        <f ca="1"/>
        <v>0.797752808988764</v>
      </c>
    </row>
    <row r="788" spans="1:6" hidden="1">
      <c r="A788" t="str">
        <f ca="1"/>
        <v>Finanzas y Tesorería</v>
      </c>
      <c r="B788" t="str">
        <f ca="1"/>
        <v>07. En Despliegue</v>
      </c>
      <c r="C788" t="str">
        <f ca="1"/>
        <v>2026-M0033</v>
      </c>
      <c r="D788" t="str">
        <f ca="1"/>
        <v>2026-M0033</v>
      </c>
      <c r="E788" s="255">
        <f ca="1"/>
        <v>0.9</v>
      </c>
      <c r="F788" s="255" t="str">
        <f ca="1"/>
        <v/>
      </c>
    </row>
    <row r="789" spans="1:6" hidden="1">
      <c r="A789" t="str">
        <f ca="1"/>
        <v>Finanzas y Tesorería</v>
      </c>
      <c r="B789" t="str">
        <f ca="1"/>
        <v>07. En Despliegue</v>
      </c>
      <c r="C789" t="str">
        <f ca="1"/>
        <v>2026-M0033</v>
      </c>
      <c r="D789" t="str">
        <f ca="1"/>
        <v xml:space="preserve">   Desarrollo</v>
      </c>
      <c r="E789" s="255">
        <f ca="1"/>
        <v>0.9</v>
      </c>
      <c r="F789" s="255" t="str">
        <f ca="1"/>
        <v/>
      </c>
    </row>
    <row r="790" spans="1:6" hidden="1">
      <c r="A790" t="str">
        <f ca="1"/>
        <v>Finanzas y Tesorería</v>
      </c>
      <c r="B790" t="str">
        <f ca="1"/>
        <v>07. En Despliegue</v>
      </c>
      <c r="C790" t="str">
        <f ca="1"/>
        <v>2026-M0033</v>
      </c>
      <c r="D790" t="str">
        <f ca="1"/>
        <v xml:space="preserve">   Calidad</v>
      </c>
      <c r="E790" s="255">
        <f ca="1"/>
        <v>0.9</v>
      </c>
      <c r="F790" s="255" t="str">
        <f ca="1"/>
        <v/>
      </c>
    </row>
    <row r="791" spans="1:6" hidden="1">
      <c r="A791" t="str">
        <f ca="1"/>
        <v>Finanzas y Tesorería</v>
      </c>
      <c r="B791" t="str">
        <f ca="1"/>
        <v>07. En Despliegue</v>
      </c>
      <c r="C791" t="str">
        <f ca="1"/>
        <v>2026-M0033</v>
      </c>
      <c r="D791" t="str">
        <f ca="1"/>
        <v xml:space="preserve">   Producción</v>
      </c>
      <c r="E791" s="255">
        <f ca="1"/>
        <v>0.9</v>
      </c>
      <c r="F791" s="255" t="str">
        <f ca="1"/>
        <v/>
      </c>
    </row>
    <row r="792" spans="1:6" hidden="1">
      <c r="A792" t="str">
        <f ca="1"/>
        <v>Recursos Humanos y Cultura</v>
      </c>
      <c r="B792" t="str">
        <f ca="1"/>
        <v>03. En Desarrollo</v>
      </c>
      <c r="C792" t="str">
        <f ca="1"/>
        <v>2026-M0037</v>
      </c>
      <c r="D792" t="str">
        <f ca="1"/>
        <v>2026-M0037</v>
      </c>
      <c r="E792" s="255">
        <f ca="1"/>
        <v>0.15</v>
      </c>
      <c r="F792" s="255">
        <f ca="1"/>
        <v>0</v>
      </c>
    </row>
    <row r="793" spans="1:6" hidden="1">
      <c r="A793" t="str">
        <f ca="1"/>
        <v>Recursos Humanos y Cultura</v>
      </c>
      <c r="B793" t="str">
        <f ca="1"/>
        <v>03. En Desarrollo</v>
      </c>
      <c r="C793" t="str">
        <f ca="1"/>
        <v>2026-M0037</v>
      </c>
      <c r="D793" t="str">
        <f ca="1"/>
        <v xml:space="preserve">   Desarrollo</v>
      </c>
      <c r="E793" s="255">
        <f ca="1"/>
        <v>0.15</v>
      </c>
      <c r="F793" s="255">
        <f ca="1"/>
        <v>0</v>
      </c>
    </row>
    <row r="794" spans="1:6" hidden="1">
      <c r="A794" t="str">
        <f ca="1"/>
        <v>Recursos Humanos y Cultura</v>
      </c>
      <c r="B794" t="str">
        <f ca="1"/>
        <v>03. En Desarrollo</v>
      </c>
      <c r="C794" t="str">
        <f ca="1"/>
        <v>2026-M0037</v>
      </c>
      <c r="D794" t="str">
        <f ca="1"/>
        <v xml:space="preserve">   Calidad</v>
      </c>
      <c r="E794" s="255">
        <f ca="1"/>
        <v>0.15</v>
      </c>
      <c r="F794" s="255">
        <f ca="1"/>
        <v>0</v>
      </c>
    </row>
    <row r="795" spans="1:6" hidden="1">
      <c r="A795" t="str">
        <f ca="1"/>
        <v>Recursos Humanos y Cultura</v>
      </c>
      <c r="B795" t="str">
        <f ca="1"/>
        <v>03. En Desarrollo</v>
      </c>
      <c r="C795" t="str">
        <f ca="1"/>
        <v>2026-M0037</v>
      </c>
      <c r="D795" t="str">
        <f ca="1"/>
        <v xml:space="preserve">   Producción</v>
      </c>
      <c r="E795" s="255">
        <f ca="1"/>
        <v>0.15</v>
      </c>
      <c r="F795" s="255">
        <f ca="1"/>
        <v>0</v>
      </c>
    </row>
    <row r="796" spans="1:6" hidden="1">
      <c r="A796" t="str">
        <f ca="1"/>
        <v>Banca Digital</v>
      </c>
      <c r="B796" t="str">
        <f ca="1"/>
        <v>03. En Desarrollo</v>
      </c>
      <c r="C796" t="str">
        <f ca="1"/>
        <v>2026-M0046</v>
      </c>
      <c r="D796" t="str">
        <f ca="1"/>
        <v>2026-M0046</v>
      </c>
      <c r="E796" s="255">
        <f ca="1"/>
        <v>0.25</v>
      </c>
      <c r="F796" s="255" t="str">
        <f ca="1"/>
        <v/>
      </c>
    </row>
    <row r="797" spans="1:6" hidden="1">
      <c r="A797" t="str">
        <f ca="1"/>
        <v>Banca Digital</v>
      </c>
      <c r="B797" t="str">
        <f ca="1"/>
        <v>03. En Desarrollo</v>
      </c>
      <c r="C797" t="str">
        <f ca="1"/>
        <v>2026-M0046</v>
      </c>
      <c r="D797" t="str">
        <f ca="1"/>
        <v xml:space="preserve">   Desarrollo</v>
      </c>
      <c r="E797" s="255">
        <f ca="1"/>
        <v>0.25</v>
      </c>
      <c r="F797" s="255" t="str">
        <f ca="1"/>
        <v/>
      </c>
    </row>
    <row r="798" spans="1:6" hidden="1">
      <c r="A798" t="str">
        <f ca="1"/>
        <v>Banca Digital</v>
      </c>
      <c r="B798" t="str">
        <f ca="1"/>
        <v>03. En Desarrollo</v>
      </c>
      <c r="C798" t="str">
        <f ca="1"/>
        <v>2026-M0046</v>
      </c>
      <c r="D798" t="str">
        <f ca="1"/>
        <v xml:space="preserve">   Calidad</v>
      </c>
      <c r="E798" s="255">
        <f ca="1"/>
        <v>0.25</v>
      </c>
      <c r="F798" s="255" t="str">
        <f ca="1"/>
        <v/>
      </c>
    </row>
    <row r="799" spans="1:6" hidden="1">
      <c r="A799" t="str">
        <f ca="1"/>
        <v>Banca Digital</v>
      </c>
      <c r="B799" t="str">
        <f ca="1"/>
        <v>03. En Desarrollo</v>
      </c>
      <c r="C799" t="str">
        <f ca="1"/>
        <v>2026-M0046</v>
      </c>
      <c r="D799" t="str">
        <f ca="1"/>
        <v xml:space="preserve">   Producción</v>
      </c>
      <c r="E799" s="255">
        <f ca="1"/>
        <v>0.25</v>
      </c>
      <c r="F799" s="255" t="str">
        <f ca="1"/>
        <v/>
      </c>
    </row>
    <row r="800" spans="1:6" hidden="1">
      <c r="A800" t="str">
        <f ca="1"/>
        <v>Operaciones</v>
      </c>
      <c r="B800" t="str">
        <f ca="1"/>
        <v>08. Producción Finalizada</v>
      </c>
      <c r="C800" t="str">
        <f ca="1"/>
        <v>2026-M0045</v>
      </c>
      <c r="D800" t="str">
        <f ca="1"/>
        <v>2026-M0045</v>
      </c>
      <c r="E800" s="255">
        <f ca="1"/>
        <v>1</v>
      </c>
      <c r="F800" s="255">
        <f ca="1"/>
        <v>1</v>
      </c>
    </row>
    <row r="801" spans="1:6" hidden="1">
      <c r="A801" t="str">
        <f ca="1"/>
        <v>Operaciones</v>
      </c>
      <c r="B801" t="str">
        <f ca="1"/>
        <v>08. Producción Finalizada</v>
      </c>
      <c r="C801" t="str">
        <f ca="1"/>
        <v>2026-M0045</v>
      </c>
      <c r="D801" t="str">
        <f ca="1"/>
        <v xml:space="preserve">   Desarrollo</v>
      </c>
      <c r="E801" s="255">
        <f ca="1"/>
        <v>1</v>
      </c>
      <c r="F801" s="255">
        <f ca="1"/>
        <v>1</v>
      </c>
    </row>
    <row r="802" spans="1:6" hidden="1">
      <c r="A802" t="str">
        <f ca="1"/>
        <v>Operaciones</v>
      </c>
      <c r="B802" t="str">
        <f ca="1"/>
        <v>08. Producción Finalizada</v>
      </c>
      <c r="C802" t="str">
        <f ca="1"/>
        <v>2026-M0045</v>
      </c>
      <c r="D802" t="str">
        <f ca="1"/>
        <v xml:space="preserve">   Calidad</v>
      </c>
      <c r="E802" s="255">
        <f ca="1"/>
        <v>1</v>
      </c>
      <c r="F802" s="255">
        <f ca="1"/>
        <v>1</v>
      </c>
    </row>
    <row r="803" spans="1:6" hidden="1">
      <c r="A803" t="str">
        <f ca="1"/>
        <v>Operaciones</v>
      </c>
      <c r="B803" t="str">
        <f ca="1"/>
        <v>08. Producción Finalizada</v>
      </c>
      <c r="C803" t="str">
        <f ca="1"/>
        <v>2026-M0045</v>
      </c>
      <c r="D803" t="str">
        <f ca="1"/>
        <v xml:space="preserve">   Producción</v>
      </c>
      <c r="E803" s="255">
        <f ca="1"/>
        <v>1</v>
      </c>
      <c r="F803" s="255">
        <f ca="1"/>
        <v>1</v>
      </c>
    </row>
    <row r="804" spans="1:6" hidden="1">
      <c r="A804" t="str">
        <f ca="1"/>
        <v>Riesgos</v>
      </c>
      <c r="B804" t="str">
        <f ca="1"/>
        <v>08. Producción Finalizada</v>
      </c>
      <c r="C804" t="str">
        <f ca="1"/>
        <v>2026-M0059</v>
      </c>
      <c r="D804" t="str">
        <f ca="1"/>
        <v>2026-M0059</v>
      </c>
      <c r="E804" s="255">
        <f ca="1"/>
        <v>1</v>
      </c>
      <c r="F804" s="255">
        <f ca="1"/>
        <v>1</v>
      </c>
    </row>
    <row r="805" spans="1:6" hidden="1">
      <c r="A805" t="str">
        <f ca="1"/>
        <v>Riesgos</v>
      </c>
      <c r="B805" t="str">
        <f ca="1"/>
        <v>08. Producción Finalizada</v>
      </c>
      <c r="C805" t="str">
        <f ca="1"/>
        <v>2026-M0059</v>
      </c>
      <c r="D805" t="str">
        <f ca="1"/>
        <v xml:space="preserve">   Desarrollo</v>
      </c>
      <c r="E805" s="255">
        <f ca="1"/>
        <v>1</v>
      </c>
      <c r="F805" s="255">
        <f ca="1"/>
        <v>1</v>
      </c>
    </row>
    <row r="806" spans="1:6" hidden="1">
      <c r="A806" t="str">
        <f ca="1"/>
        <v>Riesgos</v>
      </c>
      <c r="B806" t="str">
        <f ca="1"/>
        <v>08. Producción Finalizada</v>
      </c>
      <c r="C806" t="str">
        <f ca="1"/>
        <v>2026-M0059</v>
      </c>
      <c r="D806" t="str">
        <f ca="1"/>
        <v xml:space="preserve">   Calidad</v>
      </c>
      <c r="E806" s="255">
        <f ca="1"/>
        <v>1</v>
      </c>
      <c r="F806" s="255">
        <f ca="1"/>
        <v>1</v>
      </c>
    </row>
    <row r="807" spans="1:6" hidden="1">
      <c r="A807" t="str">
        <f ca="1"/>
        <v>Riesgos</v>
      </c>
      <c r="B807" t="str">
        <f ca="1"/>
        <v>08. Producción Finalizada</v>
      </c>
      <c r="C807" t="str">
        <f ca="1"/>
        <v>2026-M0059</v>
      </c>
      <c r="D807" t="str">
        <f ca="1"/>
        <v xml:space="preserve">   Producción</v>
      </c>
      <c r="E807" s="255">
        <f ca="1"/>
        <v>1</v>
      </c>
      <c r="F807" s="255">
        <f ca="1"/>
        <v>1</v>
      </c>
    </row>
    <row r="808" spans="1:6" hidden="1">
      <c r="A808" t="str">
        <f ca="1"/>
        <v>Riesgos</v>
      </c>
      <c r="B808" t="str">
        <f ca="1"/>
        <v>08. Producción Finalizada</v>
      </c>
      <c r="C808" t="str">
        <f ca="1"/>
        <v>2026-M0060</v>
      </c>
      <c r="D808" t="str">
        <f ca="1"/>
        <v>2026-M0060</v>
      </c>
      <c r="E808" s="255">
        <f ca="1"/>
        <v>1</v>
      </c>
      <c r="F808" s="255">
        <f ca="1"/>
        <v>1</v>
      </c>
    </row>
    <row r="809" spans="1:6" hidden="1">
      <c r="A809" t="str">
        <f ca="1"/>
        <v>Riesgos</v>
      </c>
      <c r="B809" t="str">
        <f ca="1"/>
        <v>08. Producción Finalizada</v>
      </c>
      <c r="C809" t="str">
        <f ca="1"/>
        <v>2026-M0060</v>
      </c>
      <c r="D809" t="str">
        <f ca="1"/>
        <v xml:space="preserve">   Desarrollo</v>
      </c>
      <c r="E809" s="255">
        <f ca="1"/>
        <v>1</v>
      </c>
      <c r="F809" s="255">
        <f ca="1"/>
        <v>1</v>
      </c>
    </row>
    <row r="810" spans="1:6" hidden="1">
      <c r="A810" t="str">
        <f ca="1"/>
        <v>Riesgos</v>
      </c>
      <c r="B810" t="str">
        <f ca="1"/>
        <v>08. Producción Finalizada</v>
      </c>
      <c r="C810" t="str">
        <f ca="1"/>
        <v>2026-M0060</v>
      </c>
      <c r="D810" t="str">
        <f ca="1"/>
        <v xml:space="preserve">   Calidad</v>
      </c>
      <c r="E810" s="255">
        <f ca="1"/>
        <v>1</v>
      </c>
      <c r="F810" s="255">
        <f ca="1"/>
        <v>1</v>
      </c>
    </row>
    <row r="811" spans="1:6" hidden="1">
      <c r="A811" t="str">
        <f ca="1"/>
        <v>Riesgos</v>
      </c>
      <c r="B811" t="str">
        <f ca="1"/>
        <v>08. Producción Finalizada</v>
      </c>
      <c r="C811" t="str">
        <f ca="1"/>
        <v>2026-M0060</v>
      </c>
      <c r="D811" t="str">
        <f ca="1"/>
        <v xml:space="preserve">   Producción</v>
      </c>
      <c r="E811" s="255">
        <f ca="1"/>
        <v>1</v>
      </c>
      <c r="F811" s="255">
        <f ca="1"/>
        <v>1</v>
      </c>
    </row>
    <row r="812" spans="1:6" hidden="1">
      <c r="A812" t="str">
        <f ca="1"/>
        <v>Productos e Inclusión Financiera</v>
      </c>
      <c r="B812" t="str">
        <f ca="1"/>
        <v>08. Producción Finalizada</v>
      </c>
      <c r="C812" t="str">
        <f ca="1"/>
        <v>2026-M0055</v>
      </c>
      <c r="D812" t="str">
        <f ca="1"/>
        <v>2026-M0055</v>
      </c>
      <c r="E812" s="255">
        <f ca="1"/>
        <v>1</v>
      </c>
      <c r="F812" s="255">
        <f ca="1"/>
        <v>1</v>
      </c>
    </row>
    <row r="813" spans="1:6" hidden="1">
      <c r="A813" t="str">
        <f ca="1"/>
        <v>Productos e Inclusión Financiera</v>
      </c>
      <c r="B813" t="str">
        <f ca="1"/>
        <v>08. Producción Finalizada</v>
      </c>
      <c r="C813" t="str">
        <f ca="1"/>
        <v>2026-M0055</v>
      </c>
      <c r="D813" t="str">
        <f ca="1"/>
        <v xml:space="preserve">   Desarrollo</v>
      </c>
      <c r="E813" s="255">
        <f ca="1"/>
        <v>1</v>
      </c>
      <c r="F813" s="255">
        <f ca="1"/>
        <v>1</v>
      </c>
    </row>
    <row r="814" spans="1:6" hidden="1">
      <c r="A814" t="str">
        <f ca="1"/>
        <v>Productos e Inclusión Financiera</v>
      </c>
      <c r="B814" t="str">
        <f ca="1"/>
        <v>08. Producción Finalizada</v>
      </c>
      <c r="C814" t="str">
        <f ca="1"/>
        <v>2026-M0055</v>
      </c>
      <c r="D814" t="str">
        <f ca="1"/>
        <v xml:space="preserve">   Calidad</v>
      </c>
      <c r="E814" s="255">
        <f ca="1"/>
        <v>1</v>
      </c>
      <c r="F814" s="255">
        <f ca="1"/>
        <v>1</v>
      </c>
    </row>
    <row r="815" spans="1:6" hidden="1">
      <c r="A815" t="str">
        <f ca="1"/>
        <v>Productos e Inclusión Financiera</v>
      </c>
      <c r="B815" t="str">
        <f ca="1"/>
        <v>08. Producción Finalizada</v>
      </c>
      <c r="C815" t="str">
        <f ca="1"/>
        <v>2026-M0055</v>
      </c>
      <c r="D815" t="str">
        <f ca="1"/>
        <v xml:space="preserve">   Producción</v>
      </c>
      <c r="E815" s="255">
        <f ca="1"/>
        <v>1</v>
      </c>
      <c r="F815" s="255">
        <f ca="1"/>
        <v>1</v>
      </c>
    </row>
    <row r="816" spans="1:6" hidden="1">
      <c r="A816" t="str">
        <f ca="1"/>
        <v>Banca Digital</v>
      </c>
      <c r="B816" t="str">
        <f ca="1"/>
        <v>03. En Desarrollo</v>
      </c>
      <c r="C816" t="str">
        <f ca="1"/>
        <v>2026-M0056</v>
      </c>
      <c r="D816" t="str">
        <f ca="1"/>
        <v>2026-M0056</v>
      </c>
      <c r="E816" s="255">
        <f ca="1"/>
        <v>0.25</v>
      </c>
      <c r="F816" s="255" t="str">
        <f ca="1"/>
        <v/>
      </c>
    </row>
    <row r="817" spans="1:6" hidden="1">
      <c r="A817" t="str">
        <f ca="1"/>
        <v>Banca Digital</v>
      </c>
      <c r="B817" t="str">
        <f ca="1"/>
        <v>03. En Desarrollo</v>
      </c>
      <c r="C817" t="str">
        <f ca="1"/>
        <v>2026-M0056</v>
      </c>
      <c r="D817" t="str">
        <f ca="1"/>
        <v xml:space="preserve">   Desarrollo</v>
      </c>
      <c r="E817" s="255">
        <f ca="1"/>
        <v>0.25</v>
      </c>
      <c r="F817" s="255" t="str">
        <f ca="1"/>
        <v/>
      </c>
    </row>
    <row r="818" spans="1:6" hidden="1">
      <c r="A818" t="str">
        <f ca="1"/>
        <v>Banca Digital</v>
      </c>
      <c r="B818" t="str">
        <f ca="1"/>
        <v>03. En Desarrollo</v>
      </c>
      <c r="C818" t="str">
        <f ca="1"/>
        <v>2026-M0056</v>
      </c>
      <c r="D818" t="str">
        <f ca="1"/>
        <v xml:space="preserve">   Calidad</v>
      </c>
      <c r="E818" s="255">
        <f ca="1"/>
        <v>0.25</v>
      </c>
      <c r="F818" s="255" t="str">
        <f ca="1"/>
        <v/>
      </c>
    </row>
    <row r="819" spans="1:6" hidden="1">
      <c r="A819" t="str">
        <f ca="1"/>
        <v>Banca Digital</v>
      </c>
      <c r="B819" t="str">
        <f ca="1"/>
        <v>03. En Desarrollo</v>
      </c>
      <c r="C819" t="str">
        <f ca="1"/>
        <v>2026-M0056</v>
      </c>
      <c r="D819" t="str">
        <f ca="1"/>
        <v xml:space="preserve">   Producción</v>
      </c>
      <c r="E819" s="255">
        <f ca="1"/>
        <v>0.25</v>
      </c>
      <c r="F819" s="255" t="str">
        <f ca="1"/>
        <v/>
      </c>
    </row>
    <row r="820" spans="1:6" hidden="1">
      <c r="A820" t="str">
        <f ca="1"/>
        <v>Tecnologías de Información</v>
      </c>
      <c r="B820" t="str">
        <f ca="1"/>
        <v>03. En Desarrollo</v>
      </c>
      <c r="C820" t="str">
        <f ca="1"/>
        <v>2026-M0078</v>
      </c>
      <c r="D820" t="str">
        <f ca="1"/>
        <v>2026-M0078</v>
      </c>
      <c r="E820" s="255">
        <f ca="1"/>
        <v>0.45</v>
      </c>
      <c r="F820" s="255">
        <f ca="1"/>
        <v>0</v>
      </c>
    </row>
    <row r="821" spans="1:6" hidden="1">
      <c r="A821" t="str">
        <f ca="1"/>
        <v>Tecnologías de Información</v>
      </c>
      <c r="B821" t="str">
        <f ca="1"/>
        <v>03. En Desarrollo</v>
      </c>
      <c r="C821" t="str">
        <f ca="1"/>
        <v>2026-M0078</v>
      </c>
      <c r="D821" t="str">
        <f ca="1"/>
        <v xml:space="preserve">   Desarrollo</v>
      </c>
      <c r="E821" s="255">
        <f ca="1"/>
        <v>0.45</v>
      </c>
      <c r="F821" s="255">
        <f ca="1"/>
        <v>0</v>
      </c>
    </row>
    <row r="822" spans="1:6" hidden="1">
      <c r="A822" t="str">
        <f ca="1"/>
        <v>Tecnologías de Información</v>
      </c>
      <c r="B822" t="str">
        <f ca="1"/>
        <v>03. En Desarrollo</v>
      </c>
      <c r="C822" t="str">
        <f ca="1"/>
        <v>2026-M0078</v>
      </c>
      <c r="D822" t="str">
        <f ca="1"/>
        <v xml:space="preserve">   Calidad</v>
      </c>
      <c r="E822" s="255">
        <f ca="1"/>
        <v>0.45</v>
      </c>
      <c r="F822" s="255">
        <f ca="1"/>
        <v>0</v>
      </c>
    </row>
    <row r="823" spans="1:6" hidden="1">
      <c r="A823" t="str">
        <f ca="1"/>
        <v>Tecnologías de Información</v>
      </c>
      <c r="B823" t="str">
        <f ca="1"/>
        <v>03. En Desarrollo</v>
      </c>
      <c r="C823" t="str">
        <f ca="1"/>
        <v>2026-M0078</v>
      </c>
      <c r="D823" t="str">
        <f ca="1"/>
        <v xml:space="preserve">   Producción</v>
      </c>
      <c r="E823" s="255">
        <f ca="1"/>
        <v>0.45</v>
      </c>
      <c r="F823" s="255">
        <f ca="1"/>
        <v>0</v>
      </c>
    </row>
    <row r="824" spans="1:6" hidden="1">
      <c r="A824" t="str">
        <f ca="1"/>
        <v>Tecnologías de Información</v>
      </c>
      <c r="B824" t="str">
        <f ca="1"/>
        <v>03. En Desarrollo</v>
      </c>
      <c r="C824" t="str">
        <f ca="1"/>
        <v>2026-M0079</v>
      </c>
      <c r="D824" t="str">
        <f ca="1"/>
        <v>2026-M0079</v>
      </c>
      <c r="E824" s="255">
        <f ca="1"/>
        <v>0.45</v>
      </c>
      <c r="F824" s="255">
        <f ca="1"/>
        <v>0</v>
      </c>
    </row>
    <row r="825" spans="1:6" hidden="1">
      <c r="A825" t="str">
        <f ca="1"/>
        <v>Tecnologías de Información</v>
      </c>
      <c r="B825" t="str">
        <f ca="1"/>
        <v>03. En Desarrollo</v>
      </c>
      <c r="C825" t="str">
        <f ca="1"/>
        <v>2026-M0079</v>
      </c>
      <c r="D825" t="str">
        <f ca="1"/>
        <v xml:space="preserve">   Desarrollo</v>
      </c>
      <c r="E825" s="255">
        <f ca="1"/>
        <v>0.45</v>
      </c>
      <c r="F825" s="255">
        <f ca="1"/>
        <v>0</v>
      </c>
    </row>
    <row r="826" spans="1:6" hidden="1">
      <c r="A826" t="str">
        <f ca="1"/>
        <v>Tecnologías de Información</v>
      </c>
      <c r="B826" t="str">
        <f ca="1"/>
        <v>03. En Desarrollo</v>
      </c>
      <c r="C826" t="str">
        <f ca="1"/>
        <v>2026-M0079</v>
      </c>
      <c r="D826" t="str">
        <f ca="1"/>
        <v xml:space="preserve">   Calidad</v>
      </c>
      <c r="E826" s="255">
        <f ca="1"/>
        <v>0.45</v>
      </c>
      <c r="F826" s="255">
        <f ca="1"/>
        <v>0</v>
      </c>
    </row>
    <row r="827" spans="1:6" hidden="1">
      <c r="A827" t="str">
        <f ca="1"/>
        <v>Tecnologías de Información</v>
      </c>
      <c r="B827" t="str">
        <f ca="1"/>
        <v>03. En Desarrollo</v>
      </c>
      <c r="C827" t="str">
        <f ca="1"/>
        <v>2026-M0079</v>
      </c>
      <c r="D827" t="str">
        <f ca="1"/>
        <v xml:space="preserve">   Producción</v>
      </c>
      <c r="E827" s="255">
        <f ca="1"/>
        <v>0.45</v>
      </c>
      <c r="F827" s="255">
        <f ca="1"/>
        <v>0</v>
      </c>
    </row>
    <row r="828" spans="1:6" hidden="1">
      <c r="A828" t="str">
        <f ca="1"/>
        <v>Riesgos</v>
      </c>
      <c r="B828" t="str">
        <f ca="1"/>
        <v>03. En Desarrollo</v>
      </c>
      <c r="C828" t="str">
        <f ca="1"/>
        <v>2026-M0058</v>
      </c>
      <c r="D828" t="str">
        <f ca="1"/>
        <v>2026-M0058</v>
      </c>
      <c r="E828" s="255">
        <f ca="1"/>
        <v>0.7</v>
      </c>
      <c r="F828" s="255">
        <f ca="1"/>
        <v>0.7</v>
      </c>
    </row>
    <row r="829" spans="1:6" hidden="1">
      <c r="A829" t="str">
        <f ca="1"/>
        <v>Riesgos</v>
      </c>
      <c r="B829" t="str">
        <f ca="1"/>
        <v>03. En Desarrollo</v>
      </c>
      <c r="C829" t="str">
        <f ca="1"/>
        <v>2026-M0058</v>
      </c>
      <c r="D829" t="str">
        <f ca="1"/>
        <v xml:space="preserve">   Desarrollo</v>
      </c>
      <c r="E829" s="255">
        <f ca="1"/>
        <v>0.7</v>
      </c>
      <c r="F829" s="255">
        <f ca="1"/>
        <v>0.7</v>
      </c>
    </row>
    <row r="830" spans="1:6" hidden="1">
      <c r="A830" t="str">
        <f ca="1"/>
        <v>Riesgos</v>
      </c>
      <c r="B830" t="str">
        <f ca="1"/>
        <v>03. En Desarrollo</v>
      </c>
      <c r="C830" t="str">
        <f ca="1"/>
        <v>2026-M0058</v>
      </c>
      <c r="D830" t="str">
        <f ca="1"/>
        <v xml:space="preserve">   Calidad</v>
      </c>
      <c r="E830" s="255">
        <f ca="1"/>
        <v>0.7</v>
      </c>
      <c r="F830" s="255">
        <f ca="1"/>
        <v>0.7</v>
      </c>
    </row>
    <row r="831" spans="1:6" hidden="1">
      <c r="A831" t="str">
        <f ca="1"/>
        <v>Riesgos</v>
      </c>
      <c r="B831" t="str">
        <f ca="1"/>
        <v>03. En Desarrollo</v>
      </c>
      <c r="C831" t="str">
        <f ca="1"/>
        <v>2026-M0058</v>
      </c>
      <c r="D831" t="str">
        <f ca="1"/>
        <v xml:space="preserve">   Producción</v>
      </c>
      <c r="E831" s="255">
        <f ca="1"/>
        <v>0.7</v>
      </c>
      <c r="F831" s="255">
        <f ca="1"/>
        <v>0.7</v>
      </c>
    </row>
    <row r="832" spans="1:6" hidden="1">
      <c r="A832" t="str">
        <f ca="1"/>
        <v>Operaciones</v>
      </c>
      <c r="B832" t="str">
        <f ca="1"/>
        <v>08. Producción Finalizada</v>
      </c>
      <c r="C832" t="str">
        <f ca="1"/>
        <v>2026-M0067</v>
      </c>
      <c r="D832" t="str">
        <f ca="1"/>
        <v>2026-M0067</v>
      </c>
      <c r="E832" s="255">
        <f ca="1"/>
        <v>1</v>
      </c>
      <c r="F832" s="255">
        <f ca="1"/>
        <v>1</v>
      </c>
    </row>
    <row r="833" spans="1:6" hidden="1">
      <c r="A833" t="str">
        <f ca="1"/>
        <v>Operaciones</v>
      </c>
      <c r="B833" t="str">
        <f ca="1"/>
        <v>08. Producción Finalizada</v>
      </c>
      <c r="C833" t="str">
        <f ca="1"/>
        <v>2026-M0067</v>
      </c>
      <c r="D833" t="str">
        <f ca="1"/>
        <v xml:space="preserve">   Desarrollo</v>
      </c>
      <c r="E833" s="255">
        <f ca="1"/>
        <v>1</v>
      </c>
      <c r="F833" s="255">
        <f ca="1"/>
        <v>1</v>
      </c>
    </row>
    <row r="834" spans="1:6" hidden="1">
      <c r="A834" t="str">
        <f ca="1"/>
        <v>Operaciones</v>
      </c>
      <c r="B834" t="str">
        <f ca="1"/>
        <v>08. Producción Finalizada</v>
      </c>
      <c r="C834" t="str">
        <f ca="1"/>
        <v>2026-M0067</v>
      </c>
      <c r="D834" t="str">
        <f ca="1"/>
        <v xml:space="preserve">   Calidad</v>
      </c>
      <c r="E834" s="255">
        <f ca="1"/>
        <v>1</v>
      </c>
      <c r="F834" s="255">
        <f ca="1"/>
        <v>1</v>
      </c>
    </row>
    <row r="835" spans="1:6" hidden="1">
      <c r="A835" t="str">
        <f ca="1"/>
        <v>Operaciones</v>
      </c>
      <c r="B835" t="str">
        <f ca="1"/>
        <v>08. Producción Finalizada</v>
      </c>
      <c r="C835" t="str">
        <f ca="1"/>
        <v>2026-M0067</v>
      </c>
      <c r="D835" t="str">
        <f ca="1"/>
        <v xml:space="preserve">   Producción</v>
      </c>
      <c r="E835" s="255">
        <f ca="1"/>
        <v>1</v>
      </c>
      <c r="F835" s="255">
        <f ca="1"/>
        <v>1</v>
      </c>
    </row>
    <row r="836" spans="1:6" hidden="1">
      <c r="A836" t="str">
        <f ca="1"/>
        <v>Banca Digital</v>
      </c>
      <c r="B836" t="str">
        <f ca="1"/>
        <v>03. En Desarrollo</v>
      </c>
      <c r="C836" t="str">
        <f ca="1"/>
        <v>2026-M0064</v>
      </c>
      <c r="D836" t="str">
        <f ca="1"/>
        <v>2026-M0064</v>
      </c>
      <c r="E836" s="255">
        <f ca="1"/>
        <v>0.25</v>
      </c>
      <c r="F836" s="255" t="str">
        <f ca="1"/>
        <v/>
      </c>
    </row>
    <row r="837" spans="1:6" hidden="1">
      <c r="A837" t="str">
        <f ca="1"/>
        <v>Banca Digital</v>
      </c>
      <c r="B837" t="str">
        <f ca="1"/>
        <v>03. En Desarrollo</v>
      </c>
      <c r="C837" t="str">
        <f ca="1"/>
        <v>2026-M0064</v>
      </c>
      <c r="D837" t="str">
        <f ca="1"/>
        <v xml:space="preserve">   Desarrollo</v>
      </c>
      <c r="E837" s="255">
        <f ca="1"/>
        <v>0.25</v>
      </c>
      <c r="F837" s="255" t="str">
        <f ca="1"/>
        <v/>
      </c>
    </row>
    <row r="838" spans="1:6" hidden="1">
      <c r="A838" t="str">
        <f ca="1"/>
        <v>Banca Digital</v>
      </c>
      <c r="B838" t="str">
        <f ca="1"/>
        <v>03. En Desarrollo</v>
      </c>
      <c r="C838" t="str">
        <f ca="1"/>
        <v>2026-M0064</v>
      </c>
      <c r="D838" t="str">
        <f ca="1"/>
        <v xml:space="preserve">   Calidad</v>
      </c>
      <c r="E838" s="255">
        <f ca="1"/>
        <v>0.25</v>
      </c>
      <c r="F838" s="255" t="str">
        <f ca="1"/>
        <v/>
      </c>
    </row>
    <row r="839" spans="1:6" hidden="1">
      <c r="A839" t="str">
        <f ca="1"/>
        <v>Banca Digital</v>
      </c>
      <c r="B839" t="str">
        <f ca="1"/>
        <v>03. En Desarrollo</v>
      </c>
      <c r="C839" t="str">
        <f ca="1"/>
        <v>2026-M0064</v>
      </c>
      <c r="D839" t="str">
        <f ca="1"/>
        <v xml:space="preserve">   Producción</v>
      </c>
      <c r="E839" s="255">
        <f ca="1"/>
        <v>0.25</v>
      </c>
      <c r="F839" s="255" t="str">
        <f ca="1"/>
        <v/>
      </c>
    </row>
    <row r="840" spans="1:6" hidden="1">
      <c r="A840" t="str">
        <f ca="1"/>
        <v>Administración y Logística</v>
      </c>
      <c r="B840" t="str">
        <f ca="1"/>
        <v>08. Producción Finalizada</v>
      </c>
      <c r="C840" t="str">
        <f ca="1"/>
        <v>2026-M0069</v>
      </c>
      <c r="D840" t="str">
        <f ca="1"/>
        <v>2026-M0069</v>
      </c>
      <c r="E840" s="255">
        <f ca="1"/>
        <v>1</v>
      </c>
      <c r="F840" s="255">
        <f ca="1"/>
        <v>1</v>
      </c>
    </row>
    <row r="841" spans="1:6" hidden="1">
      <c r="A841" t="str">
        <f ca="1"/>
        <v>Administración y Logística</v>
      </c>
      <c r="B841" t="str">
        <f ca="1"/>
        <v>08. Producción Finalizada</v>
      </c>
      <c r="C841" t="str">
        <f ca="1"/>
        <v>2026-M0069</v>
      </c>
      <c r="D841" t="str">
        <f ca="1"/>
        <v xml:space="preserve">   Desarrollo</v>
      </c>
      <c r="E841" s="255">
        <f ca="1"/>
        <v>1</v>
      </c>
      <c r="F841" s="255">
        <f ca="1"/>
        <v>1</v>
      </c>
    </row>
    <row r="842" spans="1:6" hidden="1">
      <c r="A842" t="str">
        <f ca="1"/>
        <v>Administración y Logística</v>
      </c>
      <c r="B842" t="str">
        <f ca="1"/>
        <v>08. Producción Finalizada</v>
      </c>
      <c r="C842" t="str">
        <f ca="1"/>
        <v>2026-M0069</v>
      </c>
      <c r="D842" t="str">
        <f ca="1"/>
        <v xml:space="preserve">   Calidad</v>
      </c>
      <c r="E842" s="255">
        <f ca="1"/>
        <v>1</v>
      </c>
      <c r="F842" s="255">
        <f ca="1"/>
        <v>1</v>
      </c>
    </row>
    <row r="843" spans="1:6" hidden="1">
      <c r="A843" t="str">
        <f ca="1"/>
        <v>Administración y Logística</v>
      </c>
      <c r="B843" t="str">
        <f ca="1"/>
        <v>08. Producción Finalizada</v>
      </c>
      <c r="C843" t="str">
        <f ca="1"/>
        <v>2026-M0069</v>
      </c>
      <c r="D843" t="str">
        <f ca="1"/>
        <v xml:space="preserve">   Producción</v>
      </c>
      <c r="E843" s="255">
        <f ca="1"/>
        <v>1</v>
      </c>
      <c r="F843" s="255">
        <f ca="1"/>
        <v>1</v>
      </c>
    </row>
    <row r="844" spans="1:6" hidden="1">
      <c r="A844" t="str">
        <f ca="1"/>
        <v>Productos e Inclusión Financiera</v>
      </c>
      <c r="B844" t="str">
        <f ca="1"/>
        <v>03. En Desarrollo</v>
      </c>
      <c r="C844" t="str">
        <f ca="1"/>
        <v>2026-M0071</v>
      </c>
      <c r="D844" t="str">
        <f ca="1"/>
        <v>2026-M0071</v>
      </c>
      <c r="E844" s="255">
        <f ca="1"/>
        <v>0.45</v>
      </c>
      <c r="F844" s="255" t="str">
        <f ca="1"/>
        <v/>
      </c>
    </row>
    <row r="845" spans="1:6" hidden="1">
      <c r="A845" t="str">
        <f ca="1"/>
        <v>Productos e Inclusión Financiera</v>
      </c>
      <c r="B845" t="str">
        <f ca="1"/>
        <v>03. En Desarrollo</v>
      </c>
      <c r="C845" t="str">
        <f ca="1"/>
        <v>2026-M0071</v>
      </c>
      <c r="D845" t="str">
        <f ca="1"/>
        <v xml:space="preserve">   Desarrollo</v>
      </c>
      <c r="E845" s="255">
        <f ca="1"/>
        <v>0.45</v>
      </c>
      <c r="F845" s="255" t="str">
        <f ca="1"/>
        <v/>
      </c>
    </row>
    <row r="846" spans="1:6" hidden="1">
      <c r="A846" t="str">
        <f ca="1"/>
        <v>Productos e Inclusión Financiera</v>
      </c>
      <c r="B846" t="str">
        <f ca="1"/>
        <v>03. En Desarrollo</v>
      </c>
      <c r="C846" t="str">
        <f ca="1"/>
        <v>2026-M0071</v>
      </c>
      <c r="D846" t="str">
        <f ca="1"/>
        <v xml:space="preserve">   Calidad</v>
      </c>
      <c r="E846" s="255">
        <f ca="1"/>
        <v>0.45</v>
      </c>
      <c r="F846" s="255" t="str">
        <f ca="1"/>
        <v/>
      </c>
    </row>
    <row r="847" spans="1:6" hidden="1">
      <c r="A847" t="str">
        <f ca="1"/>
        <v>Productos e Inclusión Financiera</v>
      </c>
      <c r="B847" t="str">
        <f ca="1"/>
        <v>03. En Desarrollo</v>
      </c>
      <c r="C847" t="str">
        <f ca="1"/>
        <v>2026-M0071</v>
      </c>
      <c r="D847" t="str">
        <f ca="1"/>
        <v xml:space="preserve">   Producción</v>
      </c>
      <c r="E847" s="255">
        <f ca="1"/>
        <v>0.45</v>
      </c>
      <c r="F847" s="255" t="str">
        <f ca="1"/>
        <v/>
      </c>
    </row>
    <row r="848" spans="1:6" hidden="1">
      <c r="A848" t="str">
        <f ca="1"/>
        <v>Operaciones</v>
      </c>
      <c r="B848" t="str">
        <f ca="1"/>
        <v>09. Descartado</v>
      </c>
      <c r="C848" t="str">
        <f ca="1"/>
        <v>2026-M0077</v>
      </c>
      <c r="D848" t="str">
        <f ca="1"/>
        <v>2026-M0077</v>
      </c>
      <c r="E848" s="255">
        <f ca="1"/>
        <v>-0.01</v>
      </c>
      <c r="F848" s="255" t="str">
        <f ca="1"/>
        <v/>
      </c>
    </row>
    <row r="849" spans="1:6" hidden="1">
      <c r="A849" t="str">
        <f ca="1"/>
        <v>Operaciones</v>
      </c>
      <c r="B849" t="str">
        <f ca="1"/>
        <v>09. Descartado</v>
      </c>
      <c r="C849" t="str">
        <f ca="1"/>
        <v>2026-M0077</v>
      </c>
      <c r="D849" t="str">
        <f ca="1"/>
        <v xml:space="preserve">   Desarrollo</v>
      </c>
      <c r="E849" s="255">
        <f ca="1"/>
        <v>-0.01</v>
      </c>
      <c r="F849" s="255" t="str">
        <f ca="1"/>
        <v/>
      </c>
    </row>
    <row r="850" spans="1:6" hidden="1">
      <c r="A850" t="str">
        <f ca="1"/>
        <v>Operaciones</v>
      </c>
      <c r="B850" t="str">
        <f ca="1"/>
        <v>09. Descartado</v>
      </c>
      <c r="C850" t="str">
        <f ca="1"/>
        <v>2026-M0077</v>
      </c>
      <c r="D850" t="str">
        <f ca="1"/>
        <v xml:space="preserve">   Calidad</v>
      </c>
      <c r="E850" s="255">
        <f ca="1"/>
        <v>-0.01</v>
      </c>
      <c r="F850" s="255" t="str">
        <f ca="1"/>
        <v/>
      </c>
    </row>
    <row r="851" spans="1:6" hidden="1">
      <c r="A851" t="str">
        <f ca="1"/>
        <v>Operaciones</v>
      </c>
      <c r="B851" t="str">
        <f ca="1"/>
        <v>09. Descartado</v>
      </c>
      <c r="C851" t="str">
        <f ca="1"/>
        <v>2026-M0077</v>
      </c>
      <c r="D851" t="str">
        <f ca="1"/>
        <v xml:space="preserve">   Producción</v>
      </c>
      <c r="E851" s="255">
        <f ca="1"/>
        <v>-0.01</v>
      </c>
      <c r="F851" s="255" t="str">
        <f ca="1"/>
        <v/>
      </c>
    </row>
    <row r="852" spans="1:6" hidden="1">
      <c r="A852" t="str">
        <f ca="1"/>
        <v>Operaciones</v>
      </c>
      <c r="B852" t="str">
        <f ca="1"/>
        <v>08. Producción Finalizada</v>
      </c>
      <c r="C852" t="str">
        <f ca="1"/>
        <v>2026-M0076</v>
      </c>
      <c r="D852" t="str">
        <f ca="1"/>
        <v>2026-M0076</v>
      </c>
      <c r="E852" s="255">
        <f ca="1"/>
        <v>1</v>
      </c>
      <c r="F852" s="255">
        <f ca="1"/>
        <v>1</v>
      </c>
    </row>
    <row r="853" spans="1:6" hidden="1">
      <c r="A853" t="str">
        <f ca="1"/>
        <v>Operaciones</v>
      </c>
      <c r="B853" t="str">
        <f ca="1"/>
        <v>08. Producción Finalizada</v>
      </c>
      <c r="C853" t="str">
        <f ca="1"/>
        <v>2026-M0076</v>
      </c>
      <c r="D853" t="str">
        <f ca="1"/>
        <v xml:space="preserve">   Desarrollo</v>
      </c>
      <c r="E853" s="255">
        <f ca="1"/>
        <v>1</v>
      </c>
      <c r="F853" s="255">
        <f ca="1"/>
        <v>1</v>
      </c>
    </row>
    <row r="854" spans="1:6" hidden="1">
      <c r="A854" t="str">
        <f ca="1"/>
        <v>Operaciones</v>
      </c>
      <c r="B854" t="str">
        <f ca="1"/>
        <v>08. Producción Finalizada</v>
      </c>
      <c r="C854" t="str">
        <f ca="1"/>
        <v>2026-M0076</v>
      </c>
      <c r="D854" t="str">
        <f ca="1"/>
        <v xml:space="preserve">   Calidad</v>
      </c>
      <c r="E854" s="255">
        <f ca="1"/>
        <v>1</v>
      </c>
      <c r="F854" s="255">
        <f ca="1"/>
        <v>1</v>
      </c>
    </row>
    <row r="855" spans="1:6" hidden="1">
      <c r="A855" t="str">
        <f ca="1"/>
        <v>Operaciones</v>
      </c>
      <c r="B855" t="str">
        <f ca="1"/>
        <v>08. Producción Finalizada</v>
      </c>
      <c r="C855" t="str">
        <f ca="1"/>
        <v>2026-M0076</v>
      </c>
      <c r="D855" t="str">
        <f ca="1"/>
        <v xml:space="preserve">   Producción</v>
      </c>
      <c r="E855" s="255">
        <f ca="1"/>
        <v>1</v>
      </c>
      <c r="F855" s="255">
        <f ca="1"/>
        <v>1</v>
      </c>
    </row>
    <row r="856" spans="1:6" hidden="1">
      <c r="A856" t="str">
        <f ca="1"/>
        <v>Operaciones</v>
      </c>
      <c r="B856" t="str">
        <f ca="1"/>
        <v>08. Producción Finalizada</v>
      </c>
      <c r="C856" t="str">
        <f ca="1"/>
        <v>2026-M0089</v>
      </c>
      <c r="D856" t="str">
        <f ca="1"/>
        <v>2026-M0089</v>
      </c>
      <c r="E856" s="255">
        <f ca="1"/>
        <v>1</v>
      </c>
      <c r="F856" s="255">
        <f ca="1"/>
        <v>1</v>
      </c>
    </row>
    <row r="857" spans="1:6" hidden="1">
      <c r="A857" t="str">
        <f ca="1"/>
        <v>Operaciones</v>
      </c>
      <c r="B857" t="str">
        <f ca="1"/>
        <v>08. Producción Finalizada</v>
      </c>
      <c r="C857" t="str">
        <f ca="1"/>
        <v>2026-M0089</v>
      </c>
      <c r="D857" t="str">
        <f ca="1"/>
        <v xml:space="preserve">   Desarrollo</v>
      </c>
      <c r="E857" s="255">
        <f ca="1"/>
        <v>1</v>
      </c>
      <c r="F857" s="255">
        <f ca="1"/>
        <v>1</v>
      </c>
    </row>
    <row r="858" spans="1:6" hidden="1">
      <c r="A858" t="str">
        <f ca="1"/>
        <v>Operaciones</v>
      </c>
      <c r="B858" t="str">
        <f ca="1"/>
        <v>08. Producción Finalizada</v>
      </c>
      <c r="C858" t="str">
        <f ca="1"/>
        <v>2026-M0089</v>
      </c>
      <c r="D858" t="str">
        <f ca="1"/>
        <v xml:space="preserve">   Calidad</v>
      </c>
      <c r="E858" s="255">
        <f ca="1"/>
        <v>1</v>
      </c>
      <c r="F858" s="255">
        <f ca="1"/>
        <v>1</v>
      </c>
    </row>
    <row r="859" spans="1:6" hidden="1">
      <c r="A859" t="str">
        <f ca="1"/>
        <v>Operaciones</v>
      </c>
      <c r="B859" t="str">
        <f ca="1"/>
        <v>08. Producción Finalizada</v>
      </c>
      <c r="C859" t="str">
        <f ca="1"/>
        <v>2026-M0089</v>
      </c>
      <c r="D859" t="str">
        <f ca="1"/>
        <v xml:space="preserve">   Producción</v>
      </c>
      <c r="E859" s="255">
        <f ca="1"/>
        <v>1</v>
      </c>
      <c r="F859" s="255">
        <f ca="1"/>
        <v>1</v>
      </c>
    </row>
    <row r="860" spans="1:6" hidden="1">
      <c r="A860" t="str">
        <f ca="1"/>
        <v>Operaciones</v>
      </c>
      <c r="B860" t="str">
        <f ca="1"/>
        <v>05. En Calidad</v>
      </c>
      <c r="C860" t="str">
        <f ca="1"/>
        <v>2026-M0090</v>
      </c>
      <c r="D860" t="str">
        <f ca="1"/>
        <v>2026-M0090</v>
      </c>
      <c r="E860" s="255">
        <f ca="1"/>
        <v>0.7</v>
      </c>
      <c r="F860" s="255" t="str">
        <f ca="1"/>
        <v/>
      </c>
    </row>
    <row r="861" spans="1:6" hidden="1">
      <c r="A861" t="str">
        <f ca="1"/>
        <v>Operaciones</v>
      </c>
      <c r="B861" t="str">
        <f ca="1"/>
        <v>05. En Calidad</v>
      </c>
      <c r="C861" t="str">
        <f ca="1"/>
        <v>2026-M0090</v>
      </c>
      <c r="D861" t="str">
        <f ca="1"/>
        <v xml:space="preserve">   Desarrollo</v>
      </c>
      <c r="E861" s="255">
        <f ca="1"/>
        <v>0.7</v>
      </c>
      <c r="F861" s="255" t="str">
        <f ca="1"/>
        <v/>
      </c>
    </row>
    <row r="862" spans="1:6" hidden="1">
      <c r="A862" t="str">
        <f ca="1"/>
        <v>Operaciones</v>
      </c>
      <c r="B862" t="str">
        <f ca="1"/>
        <v>05. En Calidad</v>
      </c>
      <c r="C862" t="str">
        <f ca="1"/>
        <v>2026-M0090</v>
      </c>
      <c r="D862" t="str">
        <f ca="1"/>
        <v xml:space="preserve">   Calidad</v>
      </c>
      <c r="E862" s="255">
        <f ca="1"/>
        <v>0.7</v>
      </c>
      <c r="F862" s="255" t="str">
        <f ca="1"/>
        <v/>
      </c>
    </row>
    <row r="863" spans="1:6" hidden="1">
      <c r="A863" t="str">
        <f ca="1"/>
        <v>Operaciones</v>
      </c>
      <c r="B863" t="str">
        <f ca="1"/>
        <v>05. En Calidad</v>
      </c>
      <c r="C863" t="str">
        <f ca="1"/>
        <v>2026-M0090</v>
      </c>
      <c r="D863" t="str">
        <f ca="1"/>
        <v xml:space="preserve">   Producción</v>
      </c>
      <c r="E863" s="255">
        <f ca="1"/>
        <v>0.7</v>
      </c>
      <c r="F863" s="255" t="str">
        <f ca="1"/>
        <v/>
      </c>
    </row>
    <row r="864" spans="1:6" hidden="1">
      <c r="A864" t="str">
        <f ca="1"/>
        <v>Administración y Logística</v>
      </c>
      <c r="B864" t="str">
        <f ca="1"/>
        <v>08. Producción Finalizada</v>
      </c>
      <c r="C864" t="str">
        <f ca="1"/>
        <v>2026-M0097</v>
      </c>
      <c r="D864" t="str">
        <f ca="1"/>
        <v>2026-M0097</v>
      </c>
      <c r="E864" s="255">
        <f ca="1"/>
        <v>1</v>
      </c>
      <c r="F864" s="255">
        <f ca="1"/>
        <v>1</v>
      </c>
    </row>
    <row r="865" spans="1:6" hidden="1">
      <c r="A865" t="str">
        <f ca="1"/>
        <v>Administración y Logística</v>
      </c>
      <c r="B865" t="str">
        <f ca="1"/>
        <v>08. Producción Finalizada</v>
      </c>
      <c r="C865" t="str">
        <f ca="1"/>
        <v>2026-M0097</v>
      </c>
      <c r="D865" t="str">
        <f ca="1"/>
        <v xml:space="preserve">   Desarrollo</v>
      </c>
      <c r="E865" s="255">
        <f ca="1"/>
        <v>1</v>
      </c>
      <c r="F865" s="255">
        <f ca="1"/>
        <v>1</v>
      </c>
    </row>
    <row r="866" spans="1:6" hidden="1">
      <c r="A866" t="str">
        <f ca="1"/>
        <v>Administración y Logística</v>
      </c>
      <c r="B866" t="str">
        <f ca="1"/>
        <v>08. Producción Finalizada</v>
      </c>
      <c r="C866" t="str">
        <f ca="1"/>
        <v>2026-M0097</v>
      </c>
      <c r="D866" t="str">
        <f ca="1"/>
        <v xml:space="preserve">   Calidad</v>
      </c>
      <c r="E866" s="255">
        <f ca="1"/>
        <v>1</v>
      </c>
      <c r="F866" s="255">
        <f ca="1"/>
        <v>1</v>
      </c>
    </row>
    <row r="867" spans="1:6" hidden="1">
      <c r="A867" t="str">
        <f ca="1"/>
        <v>Administración y Logística</v>
      </c>
      <c r="B867" t="str">
        <f ca="1"/>
        <v>08. Producción Finalizada</v>
      </c>
      <c r="C867" t="str">
        <f ca="1"/>
        <v>2026-M0097</v>
      </c>
      <c r="D867" t="str">
        <f ca="1"/>
        <v xml:space="preserve">   Producción</v>
      </c>
      <c r="E867" s="255">
        <f ca="1"/>
        <v>1</v>
      </c>
      <c r="F867" s="255">
        <f ca="1"/>
        <v>1</v>
      </c>
    </row>
    <row r="868" spans="1:6" hidden="1">
      <c r="A868" t="str">
        <f ca="1"/>
        <v>Banca Digital</v>
      </c>
      <c r="B868" t="str">
        <f ca="1"/>
        <v>02. En Planificación</v>
      </c>
      <c r="C868" t="str">
        <f ca="1"/>
        <v>2026-M0100</v>
      </c>
      <c r="D868" t="str">
        <f ca="1"/>
        <v>2026-M0100</v>
      </c>
      <c r="E868" s="255">
        <f ca="1"/>
        <v>0.1</v>
      </c>
      <c r="F868" s="255" t="str">
        <f ca="1"/>
        <v/>
      </c>
    </row>
    <row r="869" spans="1:6" hidden="1">
      <c r="A869" t="str">
        <f ca="1"/>
        <v>Banca Digital</v>
      </c>
      <c r="B869" t="str">
        <f ca="1"/>
        <v>02. En Planificación</v>
      </c>
      <c r="C869" t="str">
        <f ca="1"/>
        <v>2026-M0100</v>
      </c>
      <c r="D869" t="str">
        <f ca="1"/>
        <v xml:space="preserve">   Desarrollo</v>
      </c>
      <c r="E869" s="255">
        <f ca="1"/>
        <v>0.1</v>
      </c>
      <c r="F869" s="255" t="str">
        <f ca="1"/>
        <v/>
      </c>
    </row>
    <row r="870" spans="1:6" hidden="1">
      <c r="A870" t="str">
        <f ca="1"/>
        <v>Banca Digital</v>
      </c>
      <c r="B870" t="str">
        <f ca="1"/>
        <v>02. En Planificación</v>
      </c>
      <c r="C870" t="str">
        <f ca="1"/>
        <v>2026-M0100</v>
      </c>
      <c r="D870" t="str">
        <f ca="1"/>
        <v xml:space="preserve">   Calidad</v>
      </c>
      <c r="E870" s="255">
        <f ca="1"/>
        <v>0.1</v>
      </c>
      <c r="F870" s="255" t="str">
        <f ca="1"/>
        <v/>
      </c>
    </row>
    <row r="871" spans="1:6" hidden="1">
      <c r="A871" t="str">
        <f ca="1"/>
        <v>Banca Digital</v>
      </c>
      <c r="B871" t="str">
        <f ca="1"/>
        <v>02. En Planificación</v>
      </c>
      <c r="C871" t="str">
        <f ca="1"/>
        <v>2026-M0100</v>
      </c>
      <c r="D871" t="str">
        <f ca="1"/>
        <v xml:space="preserve">   Producción</v>
      </c>
      <c r="E871" s="255">
        <f ca="1"/>
        <v>0.1</v>
      </c>
      <c r="F871" s="255" t="str">
        <f ca="1"/>
        <v/>
      </c>
    </row>
    <row r="872" spans="1:6" hidden="1">
      <c r="A872" t="str">
        <f ca="1"/>
        <v>Operaciones</v>
      </c>
      <c r="B872" t="str">
        <f ca="1"/>
        <v>08. Producción Finalizada</v>
      </c>
      <c r="C872" t="str">
        <f ca="1"/>
        <v>2026-M0102</v>
      </c>
      <c r="D872" t="str">
        <f ca="1"/>
        <v>2026-M0102</v>
      </c>
      <c r="E872" s="255">
        <f ca="1"/>
        <v>1</v>
      </c>
      <c r="F872" s="255">
        <f ca="1"/>
        <v>1</v>
      </c>
    </row>
    <row r="873" spans="1:6" hidden="1">
      <c r="A873" t="str">
        <f ca="1"/>
        <v>Operaciones</v>
      </c>
      <c r="B873" t="str">
        <f ca="1"/>
        <v>08. Producción Finalizada</v>
      </c>
      <c r="C873" t="str">
        <f ca="1"/>
        <v>2026-M0102</v>
      </c>
      <c r="D873" t="str">
        <f ca="1"/>
        <v xml:space="preserve">   Desarrollo</v>
      </c>
      <c r="E873" s="255">
        <f ca="1"/>
        <v>1</v>
      </c>
      <c r="F873" s="255">
        <f ca="1"/>
        <v>1</v>
      </c>
    </row>
    <row r="874" spans="1:6" hidden="1">
      <c r="A874" t="str">
        <f ca="1"/>
        <v>Operaciones</v>
      </c>
      <c r="B874" t="str">
        <f ca="1"/>
        <v>08. Producción Finalizada</v>
      </c>
      <c r="C874" t="str">
        <f ca="1"/>
        <v>2026-M0102</v>
      </c>
      <c r="D874" t="str">
        <f ca="1"/>
        <v xml:space="preserve">   Calidad</v>
      </c>
      <c r="E874" s="255">
        <f ca="1"/>
        <v>1</v>
      </c>
      <c r="F874" s="255">
        <f ca="1"/>
        <v>1</v>
      </c>
    </row>
    <row r="875" spans="1:6" hidden="1">
      <c r="A875" t="str">
        <f ca="1"/>
        <v>Operaciones</v>
      </c>
      <c r="B875" t="str">
        <f ca="1"/>
        <v>08. Producción Finalizada</v>
      </c>
      <c r="C875" t="str">
        <f ca="1"/>
        <v>2026-M0102</v>
      </c>
      <c r="D875" t="str">
        <f ca="1"/>
        <v xml:space="preserve">   Producción</v>
      </c>
      <c r="E875" s="255">
        <f ca="1"/>
        <v>1</v>
      </c>
      <c r="F875" s="255">
        <f ca="1"/>
        <v>1</v>
      </c>
    </row>
    <row r="876" spans="1:6" hidden="1">
      <c r="A876" t="str">
        <f ca="1"/>
        <v>Productos e Inclusión Financiera</v>
      </c>
      <c r="B876" t="str">
        <f ca="1"/>
        <v>08. Producción Finalizada</v>
      </c>
      <c r="C876" t="str">
        <f ca="1"/>
        <v>2026-M0103</v>
      </c>
      <c r="D876" t="str">
        <f ca="1"/>
        <v>2026-M0103</v>
      </c>
      <c r="E876" s="255">
        <f ca="1"/>
        <v>1</v>
      </c>
      <c r="F876" s="255">
        <f ca="1"/>
        <v>1</v>
      </c>
    </row>
    <row r="877" spans="1:6" hidden="1">
      <c r="A877" t="str">
        <f ca="1"/>
        <v>Productos e Inclusión Financiera</v>
      </c>
      <c r="B877" t="str">
        <f ca="1"/>
        <v>08. Producción Finalizada</v>
      </c>
      <c r="C877" t="str">
        <f ca="1"/>
        <v>2026-M0103</v>
      </c>
      <c r="D877" t="str">
        <f ca="1"/>
        <v xml:space="preserve">   Desarrollo</v>
      </c>
      <c r="E877" s="255">
        <f ca="1"/>
        <v>1</v>
      </c>
      <c r="F877" s="255">
        <f ca="1"/>
        <v>1</v>
      </c>
    </row>
    <row r="878" spans="1:6" hidden="1">
      <c r="A878" t="str">
        <f ca="1"/>
        <v>Productos e Inclusión Financiera</v>
      </c>
      <c r="B878" t="str">
        <f ca="1"/>
        <v>08. Producción Finalizada</v>
      </c>
      <c r="C878" t="str">
        <f ca="1"/>
        <v>2026-M0103</v>
      </c>
      <c r="D878" t="str">
        <f ca="1"/>
        <v xml:space="preserve">   Calidad</v>
      </c>
      <c r="E878" s="255">
        <f ca="1"/>
        <v>1</v>
      </c>
      <c r="F878" s="255">
        <f ca="1"/>
        <v>1</v>
      </c>
    </row>
    <row r="879" spans="1:6" hidden="1">
      <c r="A879" t="str">
        <f ca="1"/>
        <v>Productos e Inclusión Financiera</v>
      </c>
      <c r="B879" t="str">
        <f ca="1"/>
        <v>08. Producción Finalizada</v>
      </c>
      <c r="C879" t="str">
        <f ca="1"/>
        <v>2026-M0103</v>
      </c>
      <c r="D879" t="str">
        <f ca="1"/>
        <v xml:space="preserve">   Producción</v>
      </c>
      <c r="E879" s="255">
        <f ca="1"/>
        <v>1</v>
      </c>
      <c r="F879" s="255">
        <f ca="1"/>
        <v>1</v>
      </c>
    </row>
    <row r="880" spans="1:6" hidden="1">
      <c r="A880" t="str">
        <f ca="1"/>
        <v>Productos e Inclusión Financiera</v>
      </c>
      <c r="B880" t="str">
        <f ca="1"/>
        <v>03. En Desarrollo</v>
      </c>
      <c r="C880" t="str">
        <f ca="1"/>
        <v>2026-M0114</v>
      </c>
      <c r="D880" t="str">
        <f ca="1"/>
        <v>2026-M0114</v>
      </c>
      <c r="E880" s="255">
        <f ca="1"/>
        <v>0.25</v>
      </c>
      <c r="F880" s="255" t="str">
        <f ca="1"/>
        <v/>
      </c>
    </row>
    <row r="881" spans="1:6" hidden="1">
      <c r="A881" t="str">
        <f ca="1"/>
        <v>Productos e Inclusión Financiera</v>
      </c>
      <c r="B881" t="str">
        <f ca="1"/>
        <v>03. En Desarrollo</v>
      </c>
      <c r="C881" t="str">
        <f ca="1"/>
        <v>2026-M0114</v>
      </c>
      <c r="D881" t="str">
        <f ca="1"/>
        <v xml:space="preserve">   Desarrollo</v>
      </c>
      <c r="E881" s="255">
        <f ca="1"/>
        <v>0.25</v>
      </c>
      <c r="F881" s="255" t="str">
        <f ca="1"/>
        <v/>
      </c>
    </row>
    <row r="882" spans="1:6" hidden="1">
      <c r="A882" t="str">
        <f ca="1"/>
        <v>Productos e Inclusión Financiera</v>
      </c>
      <c r="B882" t="str">
        <f ca="1"/>
        <v>03. En Desarrollo</v>
      </c>
      <c r="C882" t="str">
        <f ca="1"/>
        <v>2026-M0114</v>
      </c>
      <c r="D882" t="str">
        <f ca="1"/>
        <v xml:space="preserve">   Calidad</v>
      </c>
      <c r="E882" s="255">
        <f ca="1"/>
        <v>0.25</v>
      </c>
      <c r="F882" s="255" t="str">
        <f ca="1"/>
        <v/>
      </c>
    </row>
    <row r="883" spans="1:6" hidden="1">
      <c r="A883" t="str">
        <f ca="1"/>
        <v>Productos e Inclusión Financiera</v>
      </c>
      <c r="B883" t="str">
        <f ca="1"/>
        <v>03. En Desarrollo</v>
      </c>
      <c r="C883" t="str">
        <f ca="1"/>
        <v>2026-M0114</v>
      </c>
      <c r="D883" t="str">
        <f ca="1"/>
        <v xml:space="preserve">   Producción</v>
      </c>
      <c r="E883" s="255">
        <f ca="1"/>
        <v>0.25</v>
      </c>
      <c r="F883" s="255" t="str">
        <f ca="1"/>
        <v/>
      </c>
    </row>
    <row r="884" spans="1:6" hidden="1">
      <c r="A884" t="str">
        <f ca="1"/>
        <v>Productos e Inclusión Financiera</v>
      </c>
      <c r="B884" t="str">
        <f ca="1"/>
        <v>05. En Calidad</v>
      </c>
      <c r="C884" t="str">
        <f ca="1"/>
        <v>2026-M0121</v>
      </c>
      <c r="D884" t="str">
        <f ca="1"/>
        <v>2026-M0121</v>
      </c>
      <c r="E884" s="255">
        <f ca="1"/>
        <v>0.75</v>
      </c>
      <c r="F884" s="255" t="str">
        <f ca="1"/>
        <v/>
      </c>
    </row>
    <row r="885" spans="1:6" hidden="1">
      <c r="A885" t="str">
        <f ca="1"/>
        <v>Productos e Inclusión Financiera</v>
      </c>
      <c r="B885" t="str">
        <f ca="1"/>
        <v>05. En Calidad</v>
      </c>
      <c r="C885" t="str">
        <f ca="1"/>
        <v>2026-M0121</v>
      </c>
      <c r="D885" t="str">
        <f ca="1"/>
        <v xml:space="preserve">   Desarrollo</v>
      </c>
      <c r="E885" s="255">
        <f ca="1"/>
        <v>0.75</v>
      </c>
      <c r="F885" s="255" t="str">
        <f ca="1"/>
        <v/>
      </c>
    </row>
    <row r="886" spans="1:6" hidden="1">
      <c r="A886" t="str">
        <f ca="1"/>
        <v>Productos e Inclusión Financiera</v>
      </c>
      <c r="B886" t="str">
        <f ca="1"/>
        <v>05. En Calidad</v>
      </c>
      <c r="C886" t="str">
        <f ca="1"/>
        <v>2026-M0121</v>
      </c>
      <c r="D886" t="str">
        <f ca="1"/>
        <v xml:space="preserve">   Calidad</v>
      </c>
      <c r="E886" s="255">
        <f ca="1"/>
        <v>0.75</v>
      </c>
      <c r="F886" s="255" t="str">
        <f ca="1"/>
        <v/>
      </c>
    </row>
    <row r="887" spans="1:6" hidden="1">
      <c r="A887" t="str">
        <f ca="1"/>
        <v>Productos e Inclusión Financiera</v>
      </c>
      <c r="B887" t="str">
        <f ca="1"/>
        <v>05. En Calidad</v>
      </c>
      <c r="C887" t="str">
        <f ca="1"/>
        <v>2026-M0121</v>
      </c>
      <c r="D887" t="str">
        <f ca="1"/>
        <v xml:space="preserve">   Producción</v>
      </c>
      <c r="E887" s="255">
        <f ca="1"/>
        <v>0.75</v>
      </c>
      <c r="F887" s="255" t="str">
        <f ca="1"/>
        <v/>
      </c>
    </row>
    <row r="888" spans="1:6" hidden="1">
      <c r="A888" t="str">
        <f ca="1"/>
        <v>Banca Digital</v>
      </c>
      <c r="B888" t="str">
        <f ca="1"/>
        <v>03. En Desarrollo</v>
      </c>
      <c r="C888" t="str">
        <f ca="1"/>
        <v>2026-M0106</v>
      </c>
      <c r="D888" t="str">
        <f ca="1"/>
        <v>2026-M0106</v>
      </c>
      <c r="E888" s="255">
        <f ca="1"/>
        <v>0.15</v>
      </c>
      <c r="F888" s="255" t="str">
        <f ca="1"/>
        <v/>
      </c>
    </row>
    <row r="889" spans="1:6" hidden="1">
      <c r="A889" t="str">
        <f ca="1"/>
        <v>Banca Digital</v>
      </c>
      <c r="B889" t="str">
        <f ca="1"/>
        <v>03. En Desarrollo</v>
      </c>
      <c r="C889" t="str">
        <f ca="1"/>
        <v>2026-M0106</v>
      </c>
      <c r="D889" t="str">
        <f ca="1"/>
        <v xml:space="preserve">   Desarrollo</v>
      </c>
      <c r="E889" s="255">
        <f ca="1"/>
        <v>0.15</v>
      </c>
      <c r="F889" s="255" t="str">
        <f ca="1"/>
        <v/>
      </c>
    </row>
    <row r="890" spans="1:6" hidden="1">
      <c r="A890" t="str">
        <f ca="1"/>
        <v>Banca Digital</v>
      </c>
      <c r="B890" t="str">
        <f ca="1"/>
        <v>03. En Desarrollo</v>
      </c>
      <c r="C890" t="str">
        <f ca="1"/>
        <v>2026-M0106</v>
      </c>
      <c r="D890" t="str">
        <f ca="1"/>
        <v xml:space="preserve">   Calidad</v>
      </c>
      <c r="E890" s="255">
        <f ca="1"/>
        <v>0.15</v>
      </c>
      <c r="F890" s="255" t="str">
        <f ca="1"/>
        <v/>
      </c>
    </row>
    <row r="891" spans="1:6" hidden="1">
      <c r="A891" t="str">
        <f ca="1"/>
        <v>Banca Digital</v>
      </c>
      <c r="B891" t="str">
        <f ca="1"/>
        <v>03. En Desarrollo</v>
      </c>
      <c r="C891" t="str">
        <f ca="1"/>
        <v>2026-M0106</v>
      </c>
      <c r="D891" t="str">
        <f ca="1"/>
        <v xml:space="preserve">   Producción</v>
      </c>
      <c r="E891" s="255">
        <f ca="1"/>
        <v>0.15</v>
      </c>
      <c r="F891" s="255" t="str">
        <f ca="1"/>
        <v/>
      </c>
    </row>
    <row r="892" spans="1:6" hidden="1">
      <c r="A892" t="str">
        <f ca="1"/>
        <v>Administración y Logística</v>
      </c>
      <c r="B892" t="str">
        <f ca="1"/>
        <v>08. Producción Finalizada</v>
      </c>
      <c r="C892" t="str">
        <f ca="1"/>
        <v>2026-M0110</v>
      </c>
      <c r="D892" t="str">
        <f ca="1"/>
        <v>2026-M0110</v>
      </c>
      <c r="E892" s="255">
        <f ca="1"/>
        <v>1</v>
      </c>
      <c r="F892" s="255">
        <f ca="1"/>
        <v>1</v>
      </c>
    </row>
    <row r="893" spans="1:6" hidden="1">
      <c r="A893" t="str">
        <f ca="1"/>
        <v>Administración y Logística</v>
      </c>
      <c r="B893" t="str">
        <f ca="1"/>
        <v>08. Producción Finalizada</v>
      </c>
      <c r="C893" t="str">
        <f ca="1"/>
        <v>2026-M0110</v>
      </c>
      <c r="D893" t="str">
        <f ca="1"/>
        <v xml:space="preserve">   Desarrollo</v>
      </c>
      <c r="E893" s="255">
        <f ca="1"/>
        <v>1</v>
      </c>
      <c r="F893" s="255">
        <f ca="1"/>
        <v>1</v>
      </c>
    </row>
    <row r="894" spans="1:6" hidden="1">
      <c r="A894" t="str">
        <f ca="1"/>
        <v>Administración y Logística</v>
      </c>
      <c r="B894" t="str">
        <f ca="1"/>
        <v>08. Producción Finalizada</v>
      </c>
      <c r="C894" t="str">
        <f ca="1"/>
        <v>2026-M0110</v>
      </c>
      <c r="D894" t="str">
        <f ca="1"/>
        <v xml:space="preserve">   Calidad</v>
      </c>
      <c r="E894" s="255">
        <f ca="1"/>
        <v>1</v>
      </c>
      <c r="F894" s="255">
        <f ca="1"/>
        <v>1</v>
      </c>
    </row>
    <row r="895" spans="1:6" hidden="1">
      <c r="A895" t="str">
        <f ca="1"/>
        <v>Administración y Logística</v>
      </c>
      <c r="B895" t="str">
        <f ca="1"/>
        <v>08. Producción Finalizada</v>
      </c>
      <c r="C895" t="str">
        <f ca="1"/>
        <v>2026-M0110</v>
      </c>
      <c r="D895" t="str">
        <f ca="1"/>
        <v xml:space="preserve">   Producción</v>
      </c>
      <c r="E895" s="255">
        <f ca="1"/>
        <v>1</v>
      </c>
      <c r="F895" s="255">
        <f ca="1"/>
        <v>1</v>
      </c>
    </row>
    <row r="896" spans="1:6" hidden="1">
      <c r="A896" t="str">
        <f ca="1"/>
        <v>Oficialía de PLAFT</v>
      </c>
      <c r="B896" t="str">
        <f ca="1"/>
        <v>08. Producción Finalizada</v>
      </c>
      <c r="C896" t="str">
        <f ca="1"/>
        <v>2026-M0122</v>
      </c>
      <c r="D896" t="str">
        <f ca="1"/>
        <v>2026-M0122</v>
      </c>
      <c r="E896" s="255">
        <f ca="1"/>
        <v>1</v>
      </c>
      <c r="F896" s="255">
        <f ca="1"/>
        <v>1</v>
      </c>
    </row>
    <row r="897" spans="1:6" hidden="1">
      <c r="A897" t="str">
        <f ca="1"/>
        <v>Oficialía de PLAFT</v>
      </c>
      <c r="B897" t="str">
        <f ca="1"/>
        <v>08. Producción Finalizada</v>
      </c>
      <c r="C897" t="str">
        <f ca="1"/>
        <v>2026-M0122</v>
      </c>
      <c r="D897" t="str">
        <f ca="1"/>
        <v xml:space="preserve">   Desarrollo</v>
      </c>
      <c r="E897" s="255">
        <f ca="1"/>
        <v>1</v>
      </c>
      <c r="F897" s="255">
        <f ca="1"/>
        <v>1</v>
      </c>
    </row>
    <row r="898" spans="1:6" hidden="1">
      <c r="A898" t="str">
        <f ca="1"/>
        <v>Oficialía de PLAFT</v>
      </c>
      <c r="B898" t="str">
        <f ca="1"/>
        <v>08. Producción Finalizada</v>
      </c>
      <c r="C898" t="str">
        <f ca="1"/>
        <v>2026-M0122</v>
      </c>
      <c r="D898" t="str">
        <f ca="1"/>
        <v xml:space="preserve">   Calidad</v>
      </c>
      <c r="E898" s="255">
        <f ca="1"/>
        <v>1</v>
      </c>
      <c r="F898" s="255">
        <f ca="1"/>
        <v>1</v>
      </c>
    </row>
    <row r="899" spans="1:6" hidden="1">
      <c r="A899" t="str">
        <f ca="1"/>
        <v>Oficialía de PLAFT</v>
      </c>
      <c r="B899" t="str">
        <f ca="1"/>
        <v>08. Producción Finalizada</v>
      </c>
      <c r="C899" t="str">
        <f ca="1"/>
        <v>2026-M0122</v>
      </c>
      <c r="D899" t="str">
        <f ca="1"/>
        <v xml:space="preserve">   Producción</v>
      </c>
      <c r="E899" s="255">
        <f ca="1"/>
        <v>1</v>
      </c>
      <c r="F899" s="255">
        <f ca="1"/>
        <v>1</v>
      </c>
    </row>
    <row r="900" spans="1:6" hidden="1">
      <c r="A900" t="str">
        <f ca="1"/>
        <v>Banca Digital</v>
      </c>
      <c r="B900" t="str">
        <f ca="1"/>
        <v>08. Producción Finalizada</v>
      </c>
      <c r="C900" t="str">
        <f ca="1"/>
        <v>2026-M0120</v>
      </c>
      <c r="D900" t="str">
        <f ca="1"/>
        <v>2026-M0120</v>
      </c>
      <c r="E900" s="255">
        <f ca="1"/>
        <v>1</v>
      </c>
      <c r="F900" s="255">
        <f ca="1"/>
        <v>1</v>
      </c>
    </row>
    <row r="901" spans="1:6" hidden="1">
      <c r="A901" t="str">
        <f ca="1"/>
        <v>Banca Digital</v>
      </c>
      <c r="B901" t="str">
        <f ca="1"/>
        <v>08. Producción Finalizada</v>
      </c>
      <c r="C901" t="str">
        <f ca="1"/>
        <v>2026-M0120</v>
      </c>
      <c r="D901" t="str">
        <f ca="1"/>
        <v xml:space="preserve">   Desarrollo</v>
      </c>
      <c r="E901" s="255">
        <f ca="1"/>
        <v>1</v>
      </c>
      <c r="F901" s="255">
        <f ca="1"/>
        <v>1</v>
      </c>
    </row>
    <row r="902" spans="1:6" hidden="1">
      <c r="A902" t="str">
        <f ca="1"/>
        <v>Banca Digital</v>
      </c>
      <c r="B902" t="str">
        <f ca="1"/>
        <v>08. Producción Finalizada</v>
      </c>
      <c r="C902" t="str">
        <f ca="1"/>
        <v>2026-M0120</v>
      </c>
      <c r="D902" t="str">
        <f ca="1"/>
        <v xml:space="preserve">   Calidad</v>
      </c>
      <c r="E902" s="255">
        <f ca="1"/>
        <v>1</v>
      </c>
      <c r="F902" s="255">
        <f ca="1"/>
        <v>1</v>
      </c>
    </row>
    <row r="903" spans="1:6" hidden="1">
      <c r="A903" t="str">
        <f ca="1"/>
        <v>Banca Digital</v>
      </c>
      <c r="B903" t="str">
        <f ca="1"/>
        <v>08. Producción Finalizada</v>
      </c>
      <c r="C903" t="str">
        <f ca="1"/>
        <v>2026-M0120</v>
      </c>
      <c r="D903" t="str">
        <f ca="1"/>
        <v xml:space="preserve">   Producción</v>
      </c>
      <c r="E903" s="255">
        <f ca="1"/>
        <v>1</v>
      </c>
      <c r="F903" s="255">
        <f ca="1"/>
        <v>1</v>
      </c>
    </row>
    <row r="904" spans="1:6" hidden="1">
      <c r="A904" t="str">
        <f ca="1"/>
        <v>Recursos Humanos y Cultura</v>
      </c>
      <c r="B904" t="str">
        <f ca="1"/>
        <v>07. En Despliegue</v>
      </c>
      <c r="C904" t="str">
        <f ca="1"/>
        <v>2026-M0136</v>
      </c>
      <c r="D904" t="str">
        <f ca="1"/>
        <v>2026-M0136</v>
      </c>
      <c r="E904" s="255">
        <f ca="1"/>
        <v>0.9</v>
      </c>
      <c r="F904" s="255">
        <f ca="1"/>
        <v>1</v>
      </c>
    </row>
    <row r="905" spans="1:6" hidden="1">
      <c r="A905" t="str">
        <f ca="1"/>
        <v>Recursos Humanos y Cultura</v>
      </c>
      <c r="B905" t="str">
        <f ca="1"/>
        <v>07. En Despliegue</v>
      </c>
      <c r="C905" t="str">
        <f ca="1"/>
        <v>2026-M0136</v>
      </c>
      <c r="D905" t="str">
        <f ca="1"/>
        <v xml:space="preserve">   Desarrollo</v>
      </c>
      <c r="E905" s="255">
        <f ca="1"/>
        <v>0.9</v>
      </c>
      <c r="F905" s="255">
        <f ca="1"/>
        <v>1</v>
      </c>
    </row>
    <row r="906" spans="1:6" hidden="1">
      <c r="A906" t="str">
        <f ca="1"/>
        <v>Recursos Humanos y Cultura</v>
      </c>
      <c r="B906" t="str">
        <f ca="1"/>
        <v>07. En Despliegue</v>
      </c>
      <c r="C906" t="str">
        <f ca="1"/>
        <v>2026-M0136</v>
      </c>
      <c r="D906" t="str">
        <f ca="1"/>
        <v xml:space="preserve">   Calidad</v>
      </c>
      <c r="E906" s="255">
        <f ca="1"/>
        <v>0.9</v>
      </c>
      <c r="F906" s="255">
        <f ca="1"/>
        <v>1</v>
      </c>
    </row>
    <row r="907" spans="1:6" hidden="1">
      <c r="A907" t="str">
        <f ca="1"/>
        <v>Recursos Humanos y Cultura</v>
      </c>
      <c r="B907" t="str">
        <f ca="1"/>
        <v>07. En Despliegue</v>
      </c>
      <c r="C907" t="str">
        <f ca="1"/>
        <v>2026-M0136</v>
      </c>
      <c r="D907" t="str">
        <f ca="1"/>
        <v xml:space="preserve">   Producción</v>
      </c>
      <c r="E907" s="255">
        <f ca="1"/>
        <v>0.9</v>
      </c>
      <c r="F907" s="255">
        <f ca="1"/>
        <v>1</v>
      </c>
    </row>
    <row r="908" spans="1:6" hidden="1">
      <c r="A908" t="str">
        <f ca="1"/>
        <v>Operaciones</v>
      </c>
      <c r="B908" t="str">
        <f ca="1"/>
        <v>05. En Calidad</v>
      </c>
      <c r="C908" t="str">
        <f ca="1"/>
        <v>2026-M0134</v>
      </c>
      <c r="D908" t="str">
        <f ca="1"/>
        <v>2026-M0134</v>
      </c>
      <c r="E908" s="255">
        <f ca="1"/>
        <v>0.7</v>
      </c>
      <c r="F908" s="255" t="str">
        <f ca="1"/>
        <v/>
      </c>
    </row>
    <row r="909" spans="1:6" hidden="1">
      <c r="A909" t="str">
        <f ca="1"/>
        <v>Operaciones</v>
      </c>
      <c r="B909" t="str">
        <f ca="1"/>
        <v>05. En Calidad</v>
      </c>
      <c r="C909" t="str">
        <f ca="1"/>
        <v>2026-M0134</v>
      </c>
      <c r="D909" t="str">
        <f ca="1"/>
        <v xml:space="preserve">   Desarrollo</v>
      </c>
      <c r="E909" s="255">
        <f ca="1"/>
        <v>0.7</v>
      </c>
      <c r="F909" s="255" t="str">
        <f ca="1"/>
        <v/>
      </c>
    </row>
    <row r="910" spans="1:6" hidden="1">
      <c r="A910" t="str">
        <f ca="1"/>
        <v>Operaciones</v>
      </c>
      <c r="B910" t="str">
        <f ca="1"/>
        <v>05. En Calidad</v>
      </c>
      <c r="C910" t="str">
        <f ca="1"/>
        <v>2026-M0134</v>
      </c>
      <c r="D910" t="str">
        <f ca="1"/>
        <v xml:space="preserve">   Calidad</v>
      </c>
      <c r="E910" s="255">
        <f ca="1"/>
        <v>0.7</v>
      </c>
      <c r="F910" s="255" t="str">
        <f ca="1"/>
        <v/>
      </c>
    </row>
    <row r="911" spans="1:6" hidden="1">
      <c r="A911" t="str">
        <f ca="1"/>
        <v>Operaciones</v>
      </c>
      <c r="B911" t="str">
        <f ca="1"/>
        <v>05. En Calidad</v>
      </c>
      <c r="C911" t="str">
        <f ca="1"/>
        <v>2026-M0134</v>
      </c>
      <c r="D911" t="str">
        <f ca="1"/>
        <v xml:space="preserve">   Producción</v>
      </c>
      <c r="E911" s="255">
        <f ca="1"/>
        <v>0.7</v>
      </c>
      <c r="F911" s="255" t="str">
        <f ca="1"/>
        <v/>
      </c>
    </row>
    <row r="912" spans="1:6" hidden="1">
      <c r="A912" t="str">
        <f ca="1"/>
        <v>Operaciones</v>
      </c>
      <c r="B912" t="str">
        <f ca="1"/>
        <v>02. En Planificación</v>
      </c>
      <c r="C912" t="str">
        <f ca="1"/>
        <v>2026-M0142</v>
      </c>
      <c r="D912" t="str">
        <f ca="1"/>
        <v>2026-M0142</v>
      </c>
      <c r="E912" s="255">
        <f ca="1"/>
        <v>0.1</v>
      </c>
      <c r="F912" s="255">
        <f ca="1"/>
        <v>0.11607142857142858</v>
      </c>
    </row>
    <row r="913" spans="1:8" hidden="1">
      <c r="A913" t="str">
        <f ca="1"/>
        <v>Operaciones</v>
      </c>
      <c r="B913" t="str">
        <f ca="1"/>
        <v>02. En Planificación</v>
      </c>
      <c r="C913" t="str">
        <f ca="1"/>
        <v>2026-M0142</v>
      </c>
      <c r="D913" t="str">
        <f ca="1"/>
        <v xml:space="preserve">   Desarrollo</v>
      </c>
      <c r="E913" s="255">
        <f ca="1"/>
        <v>0.1</v>
      </c>
      <c r="F913" s="255">
        <f ca="1"/>
        <v>0.11607142857142858</v>
      </c>
    </row>
    <row r="914" spans="1:8" hidden="1">
      <c r="A914" t="str">
        <f ca="1"/>
        <v>Operaciones</v>
      </c>
      <c r="B914" t="str">
        <f ca="1"/>
        <v>02. En Planificación</v>
      </c>
      <c r="C914" t="str">
        <f ca="1"/>
        <v>2026-M0142</v>
      </c>
      <c r="D914" t="str">
        <f ca="1"/>
        <v xml:space="preserve">   Calidad</v>
      </c>
      <c r="E914" s="255">
        <f ca="1"/>
        <v>0.1</v>
      </c>
      <c r="F914" s="255">
        <f ca="1"/>
        <v>0.11607142857142858</v>
      </c>
    </row>
    <row r="915" spans="1:8" hidden="1">
      <c r="A915" t="str">
        <f ca="1"/>
        <v>Operaciones</v>
      </c>
      <c r="B915" t="str">
        <f ca="1"/>
        <v>02. En Planificación</v>
      </c>
      <c r="C915" t="str">
        <f ca="1"/>
        <v>2026-M0142</v>
      </c>
      <c r="D915" t="str">
        <f ca="1"/>
        <v xml:space="preserve">   Producción</v>
      </c>
      <c r="E915" s="255">
        <f ca="1"/>
        <v>0.1</v>
      </c>
      <c r="F915" s="255">
        <f ca="1"/>
        <v>0.11607142857142858</v>
      </c>
    </row>
    <row r="916" spans="1:8">
      <c r="A916" t="str">
        <f ca="1"/>
        <v>Recursos Humanos y Cultura</v>
      </c>
      <c r="B916" t="str">
        <f ca="1"/>
        <v>03. En Desarrollo</v>
      </c>
      <c r="C916" t="str">
        <f ca="1"/>
        <v>2026-M0156</v>
      </c>
      <c r="D916" t="str">
        <f ca="1"/>
        <v>2026-M0156</v>
      </c>
      <c r="E916" s="255">
        <f ca="1"/>
        <v>0.15</v>
      </c>
      <c r="F916" s="255">
        <f ca="1"/>
        <v>0.14583333333333334</v>
      </c>
      <c r="G916" s="101">
        <v>46056</v>
      </c>
      <c r="H916" s="101">
        <v>46157</v>
      </c>
    </row>
    <row r="917" spans="1:8">
      <c r="A917" t="str">
        <f ca="1"/>
        <v>Recursos Humanos y Cultura</v>
      </c>
      <c r="B917" t="str">
        <f ca="1"/>
        <v>03. En Desarrollo</v>
      </c>
      <c r="C917" t="str">
        <f ca="1"/>
        <v>2026-M0156</v>
      </c>
      <c r="D917" t="str">
        <f ca="1"/>
        <v xml:space="preserve">   Desarrollo</v>
      </c>
      <c r="E917" s="255">
        <f ca="1"/>
        <v>0.15</v>
      </c>
      <c r="F917" s="255">
        <f ca="1"/>
        <v>0.14583333333333334</v>
      </c>
      <c r="G917" s="101">
        <v>46056</v>
      </c>
      <c r="H917" s="101">
        <v>46142</v>
      </c>
    </row>
    <row r="918" spans="1:8">
      <c r="A918" t="str">
        <f ca="1"/>
        <v>Recursos Humanos y Cultura</v>
      </c>
      <c r="B918" t="str">
        <f ca="1"/>
        <v>03. En Desarrollo</v>
      </c>
      <c r="C918" t="str">
        <f ca="1"/>
        <v>2026-M0156</v>
      </c>
      <c r="D918" t="str">
        <f ca="1"/>
        <v xml:space="preserve">   Calidad</v>
      </c>
      <c r="E918" s="255">
        <f ca="1"/>
        <v>0.15</v>
      </c>
      <c r="F918" s="255">
        <f ca="1"/>
        <v>0.14583333333333334</v>
      </c>
      <c r="G918" s="101">
        <v>46146</v>
      </c>
      <c r="H918" s="101">
        <v>46150</v>
      </c>
    </row>
    <row r="919" spans="1:8">
      <c r="A919" t="str">
        <f ca="1"/>
        <v>Recursos Humanos y Cultura</v>
      </c>
      <c r="B919" t="str">
        <f ca="1"/>
        <v>03. En Desarrollo</v>
      </c>
      <c r="C919" t="str">
        <f ca="1"/>
        <v>2026-M0156</v>
      </c>
      <c r="D919" t="str">
        <f ca="1"/>
        <v xml:space="preserve">   Producción</v>
      </c>
      <c r="E919" s="255">
        <f ca="1"/>
        <v>0.15</v>
      </c>
      <c r="F919" s="255">
        <f ca="1"/>
        <v>0.14583333333333334</v>
      </c>
      <c r="G919" s="101">
        <v>46153</v>
      </c>
      <c r="H919" s="101">
        <v>46157</v>
      </c>
    </row>
    <row r="920" spans="1:8">
      <c r="A920" t="str">
        <f ca="1"/>
        <v>Recursos Humanos y Cultura</v>
      </c>
      <c r="B920" t="str">
        <f ca="1"/>
        <v>03. En Desarrollo</v>
      </c>
      <c r="C920" t="str">
        <f ca="1"/>
        <v>2026-M0157</v>
      </c>
      <c r="D920" t="str">
        <f ca="1"/>
        <v>2026-M0157</v>
      </c>
      <c r="E920" s="255">
        <f ca="1"/>
        <v>0.15</v>
      </c>
      <c r="F920" s="255">
        <f ca="1"/>
        <v>0</v>
      </c>
    </row>
    <row r="921" spans="1:8">
      <c r="A921" t="str">
        <f ca="1"/>
        <v>Recursos Humanos y Cultura</v>
      </c>
      <c r="B921" t="str">
        <f ca="1"/>
        <v>03. En Desarrollo</v>
      </c>
      <c r="C921" t="str">
        <f ca="1"/>
        <v>2026-M0157</v>
      </c>
      <c r="D921" t="str">
        <f ca="1"/>
        <v xml:space="preserve">   Desarrollo</v>
      </c>
      <c r="E921" s="255">
        <f ca="1"/>
        <v>0.15</v>
      </c>
      <c r="F921" s="255">
        <f ca="1"/>
        <v>0</v>
      </c>
    </row>
    <row r="922" spans="1:8">
      <c r="A922" t="str">
        <f ca="1"/>
        <v>Recursos Humanos y Cultura</v>
      </c>
      <c r="B922" t="str">
        <f ca="1"/>
        <v>03. En Desarrollo</v>
      </c>
      <c r="C922" t="str">
        <f ca="1"/>
        <v>2026-M0157</v>
      </c>
      <c r="D922" t="str">
        <f ca="1"/>
        <v xml:space="preserve">   Calidad</v>
      </c>
      <c r="E922" s="255">
        <f ca="1"/>
        <v>0.15</v>
      </c>
      <c r="F922" s="255">
        <f ca="1"/>
        <v>0</v>
      </c>
    </row>
    <row r="923" spans="1:8">
      <c r="A923" t="str">
        <f ca="1"/>
        <v>Recursos Humanos y Cultura</v>
      </c>
      <c r="B923" t="str">
        <f ca="1"/>
        <v>03. En Desarrollo</v>
      </c>
      <c r="C923" t="str">
        <f ca="1"/>
        <v>2026-M0157</v>
      </c>
      <c r="D923" t="str">
        <f ca="1"/>
        <v xml:space="preserve">   Producción</v>
      </c>
      <c r="E923" s="255">
        <f ca="1"/>
        <v>0.15</v>
      </c>
      <c r="F923" s="255">
        <f ca="1"/>
        <v>0</v>
      </c>
    </row>
    <row r="924" spans="1:8">
      <c r="A924" t="str">
        <f ca="1"/>
        <v>Recursos Humanos y Cultura</v>
      </c>
      <c r="B924" t="str">
        <f ca="1"/>
        <v>05. En Calidad</v>
      </c>
      <c r="C924" t="str">
        <f ca="1"/>
        <v>2026-M0158</v>
      </c>
      <c r="D924" t="str">
        <f ca="1"/>
        <v>2026-M0158</v>
      </c>
      <c r="E924" s="255">
        <f ca="1"/>
        <v>0.7</v>
      </c>
      <c r="F924" s="255">
        <f ca="1"/>
        <v>0.33333333333333331</v>
      </c>
    </row>
    <row r="925" spans="1:8">
      <c r="A925" t="str">
        <f ca="1"/>
        <v>Recursos Humanos y Cultura</v>
      </c>
      <c r="B925" t="str">
        <f ca="1"/>
        <v>05. En Calidad</v>
      </c>
      <c r="C925" t="str">
        <f ca="1"/>
        <v>2026-M0158</v>
      </c>
      <c r="D925" t="str">
        <f ca="1"/>
        <v xml:space="preserve">   Desarrollo</v>
      </c>
      <c r="E925" s="255">
        <f ca="1"/>
        <v>0.7</v>
      </c>
      <c r="F925" s="255">
        <f ca="1"/>
        <v>0.33333333333333331</v>
      </c>
    </row>
    <row r="926" spans="1:8">
      <c r="A926" t="str">
        <f ca="1"/>
        <v>Recursos Humanos y Cultura</v>
      </c>
      <c r="B926" t="str">
        <f ca="1"/>
        <v>05. En Calidad</v>
      </c>
      <c r="C926" t="str">
        <f ca="1"/>
        <v>2026-M0158</v>
      </c>
      <c r="D926" t="str">
        <f ca="1"/>
        <v xml:space="preserve">   Calidad</v>
      </c>
      <c r="E926" s="255">
        <f ca="1"/>
        <v>0.7</v>
      </c>
      <c r="F926" s="255">
        <f ca="1"/>
        <v>0.33333333333333331</v>
      </c>
    </row>
    <row r="927" spans="1:8">
      <c r="A927" t="str">
        <f ca="1"/>
        <v>Recursos Humanos y Cultura</v>
      </c>
      <c r="B927" t="str">
        <f ca="1"/>
        <v>05. En Calidad</v>
      </c>
      <c r="C927" t="str">
        <f ca="1"/>
        <v>2026-M0158</v>
      </c>
      <c r="D927" t="str">
        <f ca="1"/>
        <v xml:space="preserve">   Producción</v>
      </c>
      <c r="E927" s="255">
        <f ca="1"/>
        <v>0.7</v>
      </c>
      <c r="F927" s="255">
        <f ca="1"/>
        <v>0.33333333333333331</v>
      </c>
    </row>
    <row r="928" spans="1:8">
      <c r="A928" t="str">
        <f ca="1"/>
        <v>Innovación y Transformación Digital</v>
      </c>
      <c r="B928" t="str">
        <f ca="1"/>
        <v>05. En Calidad</v>
      </c>
      <c r="C928" t="str">
        <f ca="1"/>
        <v>2026-M0140</v>
      </c>
      <c r="D928" t="str">
        <f ca="1"/>
        <v>2026-M0140</v>
      </c>
      <c r="E928" s="255">
        <f ca="1"/>
        <v>0.9</v>
      </c>
      <c r="F928" s="255">
        <f ca="1"/>
        <v>0.95</v>
      </c>
    </row>
    <row r="929" spans="1:6">
      <c r="A929" t="str">
        <f ca="1"/>
        <v>Innovación y Transformación Digital</v>
      </c>
      <c r="B929" t="str">
        <f ca="1"/>
        <v>05. En Calidad</v>
      </c>
      <c r="C929" t="str">
        <f ca="1"/>
        <v>2026-M0140</v>
      </c>
      <c r="D929" t="str">
        <f ca="1"/>
        <v xml:space="preserve">   Desarrollo</v>
      </c>
      <c r="E929" s="255">
        <f ca="1"/>
        <v>0.9</v>
      </c>
      <c r="F929" s="255">
        <f ca="1"/>
        <v>0.95</v>
      </c>
    </row>
    <row r="930" spans="1:6">
      <c r="A930" t="str">
        <f ca="1"/>
        <v>Innovación y Transformación Digital</v>
      </c>
      <c r="B930" t="str">
        <f ca="1"/>
        <v>05. En Calidad</v>
      </c>
      <c r="C930" t="str">
        <f ca="1"/>
        <v>2026-M0140</v>
      </c>
      <c r="D930" t="str">
        <f ca="1"/>
        <v xml:space="preserve">   Calidad</v>
      </c>
      <c r="E930" s="255">
        <f ca="1"/>
        <v>0.9</v>
      </c>
      <c r="F930" s="255">
        <f ca="1"/>
        <v>0.95</v>
      </c>
    </row>
    <row r="931" spans="1:6">
      <c r="A931" t="str">
        <f ca="1"/>
        <v>Innovación y Transformación Digital</v>
      </c>
      <c r="B931" t="str">
        <f ca="1"/>
        <v>05. En Calidad</v>
      </c>
      <c r="C931" t="str">
        <f ca="1"/>
        <v>2026-M0140</v>
      </c>
      <c r="D931" t="str">
        <f ca="1"/>
        <v xml:space="preserve">   Producción</v>
      </c>
      <c r="E931" s="255">
        <f ca="1"/>
        <v>0.9</v>
      </c>
      <c r="F931" s="255">
        <f ca="1"/>
        <v>0.95</v>
      </c>
    </row>
    <row r="932" spans="1:6">
      <c r="A932" t="str">
        <f ca="1"/>
        <v>Tecnologías de Información</v>
      </c>
      <c r="B932" t="str">
        <f ca="1"/>
        <v>09. Descartado</v>
      </c>
      <c r="C932" t="str">
        <f ca="1"/>
        <v>2024-M0268</v>
      </c>
      <c r="D932" t="str">
        <f ca="1"/>
        <v>2024-M0268</v>
      </c>
      <c r="E932" s="255">
        <f ca="1"/>
        <v>-0.01</v>
      </c>
      <c r="F932" s="255">
        <f ca="1"/>
        <v>0.96250000000000002</v>
      </c>
    </row>
    <row r="933" spans="1:6">
      <c r="A933" t="str">
        <f ca="1"/>
        <v>Tecnologías de Información</v>
      </c>
      <c r="B933" t="str">
        <f ca="1"/>
        <v>09. Descartado</v>
      </c>
      <c r="C933" t="str">
        <f ca="1"/>
        <v>2024-M0268</v>
      </c>
      <c r="D933" t="str">
        <f ca="1"/>
        <v xml:space="preserve">   Desarrollo</v>
      </c>
      <c r="E933" s="255">
        <f ca="1"/>
        <v>-0.01</v>
      </c>
      <c r="F933" s="255">
        <f ca="1"/>
        <v>0.96250000000000002</v>
      </c>
    </row>
    <row r="934" spans="1:6">
      <c r="A934" t="str">
        <f ca="1"/>
        <v>Tecnologías de Información</v>
      </c>
      <c r="B934" t="str">
        <f ca="1"/>
        <v>09. Descartado</v>
      </c>
      <c r="C934" t="str">
        <f ca="1"/>
        <v>2024-M0268</v>
      </c>
      <c r="D934" t="str">
        <f ca="1"/>
        <v xml:space="preserve">   Calidad</v>
      </c>
      <c r="E934" s="255">
        <f ca="1"/>
        <v>-0.01</v>
      </c>
      <c r="F934" s="255">
        <f ca="1"/>
        <v>0.96250000000000002</v>
      </c>
    </row>
    <row r="935" spans="1:6">
      <c r="A935" t="str">
        <f ca="1"/>
        <v>Tecnologías de Información</v>
      </c>
      <c r="B935" t="str">
        <f ca="1"/>
        <v>09. Descartado</v>
      </c>
      <c r="C935" t="str">
        <f ca="1"/>
        <v>2024-M0268</v>
      </c>
      <c r="D935" t="str">
        <f ca="1"/>
        <v xml:space="preserve">   Producción</v>
      </c>
      <c r="E935" s="255">
        <f ca="1"/>
        <v>-0.01</v>
      </c>
      <c r="F935" s="255">
        <f ca="1"/>
        <v>0.96250000000000002</v>
      </c>
    </row>
    <row r="936" spans="1:6">
      <c r="A936" t="str">
        <f ca="1"/>
        <v>Innovación y Transformación Digital</v>
      </c>
      <c r="B936" t="str">
        <f ca="1"/>
        <v>03. En Desarrollo</v>
      </c>
      <c r="C936" t="str">
        <f ca="1"/>
        <v>2026-M0167</v>
      </c>
      <c r="D936" t="str">
        <f ca="1"/>
        <v>2026-M0167</v>
      </c>
      <c r="E936" s="255">
        <f ca="1"/>
        <v>0.25</v>
      </c>
      <c r="F936" s="255" t="str">
        <f ca="1"/>
        <v/>
      </c>
    </row>
    <row r="937" spans="1:6">
      <c r="A937" t="str">
        <f ca="1"/>
        <v>Innovación y Transformación Digital</v>
      </c>
      <c r="B937" t="str">
        <f ca="1"/>
        <v>03. En Desarrollo</v>
      </c>
      <c r="C937" t="str">
        <f ca="1"/>
        <v>2026-M0167</v>
      </c>
      <c r="D937" t="str">
        <f ca="1"/>
        <v xml:space="preserve">   Desarrollo</v>
      </c>
      <c r="E937" s="255">
        <f ca="1"/>
        <v>0.25</v>
      </c>
      <c r="F937" s="255" t="str">
        <f ca="1"/>
        <v/>
      </c>
    </row>
    <row r="938" spans="1:6">
      <c r="A938" t="str">
        <f ca="1"/>
        <v>Innovación y Transformación Digital</v>
      </c>
      <c r="B938" t="str">
        <f ca="1"/>
        <v>03. En Desarrollo</v>
      </c>
      <c r="C938" t="str">
        <f ca="1"/>
        <v>2026-M0167</v>
      </c>
      <c r="D938" t="str">
        <f ca="1"/>
        <v xml:space="preserve">   Calidad</v>
      </c>
      <c r="E938" s="255">
        <f ca="1"/>
        <v>0.25</v>
      </c>
      <c r="F938" s="255" t="str">
        <f ca="1"/>
        <v/>
      </c>
    </row>
    <row r="939" spans="1:6">
      <c r="A939" t="str">
        <f ca="1"/>
        <v>Innovación y Transformación Digital</v>
      </c>
      <c r="B939" t="str">
        <f ca="1"/>
        <v>03. En Desarrollo</v>
      </c>
      <c r="C939" t="str">
        <f ca="1"/>
        <v>2026-M0167</v>
      </c>
      <c r="D939" t="str">
        <f ca="1"/>
        <v xml:space="preserve">   Producción</v>
      </c>
      <c r="E939" s="255">
        <f ca="1"/>
        <v>0.25</v>
      </c>
      <c r="F939" s="255" t="str">
        <f ca="1"/>
        <v/>
      </c>
    </row>
    <row r="940" spans="1:6">
      <c r="A940" t="str">
        <f ca="1"/>
        <v>Innovación y Transformación Digital</v>
      </c>
      <c r="B940" t="str">
        <f ca="1"/>
        <v>03. En Desarrollo</v>
      </c>
      <c r="C940" t="str">
        <f ca="1"/>
        <v>2026-M0168</v>
      </c>
      <c r="D940" t="str">
        <f ca="1"/>
        <v>2026-M0168</v>
      </c>
      <c r="E940" s="255">
        <f ca="1"/>
        <v>0.25</v>
      </c>
      <c r="F940" s="255" t="str">
        <f ca="1"/>
        <v/>
      </c>
    </row>
    <row r="941" spans="1:6">
      <c r="A941" t="str">
        <f ca="1"/>
        <v>Innovación y Transformación Digital</v>
      </c>
      <c r="B941" t="str">
        <f ca="1"/>
        <v>03. En Desarrollo</v>
      </c>
      <c r="C941" t="str">
        <f ca="1"/>
        <v>2026-M0168</v>
      </c>
      <c r="D941" t="str">
        <f ca="1"/>
        <v xml:space="preserve">   Desarrollo</v>
      </c>
      <c r="E941" s="255">
        <f ca="1"/>
        <v>0.25</v>
      </c>
      <c r="F941" s="255" t="str">
        <f ca="1"/>
        <v/>
      </c>
    </row>
    <row r="942" spans="1:6">
      <c r="A942" t="str">
        <f ca="1"/>
        <v>Innovación y Transformación Digital</v>
      </c>
      <c r="B942" t="str">
        <f ca="1"/>
        <v>03. En Desarrollo</v>
      </c>
      <c r="C942" t="str">
        <f ca="1"/>
        <v>2026-M0168</v>
      </c>
      <c r="D942" t="str">
        <f ca="1"/>
        <v xml:space="preserve">   Calidad</v>
      </c>
      <c r="E942" s="255">
        <f ca="1"/>
        <v>0.25</v>
      </c>
      <c r="F942" s="255" t="str">
        <f ca="1"/>
        <v/>
      </c>
    </row>
    <row r="943" spans="1:6">
      <c r="A943" t="str">
        <f ca="1"/>
        <v>Innovación y Transformación Digital</v>
      </c>
      <c r="B943" t="str">
        <f ca="1"/>
        <v>03. En Desarrollo</v>
      </c>
      <c r="C943" t="str">
        <f ca="1"/>
        <v>2026-M0168</v>
      </c>
      <c r="D943" t="str">
        <f ca="1"/>
        <v xml:space="preserve">   Producción</v>
      </c>
      <c r="E943" s="255">
        <f ca="1"/>
        <v>0.25</v>
      </c>
      <c r="F943" s="255" t="str">
        <f ca="1"/>
        <v/>
      </c>
    </row>
    <row r="944" spans="1:6">
      <c r="A944" t="str">
        <f ca="1"/>
        <v>Operaciones</v>
      </c>
      <c r="B944" t="str">
        <f ca="1"/>
        <v>05. En Calidad</v>
      </c>
      <c r="C944" t="str">
        <f ca="1"/>
        <v>2026-M0165</v>
      </c>
      <c r="D944" t="str">
        <f ca="1"/>
        <v>2026-M0165</v>
      </c>
      <c r="E944" s="255">
        <f ca="1"/>
        <v>0.7</v>
      </c>
      <c r="F944" s="255" t="str">
        <f ca="1"/>
        <v/>
      </c>
    </row>
    <row r="945" spans="1:6">
      <c r="A945" t="str">
        <f ca="1"/>
        <v>Operaciones</v>
      </c>
      <c r="B945" t="str">
        <f ca="1"/>
        <v>05. En Calidad</v>
      </c>
      <c r="C945" t="str">
        <f ca="1"/>
        <v>2026-M0165</v>
      </c>
      <c r="D945" t="str">
        <f ca="1"/>
        <v xml:space="preserve">   Desarrollo</v>
      </c>
      <c r="E945" s="255">
        <f ca="1"/>
        <v>0.7</v>
      </c>
      <c r="F945" s="255" t="str">
        <f ca="1"/>
        <v/>
      </c>
    </row>
    <row r="946" spans="1:6">
      <c r="A946" t="str">
        <f ca="1"/>
        <v>Operaciones</v>
      </c>
      <c r="B946" t="str">
        <f ca="1"/>
        <v>05. En Calidad</v>
      </c>
      <c r="C946" t="str">
        <f ca="1"/>
        <v>2026-M0165</v>
      </c>
      <c r="D946" t="str">
        <f ca="1"/>
        <v xml:space="preserve">   Calidad</v>
      </c>
      <c r="E946" s="255">
        <f ca="1"/>
        <v>0.7</v>
      </c>
      <c r="F946" s="255" t="str">
        <f ca="1"/>
        <v/>
      </c>
    </row>
    <row r="947" spans="1:6">
      <c r="A947" t="str">
        <f ca="1"/>
        <v>Operaciones</v>
      </c>
      <c r="B947" t="str">
        <f ca="1"/>
        <v>05. En Calidad</v>
      </c>
      <c r="C947" t="str">
        <f ca="1"/>
        <v>2026-M0165</v>
      </c>
      <c r="D947" t="str">
        <f ca="1"/>
        <v xml:space="preserve">   Producción</v>
      </c>
      <c r="E947" s="255">
        <f ca="1"/>
        <v>0.7</v>
      </c>
      <c r="F947" s="255" t="str">
        <f ca="1"/>
        <v/>
      </c>
    </row>
    <row r="948" spans="1:6">
      <c r="A948" t="str">
        <f ca="1"/>
        <v>Tecnologías de Información</v>
      </c>
      <c r="B948" t="str">
        <f ca="1"/>
        <v>05. En Calidad</v>
      </c>
      <c r="C948" t="str">
        <f ca="1"/>
        <v>2026-M0011</v>
      </c>
      <c r="D948" t="str">
        <f ca="1"/>
        <v>2026-M0011</v>
      </c>
      <c r="E948" s="255">
        <f ca="1"/>
        <v>0.7</v>
      </c>
      <c r="F948" s="255" t="str">
        <f ca="1"/>
        <v/>
      </c>
    </row>
    <row r="949" spans="1:6">
      <c r="A949" t="str">
        <f ca="1"/>
        <v>Tecnologías de Información</v>
      </c>
      <c r="B949" t="str">
        <f ca="1"/>
        <v>05. En Calidad</v>
      </c>
      <c r="C949" t="str">
        <f ca="1"/>
        <v>2026-M0011</v>
      </c>
      <c r="D949" t="str">
        <f ca="1"/>
        <v xml:space="preserve">   Desarrollo</v>
      </c>
      <c r="E949" s="255">
        <f ca="1"/>
        <v>0.7</v>
      </c>
      <c r="F949" s="255" t="str">
        <f ca="1"/>
        <v/>
      </c>
    </row>
    <row r="950" spans="1:6">
      <c r="A950" t="str">
        <f ca="1"/>
        <v>Tecnologías de Información</v>
      </c>
      <c r="B950" t="str">
        <f ca="1"/>
        <v>05. En Calidad</v>
      </c>
      <c r="C950" t="str">
        <f ca="1"/>
        <v>2026-M0011</v>
      </c>
      <c r="D950" t="str">
        <f ca="1"/>
        <v xml:space="preserve">   Calidad</v>
      </c>
      <c r="E950" s="255">
        <f ca="1"/>
        <v>0.7</v>
      </c>
      <c r="F950" s="255" t="str">
        <f ca="1"/>
        <v/>
      </c>
    </row>
    <row r="951" spans="1:6">
      <c r="A951" t="str">
        <f ca="1"/>
        <v>Tecnologías de Información</v>
      </c>
      <c r="B951" t="str">
        <f ca="1"/>
        <v>05. En Calidad</v>
      </c>
      <c r="C951" t="str">
        <f ca="1"/>
        <v>2026-M0011</v>
      </c>
      <c r="D951" t="str">
        <f ca="1"/>
        <v xml:space="preserve">   Producción</v>
      </c>
      <c r="E951" s="255">
        <f ca="1"/>
        <v>0.7</v>
      </c>
      <c r="F951" s="255" t="str">
        <f ca="1"/>
        <v/>
      </c>
    </row>
    <row r="952" spans="1:6">
      <c r="A952" t="str">
        <f ca="1"/>
        <v>Recursos Humanos y Cultura</v>
      </c>
      <c r="B952" t="str">
        <f ca="1"/>
        <v>08. Producción Finalizada</v>
      </c>
      <c r="C952" t="str">
        <f ca="1"/>
        <v>2026-M0052</v>
      </c>
      <c r="D952" t="str">
        <f ca="1"/>
        <v>2026-M0052</v>
      </c>
      <c r="E952" s="255">
        <f ca="1"/>
        <v>1</v>
      </c>
      <c r="F952" s="255">
        <f ca="1"/>
        <v>1</v>
      </c>
    </row>
    <row r="953" spans="1:6">
      <c r="A953" t="str">
        <f ca="1"/>
        <v>Recursos Humanos y Cultura</v>
      </c>
      <c r="B953" t="str">
        <f ca="1"/>
        <v>08. Producción Finalizada</v>
      </c>
      <c r="C953" t="str">
        <f ca="1"/>
        <v>2026-M0052</v>
      </c>
      <c r="D953" t="str">
        <f ca="1"/>
        <v xml:space="preserve">   Desarrollo</v>
      </c>
      <c r="E953" s="255">
        <f ca="1"/>
        <v>1</v>
      </c>
      <c r="F953" s="255">
        <f ca="1"/>
        <v>1</v>
      </c>
    </row>
    <row r="954" spans="1:6">
      <c r="A954" t="str">
        <f ca="1"/>
        <v>Recursos Humanos y Cultura</v>
      </c>
      <c r="B954" t="str">
        <f ca="1"/>
        <v>08. Producción Finalizada</v>
      </c>
      <c r="C954" t="str">
        <f ca="1"/>
        <v>2026-M0052</v>
      </c>
      <c r="D954" t="str">
        <f ca="1"/>
        <v xml:space="preserve">   Calidad</v>
      </c>
      <c r="E954" s="255">
        <f ca="1"/>
        <v>1</v>
      </c>
      <c r="F954" s="255">
        <f ca="1"/>
        <v>1</v>
      </c>
    </row>
    <row r="955" spans="1:6">
      <c r="A955" t="str">
        <f ca="1"/>
        <v>Recursos Humanos y Cultura</v>
      </c>
      <c r="B955" t="str">
        <f ca="1"/>
        <v>08. Producción Finalizada</v>
      </c>
      <c r="C955" t="str">
        <f ca="1"/>
        <v>2026-M0052</v>
      </c>
      <c r="D955" t="str">
        <f ca="1"/>
        <v xml:space="preserve">   Producción</v>
      </c>
      <c r="E955" s="255">
        <f ca="1"/>
        <v>1</v>
      </c>
      <c r="F955" s="255">
        <f ca="1"/>
        <v>1</v>
      </c>
    </row>
    <row r="956" spans="1:6">
      <c r="A956" t="str">
        <f ca="1"/>
        <v>Productos e Inclusión Financiera</v>
      </c>
      <c r="B956" t="str">
        <f ca="1"/>
        <v>03. En Desarrollo</v>
      </c>
      <c r="C956" t="str">
        <f ca="1"/>
        <v>2026-M0072</v>
      </c>
      <c r="D956" t="str">
        <f ca="1"/>
        <v>2026-M0072</v>
      </c>
      <c r="E956" s="255">
        <f ca="1"/>
        <v>0.15</v>
      </c>
      <c r="F956" s="255" t="str">
        <f ca="1"/>
        <v/>
      </c>
    </row>
    <row r="957" spans="1:6">
      <c r="A957" t="str">
        <f ca="1"/>
        <v>Productos e Inclusión Financiera</v>
      </c>
      <c r="B957" t="str">
        <f ca="1"/>
        <v>03. En Desarrollo</v>
      </c>
      <c r="C957" t="str">
        <f ca="1"/>
        <v>2026-M0072</v>
      </c>
      <c r="D957" t="str">
        <f ca="1"/>
        <v xml:space="preserve">   Desarrollo</v>
      </c>
      <c r="E957" s="255">
        <f ca="1"/>
        <v>0.15</v>
      </c>
      <c r="F957" s="255" t="str">
        <f ca="1"/>
        <v/>
      </c>
    </row>
    <row r="958" spans="1:6">
      <c r="A958" t="str">
        <f ca="1"/>
        <v>Productos e Inclusión Financiera</v>
      </c>
      <c r="B958" t="str">
        <f ca="1"/>
        <v>03. En Desarrollo</v>
      </c>
      <c r="C958" t="str">
        <f ca="1"/>
        <v>2026-M0072</v>
      </c>
      <c r="D958" t="str">
        <f ca="1"/>
        <v xml:space="preserve">   Calidad</v>
      </c>
      <c r="E958" s="255">
        <f ca="1"/>
        <v>0.15</v>
      </c>
      <c r="F958" s="255" t="str">
        <f ca="1"/>
        <v/>
      </c>
    </row>
    <row r="959" spans="1:6">
      <c r="A959" t="str">
        <f ca="1"/>
        <v>Productos e Inclusión Financiera</v>
      </c>
      <c r="B959" t="str">
        <f ca="1"/>
        <v>03. En Desarrollo</v>
      </c>
      <c r="C959" t="str">
        <f ca="1"/>
        <v>2026-M0072</v>
      </c>
      <c r="D959" t="str">
        <f ca="1"/>
        <v xml:space="preserve">   Producción</v>
      </c>
      <c r="E959" s="255">
        <f ca="1"/>
        <v>0.15</v>
      </c>
      <c r="F959" s="255" t="str">
        <f ca="1"/>
        <v/>
      </c>
    </row>
    <row r="960" spans="1:6">
      <c r="A960" t="str">
        <f ca="1"/>
        <v>Tecnologías de Información</v>
      </c>
      <c r="B960" t="str">
        <f ca="1"/>
        <v>03. En Desarrollo</v>
      </c>
      <c r="C960" t="str">
        <f ca="1"/>
        <v>2025-M0755</v>
      </c>
      <c r="D960" t="str">
        <f ca="1"/>
        <v>2025-M0755</v>
      </c>
      <c r="E960" s="255">
        <f ca="1"/>
        <v>0.25</v>
      </c>
      <c r="F960" s="255" t="str">
        <f ca="1"/>
        <v/>
      </c>
    </row>
    <row r="961" spans="1:6">
      <c r="A961" t="str">
        <f ca="1"/>
        <v>Tecnologías de Información</v>
      </c>
      <c r="B961" t="str">
        <f ca="1"/>
        <v>03. En Desarrollo</v>
      </c>
      <c r="C961" t="str">
        <f ca="1"/>
        <v>2025-M0755</v>
      </c>
      <c r="D961" t="str">
        <f ca="1"/>
        <v xml:space="preserve">   Desarrollo</v>
      </c>
      <c r="E961" s="255">
        <f ca="1"/>
        <v>0.25</v>
      </c>
      <c r="F961" s="255" t="str">
        <f ca="1"/>
        <v/>
      </c>
    </row>
    <row r="962" spans="1:6">
      <c r="A962" t="str">
        <f ca="1"/>
        <v>Tecnologías de Información</v>
      </c>
      <c r="B962" t="str">
        <f ca="1"/>
        <v>03. En Desarrollo</v>
      </c>
      <c r="C962" t="str">
        <f ca="1"/>
        <v>2025-M0755</v>
      </c>
      <c r="D962" t="str">
        <f ca="1"/>
        <v xml:space="preserve">   Calidad</v>
      </c>
      <c r="E962" s="255">
        <f ca="1"/>
        <v>0.25</v>
      </c>
      <c r="F962" s="255" t="str">
        <f ca="1"/>
        <v/>
      </c>
    </row>
    <row r="963" spans="1:6">
      <c r="A963" t="str">
        <f ca="1"/>
        <v>Tecnologías de Información</v>
      </c>
      <c r="B963" t="str">
        <f ca="1"/>
        <v>03. En Desarrollo</v>
      </c>
      <c r="C963" t="str">
        <f ca="1"/>
        <v>2025-M0755</v>
      </c>
      <c r="D963" t="str">
        <f ca="1"/>
        <v xml:space="preserve">   Producción</v>
      </c>
      <c r="E963" s="255">
        <f ca="1"/>
        <v>0.25</v>
      </c>
      <c r="F963" s="255" t="str">
        <f ca="1"/>
        <v/>
      </c>
    </row>
    <row r="964" spans="1:6">
      <c r="A964" t="str">
        <f ca="1"/>
        <v>Recursos Humanos y Cultura</v>
      </c>
      <c r="B964" t="str">
        <f ca="1"/>
        <v>08. Producción Finalizada</v>
      </c>
      <c r="C964" t="str">
        <f ca="1"/>
        <v>2026-M0054</v>
      </c>
      <c r="D964" t="str">
        <f ca="1"/>
        <v>2026-M0054</v>
      </c>
      <c r="E964" s="255">
        <f ca="1"/>
        <v>1</v>
      </c>
      <c r="F964" s="255">
        <f ca="1"/>
        <v>1</v>
      </c>
    </row>
    <row r="965" spans="1:6">
      <c r="A965" t="str">
        <f ca="1"/>
        <v>Recursos Humanos y Cultura</v>
      </c>
      <c r="B965" t="str">
        <f ca="1"/>
        <v>08. Producción Finalizada</v>
      </c>
      <c r="C965" t="str">
        <f ca="1"/>
        <v>2026-M0054</v>
      </c>
      <c r="D965" t="str">
        <f ca="1"/>
        <v xml:space="preserve">   Desarrollo</v>
      </c>
      <c r="E965" s="255">
        <f ca="1"/>
        <v>1</v>
      </c>
      <c r="F965" s="255">
        <f ca="1"/>
        <v>1</v>
      </c>
    </row>
    <row r="966" spans="1:6">
      <c r="A966" t="str">
        <f ca="1"/>
        <v>Recursos Humanos y Cultura</v>
      </c>
      <c r="B966" t="str">
        <f ca="1"/>
        <v>08. Producción Finalizada</v>
      </c>
      <c r="C966" t="str">
        <f ca="1"/>
        <v>2026-M0054</v>
      </c>
      <c r="D966" t="str">
        <f ca="1"/>
        <v xml:space="preserve">   Calidad</v>
      </c>
      <c r="E966" s="255">
        <f ca="1"/>
        <v>1</v>
      </c>
      <c r="F966" s="255">
        <f ca="1"/>
        <v>1</v>
      </c>
    </row>
    <row r="967" spans="1:6">
      <c r="A967" t="str">
        <f ca="1"/>
        <v>Recursos Humanos y Cultura</v>
      </c>
      <c r="B967" t="str">
        <f ca="1"/>
        <v>08. Producción Finalizada</v>
      </c>
      <c r="C967" t="str">
        <f ca="1"/>
        <v>2026-M0054</v>
      </c>
      <c r="D967" t="str">
        <f ca="1"/>
        <v xml:space="preserve">   Producción</v>
      </c>
      <c r="E967" s="255">
        <f ca="1"/>
        <v>1</v>
      </c>
      <c r="F967" s="255">
        <f ca="1"/>
        <v>1</v>
      </c>
    </row>
    <row r="968" spans="1:6">
      <c r="A968" t="str">
        <f ca="1"/>
        <v>Tecnologías de Información</v>
      </c>
      <c r="B968" t="str">
        <f ca="1"/>
        <v>03. En Desarrollo</v>
      </c>
      <c r="C968" t="str">
        <f ca="1"/>
        <v>2025-M0756</v>
      </c>
      <c r="D968" t="str">
        <f ca="1"/>
        <v>2025-M0756</v>
      </c>
      <c r="E968" s="255">
        <f ca="1"/>
        <v>0.15</v>
      </c>
      <c r="F968" s="255" t="str">
        <f ca="1"/>
        <v/>
      </c>
    </row>
    <row r="969" spans="1:6">
      <c r="A969" t="str">
        <f ca="1"/>
        <v>Tecnologías de Información</v>
      </c>
      <c r="B969" t="str">
        <f ca="1"/>
        <v>03. En Desarrollo</v>
      </c>
      <c r="C969" t="str">
        <f ca="1"/>
        <v>2025-M0756</v>
      </c>
      <c r="D969" t="str">
        <f ca="1"/>
        <v xml:space="preserve">   Desarrollo</v>
      </c>
      <c r="E969" s="255">
        <f ca="1"/>
        <v>0.15</v>
      </c>
      <c r="F969" s="255" t="str">
        <f ca="1"/>
        <v/>
      </c>
    </row>
    <row r="970" spans="1:6">
      <c r="A970" t="str">
        <f ca="1"/>
        <v>Tecnologías de Información</v>
      </c>
      <c r="B970" t="str">
        <f ca="1"/>
        <v>03. En Desarrollo</v>
      </c>
      <c r="C970" t="str">
        <f ca="1"/>
        <v>2025-M0756</v>
      </c>
      <c r="D970" t="str">
        <f ca="1"/>
        <v xml:space="preserve">   Calidad</v>
      </c>
      <c r="E970" s="255">
        <f ca="1"/>
        <v>0.15</v>
      </c>
      <c r="F970" s="255" t="str">
        <f ca="1"/>
        <v/>
      </c>
    </row>
    <row r="971" spans="1:6">
      <c r="A971" t="str">
        <f ca="1"/>
        <v>Tecnologías de Información</v>
      </c>
      <c r="B971" t="str">
        <f ca="1"/>
        <v>03. En Desarrollo</v>
      </c>
      <c r="C971" t="str">
        <f ca="1"/>
        <v>2025-M0756</v>
      </c>
      <c r="D971" t="str">
        <f ca="1"/>
        <v xml:space="preserve">   Producción</v>
      </c>
      <c r="E971" s="255">
        <f ca="1"/>
        <v>0.15</v>
      </c>
      <c r="F971" s="255" t="str">
        <f ca="1"/>
        <v/>
      </c>
    </row>
    <row r="972" spans="1:6">
      <c r="A972" t="str">
        <f ca="1"/>
        <v>Tecnologías de Información</v>
      </c>
      <c r="B972" t="str">
        <f ca="1"/>
        <v>02. En Planificación</v>
      </c>
      <c r="C972" t="str">
        <f ca="1"/>
        <v>2025-M0760</v>
      </c>
      <c r="D972" t="str">
        <f ca="1"/>
        <v>2025-M0760</v>
      </c>
      <c r="E972" s="255">
        <f ca="1"/>
        <v>0.1</v>
      </c>
      <c r="F972" s="255" t="str">
        <f ca="1"/>
        <v/>
      </c>
    </row>
    <row r="973" spans="1:6">
      <c r="A973" t="str">
        <f ca="1"/>
        <v>Tecnologías de Información</v>
      </c>
      <c r="B973" t="str">
        <f ca="1"/>
        <v>02. En Planificación</v>
      </c>
      <c r="C973" t="str">
        <f ca="1"/>
        <v>2025-M0760</v>
      </c>
      <c r="D973" t="str">
        <f ca="1"/>
        <v xml:space="preserve">   Desarrollo</v>
      </c>
      <c r="E973" s="255">
        <f ca="1"/>
        <v>0.1</v>
      </c>
      <c r="F973" s="255" t="str">
        <f ca="1"/>
        <v/>
      </c>
    </row>
    <row r="974" spans="1:6">
      <c r="A974" t="str">
        <f ca="1"/>
        <v>Tecnologías de Información</v>
      </c>
      <c r="B974" t="str">
        <f ca="1"/>
        <v>02. En Planificación</v>
      </c>
      <c r="C974" t="str">
        <f ca="1"/>
        <v>2025-M0760</v>
      </c>
      <c r="D974" t="str">
        <f ca="1"/>
        <v xml:space="preserve">   Calidad</v>
      </c>
      <c r="E974" s="255">
        <f ca="1"/>
        <v>0.1</v>
      </c>
      <c r="F974" s="255" t="str">
        <f ca="1"/>
        <v/>
      </c>
    </row>
    <row r="975" spans="1:6">
      <c r="A975" t="str">
        <f ca="1"/>
        <v>Tecnologías de Información</v>
      </c>
      <c r="B975" t="str">
        <f ca="1"/>
        <v>02. En Planificación</v>
      </c>
      <c r="C975" t="str">
        <f ca="1"/>
        <v>2025-M0760</v>
      </c>
      <c r="D975" t="str">
        <f ca="1"/>
        <v xml:space="preserve">   Producción</v>
      </c>
      <c r="E975" s="255">
        <f ca="1"/>
        <v>0.1</v>
      </c>
      <c r="F975" s="255" t="str">
        <f ca="1"/>
        <v/>
      </c>
    </row>
    <row r="976" spans="1:6">
      <c r="A976" t="str">
        <f ca="1"/>
        <v>Productos e Inclusión Financiera</v>
      </c>
      <c r="B976" t="str">
        <f ca="1"/>
        <v>05. En Calidad</v>
      </c>
      <c r="C976" t="str">
        <f ca="1"/>
        <v>2025-M0753</v>
      </c>
      <c r="D976" t="str">
        <f ca="1"/>
        <v>2025-M0753</v>
      </c>
      <c r="E976" s="255">
        <f ca="1"/>
        <v>0.7</v>
      </c>
      <c r="F976" s="255" t="str">
        <f ca="1"/>
        <v/>
      </c>
    </row>
    <row r="977" spans="1:6">
      <c r="A977" t="str">
        <f ca="1"/>
        <v>Productos e Inclusión Financiera</v>
      </c>
      <c r="B977" t="str">
        <f ca="1"/>
        <v>05. En Calidad</v>
      </c>
      <c r="C977" t="str">
        <f ca="1"/>
        <v>2025-M0753</v>
      </c>
      <c r="D977" t="str">
        <f ca="1"/>
        <v xml:space="preserve">   Desarrollo</v>
      </c>
      <c r="E977" s="255">
        <f ca="1"/>
        <v>0.7</v>
      </c>
      <c r="F977" s="255" t="str">
        <f ca="1"/>
        <v/>
      </c>
    </row>
    <row r="978" spans="1:6">
      <c r="A978" t="str">
        <f ca="1"/>
        <v>Productos e Inclusión Financiera</v>
      </c>
      <c r="B978" t="str">
        <f ca="1"/>
        <v>05. En Calidad</v>
      </c>
      <c r="C978" t="str">
        <f ca="1"/>
        <v>2025-M0753</v>
      </c>
      <c r="D978" t="str">
        <f ca="1"/>
        <v xml:space="preserve">   Calidad</v>
      </c>
      <c r="E978" s="255">
        <f ca="1"/>
        <v>0.7</v>
      </c>
      <c r="F978" s="255" t="str">
        <f ca="1"/>
        <v/>
      </c>
    </row>
    <row r="979" spans="1:6">
      <c r="A979" t="str">
        <f ca="1"/>
        <v>Productos e Inclusión Financiera</v>
      </c>
      <c r="B979" t="str">
        <f ca="1"/>
        <v>05. En Calidad</v>
      </c>
      <c r="C979" t="str">
        <f ca="1"/>
        <v>2025-M0753</v>
      </c>
      <c r="D979" t="str">
        <f ca="1"/>
        <v xml:space="preserve">   Producción</v>
      </c>
      <c r="E979" s="255">
        <f ca="1"/>
        <v>0.7</v>
      </c>
      <c r="F979" s="255" t="str">
        <f ca="1"/>
        <v/>
      </c>
    </row>
    <row r="980" spans="1:6">
      <c r="A980" t="str">
        <f ca="1"/>
        <v>Riesgos</v>
      </c>
      <c r="B980" t="str">
        <f ca="1"/>
        <v>08. Producción Finalizada</v>
      </c>
      <c r="C980" t="str">
        <f ca="1"/>
        <v>2026-M0057</v>
      </c>
      <c r="D980" t="str">
        <f ca="1"/>
        <v>2026-M0057</v>
      </c>
      <c r="E980" s="255">
        <f ca="1"/>
        <v>1</v>
      </c>
      <c r="F980" s="255">
        <f ca="1"/>
        <v>1</v>
      </c>
    </row>
    <row r="981" spans="1:6">
      <c r="A981" t="str">
        <f ca="1"/>
        <v>Riesgos</v>
      </c>
      <c r="B981" t="str">
        <f ca="1"/>
        <v>08. Producción Finalizada</v>
      </c>
      <c r="C981" t="str">
        <f ca="1"/>
        <v>2026-M0057</v>
      </c>
      <c r="D981" t="str">
        <f ca="1"/>
        <v xml:space="preserve">   Desarrollo</v>
      </c>
      <c r="E981" s="255">
        <f ca="1"/>
        <v>1</v>
      </c>
      <c r="F981" s="255">
        <f ca="1"/>
        <v>1</v>
      </c>
    </row>
    <row r="982" spans="1:6">
      <c r="A982" t="str">
        <f ca="1"/>
        <v>Riesgos</v>
      </c>
      <c r="B982" t="str">
        <f ca="1"/>
        <v>08. Producción Finalizada</v>
      </c>
      <c r="C982" t="str">
        <f ca="1"/>
        <v>2026-M0057</v>
      </c>
      <c r="D982" t="str">
        <f ca="1"/>
        <v xml:space="preserve">   Calidad</v>
      </c>
      <c r="E982" s="255">
        <f ca="1"/>
        <v>1</v>
      </c>
      <c r="F982" s="255">
        <f ca="1"/>
        <v>1</v>
      </c>
    </row>
    <row r="983" spans="1:6">
      <c r="A983" t="str">
        <f ca="1"/>
        <v>Riesgos</v>
      </c>
      <c r="B983" t="str">
        <f ca="1"/>
        <v>08. Producción Finalizada</v>
      </c>
      <c r="C983" t="str">
        <f ca="1"/>
        <v>2026-M0057</v>
      </c>
      <c r="D983" t="str">
        <f ca="1"/>
        <v xml:space="preserve">   Producción</v>
      </c>
      <c r="E983" s="255">
        <f ca="1"/>
        <v>1</v>
      </c>
      <c r="F983" s="255">
        <f ca="1"/>
        <v>1</v>
      </c>
    </row>
    <row r="984" spans="1:6">
      <c r="A984" t="str">
        <f ca="1"/>
        <v>Operaciones</v>
      </c>
      <c r="B984" t="str">
        <f ca="1"/>
        <v>08. Producción Finalizada</v>
      </c>
      <c r="C984" t="str">
        <f ca="1"/>
        <v>2025-M0746</v>
      </c>
      <c r="D984" t="str">
        <f ca="1"/>
        <v>2025-M0746</v>
      </c>
      <c r="E984" s="255">
        <f ca="1"/>
        <v>1</v>
      </c>
      <c r="F984" s="255">
        <f ca="1"/>
        <v>1</v>
      </c>
    </row>
    <row r="985" spans="1:6">
      <c r="A985" t="str">
        <f ca="1"/>
        <v>Operaciones</v>
      </c>
      <c r="B985" t="str">
        <f ca="1"/>
        <v>08. Producción Finalizada</v>
      </c>
      <c r="C985" t="str">
        <f ca="1"/>
        <v>2025-M0746</v>
      </c>
      <c r="D985" t="str">
        <f ca="1"/>
        <v xml:space="preserve">   Desarrollo</v>
      </c>
      <c r="E985" s="255">
        <f ca="1"/>
        <v>1</v>
      </c>
      <c r="F985" s="255">
        <f ca="1"/>
        <v>1</v>
      </c>
    </row>
    <row r="986" spans="1:6">
      <c r="A986" t="str">
        <f ca="1"/>
        <v>Operaciones</v>
      </c>
      <c r="B986" t="str">
        <f ca="1"/>
        <v>08. Producción Finalizada</v>
      </c>
      <c r="C986" t="str">
        <f ca="1"/>
        <v>2025-M0746</v>
      </c>
      <c r="D986" t="str">
        <f ca="1"/>
        <v xml:space="preserve">   Calidad</v>
      </c>
      <c r="E986" s="255">
        <f ca="1"/>
        <v>1</v>
      </c>
      <c r="F986" s="255">
        <f ca="1"/>
        <v>1</v>
      </c>
    </row>
    <row r="987" spans="1:6">
      <c r="A987" t="str">
        <f ca="1"/>
        <v>Operaciones</v>
      </c>
      <c r="B987" t="str">
        <f ca="1"/>
        <v>08. Producción Finalizada</v>
      </c>
      <c r="C987" t="str">
        <f ca="1"/>
        <v>2025-M0746</v>
      </c>
      <c r="D987" t="str">
        <f ca="1"/>
        <v xml:space="preserve">   Producción</v>
      </c>
      <c r="E987" s="255">
        <f ca="1"/>
        <v>1</v>
      </c>
      <c r="F987" s="255">
        <f ca="1"/>
        <v>1</v>
      </c>
    </row>
    <row r="988" spans="1:6">
      <c r="A988" t="str">
        <f ca="1"/>
        <v>Tecnologías de Información</v>
      </c>
      <c r="B988" t="str">
        <f ca="1"/>
        <v>03. En Desarrollo</v>
      </c>
      <c r="C988" t="str">
        <f ca="1"/>
        <v>2025-M0754</v>
      </c>
      <c r="D988" t="str">
        <f ca="1"/>
        <v>2025-M0754</v>
      </c>
      <c r="E988" s="255">
        <f ca="1"/>
        <v>0.25</v>
      </c>
      <c r="F988" s="255" t="str">
        <f ca="1"/>
        <v/>
      </c>
    </row>
    <row r="989" spans="1:6">
      <c r="A989" t="str">
        <f ca="1"/>
        <v>Tecnologías de Información</v>
      </c>
      <c r="B989" t="str">
        <f ca="1"/>
        <v>03. En Desarrollo</v>
      </c>
      <c r="C989" t="str">
        <f ca="1"/>
        <v>2025-M0754</v>
      </c>
      <c r="D989" t="str">
        <f ca="1"/>
        <v xml:space="preserve">   Desarrollo</v>
      </c>
      <c r="E989" s="255">
        <f ca="1"/>
        <v>0.25</v>
      </c>
      <c r="F989" s="255" t="str">
        <f ca="1"/>
        <v/>
      </c>
    </row>
    <row r="990" spans="1:6">
      <c r="A990" t="str">
        <f ca="1"/>
        <v>Tecnologías de Información</v>
      </c>
      <c r="B990" t="str">
        <f ca="1"/>
        <v>03. En Desarrollo</v>
      </c>
      <c r="C990" t="str">
        <f ca="1"/>
        <v>2025-M0754</v>
      </c>
      <c r="D990" t="str">
        <f ca="1"/>
        <v xml:space="preserve">   Calidad</v>
      </c>
      <c r="E990" s="255">
        <f ca="1"/>
        <v>0.25</v>
      </c>
      <c r="F990" s="255" t="str">
        <f ca="1"/>
        <v/>
      </c>
    </row>
    <row r="991" spans="1:6">
      <c r="A991" t="str">
        <f ca="1"/>
        <v>Tecnologías de Información</v>
      </c>
      <c r="B991" t="str">
        <f ca="1"/>
        <v>03. En Desarrollo</v>
      </c>
      <c r="C991" t="str">
        <f ca="1"/>
        <v>2025-M0754</v>
      </c>
      <c r="D991" t="str">
        <f ca="1"/>
        <v xml:space="preserve">   Producción</v>
      </c>
      <c r="E991" s="255">
        <f ca="1"/>
        <v>0.25</v>
      </c>
      <c r="F991" s="255" t="str">
        <f ca="1"/>
        <v/>
      </c>
    </row>
    <row r="992" spans="1:6">
      <c r="A992" t="str">
        <f ca="1"/>
        <v>Productos e Inclusión Financiera</v>
      </c>
      <c r="B992" t="str">
        <f ca="1"/>
        <v>03. En Desarrollo</v>
      </c>
      <c r="C992" t="str">
        <f ca="1"/>
        <v>2025-M0744</v>
      </c>
      <c r="D992" t="str">
        <f ca="1"/>
        <v>2025-M0744</v>
      </c>
      <c r="E992" s="255">
        <f ca="1"/>
        <v>0.25</v>
      </c>
      <c r="F992" s="255" t="str">
        <f ca="1"/>
        <v/>
      </c>
    </row>
    <row r="993" spans="1:6">
      <c r="A993" t="str">
        <f ca="1"/>
        <v>Productos e Inclusión Financiera</v>
      </c>
      <c r="B993" t="str">
        <f ca="1"/>
        <v>03. En Desarrollo</v>
      </c>
      <c r="C993" t="str">
        <f ca="1"/>
        <v>2025-M0744</v>
      </c>
      <c r="D993" t="str">
        <f ca="1"/>
        <v xml:space="preserve">   Desarrollo</v>
      </c>
      <c r="E993" s="255">
        <f ca="1"/>
        <v>0.25</v>
      </c>
      <c r="F993" s="255" t="str">
        <f ca="1"/>
        <v/>
      </c>
    </row>
    <row r="994" spans="1:6">
      <c r="A994" t="str">
        <f ca="1"/>
        <v>Productos e Inclusión Financiera</v>
      </c>
      <c r="B994" t="str">
        <f ca="1"/>
        <v>03. En Desarrollo</v>
      </c>
      <c r="C994" t="str">
        <f ca="1"/>
        <v>2025-M0744</v>
      </c>
      <c r="D994" t="str">
        <f ca="1"/>
        <v xml:space="preserve">   Calidad</v>
      </c>
      <c r="E994" s="255">
        <f ca="1"/>
        <v>0.25</v>
      </c>
      <c r="F994" s="255" t="str">
        <f ca="1"/>
        <v/>
      </c>
    </row>
    <row r="995" spans="1:6">
      <c r="A995" t="str">
        <f ca="1"/>
        <v>Productos e Inclusión Financiera</v>
      </c>
      <c r="B995" t="str">
        <f ca="1"/>
        <v>03. En Desarrollo</v>
      </c>
      <c r="C995" t="str">
        <f ca="1"/>
        <v>2025-M0744</v>
      </c>
      <c r="D995" t="str">
        <f ca="1"/>
        <v xml:space="preserve">   Producción</v>
      </c>
      <c r="E995" s="255">
        <f ca="1"/>
        <v>0.25</v>
      </c>
      <c r="F995" s="255" t="str">
        <f ca="1"/>
        <v/>
      </c>
    </row>
    <row r="996" spans="1:6">
      <c r="A996" t="str">
        <f ca="1"/>
        <v>Tecnologías de Información</v>
      </c>
      <c r="B996" t="str">
        <f ca="1"/>
        <v>08. Producción Finalizada</v>
      </c>
      <c r="C996" t="str">
        <f ca="1"/>
        <v>2025-M0748</v>
      </c>
      <c r="D996" t="str">
        <f ca="1"/>
        <v>2025-M0748</v>
      </c>
      <c r="E996" s="255">
        <f ca="1"/>
        <v>1</v>
      </c>
      <c r="F996" s="255">
        <f ca="1"/>
        <v>1</v>
      </c>
    </row>
    <row r="997" spans="1:6">
      <c r="A997" t="str">
        <f ca="1"/>
        <v>Tecnologías de Información</v>
      </c>
      <c r="B997" t="str">
        <f ca="1"/>
        <v>08. Producción Finalizada</v>
      </c>
      <c r="C997" t="str">
        <f ca="1"/>
        <v>2025-M0748</v>
      </c>
      <c r="D997" t="str">
        <f ca="1"/>
        <v xml:space="preserve">   Desarrollo</v>
      </c>
      <c r="E997" s="255">
        <f ca="1"/>
        <v>1</v>
      </c>
      <c r="F997" s="255">
        <f ca="1"/>
        <v>1</v>
      </c>
    </row>
    <row r="998" spans="1:6">
      <c r="A998" t="str">
        <f ca="1"/>
        <v>Tecnologías de Información</v>
      </c>
      <c r="B998" t="str">
        <f ca="1"/>
        <v>08. Producción Finalizada</v>
      </c>
      <c r="C998" t="str">
        <f ca="1"/>
        <v>2025-M0748</v>
      </c>
      <c r="D998" t="str">
        <f ca="1"/>
        <v xml:space="preserve">   Calidad</v>
      </c>
      <c r="E998" s="255">
        <f ca="1"/>
        <v>1</v>
      </c>
      <c r="F998" s="255">
        <f ca="1"/>
        <v>1</v>
      </c>
    </row>
    <row r="999" spans="1:6">
      <c r="A999" t="str">
        <f ca="1"/>
        <v>Tecnologías de Información</v>
      </c>
      <c r="B999" t="str">
        <f ca="1"/>
        <v>08. Producción Finalizada</v>
      </c>
      <c r="C999" t="str">
        <f ca="1"/>
        <v>2025-M0748</v>
      </c>
      <c r="D999" t="str">
        <f ca="1"/>
        <v xml:space="preserve">   Producción</v>
      </c>
      <c r="E999" s="255">
        <f ca="1"/>
        <v>1</v>
      </c>
      <c r="F999" s="255">
        <f ca="1"/>
        <v>1</v>
      </c>
    </row>
  </sheetData>
  <autoFilter ref="A3:H919" xr:uid="{8CE6C786-097F-4C25-B535-B6A63946E74C}">
    <filterColumn colId="0">
      <filters>
        <filter val="Innovación y Transformación Digital"/>
      </filters>
    </filterColumn>
  </autoFilter>
  <mergeCells count="5">
    <mergeCell ref="J2:K2"/>
    <mergeCell ref="L2:Q2"/>
    <mergeCell ref="R2:W2"/>
    <mergeCell ref="X2:AC2"/>
    <mergeCell ref="AD2:AI2"/>
  </mergeCells>
  <conditionalFormatting sqref="J4:AI588 J590:AI1048576 L589:AI589 J589">
    <cfRule type="expression" dxfId="425" priority="4">
      <formula>AND(EOMONTH(J$3,0)&gt;=$G4, J$3&lt;=$H4)</formula>
    </cfRule>
  </conditionalFormatting>
  <conditionalFormatting sqref="A2:C1048576 A1:B1">
    <cfRule type="expression" dxfId="424" priority="3">
      <formula>AND(MOD(ROW()-4,4)&lt;&gt;0)</formula>
    </cfRule>
  </conditionalFormatting>
  <conditionalFormatting sqref="D4:D10000">
    <cfRule type="expression" dxfId="423" priority="2">
      <formula>AND(MOD(ROW()-ROW($D$4),4)=0,$D4&lt;&gt;"")</formula>
    </cfRule>
  </conditionalFormatting>
  <conditionalFormatting sqref="D1:F1">
    <cfRule type="expression" dxfId="422" priority="6487">
      <formula>AND(EOMONTH(K$3,0)&gt;=$G589, K$3&lt;=$H589)</formula>
    </cfRule>
  </conditionalFormatting>
  <conditionalFormatting sqref="E1:F1048576">
    <cfRule type="expression" dxfId="421" priority="1">
      <formula>AND(MOD(ROW()-4,4)&lt;&gt;0)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532A5-9AC1-4A5B-AF77-37C4A8680FFC}">
  <sheetPr codeName="Hoja3"/>
  <dimension ref="B3:R119"/>
  <sheetViews>
    <sheetView topLeftCell="D1" zoomScale="85" zoomScaleNormal="85" workbookViewId="0">
      <selection activeCell="L33" sqref="L33"/>
    </sheetView>
  </sheetViews>
  <sheetFormatPr defaultColWidth="9.140625" defaultRowHeight="15"/>
  <cols>
    <col min="2" max="2" width="26.140625" customWidth="1"/>
    <col min="3" max="3" width="15.28515625" hidden="1" customWidth="1"/>
    <col min="4" max="4" width="9.140625" customWidth="1"/>
    <col min="5" max="5" width="14.28515625" customWidth="1"/>
    <col min="6" max="6" width="16" customWidth="1"/>
    <col min="7" max="8" width="14.140625" customWidth="1"/>
    <col min="9" max="9" width="12" customWidth="1"/>
    <col min="10" max="10" width="14.140625" customWidth="1"/>
    <col min="11" max="11" width="13.5703125" customWidth="1"/>
    <col min="12" max="12" width="11.140625" bestFit="1" customWidth="1"/>
    <col min="13" max="13" width="15" customWidth="1"/>
    <col min="15" max="15" width="15.85546875" customWidth="1"/>
    <col min="16" max="16" width="12.5703125" hidden="1" customWidth="1"/>
    <col min="17" max="17" width="21.85546875" hidden="1" customWidth="1"/>
  </cols>
  <sheetData>
    <row r="3" spans="2:8" hidden="1">
      <c r="B3" s="202" t="s">
        <v>2291</v>
      </c>
      <c r="C3" s="202"/>
      <c r="D3" s="202" t="s">
        <v>7</v>
      </c>
      <c r="E3" s="202" t="s">
        <v>2292</v>
      </c>
      <c r="F3" s="3"/>
      <c r="G3" s="3"/>
      <c r="H3" s="3"/>
    </row>
    <row r="4" spans="2:8" hidden="1">
      <c r="B4" s="40" t="s">
        <v>2000</v>
      </c>
      <c r="C4" s="40"/>
      <c r="D4" s="40" t="s">
        <v>340</v>
      </c>
      <c r="E4" s="40" t="s">
        <v>2293</v>
      </c>
    </row>
    <row r="5" spans="2:8" hidden="1">
      <c r="B5" s="40" t="s">
        <v>592</v>
      </c>
      <c r="C5" s="40"/>
      <c r="D5" s="40" t="s">
        <v>48</v>
      </c>
      <c r="E5" s="40" t="s">
        <v>2293</v>
      </c>
    </row>
    <row r="6" spans="2:8" hidden="1">
      <c r="B6" s="40" t="s">
        <v>581</v>
      </c>
      <c r="C6" s="40"/>
      <c r="D6" s="40" t="s">
        <v>48</v>
      </c>
      <c r="E6" s="40" t="s">
        <v>2293</v>
      </c>
    </row>
    <row r="7" spans="2:8" hidden="1">
      <c r="B7" s="40" t="s">
        <v>572</v>
      </c>
      <c r="C7" s="40"/>
      <c r="D7" s="40" t="s">
        <v>48</v>
      </c>
      <c r="E7" s="40" t="s">
        <v>2293</v>
      </c>
    </row>
    <row r="8" spans="2:8" hidden="1">
      <c r="B8" s="40" t="s">
        <v>1281</v>
      </c>
      <c r="C8" s="40"/>
      <c r="D8" s="40" t="s">
        <v>178</v>
      </c>
      <c r="E8" s="40" t="s">
        <v>2294</v>
      </c>
    </row>
    <row r="9" spans="2:8" hidden="1">
      <c r="B9" s="40" t="s">
        <v>1260</v>
      </c>
      <c r="C9" s="40"/>
      <c r="D9" s="40" t="s">
        <v>87</v>
      </c>
      <c r="E9" s="40" t="s">
        <v>2294</v>
      </c>
    </row>
    <row r="10" spans="2:8" hidden="1">
      <c r="B10" s="40" t="s">
        <v>2110</v>
      </c>
      <c r="C10" s="40"/>
      <c r="D10" s="40" t="s">
        <v>87</v>
      </c>
      <c r="E10" s="40" t="s">
        <v>2294</v>
      </c>
    </row>
    <row r="11" spans="2:8" hidden="1">
      <c r="B11" s="40" t="s">
        <v>2026</v>
      </c>
      <c r="C11" s="40"/>
      <c r="D11" s="40" t="s">
        <v>87</v>
      </c>
      <c r="E11" s="40" t="s">
        <v>2294</v>
      </c>
    </row>
    <row r="12" spans="2:8" hidden="1">
      <c r="B12" s="40" t="s">
        <v>655</v>
      </c>
      <c r="C12" s="40"/>
      <c r="D12" s="40" t="s">
        <v>42</v>
      </c>
      <c r="E12" s="40" t="s">
        <v>2294</v>
      </c>
    </row>
    <row r="13" spans="2:8" hidden="1">
      <c r="B13" s="40" t="s">
        <v>583</v>
      </c>
      <c r="C13" s="40"/>
      <c r="D13" s="40" t="s">
        <v>35</v>
      </c>
      <c r="E13" s="40" t="s">
        <v>2295</v>
      </c>
    </row>
    <row r="14" spans="2:8" hidden="1">
      <c r="B14" s="40" t="s">
        <v>734</v>
      </c>
      <c r="C14" s="40"/>
      <c r="D14" s="40" t="s">
        <v>35</v>
      </c>
      <c r="E14" s="40" t="s">
        <v>2295</v>
      </c>
    </row>
    <row r="15" spans="2:8" hidden="1">
      <c r="B15" s="40" t="s">
        <v>536</v>
      </c>
      <c r="C15" s="40"/>
      <c r="D15" s="40" t="s">
        <v>53</v>
      </c>
      <c r="E15" s="40" t="s">
        <v>2296</v>
      </c>
    </row>
    <row r="16" spans="2:8" hidden="1">
      <c r="B16" s="40" t="s">
        <v>636</v>
      </c>
      <c r="C16" s="40"/>
      <c r="D16" s="40" t="s">
        <v>53</v>
      </c>
      <c r="E16" s="40" t="s">
        <v>2296</v>
      </c>
    </row>
    <row r="17" spans="2:17" hidden="1">
      <c r="B17" s="40" t="s">
        <v>1639</v>
      </c>
      <c r="C17" s="40"/>
      <c r="D17" s="40" t="s">
        <v>53</v>
      </c>
      <c r="E17" s="40" t="s">
        <v>2296</v>
      </c>
    </row>
    <row r="18" spans="2:17" hidden="1">
      <c r="B18" s="40" t="s">
        <v>1698</v>
      </c>
      <c r="C18" s="40"/>
      <c r="D18" s="40" t="s">
        <v>53</v>
      </c>
      <c r="E18" s="40" t="s">
        <v>2296</v>
      </c>
    </row>
    <row r="19" spans="2:17" hidden="1">
      <c r="B19" s="40" t="s">
        <v>507</v>
      </c>
      <c r="C19" s="40"/>
      <c r="D19" s="40" t="s">
        <v>502</v>
      </c>
      <c r="E19" s="40" t="s">
        <v>2297</v>
      </c>
    </row>
    <row r="20" spans="2:17" hidden="1">
      <c r="B20" s="40" t="s">
        <v>562</v>
      </c>
      <c r="C20" s="40"/>
      <c r="D20" s="40" t="s">
        <v>28</v>
      </c>
      <c r="E20" s="40" t="s">
        <v>2298</v>
      </c>
    </row>
    <row r="24" spans="2:17">
      <c r="O24" s="211">
        <f>O45</f>
        <v>5000</v>
      </c>
      <c r="P24" s="211"/>
    </row>
    <row r="25" spans="2:17" ht="57" customHeight="1">
      <c r="B25" s="277" t="s">
        <v>2299</v>
      </c>
      <c r="C25" s="278" t="s">
        <v>2300</v>
      </c>
      <c r="D25" s="279" t="s">
        <v>2301</v>
      </c>
      <c r="E25" s="280" t="s">
        <v>2302</v>
      </c>
      <c r="F25" s="280" t="s">
        <v>2303</v>
      </c>
      <c r="G25" s="281" t="s">
        <v>2304</v>
      </c>
      <c r="H25" s="281" t="s">
        <v>2305</v>
      </c>
      <c r="I25" s="282" t="s">
        <v>2306</v>
      </c>
      <c r="J25" s="283" t="s">
        <v>2307</v>
      </c>
      <c r="K25" s="283" t="s">
        <v>2308</v>
      </c>
      <c r="L25" s="282" t="s">
        <v>2309</v>
      </c>
      <c r="M25" s="284" t="s">
        <v>2310</v>
      </c>
      <c r="N25" s="284" t="s">
        <v>2311</v>
      </c>
      <c r="O25" s="285" t="s">
        <v>2312</v>
      </c>
      <c r="P25" s="286" t="s">
        <v>2313</v>
      </c>
      <c r="Q25" s="219" t="s">
        <v>2314</v>
      </c>
    </row>
    <row r="26" spans="2:17">
      <c r="B26" s="203" t="s">
        <v>40</v>
      </c>
      <c r="C26" s="203" t="e">
        <f>D26+E26+G26+#REF!+J26</f>
        <v>#REF!</v>
      </c>
      <c r="D26" s="214" cm="1">
        <f t="array" ref="D26">SUMPRODUCT(
 (Cartera1017[Gerencia]=B26) *
 (Cartera1017[Tipo de Requerimiento]="Mantenimiento-Sw") *
 (ISNUMBER(MATCH(Cartera1017[Estado TI],
 {"04. Desarrollo Finalizado";"05. En Calidad";"06. Calidad Finalizado";"07. En Despliegue";"10. Paralizado"},0)))
)</f>
        <v>19</v>
      </c>
      <c r="E26" s="204">
        <f>COUNTIFS(Cartera1017[Gerencia],B26,Cartera1017[Estado TI],"03. En Desarrollo",Cartera1017[Tipo de Requerimiento],"Mantenimiento-Sw")+COUNTIFS(Cartera1017[Gerencia],B26,Cartera1017[Estado TI],"02. En Planificación",Cartera1017[Tipo de Requerimiento],"Mantenimiento-Sw")</f>
        <v>26</v>
      </c>
      <c r="F26" s="230">
        <f>SUMIFS(
Cartera1017[DURACIÓN DESARROLLO HORAS],
Cartera1017[Gerencia],$B26,
Cartera1017[Estado TI],"03. En Desarrollo",
Cartera1017[Tipo de Requerimiento],"Mantenimiento-Sw"
)
+
SUMIFS(
Cartera1017[DURACIÓN DESARROLLO HORAS],
Cartera1017[Gerencia],$B26,
Cartera1017[Estado TI],"02. En Planificación",
Cartera1017[Tipo de Requerimiento],"Mantenimiento-Sw"
)</f>
        <v>5461.9809523809517</v>
      </c>
      <c r="G26" s="204">
        <f>COUNTIFS(INCIDENCIAS[Gerencia],HORAS!B26)</f>
        <v>27</v>
      </c>
      <c r="H26" s="204">
        <f>G26*40</f>
        <v>1080</v>
      </c>
      <c r="I26" s="222">
        <f>$H26+$F26</f>
        <v>6541.9809523809517</v>
      </c>
      <c r="J26" s="205">
        <f>COUNTIFS(Proyectos_DE[Gerencia],HORAS!$B26,Proyectos_DE[Indicador],"EN CURSO 🟢")+COUNTIFS(Proyectos_DE[Gerencia],HORAS!$B26,Proyectos_DE[Indicador],"EN RIESGO 🟠")+COUNTIFS(Proyectos_DE[Gerencia],HORAS!$B26,Proyectos_DE[Indicador],"ATRASADO 🔴")</f>
        <v>1</v>
      </c>
      <c r="K26" s="205">
        <f>SUMIFS(Proyectos_DE[Total Esfuerzo Pendiente 
(horas desarrollo)],Proyectos_DE[Gerencia],HORAS!$B26)</f>
        <v>1410</v>
      </c>
      <c r="L26" s="224">
        <f>$I26+$K26</f>
        <v>7951.9809523809517</v>
      </c>
      <c r="M26" s="204">
        <v>40</v>
      </c>
      <c r="N26" s="212">
        <f>$O$24*(M26/100)</f>
        <v>2000</v>
      </c>
      <c r="O26" s="216">
        <f>N26-L26</f>
        <v>-5951.9809523809517</v>
      </c>
      <c r="P26" s="173">
        <v>7600</v>
      </c>
      <c r="Q26" s="173">
        <v>264</v>
      </c>
    </row>
    <row r="27" spans="2:17">
      <c r="B27" s="203" t="s">
        <v>26</v>
      </c>
      <c r="C27" s="203" t="e">
        <f>D27+E27+G27+#REF!+J27</f>
        <v>#REF!</v>
      </c>
      <c r="D27" s="214" cm="1">
        <f t="array" ref="D27">SUMPRODUCT(
 (Cartera1017[Gerencia]=B27) *
 (Cartera1017[Tipo de Requerimiento]="Mantenimiento-Sw") *
 (ISNUMBER(MATCH(Cartera1017[Estado TI],
 {"04. Desarrollo Finalizado";"05. En Calidad";"06. Calidad Finalizado";"07. En Despliegue";"10. Paralizado"},0)))
)</f>
        <v>18</v>
      </c>
      <c r="E27" s="204">
        <f>COUNTIFS(Cartera1017[Gerencia],B27,Cartera1017[Estado TI],"03. En Desarrollo",Cartera1017[Tipo de Requerimiento],"Mantenimiento-Sw")+COUNTIFS(Cartera1017[Gerencia],B27,Cartera1017[Estado TI],"02. En Planificación",Cartera1017[Tipo de Requerimiento],"Mantenimiento-Sw")</f>
        <v>18</v>
      </c>
      <c r="F27" s="230">
        <f>SUMIFS(
Cartera1017[DURACIÓN DESARROLLO HORAS],
Cartera1017[Gerencia],$B27,
Cartera1017[Estado TI],"03. En Desarrollo",
Cartera1017[Tipo de Requerimiento],"Mantenimiento-Sw"
)
+
SUMIFS(
Cartera1017[DURACIÓN DESARROLLO HORAS],
Cartera1017[Gerencia],$B27,
Cartera1017[Estado TI],"02. En Planificación",
Cartera1017[Tipo de Requerimiento],"Mantenimiento-Sw"
)</f>
        <v>2387.6017316017314</v>
      </c>
      <c r="G27" s="204">
        <f>COUNTIFS(INCIDENCIAS[Gerencia],HORAS!B27)</f>
        <v>1</v>
      </c>
      <c r="H27" s="204">
        <f t="shared" ref="H27:H38" si="0">G27*40</f>
        <v>40</v>
      </c>
      <c r="I27" s="222">
        <f t="shared" ref="I27:I38" si="1">$H27+$F27</f>
        <v>2427.6017316017314</v>
      </c>
      <c r="J27" s="205">
        <f>COUNTIFS(Proyectos_DE[Gerencia],HORAS!$B27,Proyectos_DE[Indicador],"EN CURSO 🟢")+COUNTIFS(Proyectos_DE[Gerencia],HORAS!$B27,Proyectos_DE[Indicador],"EN RIESGO 🟠")+COUNTIFS(Proyectos_DE[Gerencia],HORAS!$B27,Proyectos_DE[Indicador],"ATRASADO 🔴")</f>
        <v>3</v>
      </c>
      <c r="K27" s="205">
        <f>SUMIFS(Proyectos_DE[Total Esfuerzo Pendiente 
(horas desarrollo)],Proyectos_DE[Gerencia],HORAS!$B27)</f>
        <v>1314</v>
      </c>
      <c r="L27" s="224">
        <f>$I27+$K27</f>
        <v>3741.6017316017314</v>
      </c>
      <c r="M27" s="204">
        <v>20</v>
      </c>
      <c r="N27" s="212">
        <f>$O$24*(M27/100)</f>
        <v>1000</v>
      </c>
      <c r="O27" s="216">
        <f t="shared" ref="O27:O38" si="2">N27-L27</f>
        <v>-2741.6017316017314</v>
      </c>
      <c r="P27" s="173">
        <v>3600</v>
      </c>
      <c r="Q27" s="173">
        <v>332</v>
      </c>
    </row>
    <row r="28" spans="2:17">
      <c r="B28" s="203" t="s">
        <v>33</v>
      </c>
      <c r="C28" s="203" t="e">
        <f>D28+E28+G28+#REF!+J28</f>
        <v>#REF!</v>
      </c>
      <c r="D28" s="214" cm="1">
        <f t="array" ref="D28">SUMPRODUCT(
 (Cartera1017[Gerencia]=B28) *
 (Cartera1017[Tipo de Requerimiento]="Mantenimiento-Sw") *
 (ISNUMBER(MATCH(Cartera1017[Estado TI],
 {"04. Desarrollo Finalizado";"05. En Calidad";"06. Calidad Finalizado";"07. En Despliegue";"10. Paralizado"},0)))
)</f>
        <v>12</v>
      </c>
      <c r="E28" s="204">
        <f>COUNTIFS(Cartera1017[Gerencia],B28,Cartera1017[Estado TI],"03. En Desarrollo",Cartera1017[Tipo de Requerimiento],"Mantenimiento-Sw")+COUNTIFS(Cartera1017[Gerencia],B28,Cartera1017[Estado TI],"02. En Planificación",Cartera1017[Tipo de Requerimiento],"Mantenimiento-Sw")</f>
        <v>7</v>
      </c>
      <c r="F28" s="230">
        <f>SUMIFS(
Cartera1017[DURACIÓN DESARROLLO HORAS],
Cartera1017[Gerencia],$B28,
Cartera1017[Estado TI],"03. En Desarrollo",
Cartera1017[Tipo de Requerimiento],"Mantenimiento-Sw"
)
+
SUMIFS(
Cartera1017[DURACIÓN DESARROLLO HORAS],
Cartera1017[Gerencia],$B28,
Cartera1017[Estado TI],"02. En Planificación",
Cartera1017[Tipo de Requerimiento],"Mantenimiento-Sw"
)</f>
        <v>1211.2</v>
      </c>
      <c r="G28" s="204">
        <f>COUNTIFS(INCIDENCIAS[Gerencia],HORAS!B28)</f>
        <v>5</v>
      </c>
      <c r="H28" s="204">
        <f t="shared" si="0"/>
        <v>200</v>
      </c>
      <c r="I28" s="222">
        <f t="shared" si="1"/>
        <v>1411.2</v>
      </c>
      <c r="J28" s="205">
        <f>COUNTIFS(Proyectos_DE[Gerencia],HORAS!$B28,Proyectos_DE[Indicador],"EN CURSO 🟢")+COUNTIFS(Proyectos_DE[Gerencia],HORAS!$B28,Proyectos_DE[Indicador],"EN RIESGO 🟠")+COUNTIFS(Proyectos_DE[Gerencia],HORAS!$B28,Proyectos_DE[Indicador],"ATRASADO 🔴")</f>
        <v>0</v>
      </c>
      <c r="K28" s="205">
        <f>SUMIFS(Proyectos_DE[Total Esfuerzo Pendiente 
(horas desarrollo)],Proyectos_DE[Gerencia],HORAS!$B28)</f>
        <v>0</v>
      </c>
      <c r="L28" s="224">
        <f t="shared" ref="L28:L38" si="3">$I28+$K28</f>
        <v>1411.2</v>
      </c>
      <c r="M28" s="204">
        <v>11</v>
      </c>
      <c r="N28" s="212">
        <f t="shared" ref="N28:N38" si="4">$O$24*(M28/100)</f>
        <v>550</v>
      </c>
      <c r="O28" s="216">
        <f t="shared" si="2"/>
        <v>-861.2</v>
      </c>
      <c r="P28" s="173">
        <v>2000</v>
      </c>
      <c r="Q28" s="173">
        <v>163</v>
      </c>
    </row>
    <row r="29" spans="2:17">
      <c r="B29" s="203" t="s">
        <v>108</v>
      </c>
      <c r="C29" s="203" t="e">
        <f>D29+E29+G29+#REF!+J29</f>
        <v>#REF!</v>
      </c>
      <c r="D29" s="214" cm="1">
        <f t="array" ref="D29">SUMPRODUCT(
 (Cartera1017[Gerencia]=B29) *
 (Cartera1017[Tipo de Requerimiento]="Mantenimiento-Sw") *
 (ISNUMBER(MATCH(Cartera1017[Estado TI],
 {"04. Desarrollo Finalizado";"05. En Calidad";"06. Calidad Finalizado";"07. En Despliegue";"10. Paralizado"},0)))
)</f>
        <v>8</v>
      </c>
      <c r="E29" s="204">
        <f>COUNTIFS(Cartera1017[Gerencia],B29,Cartera1017[Estado TI],"03. En Desarrollo",Cartera1017[Tipo de Requerimiento],"Mantenimiento-Sw")+COUNTIFS(Cartera1017[Gerencia],B29,Cartera1017[Estado TI],"02. En Planificación",Cartera1017[Tipo de Requerimiento],"Mantenimiento-Sw")</f>
        <v>17</v>
      </c>
      <c r="F29" s="230">
        <f>SUMIFS(
Cartera1017[DURACIÓN DESARROLLO HORAS],
Cartera1017[Gerencia],$B29,
Cartera1017[Estado TI],"03. En Desarrollo",
Cartera1017[Tipo de Requerimiento],"Mantenimiento-Sw"
)
+
SUMIFS(
Cartera1017[DURACIÓN DESARROLLO HORAS],
Cartera1017[Gerencia],$B29,
Cartera1017[Estado TI],"02. En Planificación",
Cartera1017[Tipo de Requerimiento],"Mantenimiento-Sw"
)</f>
        <v>1394.8883116883117</v>
      </c>
      <c r="G29" s="204">
        <f>COUNTIFS(INCIDENCIAS[Gerencia],HORAS!B29)</f>
        <v>22</v>
      </c>
      <c r="H29" s="204">
        <f t="shared" si="0"/>
        <v>880</v>
      </c>
      <c r="I29" s="222">
        <f t="shared" si="1"/>
        <v>2274.8883116883117</v>
      </c>
      <c r="J29" s="205">
        <f>COUNTIFS(Proyectos_DE[Gerencia],HORAS!$B29,Proyectos_DE[Indicador],"EN CURSO 🟢")+COUNTIFS(Proyectos_DE[Gerencia],HORAS!$B29,Proyectos_DE[Indicador],"EN RIESGO 🟠")+COUNTIFS(Proyectos_DE[Gerencia],HORAS!$B29,Proyectos_DE[Indicador],"ATRASADO 🔴")</f>
        <v>0</v>
      </c>
      <c r="K29" s="205">
        <f>SUMIFS(Proyectos_DE[Total Esfuerzo Pendiente 
(horas desarrollo)],Proyectos_DE[Gerencia],HORAS!$B29)</f>
        <v>0</v>
      </c>
      <c r="L29" s="224">
        <f t="shared" si="3"/>
        <v>2274.8883116883117</v>
      </c>
      <c r="M29" s="204">
        <v>8.5</v>
      </c>
      <c r="N29" s="212">
        <f>$O$24*(M29/100)</f>
        <v>425.00000000000006</v>
      </c>
      <c r="O29" s="216">
        <f t="shared" si="2"/>
        <v>-1849.8883116883117</v>
      </c>
      <c r="P29" s="173">
        <v>2400</v>
      </c>
      <c r="Q29" s="173">
        <v>-729</v>
      </c>
    </row>
    <row r="30" spans="2:17">
      <c r="B30" s="203" t="s">
        <v>59</v>
      </c>
      <c r="C30" s="203" t="e">
        <f>D30+E30+G30+#REF!+J30</f>
        <v>#REF!</v>
      </c>
      <c r="D30" s="214" cm="1">
        <f t="array" ref="D30">SUMPRODUCT(
 (Cartera1017[Gerencia]=B30) *
 (Cartera1017[Tipo de Requerimiento]="Mantenimiento-Sw") *
 (ISNUMBER(MATCH(Cartera1017[Estado TI],
 {"04. Desarrollo Finalizado";"05. En Calidad";"06. Calidad Finalizado";"07. En Despliegue";"10. Paralizado"},0)))
)</f>
        <v>4</v>
      </c>
      <c r="E30" s="204">
        <f>COUNTIFS(Cartera1017[Gerencia],B30,Cartera1017[Estado TI],"03. En Desarrollo",Cartera1017[Tipo de Requerimiento],"Mantenimiento-Sw")+COUNTIFS(Cartera1017[Gerencia],B30,Cartera1017[Estado TI],"02. En Planificación",Cartera1017[Tipo de Requerimiento],"Mantenimiento-Sw")</f>
        <v>8</v>
      </c>
      <c r="F30" s="230">
        <f>SUMIFS(
Cartera1017[DURACIÓN DESARROLLO HORAS],
Cartera1017[Gerencia],$B30,
Cartera1017[Estado TI],"03. En Desarrollo",
Cartera1017[Tipo de Requerimiento],"Mantenimiento-Sw"
)
+
SUMIFS(
Cartera1017[DURACIÓN DESARROLLO HORAS],
Cartera1017[Gerencia],$B30,
Cartera1017[Estado TI],"02. En Planificación",
Cartera1017[Tipo de Requerimiento],"Mantenimiento-Sw"
)</f>
        <v>1296.8000000000002</v>
      </c>
      <c r="G30" s="204">
        <f>COUNTIFS(INCIDENCIAS[Gerencia],HORAS!B30)</f>
        <v>29</v>
      </c>
      <c r="H30" s="204">
        <f t="shared" si="0"/>
        <v>1160</v>
      </c>
      <c r="I30" s="222">
        <f t="shared" si="1"/>
        <v>2456.8000000000002</v>
      </c>
      <c r="J30" s="205">
        <f>COUNTIFS(Proyectos_DE[Gerencia],HORAS!$B30,Proyectos_DE[Indicador],"EN CURSO 🟢")+COUNTIFS(Proyectos_DE[Gerencia],HORAS!$B30,Proyectos_DE[Indicador],"EN RIESGO 🟠")+COUNTIFS(Proyectos_DE[Gerencia],HORAS!$B30,Proyectos_DE[Indicador],"ATRASADO 🔴")</f>
        <v>0</v>
      </c>
      <c r="K30" s="205">
        <f>SUMIFS(Proyectos_DE[Total Esfuerzo Pendiente 
(horas desarrollo)],Proyectos_DE[Gerencia],HORAS!$B30)</f>
        <v>0</v>
      </c>
      <c r="L30" s="224">
        <f t="shared" si="3"/>
        <v>2456.8000000000002</v>
      </c>
      <c r="M30" s="204">
        <v>8</v>
      </c>
      <c r="N30" s="212">
        <f t="shared" si="4"/>
        <v>400</v>
      </c>
      <c r="O30" s="216">
        <f t="shared" si="2"/>
        <v>-2056.8000000000002</v>
      </c>
      <c r="P30" s="173">
        <v>2000</v>
      </c>
      <c r="Q30" s="173">
        <v>-427</v>
      </c>
    </row>
    <row r="31" spans="2:17">
      <c r="B31" s="203" t="s">
        <v>52</v>
      </c>
      <c r="C31" s="203" t="e">
        <f>D31+E31+G31+#REF!+J31</f>
        <v>#REF!</v>
      </c>
      <c r="D31" s="214" cm="1">
        <f t="array" ref="D31">SUMPRODUCT(
 (Cartera1017[Gerencia]=B31) *
 (Cartera1017[Tipo de Requerimiento]="Mantenimiento-Sw") *
 (ISNUMBER(MATCH(Cartera1017[Estado TI],
 {"04. Desarrollo Finalizado";"05. En Calidad";"06. Calidad Finalizado";"07. En Despliegue";"10. Paralizado"},0)))
)</f>
        <v>4</v>
      </c>
      <c r="E31" s="204">
        <f>COUNTIFS(Cartera1017[Gerencia],B31,Cartera1017[Estado TI],"03. En Desarrollo",Cartera1017[Tipo de Requerimiento],"Mantenimiento-Sw")+COUNTIFS(Cartera1017[Gerencia],B31,Cartera1017[Estado TI],"02. En Planificación",Cartera1017[Tipo de Requerimiento],"Mantenimiento-Sw")</f>
        <v>0</v>
      </c>
      <c r="F31" s="230">
        <f>SUMIFS(
Cartera1017[DURACIÓN DESARROLLO HORAS],
Cartera1017[Gerencia],$B31,
Cartera1017[Estado TI],"03. En Desarrollo",
Cartera1017[Tipo de Requerimiento],"Mantenimiento-Sw"
)
+
SUMIFS(
Cartera1017[DURACIÓN DESARROLLO HORAS],
Cartera1017[Gerencia],$B31,
Cartera1017[Estado TI],"02. En Planificación",
Cartera1017[Tipo de Requerimiento],"Mantenimiento-Sw"
)</f>
        <v>0</v>
      </c>
      <c r="G31" s="204">
        <f>COUNTIFS(INCIDENCIAS[Gerencia],HORAS!B31)</f>
        <v>16</v>
      </c>
      <c r="H31" s="204">
        <f t="shared" si="0"/>
        <v>640</v>
      </c>
      <c r="I31" s="222">
        <f t="shared" si="1"/>
        <v>640</v>
      </c>
      <c r="J31" s="205">
        <f>COUNTIFS(Proyectos_DE[Gerencia],HORAS!$B31,Proyectos_DE[Indicador],"EN CURSO 🟢")+COUNTIFS(Proyectos_DE[Gerencia],HORAS!$B31,Proyectos_DE[Indicador],"EN RIESGO 🟠")+COUNTIFS(Proyectos_DE[Gerencia],HORAS!$B31,Proyectos_DE[Indicador],"ATRASADO 🔴")</f>
        <v>0</v>
      </c>
      <c r="K31" s="205">
        <f>SUMIFS(Proyectos_DE[Total Esfuerzo Pendiente 
(horas desarrollo)],Proyectos_DE[Gerencia],HORAS!$B31)</f>
        <v>0</v>
      </c>
      <c r="L31" s="224">
        <f t="shared" si="3"/>
        <v>640</v>
      </c>
      <c r="M31" s="204">
        <v>4</v>
      </c>
      <c r="N31" s="212">
        <f t="shared" si="4"/>
        <v>200</v>
      </c>
      <c r="O31" s="216">
        <f t="shared" si="2"/>
        <v>-440</v>
      </c>
      <c r="P31" s="173">
        <v>600</v>
      </c>
      <c r="Q31" s="173">
        <v>186</v>
      </c>
    </row>
    <row r="32" spans="2:17">
      <c r="B32" s="203" t="s">
        <v>62</v>
      </c>
      <c r="C32" s="203" t="e">
        <f>D32+E32+G32+#REF!+J32</f>
        <v>#REF!</v>
      </c>
      <c r="D32" s="214" cm="1">
        <f t="array" ref="D32">SUMPRODUCT(
 (Cartera1017[Gerencia]=B32) *
 (Cartera1017[Tipo de Requerimiento]="Mantenimiento-Sw") *
 (ISNUMBER(MATCH(Cartera1017[Estado TI],
 {"04. Desarrollo Finalizado";"05. En Calidad";"06. Calidad Finalizado";"07. En Despliegue";"10. Paralizado"},0)))
)</f>
        <v>0</v>
      </c>
      <c r="E32" s="204">
        <f>COUNTIFS(Cartera1017[Gerencia],B32,Cartera1017[Estado TI],"03. En Desarrollo",Cartera1017[Tipo de Requerimiento],"Mantenimiento-Sw")+COUNTIFS(Cartera1017[Gerencia],B32,Cartera1017[Estado TI],"02. En Planificación",Cartera1017[Tipo de Requerimiento],"Mantenimiento-Sw")</f>
        <v>1</v>
      </c>
      <c r="F32" s="230">
        <f>SUMIFS(
Cartera1017[DURACIÓN DESARROLLO HORAS],
Cartera1017[Gerencia],$B32,
Cartera1017[Estado TI],"03. En Desarrollo",
Cartera1017[Tipo de Requerimiento],"Mantenimiento-Sw"
)
+
SUMIFS(
Cartera1017[DURACIÓN DESARROLLO HORAS],
Cartera1017[Gerencia],$B32,
Cartera1017[Estado TI],"02. En Planificación",
Cartera1017[Tipo de Requerimiento],"Mantenimiento-Sw"
)</f>
        <v>340</v>
      </c>
      <c r="G32" s="204">
        <f>COUNTIFS(INCIDENCIAS[Gerencia],HORAS!B32)</f>
        <v>0</v>
      </c>
      <c r="H32" s="204">
        <f t="shared" si="0"/>
        <v>0</v>
      </c>
      <c r="I32" s="222">
        <f t="shared" si="1"/>
        <v>340</v>
      </c>
      <c r="J32" s="205">
        <f>COUNTIFS(Proyectos_DE[Gerencia],HORAS!$B32,Proyectos_DE[Indicador],"EN CURSO 🟢")+COUNTIFS(Proyectos_DE[Gerencia],HORAS!$B32,Proyectos_DE[Indicador],"EN RIESGO 🟠")+COUNTIFS(Proyectos_DE[Gerencia],HORAS!$B32,Proyectos_DE[Indicador],"ATRASADO 🔴")</f>
        <v>0</v>
      </c>
      <c r="K32" s="205">
        <f>SUMIFS(Proyectos_DE[Total Esfuerzo Pendiente 
(horas desarrollo)],Proyectos_DE[Gerencia],HORAS!$B32)</f>
        <v>0</v>
      </c>
      <c r="L32" s="224">
        <f t="shared" si="3"/>
        <v>340</v>
      </c>
      <c r="M32" s="204">
        <v>2.5</v>
      </c>
      <c r="N32" s="212">
        <f t="shared" si="4"/>
        <v>125</v>
      </c>
      <c r="O32" s="216">
        <f t="shared" si="2"/>
        <v>-215</v>
      </c>
      <c r="P32" s="173">
        <v>0</v>
      </c>
      <c r="Q32" s="173">
        <v>492</v>
      </c>
    </row>
    <row r="33" spans="2:18">
      <c r="B33" s="203" t="s">
        <v>82</v>
      </c>
      <c r="C33" s="203" t="e">
        <f>D33+E33+G33+#REF!+J33</f>
        <v>#REF!</v>
      </c>
      <c r="D33" s="214" cm="1">
        <f t="array" ref="D33">SUMPRODUCT(
 (Cartera1017[Gerencia]=B33) *
 (Cartera1017[Tipo de Requerimiento]="Mantenimiento-Sw") *
 (ISNUMBER(MATCH(Cartera1017[Estado TI],
 {"04. Desarrollo Finalizado";"05. En Calidad";"06. Calidad Finalizado";"07. En Despliegue";"10. Paralizado"},0)))
)</f>
        <v>4</v>
      </c>
      <c r="E33" s="204">
        <f>COUNTIFS(Cartera1017[Gerencia],B33,Cartera1017[Estado TI],"03. En Desarrollo",Cartera1017[Tipo de Requerimiento],"Mantenimiento-Sw")+COUNTIFS(Cartera1017[Gerencia],B33,Cartera1017[Estado TI],"02. En Planificación",Cartera1017[Tipo de Requerimiento],"Mantenimiento-Sw")</f>
        <v>3</v>
      </c>
      <c r="F33" s="230">
        <f>SUMIFS(
Cartera1017[DURACIÓN DESARROLLO HORAS],
Cartera1017[Gerencia],$B33,
Cartera1017[Estado TI],"03. En Desarrollo",
Cartera1017[Tipo de Requerimiento],"Mantenimiento-Sw"
)
+
SUMIFS(
Cartera1017[DURACIÓN DESARROLLO HORAS],
Cartera1017[Gerencia],$B33,
Cartera1017[Estado TI],"02. En Planificación",
Cartera1017[Tipo de Requerimiento],"Mantenimiento-Sw"
)</f>
        <v>513.21212121212125</v>
      </c>
      <c r="G33" s="204">
        <f>COUNTIFS(INCIDENCIAS[Gerencia],HORAS!B33)</f>
        <v>1</v>
      </c>
      <c r="H33" s="204">
        <f t="shared" si="0"/>
        <v>40</v>
      </c>
      <c r="I33" s="222">
        <f t="shared" si="1"/>
        <v>553.21212121212125</v>
      </c>
      <c r="J33" s="205">
        <f>COUNTIFS(Proyectos_DE[Gerencia],HORAS!$B33,Proyectos_DE[Indicador],"EN CURSO 🟢")+COUNTIFS(Proyectos_DE[Gerencia],HORAS!$B33,Proyectos_DE[Indicador],"EN RIESGO 🟠")+COUNTIFS(Proyectos_DE[Gerencia],HORAS!$B33,Proyectos_DE[Indicador],"ATRASADO 🔴")</f>
        <v>1</v>
      </c>
      <c r="K33" s="205">
        <f>SUMIFS(Proyectos_DE[Total Esfuerzo Pendiente 
(horas desarrollo)],Proyectos_DE[Gerencia],HORAS!$B33)</f>
        <v>400</v>
      </c>
      <c r="L33" s="224">
        <f t="shared" si="3"/>
        <v>953.21212121212125</v>
      </c>
      <c r="M33" s="204">
        <v>2.5</v>
      </c>
      <c r="N33" s="212">
        <f t="shared" si="4"/>
        <v>125</v>
      </c>
      <c r="O33" s="216">
        <f t="shared" si="2"/>
        <v>-828.21212121212125</v>
      </c>
      <c r="P33" s="173">
        <v>600</v>
      </c>
      <c r="Q33" s="173">
        <v>-109</v>
      </c>
    </row>
    <row r="34" spans="2:18">
      <c r="B34" s="203" t="s">
        <v>46</v>
      </c>
      <c r="C34" s="203" t="e">
        <f>D34+E34+G34+#REF!+J34</f>
        <v>#REF!</v>
      </c>
      <c r="D34" s="214" cm="1">
        <f t="array" ref="D34">SUMPRODUCT(
 (Cartera1017[Gerencia]=B34) *
 (Cartera1017[Tipo de Requerimiento]="Mantenimiento-Sw") *
 (ISNUMBER(MATCH(Cartera1017[Estado TI],
 {"04. Desarrollo Finalizado";"05. En Calidad";"06. Calidad Finalizado";"07. En Despliegue";"10. Paralizado"},0)))
)</f>
        <v>3</v>
      </c>
      <c r="E34" s="204">
        <f>COUNTIFS(Cartera1017[Gerencia],B34,Cartera1017[Estado TI],"03. En Desarrollo",Cartera1017[Tipo de Requerimiento],"Mantenimiento-Sw")+COUNTIFS(Cartera1017[Gerencia],B34,Cartera1017[Estado TI],"02. En Planificación",Cartera1017[Tipo de Requerimiento],"Mantenimiento-Sw")</f>
        <v>1</v>
      </c>
      <c r="F34" s="230">
        <f>SUMIFS(
Cartera1017[DURACIÓN DESARROLLO HORAS],
Cartera1017[Gerencia],$B34,
Cartera1017[Estado TI],"03. En Desarrollo",
Cartera1017[Tipo de Requerimiento],"Mantenimiento-Sw"
)
+
SUMIFS(
Cartera1017[DURACIÓN DESARROLLO HORAS],
Cartera1017[Gerencia],$B34,
Cartera1017[Estado TI],"02. En Planificación",
Cartera1017[Tipo de Requerimiento],"Mantenimiento-Sw"
)</f>
        <v>88</v>
      </c>
      <c r="G34" s="204">
        <f>COUNTIFS(INCIDENCIAS[Gerencia],HORAS!B34)</f>
        <v>0</v>
      </c>
      <c r="H34" s="204">
        <f t="shared" si="0"/>
        <v>0</v>
      </c>
      <c r="I34" s="222">
        <f t="shared" si="1"/>
        <v>88</v>
      </c>
      <c r="J34" s="205">
        <f>COUNTIFS(Proyectos_DE[Gerencia],HORAS!$B34,Proyectos_DE[Indicador],"EN CURSO 🟢")+COUNTIFS(Proyectos_DE[Gerencia],HORAS!$B34,Proyectos_DE[Indicador],"EN RIESGO 🟠")+COUNTIFS(Proyectos_DE[Gerencia],HORAS!$B34,Proyectos_DE[Indicador],"ATRASADO 🔴")</f>
        <v>0</v>
      </c>
      <c r="K34" s="205">
        <f>SUMIFS(Proyectos_DE[Total Esfuerzo Pendiente 
(horas desarrollo)],Proyectos_DE[Gerencia],HORAS!$B34)</f>
        <v>0</v>
      </c>
      <c r="L34" s="224">
        <f t="shared" si="3"/>
        <v>88</v>
      </c>
      <c r="M34" s="204">
        <v>2</v>
      </c>
      <c r="N34" s="212">
        <f t="shared" si="4"/>
        <v>100</v>
      </c>
      <c r="O34" s="216">
        <f t="shared" si="2"/>
        <v>12</v>
      </c>
      <c r="P34" s="173">
        <v>400</v>
      </c>
      <c r="Q34" s="173">
        <v>-7</v>
      </c>
    </row>
    <row r="35" spans="2:18">
      <c r="B35" s="203" t="s">
        <v>136</v>
      </c>
      <c r="C35" s="203" t="e">
        <f>D35+E35+G35+#REF!+J35</f>
        <v>#REF!</v>
      </c>
      <c r="D35" s="214" cm="1">
        <f t="array" ref="D35">SUMPRODUCT(
 (Cartera1017[Gerencia]=B35) *
 (Cartera1017[Tipo de Requerimiento]="Mantenimiento-Sw") *
 (ISNUMBER(MATCH(Cartera1017[Estado TI],
 {"04. Desarrollo Finalizado";"05. En Calidad";"06. Calidad Finalizado";"07. En Despliegue";"10. Paralizado"},0)))
)</f>
        <v>1</v>
      </c>
      <c r="E35" s="204">
        <f>COUNTIFS(Cartera1017[Gerencia],B35,Cartera1017[Estado TI],"03. En Desarrollo",Cartera1017[Tipo de Requerimiento],"Mantenimiento-Sw")+COUNTIFS(Cartera1017[Gerencia],B35,Cartera1017[Estado TI],"02. En Planificación",Cartera1017[Tipo de Requerimiento],"Mantenimiento-Sw")</f>
        <v>0</v>
      </c>
      <c r="F35" s="230">
        <f>SUMIFS(
Cartera1017[DURACIÓN DESARROLLO HORAS],
Cartera1017[Gerencia],$B35,
Cartera1017[Estado TI],"03. En Desarrollo",
Cartera1017[Tipo de Requerimiento],"Mantenimiento-Sw"
)
+
SUMIFS(
Cartera1017[DURACIÓN DESARROLLO HORAS],
Cartera1017[Gerencia],$B35,
Cartera1017[Estado TI],"02. En Planificación",
Cartera1017[Tipo de Requerimiento],"Mantenimiento-Sw"
)</f>
        <v>0</v>
      </c>
      <c r="G35" s="204">
        <f>COUNTIFS(INCIDENCIAS[Gerencia],HORAS!B35)</f>
        <v>0</v>
      </c>
      <c r="H35" s="204">
        <f t="shared" si="0"/>
        <v>0</v>
      </c>
      <c r="I35" s="222">
        <f t="shared" si="1"/>
        <v>0</v>
      </c>
      <c r="J35" s="205">
        <f>COUNTIFS(Proyectos_DE[Gerencia],HORAS!$B35,Proyectos_DE[Indicador],"EN CURSO 🟢")+COUNTIFS(Proyectos_DE[Gerencia],HORAS!$B35,Proyectos_DE[Indicador],"EN RIESGO 🟠")+COUNTIFS(Proyectos_DE[Gerencia],HORAS!$B35,Proyectos_DE[Indicador],"ATRASADO 🔴")</f>
        <v>0</v>
      </c>
      <c r="K35" s="205">
        <f>SUMIFS(Proyectos_DE[Total Esfuerzo Pendiente 
(horas desarrollo)],Proyectos_DE[Gerencia],HORAS!$B35)</f>
        <v>0</v>
      </c>
      <c r="L35" s="224">
        <f t="shared" si="3"/>
        <v>0</v>
      </c>
      <c r="M35" s="204">
        <v>0.375</v>
      </c>
      <c r="N35" s="212">
        <f t="shared" si="4"/>
        <v>18.75</v>
      </c>
      <c r="O35" s="216">
        <f t="shared" si="2"/>
        <v>18.75</v>
      </c>
      <c r="P35" s="173">
        <v>200</v>
      </c>
      <c r="Q35" s="173">
        <v>-126</v>
      </c>
    </row>
    <row r="36" spans="2:18">
      <c r="B36" s="203" t="s">
        <v>2315</v>
      </c>
      <c r="C36" s="203" t="e">
        <f>D36+E36+G36+#REF!+J36</f>
        <v>#REF!</v>
      </c>
      <c r="D36" s="214" cm="1">
        <f t="array" ref="D36">SUMPRODUCT(
 (Cartera1017[Gerencia]=B36) *
 (Cartera1017[Tipo de Requerimiento]="Mantenimiento-Sw") *
 (ISNUMBER(MATCH(Cartera1017[Estado TI],
 {"04. Desarrollo Finalizado";"05. En Calidad";"06. Calidad Finalizado";"07. En Despliegue";"10. Paralizado"},0)))
)</f>
        <v>0</v>
      </c>
      <c r="E36" s="204">
        <f>COUNTIFS(Cartera1017[Gerencia],B36,Cartera1017[Estado TI],"03. En Desarrollo",Cartera1017[Tipo de Requerimiento],"Mantenimiento-Sw")+COUNTIFS(Cartera1017[Gerencia],B36,Cartera1017[Estado TI],"02. En Planificación",Cartera1017[Tipo de Requerimiento],"Mantenimiento-Sw")</f>
        <v>0</v>
      </c>
      <c r="F36" s="230">
        <f>SUMIFS(
Cartera1017[DURACIÓN DESARROLLO HORAS],
Cartera1017[Gerencia],$B36,
Cartera1017[Estado TI],"03. En Desarrollo",
Cartera1017[Tipo de Requerimiento],"Mantenimiento-Sw"
)
+
SUMIFS(
Cartera1017[DURACIÓN DESARROLLO HORAS],
Cartera1017[Gerencia],$B36,
Cartera1017[Estado TI],"02. En Planificación",
Cartera1017[Tipo de Requerimiento],"Mantenimiento-Sw"
)</f>
        <v>0</v>
      </c>
      <c r="G36" s="204">
        <f>COUNTIFS(INCIDENCIAS[Gerencia],HORAS!B36)</f>
        <v>2</v>
      </c>
      <c r="H36" s="204">
        <f t="shared" si="0"/>
        <v>80</v>
      </c>
      <c r="I36" s="222">
        <f t="shared" si="1"/>
        <v>80</v>
      </c>
      <c r="J36" s="205">
        <f>COUNTIFS(Proyectos_DE[Gerencia],HORAS!$B36,Proyectos_DE[Indicador],"EN CURSO 🟢")+COUNTIFS(Proyectos_DE[Gerencia],HORAS!$B36,Proyectos_DE[Indicador],"EN RIESGO 🟠")+COUNTIFS(Proyectos_DE[Gerencia],HORAS!$B36,Proyectos_DE[Indicador],"ATRASADO 🔴")</f>
        <v>0</v>
      </c>
      <c r="K36" s="205">
        <f>SUMIFS(Proyectos_DE[Total Esfuerzo Pendiente 
(horas desarrollo)],Proyectos_DE[Gerencia],HORAS!$B36)</f>
        <v>0</v>
      </c>
      <c r="L36" s="224">
        <f t="shared" si="3"/>
        <v>80</v>
      </c>
      <c r="M36" s="204">
        <v>0.375</v>
      </c>
      <c r="N36" s="212">
        <f t="shared" si="4"/>
        <v>18.75</v>
      </c>
      <c r="O36" s="216">
        <f t="shared" si="2"/>
        <v>-61.25</v>
      </c>
      <c r="P36" s="173">
        <v>200</v>
      </c>
      <c r="Q36" s="173">
        <v>-126</v>
      </c>
    </row>
    <row r="37" spans="2:18">
      <c r="B37" s="206" t="s">
        <v>2316</v>
      </c>
      <c r="C37" s="203" t="e">
        <f>D37+E37+G37+#REF!+J37</f>
        <v>#REF!</v>
      </c>
      <c r="D37" s="214" cm="1">
        <f t="array" ref="D37">SUMPRODUCT(
 (Cartera1017[Gerencia]=B37) *
 (Cartera1017[Tipo de Requerimiento]="Mantenimiento-Sw") *
 (ISNUMBER(MATCH(Cartera1017[Estado TI],
 {"04. Desarrollo Finalizado";"05. En Calidad";"06. Calidad Finalizado";"07. En Despliegue";"10. Paralizado"},0)))
)</f>
        <v>0</v>
      </c>
      <c r="E37" s="204">
        <f>COUNTIFS(Cartera1017[Gerencia],B37,Cartera1017[Estado TI],"03. En Desarrollo",Cartera1017[Tipo de Requerimiento],"Mantenimiento-Sw")+COUNTIFS(Cartera1017[Gerencia],B37,Cartera1017[Estado TI],"02. En Planificación",Cartera1017[Tipo de Requerimiento],"Mantenimiento-Sw")</f>
        <v>0</v>
      </c>
      <c r="F37" s="230">
        <f>SUMIFS(
Cartera1017[DURACIÓN DESARROLLO HORAS],
Cartera1017[Gerencia],$B37,
Cartera1017[Estado TI],"03. En Desarrollo",
Cartera1017[Tipo de Requerimiento],"Mantenimiento-Sw"
)
+
SUMIFS(
Cartera1017[DURACIÓN DESARROLLO HORAS],
Cartera1017[Gerencia],$B37,
Cartera1017[Estado TI],"02. En Planificación",
Cartera1017[Tipo de Requerimiento],"Mantenimiento-Sw"
)</f>
        <v>0</v>
      </c>
      <c r="G37" s="204">
        <f>COUNTIFS(INCIDENCIAS[Gerencia],HORAS!B37)</f>
        <v>1</v>
      </c>
      <c r="H37" s="204">
        <f t="shared" si="0"/>
        <v>40</v>
      </c>
      <c r="I37" s="222">
        <f t="shared" si="1"/>
        <v>40</v>
      </c>
      <c r="J37" s="205">
        <f>COUNTIFS(Proyectos_DE[Gerencia],HORAS!$B37,Proyectos_DE[Indicador],"EN CURSO 🟢")+COUNTIFS(Proyectos_DE[Gerencia],HORAS!$B37,Proyectos_DE[Indicador],"EN RIESGO 🟠")+COUNTIFS(Proyectos_DE[Gerencia],HORAS!$B37,Proyectos_DE[Indicador],"ATRASADO 🔴")</f>
        <v>0</v>
      </c>
      <c r="K37" s="205">
        <f>SUMIFS(Proyectos_DE[Total Esfuerzo Pendiente 
(horas desarrollo)],Proyectos_DE[Gerencia],HORAS!$B37)</f>
        <v>0</v>
      </c>
      <c r="L37" s="224">
        <f t="shared" si="3"/>
        <v>40</v>
      </c>
      <c r="M37" s="204">
        <v>0.375</v>
      </c>
      <c r="N37" s="212">
        <f t="shared" si="4"/>
        <v>18.75</v>
      </c>
      <c r="O37" s="216">
        <f t="shared" si="2"/>
        <v>-21.25</v>
      </c>
      <c r="P37" s="173">
        <v>0</v>
      </c>
      <c r="Q37" s="173">
        <v>74</v>
      </c>
    </row>
    <row r="38" spans="2:18">
      <c r="B38" s="207" t="s">
        <v>2317</v>
      </c>
      <c r="C38" s="203" t="e">
        <f>D38+E38+G38+#REF!+J38</f>
        <v>#REF!</v>
      </c>
      <c r="D38" s="214" cm="1">
        <f t="array" ref="D38">SUMPRODUCT(
 (Cartera1017[Gerencia]=B38) *
 (Cartera1017[DEVOLVER 27]="NO") *
 (Cartera1017[ESTADO NO DEVUELTOS 27]&lt;&gt;"") *
 (ISNUMBER(MATCH(Cartera1017[Estado TI],
 {"04. Desarrollo Finalizado";"05. En Calidad";"06. Calidad Finalizado";"07. En Despliegue"},0)))
)</f>
        <v>0</v>
      </c>
      <c r="E38" s="204">
        <f>COUNTIFS(Cartera1017[Gerencia],B38,Cartera1017[Estado TI],"03. En Desarrollo",Cartera1017[Tipo de Requerimiento],"Mantenimiento-Sw")+COUNTIFS(Cartera1017[Gerencia],B38,Cartera1017[Estado TI],"02. En Planificación",Cartera1017[Tipo de Requerimiento],"Mantenimiento-Sw")</f>
        <v>0</v>
      </c>
      <c r="F38" s="230">
        <f>SUMIFS(
Cartera1017[DURACIÓN DESARROLLO HORAS],
Cartera1017[Gerencia],$B38,
Cartera1017[Estado TI],"03. En Desarrollo",
Cartera1017[Tipo de Requerimiento],"Mantenimiento-Sw"
)
+
SUMIFS(
Cartera1017[DURACIÓN DESARROLLO HORAS],
Cartera1017[Gerencia],$B38,
Cartera1017[Estado TI],"02. En Planificación",
Cartera1017[Tipo de Requerimiento],"Mantenimiento-Sw"
)</f>
        <v>0</v>
      </c>
      <c r="G38" s="204">
        <f>COUNTIFS(INCIDENCIAS[Gerencia],HORAS!B38)</f>
        <v>1</v>
      </c>
      <c r="H38" s="204">
        <f t="shared" si="0"/>
        <v>40</v>
      </c>
      <c r="I38" s="222">
        <f t="shared" si="1"/>
        <v>40</v>
      </c>
      <c r="J38" s="205">
        <f>COUNTIFS(Proyectos_DE[Gerencia],HORAS!$B38,Proyectos_DE[Indicador],"EN CURSO 🟢")+COUNTIFS(Proyectos_DE[Gerencia],HORAS!$B38,Proyectos_DE[Indicador],"EN RIESGO 🟠")+COUNTIFS(Proyectos_DE[Gerencia],HORAS!$B38,Proyectos_DE[Indicador],"ATRASADO 🔴")</f>
        <v>0</v>
      </c>
      <c r="K38" s="205">
        <f>SUMIFS(Proyectos_DE[Total Esfuerzo Pendiente 
(horas desarrollo)],Proyectos_DE[Gerencia],HORAS!$B38)</f>
        <v>0</v>
      </c>
      <c r="L38" s="224">
        <f t="shared" si="3"/>
        <v>40</v>
      </c>
      <c r="M38" s="204">
        <v>0.375</v>
      </c>
      <c r="N38" s="212">
        <f t="shared" si="4"/>
        <v>18.75</v>
      </c>
      <c r="O38" s="216">
        <f t="shared" si="2"/>
        <v>-21.25</v>
      </c>
      <c r="P38" s="173">
        <v>0</v>
      </c>
      <c r="Q38" s="173">
        <v>73</v>
      </c>
    </row>
    <row r="39" spans="2:18">
      <c r="B39" s="208" t="s">
        <v>2318</v>
      </c>
      <c r="C39" s="208" t="e">
        <f>SUM(C26:C38)</f>
        <v>#REF!</v>
      </c>
      <c r="D39" s="209">
        <f t="shared" ref="D39:M39" si="5">SUM(D26:D38)</f>
        <v>73</v>
      </c>
      <c r="E39" s="210">
        <f t="shared" si="5"/>
        <v>81</v>
      </c>
      <c r="F39" s="223">
        <f>SUM(F26:F38)</f>
        <v>12693.683116883118</v>
      </c>
      <c r="G39" s="210">
        <f>SUM(G26:G38)</f>
        <v>105</v>
      </c>
      <c r="H39" s="210">
        <f>SUM(H26:H38)</f>
        <v>4200</v>
      </c>
      <c r="I39" s="223">
        <f t="shared" si="5"/>
        <v>16893.683116883116</v>
      </c>
      <c r="J39" s="210">
        <f t="shared" si="5"/>
        <v>5</v>
      </c>
      <c r="K39" s="210">
        <f t="shared" si="5"/>
        <v>3124</v>
      </c>
      <c r="L39" s="223">
        <f t="shared" si="5"/>
        <v>20017.683116883116</v>
      </c>
      <c r="M39" s="210">
        <f t="shared" si="5"/>
        <v>100</v>
      </c>
      <c r="N39" s="215">
        <f>SUM(N26:N38)</f>
        <v>5000</v>
      </c>
      <c r="O39" s="217">
        <f>SUM(O26:O38)</f>
        <v>-15017.683116883118</v>
      </c>
      <c r="P39" s="220">
        <f>SUM(P26:P38)</f>
        <v>19600</v>
      </c>
      <c r="Q39" s="221">
        <f>SUM(Q26:Q38)</f>
        <v>60</v>
      </c>
    </row>
    <row r="44" spans="2:18">
      <c r="B44" s="213" t="s">
        <v>2319</v>
      </c>
      <c r="C44" s="218"/>
      <c r="D44" s="29"/>
      <c r="E44" s="213" t="s">
        <v>2320</v>
      </c>
      <c r="F44" s="218"/>
      <c r="G44" s="29"/>
      <c r="H44" s="29"/>
      <c r="I44" s="29"/>
      <c r="J44" s="213" t="s">
        <v>2321</v>
      </c>
      <c r="K44" s="29"/>
      <c r="L44" s="29"/>
      <c r="M44" s="213" t="s">
        <v>2322</v>
      </c>
      <c r="N44" s="29"/>
      <c r="O44" s="213" t="s">
        <v>2323</v>
      </c>
      <c r="P44" s="218"/>
      <c r="Q44" s="29"/>
      <c r="R44" s="29"/>
    </row>
    <row r="45" spans="2:18">
      <c r="B45" s="173">
        <v>25</v>
      </c>
      <c r="C45" s="29"/>
      <c r="D45" s="29"/>
      <c r="E45" s="173">
        <f>B45*E49</f>
        <v>3500</v>
      </c>
      <c r="F45" s="29"/>
      <c r="G45" s="29"/>
      <c r="H45" s="29"/>
      <c r="I45" s="29"/>
      <c r="J45" s="173">
        <v>1</v>
      </c>
      <c r="K45" s="29"/>
      <c r="L45" s="29"/>
      <c r="M45" s="173">
        <f>E45*J45</f>
        <v>3500</v>
      </c>
      <c r="N45" s="29"/>
      <c r="O45" s="173">
        <f>M45+M48</f>
        <v>5000</v>
      </c>
      <c r="P45" s="29"/>
      <c r="Q45" s="29"/>
      <c r="R45" s="29"/>
    </row>
    <row r="46" spans="2:18">
      <c r="B46" s="29"/>
      <c r="C46" s="29"/>
      <c r="D46" s="29"/>
      <c r="E46" s="29"/>
      <c r="F46" s="29"/>
      <c r="G46" s="29"/>
      <c r="H46" s="29"/>
      <c r="I46" s="29"/>
      <c r="J46" s="29"/>
      <c r="K46" s="29"/>
      <c r="L46" s="29"/>
      <c r="M46" s="29"/>
      <c r="N46" s="29"/>
      <c r="O46" s="29"/>
      <c r="P46" s="29"/>
      <c r="Q46" s="29"/>
      <c r="R46" s="29"/>
    </row>
    <row r="47" spans="2:18">
      <c r="B47" s="29"/>
      <c r="C47" s="29"/>
      <c r="D47" s="62"/>
      <c r="E47" s="62"/>
      <c r="F47" s="62"/>
      <c r="G47" s="29"/>
      <c r="H47" s="29"/>
      <c r="I47" s="29"/>
      <c r="J47" s="29"/>
      <c r="K47" s="29"/>
      <c r="L47" s="29"/>
      <c r="M47" s="213" t="s">
        <v>2324</v>
      </c>
      <c r="N47" s="29"/>
      <c r="O47" s="29"/>
      <c r="P47" s="29"/>
      <c r="Q47" s="29"/>
      <c r="R47" s="29"/>
    </row>
    <row r="48" spans="2:18">
      <c r="B48" s="29"/>
      <c r="C48" s="29"/>
      <c r="D48" s="29"/>
      <c r="E48" s="213" t="s">
        <v>2325</v>
      </c>
      <c r="F48" s="218"/>
      <c r="G48" s="29"/>
      <c r="H48" s="29"/>
      <c r="I48" s="29"/>
      <c r="J48" s="29"/>
      <c r="K48" s="29"/>
      <c r="L48" s="29"/>
      <c r="M48" s="173">
        <v>1500</v>
      </c>
      <c r="N48" s="29">
        <v>4000</v>
      </c>
      <c r="O48" s="29"/>
      <c r="P48" s="29"/>
      <c r="Q48" s="29"/>
      <c r="R48" s="29"/>
    </row>
    <row r="49" spans="2:18">
      <c r="B49" s="29"/>
      <c r="C49" s="29"/>
      <c r="D49" s="29"/>
      <c r="E49" s="173">
        <v>140</v>
      </c>
      <c r="F49" s="29"/>
      <c r="G49" s="29"/>
      <c r="H49" s="29"/>
      <c r="I49" s="29"/>
      <c r="J49" s="29"/>
      <c r="K49" s="29"/>
      <c r="L49" s="29"/>
      <c r="M49" s="29"/>
      <c r="N49" s="29"/>
      <c r="O49" s="29"/>
      <c r="P49" s="29"/>
      <c r="Q49" s="29"/>
      <c r="R49" s="29"/>
    </row>
    <row r="50" spans="2:18">
      <c r="B50" s="29"/>
      <c r="C50" s="29"/>
      <c r="D50" s="29"/>
      <c r="E50" s="29"/>
      <c r="F50" s="29"/>
      <c r="G50" s="29"/>
      <c r="H50" s="29"/>
      <c r="I50" s="29"/>
      <c r="J50" s="29"/>
      <c r="K50" s="29"/>
      <c r="L50" s="29"/>
      <c r="M50" s="29"/>
      <c r="N50" s="29"/>
      <c r="O50" s="29"/>
      <c r="P50" s="29"/>
      <c r="Q50" s="29"/>
      <c r="R50" s="29"/>
    </row>
    <row r="51" spans="2:18">
      <c r="B51" s="29"/>
      <c r="C51" s="29"/>
      <c r="D51" s="29"/>
      <c r="E51" s="29"/>
      <c r="F51" s="29"/>
      <c r="G51" s="29"/>
      <c r="H51" s="29"/>
      <c r="I51" s="29"/>
      <c r="J51" s="29"/>
      <c r="K51" s="29"/>
      <c r="L51" s="29"/>
      <c r="M51" s="29"/>
      <c r="N51" s="29"/>
      <c r="O51" s="29"/>
      <c r="P51" s="29"/>
      <c r="Q51" s="29"/>
      <c r="R51" s="29"/>
    </row>
    <row r="52" spans="2:18">
      <c r="B52" s="29"/>
      <c r="C52" s="29"/>
      <c r="D52" s="29"/>
      <c r="E52" s="29"/>
      <c r="F52" s="29"/>
      <c r="G52" s="29"/>
      <c r="H52" s="29"/>
      <c r="I52" s="29"/>
      <c r="J52" s="29"/>
      <c r="K52" s="29"/>
      <c r="L52" s="29"/>
      <c r="M52" s="29"/>
      <c r="N52" s="29"/>
      <c r="O52" s="29"/>
      <c r="P52" s="29"/>
      <c r="Q52" s="29"/>
      <c r="R52" s="29"/>
    </row>
    <row r="53" spans="2:18">
      <c r="B53" s="29"/>
      <c r="C53" s="29"/>
      <c r="D53" s="29"/>
      <c r="E53" s="29"/>
      <c r="F53" s="29"/>
      <c r="G53" s="29"/>
      <c r="H53" s="29"/>
      <c r="I53" s="29"/>
      <c r="J53" s="29"/>
      <c r="K53" s="29"/>
      <c r="L53" s="29"/>
      <c r="M53" s="29"/>
      <c r="N53" s="29"/>
      <c r="O53" s="29"/>
      <c r="P53" s="29"/>
      <c r="Q53" s="29"/>
      <c r="R53" s="29"/>
    </row>
    <row r="60" spans="2:18">
      <c r="B60" t="s">
        <v>2326</v>
      </c>
      <c r="C60" t="s">
        <v>2327</v>
      </c>
      <c r="D60" t="s">
        <v>2328</v>
      </c>
    </row>
    <row r="61" spans="2:18">
      <c r="B61" t="s">
        <v>2329</v>
      </c>
      <c r="D61" s="160">
        <v>44927</v>
      </c>
    </row>
    <row r="62" spans="2:18">
      <c r="B62" t="s">
        <v>2329</v>
      </c>
      <c r="D62" s="160">
        <v>45292</v>
      </c>
    </row>
    <row r="63" spans="2:18">
      <c r="B63" t="s">
        <v>2329</v>
      </c>
      <c r="D63" s="160">
        <v>45658</v>
      </c>
    </row>
    <row r="64" spans="2:18">
      <c r="B64" t="s">
        <v>2329</v>
      </c>
      <c r="D64" s="160">
        <v>46023</v>
      </c>
    </row>
    <row r="65" spans="2:4">
      <c r="B65" t="s">
        <v>2330</v>
      </c>
      <c r="D65" s="160">
        <v>44928</v>
      </c>
    </row>
    <row r="66" spans="2:4">
      <c r="B66" t="s">
        <v>2330</v>
      </c>
      <c r="D66" s="160">
        <v>45293</v>
      </c>
    </row>
    <row r="67" spans="2:4">
      <c r="B67" t="s">
        <v>2330</v>
      </c>
      <c r="D67" s="160">
        <v>45659</v>
      </c>
    </row>
    <row r="68" spans="2:4">
      <c r="B68" t="s">
        <v>2330</v>
      </c>
      <c r="D68" s="160">
        <v>46024</v>
      </c>
    </row>
    <row r="69" spans="2:4">
      <c r="B69" t="s">
        <v>2331</v>
      </c>
      <c r="D69" s="160">
        <v>45022</v>
      </c>
    </row>
    <row r="70" spans="2:4">
      <c r="B70" t="s">
        <v>2330</v>
      </c>
      <c r="D70" s="160">
        <v>45044</v>
      </c>
    </row>
    <row r="71" spans="2:4">
      <c r="B71" t="s">
        <v>2332</v>
      </c>
      <c r="D71" s="160">
        <v>45047</v>
      </c>
    </row>
    <row r="72" spans="2:4">
      <c r="B72" t="s">
        <v>2332</v>
      </c>
      <c r="D72" s="160">
        <v>45413</v>
      </c>
    </row>
    <row r="73" spans="2:4">
      <c r="B73" t="s">
        <v>2332</v>
      </c>
      <c r="D73" s="160">
        <v>45778</v>
      </c>
    </row>
    <row r="74" spans="2:4">
      <c r="B74" t="s">
        <v>2332</v>
      </c>
      <c r="D74" s="160">
        <v>46143</v>
      </c>
    </row>
    <row r="75" spans="2:4">
      <c r="B75" t="s">
        <v>2333</v>
      </c>
      <c r="D75" s="160">
        <v>45106</v>
      </c>
    </row>
    <row r="76" spans="2:4">
      <c r="B76" t="s">
        <v>2333</v>
      </c>
      <c r="D76" s="160">
        <v>45472</v>
      </c>
    </row>
    <row r="77" spans="2:4">
      <c r="B77" t="s">
        <v>2333</v>
      </c>
      <c r="D77" s="160">
        <v>45837</v>
      </c>
    </row>
    <row r="78" spans="2:4">
      <c r="B78" t="s">
        <v>2333</v>
      </c>
      <c r="D78" s="160">
        <v>46202</v>
      </c>
    </row>
    <row r="79" spans="2:4">
      <c r="B79" t="s">
        <v>2330</v>
      </c>
      <c r="D79" s="160">
        <v>45107</v>
      </c>
    </row>
    <row r="80" spans="2:4">
      <c r="B80" t="s">
        <v>2330</v>
      </c>
      <c r="D80" s="160">
        <v>45134</v>
      </c>
    </row>
    <row r="81" spans="2:4">
      <c r="B81" t="s">
        <v>2334</v>
      </c>
      <c r="D81" s="160">
        <v>45135</v>
      </c>
    </row>
    <row r="82" spans="2:4">
      <c r="B82" t="s">
        <v>2334</v>
      </c>
      <c r="D82" s="160">
        <v>45501</v>
      </c>
    </row>
    <row r="83" spans="2:4">
      <c r="B83" t="s">
        <v>2334</v>
      </c>
      <c r="D83" s="160">
        <v>45866</v>
      </c>
    </row>
    <row r="84" spans="2:4">
      <c r="B84" t="s">
        <v>2334</v>
      </c>
      <c r="D84" s="160">
        <v>46231</v>
      </c>
    </row>
    <row r="85" spans="2:4">
      <c r="B85" t="s">
        <v>2335</v>
      </c>
      <c r="D85" s="160">
        <v>45136</v>
      </c>
    </row>
    <row r="86" spans="2:4">
      <c r="B86" t="s">
        <v>2335</v>
      </c>
      <c r="D86" s="160">
        <v>45502</v>
      </c>
    </row>
    <row r="87" spans="2:4">
      <c r="B87" t="s">
        <v>2335</v>
      </c>
      <c r="D87" s="160">
        <v>45867</v>
      </c>
    </row>
    <row r="88" spans="2:4">
      <c r="B88" t="s">
        <v>2335</v>
      </c>
      <c r="D88" s="160">
        <v>46232</v>
      </c>
    </row>
    <row r="89" spans="2:4">
      <c r="B89" t="s">
        <v>2336</v>
      </c>
      <c r="D89" s="160">
        <v>45168</v>
      </c>
    </row>
    <row r="90" spans="2:4">
      <c r="B90" t="s">
        <v>2336</v>
      </c>
      <c r="D90" s="160">
        <v>45534</v>
      </c>
    </row>
    <row r="91" spans="2:4">
      <c r="B91" t="s">
        <v>2336</v>
      </c>
      <c r="D91" s="160">
        <v>45899</v>
      </c>
    </row>
    <row r="92" spans="2:4">
      <c r="B92" t="s">
        <v>2336</v>
      </c>
      <c r="D92" s="160">
        <v>46264</v>
      </c>
    </row>
    <row r="93" spans="2:4">
      <c r="B93" t="s">
        <v>2337</v>
      </c>
      <c r="D93" s="160">
        <v>45207</v>
      </c>
    </row>
    <row r="94" spans="2:4">
      <c r="B94" t="s">
        <v>2337</v>
      </c>
      <c r="D94" s="160">
        <v>45573</v>
      </c>
    </row>
    <row r="95" spans="2:4">
      <c r="B95" t="s">
        <v>2337</v>
      </c>
      <c r="D95" s="160">
        <v>45938</v>
      </c>
    </row>
    <row r="96" spans="2:4">
      <c r="B96" t="s">
        <v>2337</v>
      </c>
      <c r="D96" s="160">
        <v>46303</v>
      </c>
    </row>
    <row r="97" spans="2:4">
      <c r="B97" t="s">
        <v>2330</v>
      </c>
      <c r="D97" s="160">
        <v>45208</v>
      </c>
    </row>
    <row r="98" spans="2:4">
      <c r="B98" t="s">
        <v>2338</v>
      </c>
      <c r="D98" s="160">
        <v>45231</v>
      </c>
    </row>
    <row r="99" spans="2:4">
      <c r="B99" t="s">
        <v>2338</v>
      </c>
      <c r="D99" s="160">
        <v>45597</v>
      </c>
    </row>
    <row r="100" spans="2:4">
      <c r="B100" t="s">
        <v>2338</v>
      </c>
      <c r="D100" s="160">
        <v>45962</v>
      </c>
    </row>
    <row r="101" spans="2:4">
      <c r="B101" t="s">
        <v>2338</v>
      </c>
      <c r="D101" s="160">
        <v>46327</v>
      </c>
    </row>
    <row r="102" spans="2:4">
      <c r="B102" t="s">
        <v>2330</v>
      </c>
      <c r="D102" s="160">
        <v>45267</v>
      </c>
    </row>
    <row r="103" spans="2:4">
      <c r="B103" t="s">
        <v>2339</v>
      </c>
      <c r="D103" s="160">
        <v>45268</v>
      </c>
    </row>
    <row r="104" spans="2:4">
      <c r="B104" t="s">
        <v>2339</v>
      </c>
      <c r="D104" s="160">
        <v>45634</v>
      </c>
    </row>
    <row r="105" spans="2:4">
      <c r="B105" t="s">
        <v>2339</v>
      </c>
      <c r="D105" s="160">
        <v>45999</v>
      </c>
    </row>
    <row r="106" spans="2:4">
      <c r="B106" t="s">
        <v>2339</v>
      </c>
      <c r="D106" s="160">
        <v>46364</v>
      </c>
    </row>
    <row r="107" spans="2:4">
      <c r="B107" t="s">
        <v>2340</v>
      </c>
      <c r="D107" s="160">
        <v>45285</v>
      </c>
    </row>
    <row r="108" spans="2:4">
      <c r="B108" t="s">
        <v>2340</v>
      </c>
      <c r="D108" s="160">
        <v>45651</v>
      </c>
    </row>
    <row r="109" spans="2:4">
      <c r="B109" t="s">
        <v>2340</v>
      </c>
      <c r="D109" s="160">
        <v>46016</v>
      </c>
    </row>
    <row r="110" spans="2:4">
      <c r="B110" t="s">
        <v>2340</v>
      </c>
      <c r="D110" s="160">
        <v>46381</v>
      </c>
    </row>
    <row r="111" spans="2:4">
      <c r="B111" t="s">
        <v>2330</v>
      </c>
      <c r="D111" s="160">
        <v>45286</v>
      </c>
    </row>
    <row r="112" spans="2:4">
      <c r="B112" t="s">
        <v>2330</v>
      </c>
      <c r="D112" s="160">
        <v>45499</v>
      </c>
    </row>
    <row r="113" spans="2:4">
      <c r="B113" t="s">
        <v>2330</v>
      </c>
      <c r="D113" s="160">
        <v>45572</v>
      </c>
    </row>
    <row r="114" spans="2:4">
      <c r="B114" t="s">
        <v>2330</v>
      </c>
      <c r="D114" s="160">
        <v>45632</v>
      </c>
    </row>
    <row r="115" spans="2:4">
      <c r="B115" t="s">
        <v>2330</v>
      </c>
      <c r="D115" s="160">
        <v>45649</v>
      </c>
    </row>
    <row r="116" spans="2:4">
      <c r="B116" t="s">
        <v>2330</v>
      </c>
      <c r="D116" s="160">
        <v>45650</v>
      </c>
    </row>
    <row r="117" spans="2:4">
      <c r="B117" t="s">
        <v>2330</v>
      </c>
      <c r="D117" s="160">
        <v>45656</v>
      </c>
    </row>
    <row r="118" spans="2:4">
      <c r="B118" t="s">
        <v>2330</v>
      </c>
      <c r="D118" s="160">
        <v>45657</v>
      </c>
    </row>
    <row r="119" spans="2:4">
      <c r="B119" t="s">
        <v>2330</v>
      </c>
      <c r="D119" s="160">
        <v>46017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14DC-6D85-4966-B755-15C2A37E3D71}">
  <sheetPr codeName="Hoja30"/>
  <dimension ref="A1:X542"/>
  <sheetViews>
    <sheetView workbookViewId="0">
      <selection activeCell="B15" sqref="B15"/>
    </sheetView>
  </sheetViews>
  <sheetFormatPr defaultColWidth="9.140625" defaultRowHeight="15"/>
  <cols>
    <col min="1" max="1" width="15.85546875" style="376" bestFit="1" customWidth="1"/>
    <col min="2" max="3" width="42.5703125" style="376" customWidth="1"/>
    <col min="4" max="4" width="17.42578125" style="376" customWidth="1"/>
    <col min="5" max="5" width="14.5703125" style="376" bestFit="1" customWidth="1"/>
    <col min="6" max="6" width="10.5703125" style="376" bestFit="1" customWidth="1"/>
    <col min="7" max="7" width="23.5703125" style="376" bestFit="1" customWidth="1"/>
    <col min="8" max="8" width="14.5703125" style="98" bestFit="1" customWidth="1"/>
    <col min="9" max="9" width="13.5703125" style="98" customWidth="1"/>
    <col min="10" max="10" width="14.140625" style="376" customWidth="1"/>
    <col min="11" max="11" width="9.42578125" style="376" bestFit="1" customWidth="1"/>
    <col min="12" max="12" width="9.140625" style="376"/>
    <col min="13" max="13" width="9.42578125" style="376" bestFit="1" customWidth="1"/>
    <col min="14" max="15" width="9.28515625" style="376" bestFit="1" customWidth="1"/>
    <col min="16" max="16" width="9" style="376" bestFit="1" customWidth="1"/>
    <col min="17" max="17" width="9.5703125" style="376" bestFit="1" customWidth="1"/>
    <col min="18" max="20" width="9.140625" style="376" bestFit="1" customWidth="1"/>
    <col min="21" max="16384" width="9.140625" style="376"/>
  </cols>
  <sheetData>
    <row r="1" spans="1:24">
      <c r="J1" s="462" t="s">
        <v>2285</v>
      </c>
      <c r="K1" s="584" t="s">
        <v>2286</v>
      </c>
      <c r="L1" s="584"/>
      <c r="M1" s="584" t="s">
        <v>2287</v>
      </c>
      <c r="N1" s="584"/>
      <c r="O1" s="584"/>
      <c r="P1" s="584"/>
      <c r="Q1" s="584"/>
      <c r="R1" s="584"/>
      <c r="S1" s="584" t="s">
        <v>2288</v>
      </c>
      <c r="T1" s="584"/>
      <c r="U1" s="584"/>
      <c r="V1" s="584"/>
      <c r="W1" s="584"/>
      <c r="X1" s="584"/>
    </row>
    <row r="2" spans="1:24" ht="25.5">
      <c r="A2" s="461" t="s">
        <v>3</v>
      </c>
      <c r="B2" s="461" t="s">
        <v>2341</v>
      </c>
      <c r="C2" s="461" t="s">
        <v>2342</v>
      </c>
      <c r="D2" s="461" t="s">
        <v>5</v>
      </c>
      <c r="E2" s="461" t="s">
        <v>385</v>
      </c>
      <c r="F2" s="461" t="s">
        <v>2343</v>
      </c>
      <c r="G2" s="461" t="s">
        <v>2344</v>
      </c>
      <c r="H2" s="462" t="s">
        <v>2345</v>
      </c>
      <c r="I2" s="462" t="s">
        <v>468</v>
      </c>
      <c r="J2" s="459">
        <v>45627</v>
      </c>
      <c r="K2" s="459">
        <v>45962</v>
      </c>
      <c r="L2" s="459">
        <v>45992</v>
      </c>
      <c r="M2" s="459">
        <v>46023</v>
      </c>
      <c r="N2" s="459">
        <v>46054</v>
      </c>
      <c r="O2" s="459">
        <v>46082</v>
      </c>
      <c r="P2" s="459">
        <v>46113</v>
      </c>
      <c r="Q2" s="459">
        <v>46143</v>
      </c>
      <c r="R2" s="459">
        <v>46174</v>
      </c>
      <c r="S2" s="459">
        <v>46204</v>
      </c>
      <c r="T2" s="459">
        <v>46235</v>
      </c>
      <c r="U2" s="459">
        <v>46266</v>
      </c>
      <c r="V2" s="459">
        <v>46296</v>
      </c>
      <c r="W2" s="459">
        <v>46327</v>
      </c>
      <c r="X2" s="459">
        <v>46357</v>
      </c>
    </row>
    <row r="3" spans="1:24">
      <c r="A3" s="376" t="str" cm="1">
        <f t="array" ref="A3">IFERROR(
 IF(
   INDEX(Cartera1017[ID Mantenimiento],ROW(A1))=0,
   "",
   INDEX(Cartera1017[ID Mantenimiento],ROW(A1))
 ),
 ""
)</f>
        <v>2024-M0367</v>
      </c>
      <c r="B3" s="376" t="str" cm="1">
        <f t="array" ref="B3">IFERROR(INDEX(Cartera1017[Nombre del Requerimiento],ROW(A1)),"")</f>
        <v>Aplicativo CRMY_CRPP Periodo de Gracia</v>
      </c>
      <c r="C3" s="376" t="str" cm="1">
        <f t="array" aca="1" ref="C3" ca="1">IFERROR(INDEX(Cartera1017[indicador de Avance],ROW(A1)),"")</f>
        <v>Sin Cronograma 🔵</v>
      </c>
      <c r="D3" s="376" t="str" cm="1">
        <f t="array" ref="D3">IFERROR(INDEX(Cartera1017[Gerencia],ROW(A1)),"")</f>
        <v>Operaciones</v>
      </c>
      <c r="E3" s="376" t="str" cm="1">
        <f t="array" ref="E3">IFERROR(INDEX(Cartera1017[Subgerencia],ROW(A1)),"")</f>
        <v>Servicios Bancarios y Recaudación</v>
      </c>
      <c r="F3" s="376" t="str" cm="1">
        <f t="array" ref="F3">IFERROR(INDEX(Cartera1017[Sección],ROW(A1)),"")</f>
        <v>Soporte Servicios Financieros</v>
      </c>
      <c r="G3" s="376" t="str" cm="1">
        <f t="array" ref="G3">IFERROR(INDEX(Cartera1017[Estado TI],ROW(A1)),"")</f>
        <v>09. Descartado</v>
      </c>
      <c r="H3" s="463" t="str" cm="1">
        <f t="array" ref="H3">IFERROR(
 IF(
   INDEX(Cartera1017[Comienzo Desarrollo],ROW(A1))=0,
   "",
   INDEX(Cartera1017[Comienzo Desarrollo],ROW(A1))
 ),
 ""
)</f>
        <v/>
      </c>
      <c r="I3" s="463" t="str" cm="1">
        <f t="array" ref="I3">IFERROR(
 IF(
   INDEX(Cartera1017[Fin Producción],ROW(A1))=0,
   "",
   INDEX(Cartera1017[Fin Producción],ROW(A1))
 ),
 ""
)</f>
        <v/>
      </c>
      <c r="J3" s="460"/>
    </row>
    <row r="4" spans="1:24">
      <c r="A4" s="376" t="str" cm="1">
        <f t="array" ref="A4">IFERROR(
 IF(
   INDEX(Cartera1017[ID Mantenimiento],ROW(A2))=0,
   "",
   INDEX(Cartera1017[ID Mantenimiento],ROW(A2))
 ),
 ""
)</f>
        <v>2024-M0423</v>
      </c>
      <c r="B4" s="376" t="str" cm="1">
        <f t="array" ref="B4">IFERROR(INDEX(Cartera1017[Nombre del Requerimiento],ROW(A2)),"")</f>
        <v>Automatización Cobranza de Cuotas CRMY-CRPP</v>
      </c>
      <c r="C4" s="376" t="str" cm="1">
        <f t="array" aca="1" ref="C4" ca="1">IFERROR(INDEX(Cartera1017[indicador de Avance],ROW(A2)),"")</f>
        <v>Sin Cronograma 🔵</v>
      </c>
      <c r="D4" s="376" t="str" cm="1">
        <f t="array" ref="D4">IFERROR(INDEX(Cartera1017[Gerencia],ROW(A2)),"")</f>
        <v>Operaciones</v>
      </c>
      <c r="E4" s="376" t="str" cm="1">
        <f t="array" ref="E4">IFERROR(INDEX(Cartera1017[Subgerencia],ROW(A2)),"")</f>
        <v>Servicios Bancarios y Recaudación</v>
      </c>
      <c r="F4" s="376" t="str" cm="1">
        <f t="array" ref="F4">IFERROR(INDEX(Cartera1017[Sección],ROW(A2)),"")</f>
        <v>Soporte Servicios Financieros</v>
      </c>
      <c r="G4" s="376" t="str" cm="1">
        <f t="array" ref="G4">IFERROR(INDEX(Cartera1017[Estado TI],ROW(A2)),"")</f>
        <v>09. Descartado</v>
      </c>
      <c r="H4" s="463" t="str" cm="1">
        <f t="array" ref="H4">IFERROR(
 IF(
   INDEX(Cartera1017[Comienzo Desarrollo],ROW(A2))=0,
   "",
   INDEX(Cartera1017[Comienzo Desarrollo],ROW(A2))
 ),
 ""
)</f>
        <v/>
      </c>
      <c r="I4" s="463" t="str" cm="1">
        <f t="array" ref="I4">IFERROR(
 IF(
   INDEX(Cartera1017[Fin Producción],ROW(A2))=0,
   "",
   INDEX(Cartera1017[Fin Producción],ROW(A2))
 ),
 ""
)</f>
        <v/>
      </c>
    </row>
    <row r="5" spans="1:24">
      <c r="A5" s="376" t="str" cm="1">
        <f t="array" ref="A5">IFERROR(
 IF(
   INDEX(Cartera1017[ID Mantenimiento],ROW(A3))=0,
   "",
   INDEX(Cartera1017[ID Mantenimiento],ROW(A3))
 ),
 ""
)</f>
        <v>2025-M0543</v>
      </c>
      <c r="B5" s="376" t="str" cm="1">
        <f t="array" ref="B5">IFERROR(INDEX(Cartera1017[Nombre del Requerimiento],ROW(A3)),"")</f>
        <v>ME: Se requiere un producto mínimo viable para el producto Factoring BN</v>
      </c>
      <c r="C5" s="376" t="str" cm="1">
        <f t="array" aca="1" ref="C5" ca="1">IFERROR(INDEX(Cartera1017[indicador de Avance],ROW(A3)),"")</f>
        <v>IMPLEMENTADO 🔵</v>
      </c>
      <c r="D5" s="376" t="str" cm="1">
        <f t="array" ref="D5">IFERROR(INDEX(Cartera1017[Gerencia],ROW(A3)),"")</f>
        <v>Productos e Inclusión Financiera</v>
      </c>
      <c r="E5" s="376" t="str" cm="1">
        <f t="array" ref="E5">IFERROR(INDEX(Cartera1017[Subgerencia],ROW(A3)),"")</f>
        <v>Desarrollo Comercial y Proyectos</v>
      </c>
      <c r="F5" s="376" t="str" cm="1">
        <f t="array" ref="F5">IFERROR(INDEX(Cartera1017[Sección],ROW(A3)),"")</f>
        <v>Desarrollo Comercial y Proyectos</v>
      </c>
      <c r="G5" s="376" t="str" cm="1">
        <f t="array" ref="G5">IFERROR(INDEX(Cartera1017[Estado TI],ROW(A3)),"")</f>
        <v>08. Producción Finalizada</v>
      </c>
      <c r="H5" s="463" cm="1">
        <f t="array" ref="H5">IFERROR(
 IF(
   INDEX(Cartera1017[Comienzo Desarrollo],ROW(A3))=0,
   "",
   INDEX(Cartera1017[Comienzo Desarrollo],ROW(A3))
 ),
 ""
)</f>
        <v>45877</v>
      </c>
      <c r="I5" s="463" cm="1">
        <f t="array" ref="I5">IFERROR(
 IF(
   INDEX(Cartera1017[Fin Producción],ROW(A3))=0,
   "",
   INDEX(Cartera1017[Fin Producción],ROW(A3))
 ),
 ""
)</f>
        <v>46129</v>
      </c>
    </row>
    <row r="6" spans="1:24">
      <c r="A6" s="376" t="str" cm="1">
        <f t="array" ref="A6">IFERROR(
 IF(
   INDEX(Cartera1017[ID Mantenimiento],ROW(A4))=0,
   "",
   INDEX(Cartera1017[ID Mantenimiento],ROW(A4))
 ),
 ""
)</f>
        <v/>
      </c>
      <c r="B6" s="376" t="str" cm="1">
        <f t="array" ref="B6">IFERROR(INDEX(Cartera1017[Nombre del Requerimiento],ROW(A4)),"")</f>
        <v>Solicitud de proceso de actualización de Tickets en el Monitor Multipagos</v>
      </c>
      <c r="C6" s="376" t="str" cm="1">
        <f t="array" aca="1" ref="C6" ca="1">IFERROR(INDEX(Cartera1017[indicador de Avance],ROW(A4)),"")</f>
        <v>ATRASADO 🔴</v>
      </c>
      <c r="D6" s="376" t="str" cm="1">
        <f t="array" ref="D6">IFERROR(INDEX(Cartera1017[Gerencia],ROW(A4)),"")</f>
        <v>Banca Digital</v>
      </c>
      <c r="E6" s="376" t="str" cm="1">
        <f t="array" ref="E6">IFERROR(INDEX(Cartera1017[Subgerencia],ROW(A4)),"")</f>
        <v>Canales Alternos</v>
      </c>
      <c r="F6" s="376" t="str" cm="1">
        <f t="array" ref="F6">IFERROR(INDEX(Cartera1017[Sección],ROW(A4)),"")</f>
        <v>Canales Virtuales</v>
      </c>
      <c r="G6" s="376" t="str" cm="1">
        <f t="array" ref="G6">IFERROR(INDEX(Cartera1017[Estado TI],ROW(A4)),"")</f>
        <v>02. En Planificación</v>
      </c>
      <c r="H6" s="463" cm="1">
        <f t="array" ref="H6">IFERROR(
 IF(
   INDEX(Cartera1017[Comienzo Desarrollo],ROW(A4))=0,
   "",
   INDEX(Cartera1017[Comienzo Desarrollo],ROW(A4))
 ),
 ""
)</f>
        <v>46104</v>
      </c>
      <c r="I6" s="463" cm="1">
        <f t="array" ref="I6">IFERROR(
 IF(
   INDEX(Cartera1017[Fin Producción],ROW(A4))=0,
   "",
   INDEX(Cartera1017[Fin Producción],ROW(A4))
 ),
 ""
)</f>
        <v>46295</v>
      </c>
    </row>
    <row r="7" spans="1:24">
      <c r="A7" s="376" t="str" cm="1">
        <f t="array" ref="A7">IFERROR(
 IF(
   INDEX(Cartera1017[ID Mantenimiento],ROW(A5))=0,
   "",
   INDEX(Cartera1017[ID Mantenimiento],ROW(A5))
 ),
 ""
)</f>
        <v/>
      </c>
      <c r="B7" s="376" t="str" cm="1">
        <f t="array" ref="B7">IFERROR(INDEX(Cartera1017[Nombre del Requerimiento],ROW(A5)),"")</f>
        <v>Modificación de la Transacciones del Saraweb del proceso de Emisión y Reposición de Tarjeta de Débito - FASE I</v>
      </c>
      <c r="C7" s="376" t="str" cm="1">
        <f t="array" aca="1" ref="C7" ca="1">IFERROR(INDEX(Cartera1017[indicador de Avance],ROW(A5)),"")</f>
        <v>ATRASADO 🔴</v>
      </c>
      <c r="D7" s="376" t="str" cm="1">
        <f t="array" ref="D7">IFERROR(INDEX(Cartera1017[Gerencia],ROW(A5)),"")</f>
        <v>Banca Digital</v>
      </c>
      <c r="E7" s="376" t="str" cm="1">
        <f t="array" ref="E7">IFERROR(INDEX(Cartera1017[Subgerencia],ROW(A5)),"")</f>
        <v>Canales Alternos</v>
      </c>
      <c r="F7" s="376" t="str" cm="1">
        <f t="array" ref="F7">IFERROR(INDEX(Cartera1017[Sección],ROW(A5)),"")</f>
        <v>Canales Virtuales</v>
      </c>
      <c r="G7" s="376" t="str" cm="1">
        <f t="array" ref="G7">IFERROR(INDEX(Cartera1017[Estado TI],ROW(A5)),"")</f>
        <v>02. En Planificación</v>
      </c>
      <c r="H7" s="463" cm="1">
        <f t="array" ref="H7">IFERROR(
 IF(
   INDEX(Cartera1017[Comienzo Desarrollo],ROW(A5))=0,
   "",
   INDEX(Cartera1017[Comienzo Desarrollo],ROW(A5))
 ),
 ""
)</f>
        <v>46083</v>
      </c>
      <c r="I7" s="463" cm="1">
        <f t="array" ref="I7">IFERROR(
 IF(
   INDEX(Cartera1017[Fin Producción],ROW(A5))=0,
   "",
   INDEX(Cartera1017[Fin Producción],ROW(A5))
 ),
 ""
)</f>
        <v>46289</v>
      </c>
    </row>
    <row r="8" spans="1:24">
      <c r="A8" s="376" t="str" cm="1">
        <f t="array" ref="A8">IFERROR(
 IF(
   INDEX(Cartera1017[ID Mantenimiento],ROW(A6))=0,
   "",
   INDEX(Cartera1017[ID Mantenimiento],ROW(A6))
 ),
 ""
)</f>
        <v>2023-M0402</v>
      </c>
      <c r="B8" s="376" t="str" cm="1">
        <f t="array" ref="B8">IFERROR(INDEX(Cartera1017[Nombre del Requerimiento],ROW(A6)),"")</f>
        <v>Modificación de límite en depósito a cuenta corriente en Cajeros  Corresponsales.</v>
      </c>
      <c r="C8" s="376" t="str" cm="1">
        <f t="array" aca="1" ref="C8" ca="1">IFERROR(INDEX(Cartera1017[indicador de Avance],ROW(A6)),"")</f>
        <v>PARALIZADO ⚪</v>
      </c>
      <c r="D8" s="376" t="str" cm="1">
        <f t="array" ref="D8">IFERROR(INDEX(Cartera1017[Gerencia],ROW(A6)),"")</f>
        <v>Banca Digital</v>
      </c>
      <c r="E8" s="376" t="str" cm="1">
        <f t="array" ref="E8">IFERROR(INDEX(Cartera1017[Subgerencia],ROW(A6)),"")</f>
        <v>Canales Alternos</v>
      </c>
      <c r="F8" s="376" t="str" cm="1">
        <f t="array" ref="F8">IFERROR(INDEX(Cartera1017[Sección],ROW(A6)),"")</f>
        <v>Canales Presenciales</v>
      </c>
      <c r="G8" s="376" t="str" cm="1">
        <f t="array" ref="G8">IFERROR(INDEX(Cartera1017[Estado TI],ROW(A6)),"")</f>
        <v>10. Paralizado</v>
      </c>
      <c r="H8" s="463" t="str" cm="1">
        <f t="array" ref="H8">IFERROR(
 IF(
   INDEX(Cartera1017[Comienzo Desarrollo],ROW(A6))=0,
   "",
   INDEX(Cartera1017[Comienzo Desarrollo],ROW(A6))
 ),
 ""
)</f>
        <v/>
      </c>
      <c r="I8" s="463" cm="1">
        <f t="array" ref="I8">IFERROR(
 IF(
   INDEX(Cartera1017[Fin Producción],ROW(A6))=0,
   "",
   INDEX(Cartera1017[Fin Producción],ROW(A6))
 ),
 ""
)</f>
        <v>46477</v>
      </c>
    </row>
    <row r="9" spans="1:24">
      <c r="A9" s="376" t="str" cm="1">
        <f t="array" ref="A9">IFERROR(
 IF(
   INDEX(Cartera1017[ID Mantenimiento],ROW(A7))=0,
   "",
   INDEX(Cartera1017[ID Mantenimiento],ROW(A7))
 ),
 ""
)</f>
        <v>2021-M0473</v>
      </c>
      <c r="B9" s="376" t="str" cm="1">
        <f t="array" ref="B9">IFERROR(INDEX(Cartera1017[Nombre del Requerimiento],ROW(A7)),"")</f>
        <v>MANTENIMIENTO DEL APLICATIVO FICO 
a) Mejoras y nuevas funcionalidades
b) Migración de Data de Base Datos Externa</v>
      </c>
      <c r="C9" s="376" t="str" cm="1">
        <f t="array" aca="1" ref="C9" ca="1">IFERROR(INDEX(Cartera1017[indicador de Avance],ROW(A7)),"")</f>
        <v>IMPLEMENTADO 🔵</v>
      </c>
      <c r="D9" s="376" t="str" cm="1">
        <f t="array" ref="D9">IFERROR(INDEX(Cartera1017[Gerencia],ROW(A7)),"")</f>
        <v>Productos e Inclusión Financiera</v>
      </c>
      <c r="E9" s="376" cm="1">
        <f t="array" ref="E9">IFERROR(INDEX(Cartera1017[Subgerencia],ROW(A7)),"")</f>
        <v>0</v>
      </c>
      <c r="F9" s="376" t="str" cm="1">
        <f t="array" ref="F9">IFERROR(INDEX(Cartera1017[Sección],ROW(A7)),"")</f>
        <v>Fideicomisos</v>
      </c>
      <c r="G9" s="376" t="str" cm="1">
        <f t="array" ref="G9">IFERROR(INDEX(Cartera1017[Estado TI],ROW(A7)),"")</f>
        <v>08. Producción Finalizada</v>
      </c>
      <c r="H9" s="463" cm="1">
        <f t="array" ref="H9">IFERROR(
 IF(
   INDEX(Cartera1017[Comienzo Desarrollo],ROW(A7))=0,
   "",
   INDEX(Cartera1017[Comienzo Desarrollo],ROW(A7))
 ),
 ""
)</f>
        <v>44487</v>
      </c>
      <c r="I9" s="463" cm="1">
        <f t="array" ref="I9">IFERROR(
 IF(
   INDEX(Cartera1017[Fin Producción],ROW(A7))=0,
   "",
   INDEX(Cartera1017[Fin Producción],ROW(A7))
 ),
 ""
)</f>
        <v>46108</v>
      </c>
    </row>
    <row r="10" spans="1:24">
      <c r="A10" s="376" t="str" cm="1">
        <f t="array" ref="A10">IFERROR(
 IF(
   INDEX(Cartera1017[ID Mantenimiento],ROW(A8))=0,
   "",
   INDEX(Cartera1017[ID Mantenimiento],ROW(A8))
 ),
 ""
)</f>
        <v>2022-M0526</v>
      </c>
      <c r="B10" s="376" t="str" cm="1">
        <f t="array" ref="B10">IFERROR(INDEX(Cartera1017[Nombre del Requerimiento],ROW(A8)),"")</f>
        <v>Código de productos que no se están cargando a BDUC</v>
      </c>
      <c r="C10" s="376" t="str" cm="1">
        <f t="array" aca="1" ref="C10" ca="1">IFERROR(INDEX(Cartera1017[indicador de Avance],ROW(A8)),"")</f>
        <v>ATRASADO 🔴</v>
      </c>
      <c r="D10" s="376" t="str" cm="1">
        <f t="array" ref="D10">IFERROR(INDEX(Cartera1017[Gerencia],ROW(A8)),"")</f>
        <v>Operaciones</v>
      </c>
      <c r="E10" s="376" t="str" cm="1">
        <f t="array" ref="E10">IFERROR(INDEX(Cartera1017[Subgerencia],ROW(A8)),"")</f>
        <v>Captaciones y Pagaduría</v>
      </c>
      <c r="F10" s="376" t="str" cm="1">
        <f t="array" ref="F10">IFERROR(INDEX(Cartera1017[Sección],ROW(A8)),"")</f>
        <v>Apertura de Cuentas</v>
      </c>
      <c r="G10" s="376" t="str" cm="1">
        <f t="array" ref="G10">IFERROR(INDEX(Cartera1017[Estado TI],ROW(A8)),"")</f>
        <v>07. En Despliegue</v>
      </c>
      <c r="H10" s="463" cm="1">
        <f t="array" ref="H10">IFERROR(
 IF(
   INDEX(Cartera1017[Comienzo Desarrollo],ROW(A8))=0,
   "",
   INDEX(Cartera1017[Comienzo Desarrollo],ROW(A8))
 ),
 ""
)</f>
        <v>45187</v>
      </c>
      <c r="I10" s="463" cm="1">
        <f t="array" ref="I10">IFERROR(
 IF(
   INDEX(Cartera1017[Fin Producción],ROW(A8))=0,
   "",
   INDEX(Cartera1017[Fin Producción],ROW(A8))
 ),
 ""
)</f>
        <v>46108</v>
      </c>
    </row>
    <row r="11" spans="1:24">
      <c r="A11" s="376" t="str" cm="1">
        <f t="array" ref="A11">IFERROR(
 IF(
   INDEX(Cartera1017[ID Mantenimiento],ROW(A9))=0,
   "",
   INDEX(Cartera1017[ID Mantenimiento],ROW(A9))
 ),
 ""
)</f>
        <v>2023-M0356</v>
      </c>
      <c r="B11" s="376" t="str" cm="1">
        <f t="array" ref="B11">IFERROR(INDEX(Cartera1017[Nombre del Requerimiento],ROW(A9)),"")</f>
        <v>Migración del Aplicativo SIARLADI</v>
      </c>
      <c r="C11" s="376" t="str" cm="1">
        <f t="array" aca="1" ref="C11" ca="1">IFERROR(INDEX(Cartera1017[indicador de Avance],ROW(A9)),"")</f>
        <v>EN RIESGO 🟡</v>
      </c>
      <c r="D11" s="376" t="str" cm="1">
        <f t="array" ref="D11">IFERROR(INDEX(Cartera1017[Gerencia],ROW(A9)),"")</f>
        <v>Oficialía de PLAFT</v>
      </c>
      <c r="E11" s="376" t="str" cm="1">
        <f t="array" ref="E11">IFERROR(INDEX(Cartera1017[Subgerencia],ROW(A9)),"")</f>
        <v>Oficialía de PLAFT</v>
      </c>
      <c r="F11" s="376" t="str" cm="1">
        <f t="array" ref="F11">IFERROR(INDEX(Cartera1017[Sección],ROW(A9)),"")</f>
        <v>Oficialía de PLAFT</v>
      </c>
      <c r="G11" s="376" t="str" cm="1">
        <f t="array" ref="G11">IFERROR(INDEX(Cartera1017[Estado TI],ROW(A9)),"")</f>
        <v>03. En Desarrollo</v>
      </c>
      <c r="H11" s="463" cm="1">
        <f t="array" ref="H11">IFERROR(
 IF(
   INDEX(Cartera1017[Comienzo Desarrollo],ROW(A9))=0,
   "",
   INDEX(Cartera1017[Comienzo Desarrollo],ROW(A9))
 ),
 ""
)</f>
        <v>46125</v>
      </c>
      <c r="I11" s="463" cm="1">
        <f t="array" ref="I11">IFERROR(
 IF(
   INDEX(Cartera1017[Fin Producción],ROW(A9))=0,
   "",
   INDEX(Cartera1017[Fin Producción],ROW(A9))
 ),
 ""
)</f>
        <v>46243</v>
      </c>
    </row>
    <row r="12" spans="1:24">
      <c r="A12" s="376" t="str" cm="1">
        <f t="array" ref="A12">IFERROR(
 IF(
   INDEX(Cartera1017[ID Mantenimiento],ROW(A10))=0,
   "",
   INDEX(Cartera1017[ID Mantenimiento],ROW(A10))
 ),
 ""
)</f>
        <v>2023-M0052</v>
      </c>
      <c r="B12" s="376" t="str" cm="1">
        <f t="array" ref="B12">IFERROR(INDEX(Cartera1017[Nombre del Requerimiento],ROW(A10)),"")</f>
        <v>Transferencia Interbancarias CCE-Diferidas (SICA)</v>
      </c>
      <c r="C12" s="376" t="str" cm="1">
        <f t="array" aca="1" ref="C12" ca="1">IFERROR(INDEX(Cartera1017[indicador de Avance],ROW(A10)),"")</f>
        <v>IMPLEMENTADO 🔵</v>
      </c>
      <c r="D12" s="376" t="str" cm="1">
        <f t="array" ref="D12">IFERROR(INDEX(Cartera1017[Gerencia],ROW(A10)),"")</f>
        <v>Finanzas y Tesorería</v>
      </c>
      <c r="E12" s="376" t="str" cm="1">
        <f t="array" ref="E12">IFERROR(INDEX(Cartera1017[Subgerencia],ROW(A10)),"")</f>
        <v>Contabilidad</v>
      </c>
      <c r="F12" s="376" cm="1">
        <f t="array" ref="F12">IFERROR(INDEX(Cartera1017[Sección],ROW(A10)),"")</f>
        <v>0</v>
      </c>
      <c r="G12" s="376" t="str" cm="1">
        <f t="array" ref="G12">IFERROR(INDEX(Cartera1017[Estado TI],ROW(A10)),"")</f>
        <v>08. Producción Finalizada</v>
      </c>
      <c r="H12" s="463" cm="1">
        <f t="array" ref="H12">IFERROR(
 IF(
   INDEX(Cartera1017[Comienzo Desarrollo],ROW(A10))=0,
   "",
   INDEX(Cartera1017[Comienzo Desarrollo],ROW(A10))
 ),
 ""
)</f>
        <v>45870</v>
      </c>
      <c r="I12" s="463" cm="1">
        <f t="array" ref="I12">IFERROR(
 IF(
   INDEX(Cartera1017[Fin Producción],ROW(A10))=0,
   "",
   INDEX(Cartera1017[Fin Producción],ROW(A10))
 ),
 ""
)</f>
        <v>46122</v>
      </c>
    </row>
    <row r="13" spans="1:24">
      <c r="A13" s="376" t="str" cm="1">
        <f t="array" ref="A13">IFERROR(
 IF(
   INDEX(Cartera1017[ID Mantenimiento],ROW(A11))=0,
   "",
   INDEX(Cartera1017[ID Mantenimiento],ROW(A11))
 ),
 ""
)</f>
        <v>2023-M0182</v>
      </c>
      <c r="B13" s="376" t="str" cm="1">
        <f t="array" ref="B13">IFERROR(INDEX(Cartera1017[Nombre del Requerimiento],ROW(A11)),"")</f>
        <v xml:space="preserve">Implementación del extorno automático en la devolución del tesoro público (T6) en el canal agente multired </v>
      </c>
      <c r="C13" s="376" t="str" cm="1">
        <f t="array" aca="1" ref="C13" ca="1">IFERROR(INDEX(Cartera1017[indicador de Avance],ROW(A11)),"")</f>
        <v>ATRASADO 🔴</v>
      </c>
      <c r="D13" s="376" t="str" cm="1">
        <f t="array" ref="D13">IFERROR(INDEX(Cartera1017[Gerencia],ROW(A11)),"")</f>
        <v>Banca Digital</v>
      </c>
      <c r="E13" s="376" t="str" cm="1">
        <f t="array" ref="E13">IFERROR(INDEX(Cartera1017[Subgerencia],ROW(A11)),"")</f>
        <v>Canales Alternos</v>
      </c>
      <c r="F13" s="376" t="str" cm="1">
        <f t="array" ref="F13">IFERROR(INDEX(Cartera1017[Sección],ROW(A11)),"")</f>
        <v>Canales Presenciales</v>
      </c>
      <c r="G13" s="376" t="str" cm="1">
        <f t="array" ref="G13">IFERROR(INDEX(Cartera1017[Estado TI],ROW(A11)),"")</f>
        <v>03. En Desarrollo</v>
      </c>
      <c r="H13" s="463" cm="1">
        <f t="array" ref="H13">IFERROR(
 IF(
   INDEX(Cartera1017[Comienzo Desarrollo],ROW(A11))=0,
   "",
   INDEX(Cartera1017[Comienzo Desarrollo],ROW(A11))
 ),
 ""
)</f>
        <v>46083</v>
      </c>
      <c r="I13" s="463" cm="1">
        <f t="array" ref="I13">IFERROR(
 IF(
   INDEX(Cartera1017[Fin Producción],ROW(A11))=0,
   "",
   INDEX(Cartera1017[Fin Producción],ROW(A11))
 ),
 ""
)</f>
        <v>46196</v>
      </c>
    </row>
    <row r="14" spans="1:24">
      <c r="A14" s="376" t="str" cm="1">
        <f t="array" ref="A14">IFERROR(
 IF(
   INDEX(Cartera1017[ID Mantenimiento],ROW(A12))=0,
   "",
   INDEX(Cartera1017[ID Mantenimiento],ROW(A12))
 ),
 ""
)</f>
        <v>2024-M0085</v>
      </c>
      <c r="B14" s="376" t="str" cm="1">
        <f t="array" ref="B14">IFERROR(INDEX(Cartera1017[Nombre del Requerimiento],ROW(A12)),"")</f>
        <v>CORREGIR LA OPCIÓN DE REPORTES SBS EN EL POAD</v>
      </c>
      <c r="C14" s="376" t="str" cm="1">
        <f t="array" aca="1" ref="C14" ca="1">IFERROR(INDEX(Cartera1017[indicador de Avance],ROW(A12)),"")</f>
        <v>EN CURSO 🟢</v>
      </c>
      <c r="D14" s="376" t="str" cm="1">
        <f t="array" ref="D14">IFERROR(INDEX(Cartera1017[Gerencia],ROW(A12)),"")</f>
        <v>Recursos Humanos y Cultura</v>
      </c>
      <c r="E14" s="376" t="str" cm="1">
        <f t="array" ref="E14">IFERROR(INDEX(Cartera1017[Subgerencia],ROW(A12)),"")</f>
        <v>Administración de Personal</v>
      </c>
      <c r="F14" s="376" t="str" cm="1">
        <f t="array" ref="F14">IFERROR(INDEX(Cartera1017[Sección],ROW(A12)),"")</f>
        <v>Registro de Personal</v>
      </c>
      <c r="G14" s="376" t="str" cm="1">
        <f t="array" ref="G14">IFERROR(INDEX(Cartera1017[Estado TI],ROW(A12)),"")</f>
        <v>03. En Desarrollo</v>
      </c>
      <c r="H14" s="463" cm="1">
        <f t="array" ref="H14">IFERROR(
 IF(
   INDEX(Cartera1017[Comienzo Desarrollo],ROW(A12))=0,
   "",
   INDEX(Cartera1017[Comienzo Desarrollo],ROW(A12))
 ),
 ""
)</f>
        <v>46174</v>
      </c>
      <c r="I14" s="463" cm="1">
        <f t="array" ref="I14">IFERROR(
 IF(
   INDEX(Cartera1017[Fin Producción],ROW(A12))=0,
   "",
   INDEX(Cartera1017[Fin Producción],ROW(A12))
 ),
 ""
)</f>
        <v>46272</v>
      </c>
    </row>
    <row r="15" spans="1:24">
      <c r="A15" s="376" t="str" cm="1">
        <f t="array" ref="A15">IFERROR(
 IF(
   INDEX(Cartera1017[ID Mantenimiento],ROW(A13))=0,
   "",
   INDEX(Cartera1017[ID Mantenimiento],ROW(A13))
 ),
 ""
)</f>
        <v>2023-M0197</v>
      </c>
      <c r="B15" s="376" t="str" cm="1">
        <f t="array" ref="B15">IFERROR(INDEX(Cartera1017[Nombre del Requerimiento],ROW(A13)),"")</f>
        <v>Migración y Mejora del Aplicativo ECOF - Medidas de Ecoficiencia BN</v>
      </c>
      <c r="C15" s="376" t="str" cm="1">
        <f t="array" aca="1" ref="C15" ca="1">IFERROR(INDEX(Cartera1017[indicador de Avance],ROW(A13)),"")</f>
        <v>IMPLEMENTADO 🔵</v>
      </c>
      <c r="D15" s="376" t="str" cm="1">
        <f t="array" ref="D15">IFERROR(INDEX(Cartera1017[Gerencia],ROW(A13)),"")</f>
        <v>Administración y Logística</v>
      </c>
      <c r="E15" s="376" t="str" cm="1">
        <f t="array" ref="E15">IFERROR(INDEX(Cartera1017[Subgerencia],ROW(A13)),"")</f>
        <v>Servicios</v>
      </c>
      <c r="F15" s="376" t="str" cm="1">
        <f t="array" ref="F15">IFERROR(INDEX(Cartera1017[Sección],ROW(A13)),"")</f>
        <v>Servicios Generales</v>
      </c>
      <c r="G15" s="376" t="str" cm="1">
        <f t="array" ref="G15">IFERROR(INDEX(Cartera1017[Estado TI],ROW(A13)),"")</f>
        <v>08. Producción Finalizada</v>
      </c>
      <c r="H15" s="463" cm="1">
        <f t="array" ref="H15">IFERROR(
 IF(
   INDEX(Cartera1017[Comienzo Desarrollo],ROW(A13))=0,
   "",
   INDEX(Cartera1017[Comienzo Desarrollo],ROW(A13))
 ),
 ""
)</f>
        <v>45702</v>
      </c>
      <c r="I15" s="463" cm="1">
        <f t="array" ref="I15">IFERROR(
 IF(
   INDEX(Cartera1017[Fin Producción],ROW(A13))=0,
   "",
   INDEX(Cartera1017[Fin Producción],ROW(A13))
 ),
 ""
)</f>
        <v>46108</v>
      </c>
    </row>
    <row r="16" spans="1:24">
      <c r="A16" s="376" t="str" cm="1">
        <f t="array" ref="A16">IFERROR(
 IF(
   INDEX(Cartera1017[ID Mantenimiento],ROW(A14))=0,
   "",
   INDEX(Cartera1017[ID Mantenimiento],ROW(A14))
 ),
 ""
)</f>
        <v>2024-M0083</v>
      </c>
      <c r="B16" s="376" t="str" cm="1">
        <f t="array" ref="B16">IFERROR(INDEX(Cartera1017[Nombre del Requerimiento],ROW(A14)),"")</f>
        <v>Implementación del SIstema web de saldos y sumatorias de cajeros automáticos</v>
      </c>
      <c r="C16" s="376" t="str" cm="1">
        <f t="array" aca="1" ref="C16" ca="1">IFERROR(INDEX(Cartera1017[indicador de Avance],ROW(A14)),"")</f>
        <v>PARALIZADO ⚪</v>
      </c>
      <c r="D16" s="376" t="str" cm="1">
        <f t="array" ref="D16">IFERROR(INDEX(Cartera1017[Gerencia],ROW(A14)),"")</f>
        <v>Banca Digital</v>
      </c>
      <c r="E16" s="376" t="str" cm="1">
        <f t="array" ref="E16">IFERROR(INDEX(Cartera1017[Subgerencia],ROW(A14)),"")</f>
        <v>Canales Alternos</v>
      </c>
      <c r="F16" s="376" t="str" cm="1">
        <f t="array" ref="F16">IFERROR(INDEX(Cartera1017[Sección],ROW(A14)),"")</f>
        <v>Canales Presenciales</v>
      </c>
      <c r="G16" s="376" t="str" cm="1">
        <f t="array" ref="G16">IFERROR(INDEX(Cartera1017[Estado TI],ROW(A14)),"")</f>
        <v>10. Paralizado</v>
      </c>
      <c r="H16" s="463" cm="1">
        <f t="array" ref="H16">IFERROR(
 IF(
   INDEX(Cartera1017[Comienzo Desarrollo],ROW(A14))=0,
   "",
   INDEX(Cartera1017[Comienzo Desarrollo],ROW(A14))
 ),
 ""
)</f>
        <v>46204</v>
      </c>
      <c r="I16" s="463" cm="1">
        <f t="array" ref="I16">IFERROR(
 IF(
   INDEX(Cartera1017[Fin Producción],ROW(A14))=0,
   "",
   INDEX(Cartera1017[Fin Producción],ROW(A14))
 ),
 ""
)</f>
        <v>46300</v>
      </c>
    </row>
    <row r="17" spans="1:9">
      <c r="A17" s="376" t="str" cm="1">
        <f t="array" ref="A17">IFERROR(
 IF(
   INDEX(Cartera1017[ID Mantenimiento],ROW(A15))=0,
   "",
   INDEX(Cartera1017[ID Mantenimiento],ROW(A15))
 ),
 ""
)</f>
        <v>2023-M0712</v>
      </c>
      <c r="B17" s="376" t="str" cm="1">
        <f t="array" ref="B17">IFERROR(INDEX(Cartera1017[Nombre del Requerimiento],ROW(A15)),"")</f>
        <v>Mandatorio Certificar AFT e implementar reverso AFT</v>
      </c>
      <c r="C17" s="376" t="str" cm="1">
        <f t="array" aca="1" ref="C17" ca="1">IFERROR(INDEX(Cartera1017[indicador de Avance],ROW(A15)),"")</f>
        <v>ATRASADO 🔴</v>
      </c>
      <c r="D17" s="376" t="str" cm="1">
        <f t="array" ref="D17">IFERROR(INDEX(Cartera1017[Gerencia],ROW(A15)),"")</f>
        <v>Banca Digital</v>
      </c>
      <c r="E17" s="376" t="str" cm="1">
        <f t="array" ref="E17">IFERROR(INDEX(Cartera1017[Subgerencia],ROW(A15)),"")</f>
        <v>Canales Alternos</v>
      </c>
      <c r="F17" s="376" t="str" cm="1">
        <f t="array" ref="F17">IFERROR(INDEX(Cartera1017[Sección],ROW(A15)),"")</f>
        <v>Canales Virtuales</v>
      </c>
      <c r="G17" s="376" t="str" cm="1">
        <f t="array" ref="G17">IFERROR(INDEX(Cartera1017[Estado TI],ROW(A15)),"")</f>
        <v>06. Calidad Finalizado</v>
      </c>
      <c r="H17" s="463" cm="1">
        <f t="array" ref="H17">IFERROR(
 IF(
   INDEX(Cartera1017[Comienzo Desarrollo],ROW(A15))=0,
   "",
   INDEX(Cartera1017[Comienzo Desarrollo],ROW(A15))
 ),
 ""
)</f>
        <v>45490</v>
      </c>
      <c r="I17" s="463" cm="1">
        <f t="array" ref="I17">IFERROR(
 IF(
   INDEX(Cartera1017[Fin Producción],ROW(A15))=0,
   "",
   INDEX(Cartera1017[Fin Producción],ROW(A15))
 ),
 ""
)</f>
        <v>46108</v>
      </c>
    </row>
    <row r="18" spans="1:9">
      <c r="A18" s="376" t="str" cm="1">
        <f t="array" ref="A18">IFERROR(
 IF(
   INDEX(Cartera1017[ID Mantenimiento],ROW(A16))=0,
   "",
   INDEX(Cartera1017[ID Mantenimiento],ROW(A16))
 ),
 ""
)</f>
        <v>2023-M0522</v>
      </c>
      <c r="B18" s="376" t="str" cm="1">
        <f t="array" ref="B18">IFERROR(INDEX(Cartera1017[Nombre del Requerimiento],ROW(A16)),"")</f>
        <v>Implementar controles a Cuentas Detracciones.</v>
      </c>
      <c r="C18" s="376" t="str" cm="1">
        <f t="array" aca="1" ref="C18" ca="1">IFERROR(INDEX(Cartera1017[indicador de Avance],ROW(A16)),"")</f>
        <v>ATRASADO 🔴</v>
      </c>
      <c r="D18" s="376" t="str" cm="1">
        <f t="array" ref="D18">IFERROR(INDEX(Cartera1017[Gerencia],ROW(A16)),"")</f>
        <v>Operaciones</v>
      </c>
      <c r="E18" s="376" t="str" cm="1">
        <f t="array" ref="E18">IFERROR(INDEX(Cartera1017[Subgerencia],ROW(A16)),"")</f>
        <v>Servicios Bancarios y Recaudación</v>
      </c>
      <c r="F18" s="376" t="str" cm="1">
        <f t="array" ref="F18">IFERROR(INDEX(Cartera1017[Sección],ROW(A16)),"")</f>
        <v>Recaudación y Corresponsalía</v>
      </c>
      <c r="G18" s="376" t="str" cm="1">
        <f t="array" ref="G18">IFERROR(INDEX(Cartera1017[Estado TI],ROW(A16)),"")</f>
        <v>03. En Desarrollo</v>
      </c>
      <c r="H18" s="463" cm="1">
        <f t="array" ref="H18">IFERROR(
 IF(
   INDEX(Cartera1017[Comienzo Desarrollo],ROW(A16))=0,
   "",
   INDEX(Cartera1017[Comienzo Desarrollo],ROW(A16))
 ),
 ""
)</f>
        <v>45470</v>
      </c>
      <c r="I18" s="463" cm="1">
        <f t="array" ref="I18">IFERROR(
 IF(
   INDEX(Cartera1017[Fin Producción],ROW(A16))=0,
   "",
   INDEX(Cartera1017[Fin Producción],ROW(A16))
 ),
 ""
)</f>
        <v>46108</v>
      </c>
    </row>
    <row r="19" spans="1:9">
      <c r="A19" s="376" t="str" cm="1">
        <f t="array" ref="A19">IFERROR(
 IF(
   INDEX(Cartera1017[ID Mantenimiento],ROW(A17))=0,
   "",
   INDEX(Cartera1017[ID Mantenimiento],ROW(A17))
 ),
 ""
)</f>
        <v>2023-M0708</v>
      </c>
      <c r="B19" s="376" t="str" cm="1">
        <f t="array" ref="B19">IFERROR(INDEX(Cartera1017[Nombre del Requerimiento],ROW(A17)),"")</f>
        <v>Mandatorio Autorización Parcial</v>
      </c>
      <c r="C19" s="376" t="str" cm="1">
        <f t="array" aca="1" ref="C19" ca="1">IFERROR(INDEX(Cartera1017[indicador de Avance],ROW(A17)),"")</f>
        <v>ATRASADO 🔴</v>
      </c>
      <c r="D19" s="376" t="str" cm="1">
        <f t="array" ref="D19">IFERROR(INDEX(Cartera1017[Gerencia],ROW(A17)),"")</f>
        <v>Banca Digital</v>
      </c>
      <c r="E19" s="376" t="str" cm="1">
        <f t="array" ref="E19">IFERROR(INDEX(Cartera1017[Subgerencia],ROW(A17)),"")</f>
        <v>Canales Alternos</v>
      </c>
      <c r="F19" s="376" t="str" cm="1">
        <f t="array" ref="F19">IFERROR(INDEX(Cartera1017[Sección],ROW(A17)),"")</f>
        <v>Canales Virtuales</v>
      </c>
      <c r="G19" s="376" t="str" cm="1">
        <f t="array" ref="G19">IFERROR(INDEX(Cartera1017[Estado TI],ROW(A17)),"")</f>
        <v>06. Calidad Finalizado</v>
      </c>
      <c r="H19" s="463" cm="1">
        <f t="array" ref="H19">IFERROR(
 IF(
   INDEX(Cartera1017[Comienzo Desarrollo],ROW(A17))=0,
   "",
   INDEX(Cartera1017[Comienzo Desarrollo],ROW(A17))
 ),
 ""
)</f>
        <v>45673</v>
      </c>
      <c r="I19" s="463" cm="1">
        <f t="array" ref="I19">IFERROR(
 IF(
   INDEX(Cartera1017[Fin Producción],ROW(A17))=0,
   "",
   INDEX(Cartera1017[Fin Producción],ROW(A17))
 ),
 ""
)</f>
        <v>46108</v>
      </c>
    </row>
    <row r="20" spans="1:9">
      <c r="A20" s="376" t="str" cm="1">
        <f t="array" ref="A20">IFERROR(
 IF(
   INDEX(Cartera1017[ID Mantenimiento],ROW(A18))=0,
   "",
   INDEX(Cartera1017[ID Mantenimiento],ROW(A18))
 ),
 ""
)</f>
        <v>2023-M0711</v>
      </c>
      <c r="B20" s="376" t="str" cm="1">
        <f t="array" ref="B20">IFERROR(INDEX(Cartera1017[Nombre del Requerimiento],ROW(A18)),"")</f>
        <v>Mandatorio Aceptación campo 34</v>
      </c>
      <c r="C20" s="376" t="str" cm="1">
        <f t="array" aca="1" ref="C20" ca="1">IFERROR(INDEX(Cartera1017[indicador de Avance],ROW(A18)),"")</f>
        <v>ATRASADO 🔴</v>
      </c>
      <c r="D20" s="376" t="str" cm="1">
        <f t="array" ref="D20">IFERROR(INDEX(Cartera1017[Gerencia],ROW(A18)),"")</f>
        <v>Banca Digital</v>
      </c>
      <c r="E20" s="376" t="str" cm="1">
        <f t="array" ref="E20">IFERROR(INDEX(Cartera1017[Subgerencia],ROW(A18)),"")</f>
        <v>Canales Alternos</v>
      </c>
      <c r="F20" s="376" t="str" cm="1">
        <f t="array" ref="F20">IFERROR(INDEX(Cartera1017[Sección],ROW(A18)),"")</f>
        <v>Canales Virtuales</v>
      </c>
      <c r="G20" s="376" t="str" cm="1">
        <f t="array" ref="G20">IFERROR(INDEX(Cartera1017[Estado TI],ROW(A18)),"")</f>
        <v>06. Calidad Finalizado</v>
      </c>
      <c r="H20" s="463" cm="1">
        <f t="array" ref="H20">IFERROR(
 IF(
   INDEX(Cartera1017[Comienzo Desarrollo],ROW(A18))=0,
   "",
   INDEX(Cartera1017[Comienzo Desarrollo],ROW(A18))
 ),
 ""
)</f>
        <v>45761</v>
      </c>
      <c r="I20" s="463" cm="1">
        <f t="array" ref="I20">IFERROR(
 IF(
   INDEX(Cartera1017[Fin Producción],ROW(A18))=0,
   "",
   INDEX(Cartera1017[Fin Producción],ROW(A18))
 ),
 ""
)</f>
        <v>46108</v>
      </c>
    </row>
    <row r="21" spans="1:9">
      <c r="A21" s="376" t="str" cm="1">
        <f t="array" ref="A21">IFERROR(
 IF(
   INDEX(Cartera1017[ID Mantenimiento],ROW(A19))=0,
   "",
   INDEX(Cartera1017[ID Mantenimiento],ROW(A19))
 ),
 ""
)</f>
        <v>2023-M0701</v>
      </c>
      <c r="B21" s="376" t="str" cm="1">
        <f t="array" ref="B21">IFERROR(INDEX(Cartera1017[Nombre del Requerimiento],ROW(A19)),"")</f>
        <v>Mejora en el proceso de conciliación de operaciones visa (punto 4): Nuevos reportes reemplazo REPVISA  - Parte OPEN</v>
      </c>
      <c r="C21" s="376" t="str" cm="1">
        <f t="array" aca="1" ref="C21" ca="1">IFERROR(INDEX(Cartera1017[indicador de Avance],ROW(A19)),"")</f>
        <v>IMPLEMENTADO 🔵</v>
      </c>
      <c r="D21" s="376" t="str" cm="1">
        <f t="array" ref="D21">IFERROR(INDEX(Cartera1017[Gerencia],ROW(A19)),"")</f>
        <v>Banca Digital</v>
      </c>
      <c r="E21" s="376" t="str" cm="1">
        <f t="array" ref="E21">IFERROR(INDEX(Cartera1017[Subgerencia],ROW(A19)),"")</f>
        <v>Canales Alternos</v>
      </c>
      <c r="F21" s="376" t="str" cm="1">
        <f t="array" ref="F21">IFERROR(INDEX(Cartera1017[Sección],ROW(A19)),"")</f>
        <v>Canales Virtuales</v>
      </c>
      <c r="G21" s="376" t="str" cm="1">
        <f t="array" ref="G21">IFERROR(INDEX(Cartera1017[Estado TI],ROW(A19)),"")</f>
        <v>08. Producción Finalizada</v>
      </c>
      <c r="H21" s="463" cm="1">
        <f t="array" ref="H21">IFERROR(
 IF(
   INDEX(Cartera1017[Comienzo Desarrollo],ROW(A19))=0,
   "",
   INDEX(Cartera1017[Comienzo Desarrollo],ROW(A19))
 ),
 ""
)</f>
        <v>45798</v>
      </c>
      <c r="I21" s="463" cm="1">
        <f t="array" ref="I21">IFERROR(
 IF(
   INDEX(Cartera1017[Fin Producción],ROW(A19))=0,
   "",
   INDEX(Cartera1017[Fin Producción],ROW(A19))
 ),
 ""
)</f>
        <v>46111</v>
      </c>
    </row>
    <row r="22" spans="1:9">
      <c r="A22" s="376" t="str" cm="1">
        <f t="array" ref="A22">IFERROR(
 IF(
   INDEX(Cartera1017[ID Mantenimiento],ROW(A20))=0,
   "",
   INDEX(Cartera1017[ID Mantenimiento],ROW(A20))
 ),
 ""
)</f>
        <v>2024-M0071</v>
      </c>
      <c r="B22" s="376" t="str" cm="1">
        <f t="array" ref="B22">IFERROR(INDEX(Cartera1017[Nombre del Requerimiento],ROW(A20)),"")</f>
        <v>Cheques de Gerencia - Facturación Electrónica</v>
      </c>
      <c r="C22" s="376" t="str" cm="1">
        <f t="array" aca="1" ref="C22" ca="1">IFERROR(INDEX(Cartera1017[indicador de Avance],ROW(A20)),"")</f>
        <v>IMPLEMENTADO 🔵</v>
      </c>
      <c r="D22" s="376" t="str" cm="1">
        <f t="array" ref="D22">IFERROR(INDEX(Cartera1017[Gerencia],ROW(A20)),"")</f>
        <v>Operaciones</v>
      </c>
      <c r="E22" s="376" t="str" cm="1">
        <f t="array" ref="E22">IFERROR(INDEX(Cartera1017[Subgerencia],ROW(A20)),"")</f>
        <v>Servicios Bancarios y Recaudación</v>
      </c>
      <c r="F22" s="376" t="str" cm="1">
        <f t="array" ref="F22">IFERROR(INDEX(Cartera1017[Sección],ROW(A20)),"")</f>
        <v>Recaudación y Corresponsalía</v>
      </c>
      <c r="G22" s="376" t="str" cm="1">
        <f t="array" ref="G22">IFERROR(INDEX(Cartera1017[Estado TI],ROW(A20)),"")</f>
        <v>08. Producción Finalizada</v>
      </c>
      <c r="H22" s="463" cm="1">
        <f t="array" ref="H22">IFERROR(
 IF(
   INDEX(Cartera1017[Comienzo Desarrollo],ROW(A20))=0,
   "",
   INDEX(Cartera1017[Comienzo Desarrollo],ROW(A20))
 ),
 ""
)</f>
        <v>45329</v>
      </c>
      <c r="I22" s="463" cm="1">
        <f t="array" ref="I22">IFERROR(
 IF(
   INDEX(Cartera1017[Fin Producción],ROW(A20))=0,
   "",
   INDEX(Cartera1017[Fin Producción],ROW(A20))
 ),
 ""
)</f>
        <v>46108</v>
      </c>
    </row>
    <row r="23" spans="1:9">
      <c r="A23" s="376" t="str" cm="1">
        <f t="array" ref="A23">IFERROR(
 IF(
   INDEX(Cartera1017[ID Mantenimiento],ROW(A21))=0,
   "",
   INDEX(Cartera1017[ID Mantenimiento],ROW(A21))
 ),
 ""
)</f>
        <v>2024-M0315</v>
      </c>
      <c r="B23" s="376" t="str" cm="1">
        <f t="array" ref="B23">IFERROR(INDEX(Cartera1017[Nombre del Requerimiento],ROW(A21)),"")</f>
        <v>Modificación de programas y hojas de trabajo del Anexo 5 y RCD aplicando los criterios de cálculo de las Provisiones Procíclicas por producto.</v>
      </c>
      <c r="C23" s="376" t="str" cm="1">
        <f t="array" aca="1" ref="C23" ca="1">IFERROR(INDEX(Cartera1017[indicador de Avance],ROW(A21)),"")</f>
        <v>ATRASADO 🔴</v>
      </c>
      <c r="D23" s="376" t="str" cm="1">
        <f t="array" ref="D23">IFERROR(INDEX(Cartera1017[Gerencia],ROW(A21)),"")</f>
        <v>Riesgos</v>
      </c>
      <c r="E23" s="376" t="str" cm="1">
        <f t="array" ref="E23">IFERROR(INDEX(Cartera1017[Subgerencia],ROW(A21)),"")</f>
        <v>Riesgos Crediticios y Financieros</v>
      </c>
      <c r="F23" s="376" t="str" cm="1">
        <f t="array" ref="F23">IFERROR(INDEX(Cartera1017[Sección],ROW(A21)),"")</f>
        <v>Evaluación de
Cartera de Créditos</v>
      </c>
      <c r="G23" s="376" t="str" cm="1">
        <f t="array" ref="G23">IFERROR(INDEX(Cartera1017[Estado TI],ROW(A21)),"")</f>
        <v>06. Calidad Finalizado</v>
      </c>
      <c r="H23" s="463" cm="1">
        <f t="array" ref="H23">IFERROR(
 IF(
   INDEX(Cartera1017[Comienzo Desarrollo],ROW(A21))=0,
   "",
   INDEX(Cartera1017[Comienzo Desarrollo],ROW(A21))
 ),
 ""
)</f>
        <v>46083</v>
      </c>
      <c r="I23" s="463" cm="1">
        <f t="array" ref="I23">IFERROR(
 IF(
   INDEX(Cartera1017[Fin Producción],ROW(A21))=0,
   "",
   INDEX(Cartera1017[Fin Producción],ROW(A21))
 ),
 ""
)</f>
        <v>46160</v>
      </c>
    </row>
    <row r="24" spans="1:9">
      <c r="A24" s="376" t="str" cm="1">
        <f t="array" ref="A24">IFERROR(
 IF(
   INDEX(Cartera1017[ID Mantenimiento],ROW(A22))=0,
   "",
   INDEX(Cartera1017[ID Mantenimiento],ROW(A22))
 ),
 ""
)</f>
        <v>2024-M0146</v>
      </c>
      <c r="B24" s="376" t="str" cm="1">
        <f t="array" ref="B24">IFERROR(INDEX(Cartera1017[Nombre del Requerimiento],ROW(A22)),"")</f>
        <v>ME: Generación de Clave de Internet y Afiliación a la Clave Dinámica Digital (CDD) en el Canal Banca Móvil (Biometría Facial)</v>
      </c>
      <c r="C24" s="376" t="str" cm="1">
        <f t="array" aca="1" ref="C24" ca="1">IFERROR(INDEX(Cartera1017[indicador de Avance],ROW(A22)),"")</f>
        <v>ATRASADO 🔴</v>
      </c>
      <c r="D24" s="376" t="str" cm="1">
        <f t="array" ref="D24">IFERROR(INDEX(Cartera1017[Gerencia],ROW(A22)),"")</f>
        <v>Banca Digital</v>
      </c>
      <c r="E24" s="376" t="str" cm="1">
        <f t="array" ref="E24">IFERROR(INDEX(Cartera1017[Subgerencia],ROW(A22)),"")</f>
        <v>Canales Alternos</v>
      </c>
      <c r="F24" s="376" t="str" cm="1">
        <f t="array" ref="F24">IFERROR(INDEX(Cartera1017[Sección],ROW(A22)),"")</f>
        <v>Canales Virtuales</v>
      </c>
      <c r="G24" s="376" t="str" cm="1">
        <f t="array" ref="G24">IFERROR(INDEX(Cartera1017[Estado TI],ROW(A22)),"")</f>
        <v>06. Calidad Finalizado</v>
      </c>
      <c r="H24" s="463" cm="1">
        <f t="array" ref="H24">IFERROR(
 IF(
   INDEX(Cartera1017[Comienzo Desarrollo],ROW(A22))=0,
   "",
   INDEX(Cartera1017[Comienzo Desarrollo],ROW(A22))
 ),
 ""
)</f>
        <v>46014</v>
      </c>
      <c r="I24" s="463" cm="1">
        <f t="array" ref="I24">IFERROR(
 IF(
   INDEX(Cartera1017[Fin Producción],ROW(A22))=0,
   "",
   INDEX(Cartera1017[Fin Producción],ROW(A22))
 ),
 ""
)</f>
        <v>46112</v>
      </c>
    </row>
    <row r="25" spans="1:9">
      <c r="A25" s="376" t="str" cm="1">
        <f t="array" ref="A25">IFERROR(
 IF(
   INDEX(Cartera1017[ID Mantenimiento],ROW(A23))=0,
   "",
   INDEX(Cartera1017[ID Mantenimiento],ROW(A23))
 ),
 ""
)</f>
        <v>2024-M0146</v>
      </c>
      <c r="B25" s="376" t="str" cm="1">
        <f t="array" ref="B25">IFERROR(INDEX(Cartera1017[Nombre del Requerimiento],ROW(A23)),"")</f>
        <v>Mostrar de manera separada la información de las transferencias por contacto y CCI en los resúmenes operativos del monitor web de consultas</v>
      </c>
      <c r="C25" s="376" t="str" cm="1">
        <f t="array" aca="1" ref="C25" ca="1">IFERROR(INDEX(Cartera1017[indicador de Avance],ROW(A23)),"")</f>
        <v>ATRASADO 🔴</v>
      </c>
      <c r="D25" s="376" t="str" cm="1">
        <f t="array" ref="D25">IFERROR(INDEX(Cartera1017[Gerencia],ROW(A23)),"")</f>
        <v>Banca Digital</v>
      </c>
      <c r="E25" s="376" t="str" cm="1">
        <f t="array" ref="E25">IFERROR(INDEX(Cartera1017[Subgerencia],ROW(A23)),"")</f>
        <v>Canales Alternos</v>
      </c>
      <c r="F25" s="376" t="str" cm="1">
        <f t="array" ref="F25">IFERROR(INDEX(Cartera1017[Sección],ROW(A23)),"")</f>
        <v>Canales Virtuales</v>
      </c>
      <c r="G25" s="376" t="str" cm="1">
        <f t="array" ref="G25">IFERROR(INDEX(Cartera1017[Estado TI],ROW(A23)),"")</f>
        <v>06. Calidad Finalizado</v>
      </c>
      <c r="H25" s="463" cm="1">
        <f t="array" ref="H25">IFERROR(
 IF(
   INDEX(Cartera1017[Comienzo Desarrollo],ROW(A23))=0,
   "",
   INDEX(Cartera1017[Comienzo Desarrollo],ROW(A23))
 ),
 ""
)</f>
        <v>46014</v>
      </c>
      <c r="I25" s="463" cm="1">
        <f t="array" ref="I25">IFERROR(
 IF(
   INDEX(Cartera1017[Fin Producción],ROW(A23))=0,
   "",
   INDEX(Cartera1017[Fin Producción],ROW(A23))
 ),
 ""
)</f>
        <v>46112</v>
      </c>
    </row>
    <row r="26" spans="1:9">
      <c r="A26" s="376" t="str" cm="1">
        <f t="array" ref="A26">IFERROR(
 IF(
   INDEX(Cartera1017[ID Mantenimiento],ROW(A24))=0,
   "",
   INDEX(Cartera1017[ID Mantenimiento],ROW(A24))
 ),
 ""
)</f>
        <v>2024-M0494</v>
      </c>
      <c r="B26" s="376" t="str" cm="1">
        <f t="array" ref="B26">IFERROR(INDEX(Cartera1017[Nombre del Requerimiento],ROW(A24)),"")</f>
        <v>MN: Migración de producto para TC entre bines Clásico, Gold y Platinum</v>
      </c>
      <c r="C26" s="376" t="str" cm="1">
        <f t="array" aca="1" ref="C26" ca="1">IFERROR(INDEX(Cartera1017[indicador de Avance],ROW(A24)),"")</f>
        <v>ATRASADO 🔴</v>
      </c>
      <c r="D26" s="376" t="str" cm="1">
        <f t="array" ref="D26">IFERROR(INDEX(Cartera1017[Gerencia],ROW(A24)),"")</f>
        <v>Productos e Inclusión Financiera</v>
      </c>
      <c r="E26" s="376" t="str" cm="1">
        <f t="array" ref="E26">IFERROR(INDEX(Cartera1017[Subgerencia],ROW(A24)),"")</f>
        <v>Banca Personal</v>
      </c>
      <c r="F26" s="376" t="str" cm="1">
        <f t="array" ref="F26">IFERROR(INDEX(Cartera1017[Sección],ROW(A24)),"")</f>
        <v>Tarjeta de Crédito</v>
      </c>
      <c r="G26" s="376" t="str" cm="1">
        <f t="array" ref="G26">IFERROR(INDEX(Cartera1017[Estado TI],ROW(A24)),"")</f>
        <v>07. En Despliegue</v>
      </c>
      <c r="H26" s="463" cm="1">
        <f t="array" ref="H26">IFERROR(
 IF(
   INDEX(Cartera1017[Comienzo Desarrollo],ROW(A24))=0,
   "",
   INDEX(Cartera1017[Comienzo Desarrollo],ROW(A24))
 ),
 ""
)</f>
        <v>45371</v>
      </c>
      <c r="I26" s="463" cm="1">
        <f t="array" ref="I26">IFERROR(
 IF(
   INDEX(Cartera1017[Fin Producción],ROW(A24))=0,
   "",
   INDEX(Cartera1017[Fin Producción],ROW(A24))
 ),
 ""
)</f>
        <v>46108</v>
      </c>
    </row>
    <row r="27" spans="1:9">
      <c r="A27" s="376" t="str" cm="1">
        <f t="array" ref="A27">IFERROR(
 IF(
   INDEX(Cartera1017[ID Mantenimiento],ROW(A25))=0,
   "",
   INDEX(Cartera1017[ID Mantenimiento],ROW(A25))
 ),
 ""
)</f>
        <v>2024-M0175</v>
      </c>
      <c r="B27" s="376" t="str" cm="1">
        <f t="array" ref="B27">IFERROR(INDEX(Cartera1017[Nombre del Requerimiento],ROW(A25)),"")</f>
        <v>Pago electrónico de tributos municipales (SRTM)</v>
      </c>
      <c r="C27" s="376" t="str" cm="1">
        <f t="array" aca="1" ref="C27" ca="1">IFERROR(INDEX(Cartera1017[indicador de Avance],ROW(A25)),"")</f>
        <v>ATRASADO 🔴</v>
      </c>
      <c r="D27" s="376" t="str" cm="1">
        <f t="array" ref="D27">IFERROR(INDEX(Cartera1017[Gerencia],ROW(A25)),"")</f>
        <v>Operaciones</v>
      </c>
      <c r="E27" s="376" t="str" cm="1">
        <f t="array" ref="E27">IFERROR(INDEX(Cartera1017[Subgerencia],ROW(A25)),"")</f>
        <v>Servicios Bancarios y Recaudación</v>
      </c>
      <c r="F27" s="376" t="str" cm="1">
        <f t="array" ref="F27">IFERROR(INDEX(Cartera1017[Sección],ROW(A25)),"")</f>
        <v>Recaudación y corresponsalía</v>
      </c>
      <c r="G27" s="376" t="str" cm="1">
        <f t="array" ref="G27">IFERROR(INDEX(Cartera1017[Estado TI],ROW(A25)),"")</f>
        <v>03. En Desarrollo</v>
      </c>
      <c r="H27" s="463" cm="1">
        <f t="array" ref="H27">IFERROR(
 IF(
   INDEX(Cartera1017[Comienzo Desarrollo],ROW(A25))=0,
   "",
   INDEX(Cartera1017[Comienzo Desarrollo],ROW(A25))
 ),
 ""
)</f>
        <v>45399</v>
      </c>
      <c r="I27" s="463" cm="1">
        <f t="array" ref="I27">IFERROR(
 IF(
   INDEX(Cartera1017[Fin Producción],ROW(A25))=0,
   "",
   INDEX(Cartera1017[Fin Producción],ROW(A25))
 ),
 ""
)</f>
        <v>46164</v>
      </c>
    </row>
    <row r="28" spans="1:9">
      <c r="A28" s="376" t="str" cm="1">
        <f t="array" ref="A28">IFERROR(
 IF(
   INDEX(Cartera1017[ID Mantenimiento],ROW(A26))=0,
   "",
   INDEX(Cartera1017[ID Mantenimiento],ROW(A26))
 ),
 ""
)</f>
        <v>2024-M0255</v>
      </c>
      <c r="B28" s="376" t="str" cm="1">
        <f t="array" ref="B28">IFERROR(INDEX(Cartera1017[Nombre del Requerimiento],ROW(A26)),"")</f>
        <v>Mandatorio Abril 2024</v>
      </c>
      <c r="C28" s="376" t="str" cm="1">
        <f t="array" aca="1" ref="C28" ca="1">IFERROR(INDEX(Cartera1017[indicador de Avance],ROW(A26)),"")</f>
        <v>PARALIZADO ⚪</v>
      </c>
      <c r="D28" s="376" t="str" cm="1">
        <f t="array" ref="D28">IFERROR(INDEX(Cartera1017[Gerencia],ROW(A26)),"")</f>
        <v>Banca Digital</v>
      </c>
      <c r="E28" s="376" t="str" cm="1">
        <f t="array" ref="E28">IFERROR(INDEX(Cartera1017[Subgerencia],ROW(A26)),"")</f>
        <v>Canales Alternos</v>
      </c>
      <c r="F28" s="376" t="str" cm="1">
        <f t="array" ref="F28">IFERROR(INDEX(Cartera1017[Sección],ROW(A26)),"")</f>
        <v>Canales Virtuales</v>
      </c>
      <c r="G28" s="376" t="str" cm="1">
        <f t="array" ref="G28">IFERROR(INDEX(Cartera1017[Estado TI],ROW(A26)),"")</f>
        <v>10. Paralizado</v>
      </c>
      <c r="H28" s="463" t="str" cm="1">
        <f t="array" ref="H28">IFERROR(
 IF(
   INDEX(Cartera1017[Comienzo Desarrollo],ROW(A26))=0,
   "",
   INDEX(Cartera1017[Comienzo Desarrollo],ROW(A26))
 ),
 ""
)</f>
        <v/>
      </c>
      <c r="I28" s="463" cm="1">
        <f t="array" ref="I28">IFERROR(
 IF(
   INDEX(Cartera1017[Fin Producción],ROW(A26))=0,
   "",
   INDEX(Cartera1017[Fin Producción],ROW(A26))
 ),
 ""
)</f>
        <v>46265</v>
      </c>
    </row>
    <row r="29" spans="1:9">
      <c r="A29" s="376" t="str" cm="1">
        <f t="array" ref="A29">IFERROR(
 IF(
   INDEX(Cartera1017[ID Mantenimiento],ROW(A27))=0,
   "",
   INDEX(Cartera1017[ID Mantenimiento],ROW(A27))
 ),
 ""
)</f>
        <v>2024-M0252</v>
      </c>
      <c r="B29" s="376" t="str" cm="1">
        <f t="array" ref="B29">IFERROR(INDEX(Cartera1017[Nombre del Requerimiento],ROW(A27)),"")</f>
        <v>Publicaciones Períodicas</v>
      </c>
      <c r="C29" s="376" t="str" cm="1">
        <f t="array" aca="1" ref="C29" ca="1">IFERROR(INDEX(Cartera1017[indicador de Avance],ROW(A27)),"")</f>
        <v>EN CURSO 🟢</v>
      </c>
      <c r="D29" s="376" t="str" cm="1">
        <f t="array" ref="D29">IFERROR(INDEX(Cartera1017[Gerencia],ROW(A27)),"")</f>
        <v>Recursos Humanos y Cultura</v>
      </c>
      <c r="E29" s="376" t="str" cm="1">
        <f t="array" ref="E29">IFERROR(INDEX(Cartera1017[Subgerencia],ROW(A27)),"")</f>
        <v>Desarrollo del Talento</v>
      </c>
      <c r="F29" s="376" t="str" cm="1">
        <f t="array" ref="F29">IFERROR(INDEX(Cartera1017[Sección],ROW(A27)),"")</f>
        <v>Capacitación</v>
      </c>
      <c r="G29" s="376" t="str" cm="1">
        <f t="array" ref="G29">IFERROR(INDEX(Cartera1017[Estado TI],ROW(A27)),"")</f>
        <v>03. En Desarrollo</v>
      </c>
      <c r="H29" s="463" cm="1">
        <f t="array" ref="H29">IFERROR(
 IF(
   INDEX(Cartera1017[Comienzo Desarrollo],ROW(A27))=0,
   "",
   INDEX(Cartera1017[Comienzo Desarrollo],ROW(A27))
 ),
 ""
)</f>
        <v>46174</v>
      </c>
      <c r="I29" s="463" cm="1">
        <f t="array" ref="I29">IFERROR(
 IF(
   INDEX(Cartera1017[Fin Producción],ROW(A27))=0,
   "",
   INDEX(Cartera1017[Fin Producción],ROW(A27))
 ),
 ""
)</f>
        <v>46272</v>
      </c>
    </row>
    <row r="30" spans="1:9">
      <c r="A30" s="376" t="str" cm="1">
        <f t="array" ref="A30">IFERROR(
 IF(
   INDEX(Cartera1017[ID Mantenimiento],ROW(A28))=0,
   "",
   INDEX(Cartera1017[ID Mantenimiento],ROW(A28))
 ),
 ""
)</f>
        <v>2024-M0409</v>
      </c>
      <c r="B30" s="376" t="str" cm="1">
        <f t="array" ref="B30">IFERROR(INDEX(Cartera1017[Nombre del Requerimiento],ROW(A28)),"")</f>
        <v>Cobro de comisión adquirente Internacional Visa por uso en Canal ATM del BN (Consultas y retiros) Surcharge</v>
      </c>
      <c r="C30" s="376" t="str" cm="1">
        <f t="array" aca="1" ref="C30" ca="1">IFERROR(INDEX(Cartera1017[indicador de Avance],ROW(A28)),"")</f>
        <v>ATRASADO 🔴</v>
      </c>
      <c r="D30" s="376" t="str" cm="1">
        <f t="array" ref="D30">IFERROR(INDEX(Cartera1017[Gerencia],ROW(A28)),"")</f>
        <v>Banca Digital</v>
      </c>
      <c r="E30" s="376" t="str" cm="1">
        <f t="array" ref="E30">IFERROR(INDEX(Cartera1017[Subgerencia],ROW(A28)),"")</f>
        <v>Canales Alternos</v>
      </c>
      <c r="F30" s="376" t="str" cm="1">
        <f t="array" ref="F30">IFERROR(INDEX(Cartera1017[Sección],ROW(A28)),"")</f>
        <v>Canales Virtuales</v>
      </c>
      <c r="G30" s="376" t="str" cm="1">
        <f t="array" ref="G30">IFERROR(INDEX(Cartera1017[Estado TI],ROW(A28)),"")</f>
        <v>06. Calidad Finalizado</v>
      </c>
      <c r="H30" s="463" cm="1">
        <f t="array" ref="H30">IFERROR(
 IF(
   INDEX(Cartera1017[Comienzo Desarrollo],ROW(A28))=0,
   "",
   INDEX(Cartera1017[Comienzo Desarrollo],ROW(A28))
 ),
 ""
)</f>
        <v>45884</v>
      </c>
      <c r="I30" s="463" cm="1">
        <f t="array" ref="I30">IFERROR(
 IF(
   INDEX(Cartera1017[Fin Producción],ROW(A28))=0,
   "",
   INDEX(Cartera1017[Fin Producción],ROW(A28))
 ),
 ""
)</f>
        <v>46108</v>
      </c>
    </row>
    <row r="31" spans="1:9">
      <c r="A31" s="376" t="str" cm="1">
        <f t="array" ref="A31">IFERROR(
 IF(
   INDEX(Cartera1017[ID Mantenimiento],ROW(A29))=0,
   "",
   INDEX(Cartera1017[ID Mantenimiento],ROW(A29))
 ),
 ""
)</f>
        <v>2024-M0317</v>
      </c>
      <c r="B31" s="376" t="str" cm="1">
        <f t="array" ref="B31">IFERROR(INDEX(Cartera1017[Nombre del Requerimiento],ROW(A29)),"")</f>
        <v>Migrar el sistema Errores de Cajeros (Monitoreo cajeros automáticos) entorno web que soporte la trazabilidad de la atención de los incidentes relacionados con la operatividad de los ATMs</v>
      </c>
      <c r="C31" s="376" t="str" cm="1">
        <f t="array" aca="1" ref="C31" ca="1">IFERROR(INDEX(Cartera1017[indicador de Avance],ROW(A29)),"")</f>
        <v>PARALIZADO ⚪</v>
      </c>
      <c r="D31" s="376" t="str" cm="1">
        <f t="array" ref="D31">IFERROR(INDEX(Cartera1017[Gerencia],ROW(A29)),"")</f>
        <v>Banca Digital</v>
      </c>
      <c r="E31" s="376" t="str" cm="1">
        <f t="array" ref="E31">IFERROR(INDEX(Cartera1017[Subgerencia],ROW(A29)),"")</f>
        <v>Canales Alternos</v>
      </c>
      <c r="F31" s="376" t="str" cm="1">
        <f t="array" ref="F31">IFERROR(INDEX(Cartera1017[Sección],ROW(A29)),"")</f>
        <v>Canales Presenciales</v>
      </c>
      <c r="G31" s="376" t="str" cm="1">
        <f t="array" ref="G31">IFERROR(INDEX(Cartera1017[Estado TI],ROW(A29)),"")</f>
        <v>10. Paralizado</v>
      </c>
      <c r="H31" s="463" cm="1">
        <f t="array" ref="H31">IFERROR(
 IF(
   INDEX(Cartera1017[Comienzo Desarrollo],ROW(A29))=0,
   "",
   INDEX(Cartera1017[Comienzo Desarrollo],ROW(A29))
 ),
 ""
)</f>
        <v>46204</v>
      </c>
      <c r="I31" s="463" cm="1">
        <f t="array" ref="I31">IFERROR(
 IF(
   INDEX(Cartera1017[Fin Producción],ROW(A29))=0,
   "",
   INDEX(Cartera1017[Fin Producción],ROW(A29))
 ),
 ""
)</f>
        <v>46300</v>
      </c>
    </row>
    <row r="32" spans="1:9">
      <c r="A32" s="376" t="str" cm="1">
        <f t="array" ref="A32">IFERROR(
 IF(
   INDEX(Cartera1017[ID Mantenimiento],ROW(A30))=0,
   "",
   INDEX(Cartera1017[ID Mantenimiento],ROW(A30))
 ),
 ""
)</f>
        <v>2024-M0201</v>
      </c>
      <c r="B32" s="376" t="str" cm="1">
        <f t="array" ref="B32">IFERROR(INDEX(Cartera1017[Nombre del Requerimiento],ROW(A30)),"")</f>
        <v>MC: Crear la opción de consultas en línea para las cuentas corrientes, SIAF, RDR, Ordinarias, Depósitos en garantía y ahorros MN y ME</v>
      </c>
      <c r="C32" s="376" t="str" cm="1">
        <f t="array" aca="1" ref="C32" ca="1">IFERROR(INDEX(Cartera1017[indicador de Avance],ROW(A30)),"")</f>
        <v>IMPLEMENTADO 🔵</v>
      </c>
      <c r="D32" s="376" t="str" cm="1">
        <f t="array" ref="D32">IFERROR(INDEX(Cartera1017[Gerencia],ROW(A30)),"")</f>
        <v>Operaciones</v>
      </c>
      <c r="E32" s="376" t="str" cm="1">
        <f t="array" ref="E32">IFERROR(INDEX(Cartera1017[Subgerencia],ROW(A30)),"")</f>
        <v>Internacional</v>
      </c>
      <c r="F32" s="376" t="str" cm="1">
        <f t="array" ref="F32">IFERROR(INDEX(Cartera1017[Sección],ROW(A30)),"")</f>
        <v>Comercio Exterior</v>
      </c>
      <c r="G32" s="376" t="str" cm="1">
        <f t="array" ref="G32">IFERROR(INDEX(Cartera1017[Estado TI],ROW(A30)),"")</f>
        <v>08. Producción Finalizada</v>
      </c>
      <c r="H32" s="463" cm="1">
        <f t="array" ref="H32">IFERROR(
 IF(
   INDEX(Cartera1017[Comienzo Desarrollo],ROW(A30))=0,
   "",
   INDEX(Cartera1017[Comienzo Desarrollo],ROW(A30))
 ),
 ""
)</f>
        <v>45964</v>
      </c>
      <c r="I32" s="463" cm="1">
        <f t="array" ref="I32">IFERROR(
 IF(
   INDEX(Cartera1017[Fin Producción],ROW(A30))=0,
   "",
   INDEX(Cartera1017[Fin Producción],ROW(A30))
 ),
 ""
)</f>
        <v>46038</v>
      </c>
    </row>
    <row r="33" spans="1:9">
      <c r="A33" s="376" t="str" cm="1">
        <f t="array" ref="A33">IFERROR(
 IF(
   INDEX(Cartera1017[ID Mantenimiento],ROW(A31))=0,
   "",
   INDEX(Cartera1017[ID Mantenimiento],ROW(A31))
 ),
 ""
)</f>
        <v>2024-M0518</v>
      </c>
      <c r="B33" s="376" t="str" cm="1">
        <f t="array" ref="B33">IFERROR(INDEX(Cartera1017[Nombre del Requerimiento],ROW(A31)),"")</f>
        <v>Agregar campos en actualización de datos en los canales Banca Móvil y Multired Virtual</v>
      </c>
      <c r="C33" s="376" t="str" cm="1">
        <f t="array" aca="1" ref="C33" ca="1">IFERROR(INDEX(Cartera1017[indicador de Avance],ROW(A31)),"")</f>
        <v>EN RIESGO 🟡</v>
      </c>
      <c r="D33" s="376" t="str" cm="1">
        <f t="array" ref="D33">IFERROR(INDEX(Cartera1017[Gerencia],ROW(A31)),"")</f>
        <v>Banca Digital</v>
      </c>
      <c r="E33" s="376" t="str" cm="1">
        <f t="array" ref="E33">IFERROR(INDEX(Cartera1017[Subgerencia],ROW(A31)),"")</f>
        <v>Canales Alternos</v>
      </c>
      <c r="F33" s="376" t="str" cm="1">
        <f t="array" ref="F33">IFERROR(INDEX(Cartera1017[Sección],ROW(A31)),"")</f>
        <v>Canales Virtuales</v>
      </c>
      <c r="G33" s="376" t="str" cm="1">
        <f t="array" ref="G33">IFERROR(INDEX(Cartera1017[Estado TI],ROW(A31)),"")</f>
        <v>03. En Desarrollo</v>
      </c>
      <c r="H33" s="463" cm="1">
        <f t="array" ref="H33">IFERROR(
 IF(
   INDEX(Cartera1017[Comienzo Desarrollo],ROW(A31))=0,
   "",
   INDEX(Cartera1017[Comienzo Desarrollo],ROW(A31))
 ),
 ""
)</f>
        <v>46083</v>
      </c>
      <c r="I33" s="463" cm="1">
        <f t="array" ref="I33">IFERROR(
 IF(
   INDEX(Cartera1017[Fin Producción],ROW(A31))=0,
   "",
   INDEX(Cartera1017[Fin Producción],ROW(A31))
 ),
 ""
)</f>
        <v>46234</v>
      </c>
    </row>
    <row r="34" spans="1:9">
      <c r="A34" s="376" t="str" cm="1">
        <f t="array" ref="A34">IFERROR(
 IF(
   INDEX(Cartera1017[ID Mantenimiento],ROW(A32))=0,
   "",
   INDEX(Cartera1017[ID Mantenimiento],ROW(A32))
 ),
 ""
)</f>
        <v>2024-M0223</v>
      </c>
      <c r="B34" s="376" t="str" cm="1">
        <f t="array" ref="B34">IFERROR(INDEX(Cartera1017[Nombre del Requerimiento],ROW(A32)),"")</f>
        <v>MC: Montos retenidos - Yape</v>
      </c>
      <c r="C34" s="376" t="str" cm="1">
        <f t="array" aca="1" ref="C34" ca="1">IFERROR(INDEX(Cartera1017[indicador de Avance],ROW(A32)),"")</f>
        <v>PARALIZADO ⚪</v>
      </c>
      <c r="D34" s="376" t="str" cm="1">
        <f t="array" ref="D34">IFERROR(INDEX(Cartera1017[Gerencia],ROW(A32)),"")</f>
        <v>Tecnologías de Información</v>
      </c>
      <c r="E34" s="376" t="str" cm="1">
        <f t="array" ref="E34">IFERROR(INDEX(Cartera1017[Subgerencia],ROW(A32)),"")</f>
        <v>Construcción de Aplicaciones</v>
      </c>
      <c r="F34" s="376" t="str" cm="1">
        <f t="array" ref="F34">IFERROR(INDEX(Cartera1017[Sección],ROW(A32)),"")</f>
        <v>Sistemas Bancarios</v>
      </c>
      <c r="G34" s="376" t="str" cm="1">
        <f t="array" ref="G34">IFERROR(INDEX(Cartera1017[Estado TI],ROW(A32)),"")</f>
        <v>10. Paralizado</v>
      </c>
      <c r="H34" s="463" t="str" cm="1">
        <f t="array" ref="H34">IFERROR(
 IF(
   INDEX(Cartera1017[Comienzo Desarrollo],ROW(A32))=0,
   "",
   INDEX(Cartera1017[Comienzo Desarrollo],ROW(A32))
 ),
 ""
)</f>
        <v/>
      </c>
      <c r="I34" s="463" cm="1">
        <f t="array" ref="I34">IFERROR(
 IF(
   INDEX(Cartera1017[Fin Producción],ROW(A32))=0,
   "",
   INDEX(Cartera1017[Fin Producción],ROW(A32))
 ),
 ""
)</f>
        <v>46477</v>
      </c>
    </row>
    <row r="35" spans="1:9">
      <c r="A35" s="376" t="str" cm="1">
        <f t="array" ref="A35">IFERROR(
 IF(
   INDEX(Cartera1017[ID Mantenimiento],ROW(A33))=0,
   "",
   INDEX(Cartera1017[ID Mantenimiento],ROW(A33))
 ),
 ""
)</f>
        <v>2024-M0238</v>
      </c>
      <c r="B35" s="376" t="str" cm="1">
        <f t="array" ref="B35">IFERROR(INDEX(Cartera1017[Nombre del Requerimiento],ROW(A33)),"")</f>
        <v>ME: Implementación de Transacción en línea de la cobranza de las Empresas Públicas de Electricidad.</v>
      </c>
      <c r="C35" s="376" t="str" cm="1">
        <f t="array" aca="1" ref="C35" ca="1">IFERROR(INDEX(Cartera1017[indicador de Avance],ROW(A33)),"")</f>
        <v>IMPLEMENTADO 🔵</v>
      </c>
      <c r="D35" s="376" t="str" cm="1">
        <f t="array" ref="D35">IFERROR(INDEX(Cartera1017[Gerencia],ROW(A33)),"")</f>
        <v>Operaciones</v>
      </c>
      <c r="E35" s="376" t="str" cm="1">
        <f t="array" ref="E35">IFERROR(INDEX(Cartera1017[Subgerencia],ROW(A33)),"")</f>
        <v>Servicios Bancarios y Recaudación</v>
      </c>
      <c r="F35" s="376" t="str" cm="1">
        <f t="array" ref="F35">IFERROR(INDEX(Cartera1017[Sección],ROW(A33)),"")</f>
        <v>Recaudación y Corresponsalía</v>
      </c>
      <c r="G35" s="376" t="str" cm="1">
        <f t="array" ref="G35">IFERROR(INDEX(Cartera1017[Estado TI],ROW(A33)),"")</f>
        <v>08. Producción Finalizada</v>
      </c>
      <c r="H35" s="463" cm="1">
        <f t="array" ref="H35">IFERROR(
 IF(
   INDEX(Cartera1017[Comienzo Desarrollo],ROW(A33))=0,
   "",
   INDEX(Cartera1017[Comienzo Desarrollo],ROW(A33))
 ),
 ""
)</f>
        <v>45405</v>
      </c>
      <c r="I35" s="463" cm="1">
        <f t="array" ref="I35">IFERROR(
 IF(
   INDEX(Cartera1017[Fin Producción],ROW(A33))=0,
   "",
   INDEX(Cartera1017[Fin Producción],ROW(A33))
 ),
 ""
)</f>
        <v>46108</v>
      </c>
    </row>
    <row r="36" spans="1:9">
      <c r="A36" s="376" t="str" cm="1">
        <f t="array" ref="A36">IFERROR(
 IF(
   INDEX(Cartera1017[ID Mantenimiento],ROW(A34))=0,
   "",
   INDEX(Cartera1017[ID Mantenimiento],ROW(A34))
 ),
 ""
)</f>
        <v>2024-M0237</v>
      </c>
      <c r="B36" s="376" t="str" cm="1">
        <f t="array" ref="B36">IFERROR(INDEX(Cartera1017[Nombre del Requerimiento],ROW(A34)),"")</f>
        <v>ME: Integración al Sistema Comercial SEDAPAL</v>
      </c>
      <c r="C36" s="376" t="str" cm="1">
        <f t="array" aca="1" ref="C36" ca="1">IFERROR(INDEX(Cartera1017[indicador de Avance],ROW(A34)),"")</f>
        <v>IMPLEMENTADO 🔵</v>
      </c>
      <c r="D36" s="376" t="str" cm="1">
        <f t="array" ref="D36">IFERROR(INDEX(Cartera1017[Gerencia],ROW(A34)),"")</f>
        <v>Operaciones</v>
      </c>
      <c r="E36" s="376" t="str" cm="1">
        <f t="array" ref="E36">IFERROR(INDEX(Cartera1017[Subgerencia],ROW(A34)),"")</f>
        <v>Servicios Bancarios y Recaudación</v>
      </c>
      <c r="F36" s="376" t="str" cm="1">
        <f t="array" ref="F36">IFERROR(INDEX(Cartera1017[Sección],ROW(A34)),"")</f>
        <v>Recaudación y Corresponsalía</v>
      </c>
      <c r="G36" s="376" t="str" cm="1">
        <f t="array" ref="G36">IFERROR(INDEX(Cartera1017[Estado TI],ROW(A34)),"")</f>
        <v>08. Producción Finalizada</v>
      </c>
      <c r="H36" s="463" cm="1">
        <f t="array" ref="H36">IFERROR(
 IF(
   INDEX(Cartera1017[Comienzo Desarrollo],ROW(A34))=0,
   "",
   INDEX(Cartera1017[Comienzo Desarrollo],ROW(A34))
 ),
 ""
)</f>
        <v>45405</v>
      </c>
      <c r="I36" s="463" cm="1">
        <f t="array" ref="I36">IFERROR(
 IF(
   INDEX(Cartera1017[Fin Producción],ROW(A34))=0,
   "",
   INDEX(Cartera1017[Fin Producción],ROW(A34))
 ),
 ""
)</f>
        <v>46108</v>
      </c>
    </row>
    <row r="37" spans="1:9">
      <c r="A37" s="376" t="str" cm="1">
        <f t="array" ref="A37">IFERROR(
 IF(
   INDEX(Cartera1017[ID Mantenimiento],ROW(A35))=0,
   "",
   INDEX(Cartera1017[ID Mantenimiento],ROW(A35))
 ),
 ""
)</f>
        <v>2024-M0298</v>
      </c>
      <c r="B37" s="376" t="str" cm="1">
        <f t="array" ref="B37">IFERROR(INDEX(Cartera1017[Nombre del Requerimiento],ROW(A35)),"")</f>
        <v>Mejora en el proceso de conciliación de operaciones visa (punto 4): Nuevos reportes reemplazo REPVISA – Parte Host</v>
      </c>
      <c r="C37" s="376" t="str" cm="1">
        <f t="array" aca="1" ref="C37" ca="1">IFERROR(INDEX(Cartera1017[indicador de Avance],ROW(A35)),"")</f>
        <v>PARALIZADO ⚪</v>
      </c>
      <c r="D37" s="376" t="str" cm="1">
        <f t="array" ref="D37">IFERROR(INDEX(Cartera1017[Gerencia],ROW(A35)),"")</f>
        <v>Tecnologías de Información</v>
      </c>
      <c r="E37" s="376" t="str" cm="1">
        <f t="array" ref="E37">IFERROR(INDEX(Cartera1017[Subgerencia],ROW(A35)),"")</f>
        <v>Construcción de Aplicaciones</v>
      </c>
      <c r="F37" s="376" t="str" cm="1">
        <f t="array" ref="F37">IFERROR(INDEX(Cartera1017[Sección],ROW(A35)),"")</f>
        <v>Sistemas Bancarios</v>
      </c>
      <c r="G37" s="376" t="str" cm="1">
        <f t="array" ref="G37">IFERROR(INDEX(Cartera1017[Estado TI],ROW(A35)),"")</f>
        <v>10. Paralizado</v>
      </c>
      <c r="H37" s="463" t="str" cm="1">
        <f t="array" ref="H37">IFERROR(
 IF(
   INDEX(Cartera1017[Comienzo Desarrollo],ROW(A35))=0,
   "",
   INDEX(Cartera1017[Comienzo Desarrollo],ROW(A35))
 ),
 ""
)</f>
        <v/>
      </c>
      <c r="I37" s="463" cm="1">
        <f t="array" ref="I37">IFERROR(
 IF(
   INDEX(Cartera1017[Fin Producción],ROW(A35))=0,
   "",
   INDEX(Cartera1017[Fin Producción],ROW(A35))
 ),
 ""
)</f>
        <v>46477</v>
      </c>
    </row>
    <row r="38" spans="1:9">
      <c r="A38" s="376" t="str" cm="1">
        <f t="array" ref="A38">IFERROR(
 IF(
   INDEX(Cartera1017[ID Mantenimiento],ROW(A36))=0,
   "",
   INDEX(Cartera1017[ID Mantenimiento],ROW(A36))
 ),
 ""
)</f>
        <v>2024-M0320</v>
      </c>
      <c r="B38" s="376" t="str" cm="1">
        <f t="array" ref="B38">IFERROR(INDEX(Cartera1017[Nombre del Requerimiento],ROW(A36)),"")</f>
        <v>MN: Actualización de Metodología de Cálculo de encaje Exigible</v>
      </c>
      <c r="C38" s="376" t="str" cm="1">
        <f t="array" aca="1" ref="C38" ca="1">IFERROR(INDEX(Cartera1017[indicador de Avance],ROW(A36)),"")</f>
        <v>IMPLEMENTADO 🔵</v>
      </c>
      <c r="D38" s="376" t="str" cm="1">
        <f t="array" ref="D38">IFERROR(INDEX(Cartera1017[Gerencia],ROW(A36)),"")</f>
        <v>Operaciones</v>
      </c>
      <c r="E38" s="376" t="str" cm="1">
        <f t="array" ref="E38">IFERROR(INDEX(Cartera1017[Subgerencia],ROW(A36)),"")</f>
        <v>Caja y Valores</v>
      </c>
      <c r="F38" s="376" t="str" cm="1">
        <f t="array" ref="F38">IFERROR(INDEX(Cartera1017[Sección],ROW(A36)),"")</f>
        <v>Soporte Mesa de Dinero</v>
      </c>
      <c r="G38" s="376" t="str" cm="1">
        <f t="array" ref="G38">IFERROR(INDEX(Cartera1017[Estado TI],ROW(A36)),"")</f>
        <v>08. Producción Finalizada</v>
      </c>
      <c r="H38" s="463" cm="1">
        <f t="array" ref="H38">IFERROR(
 IF(
   INDEX(Cartera1017[Comienzo Desarrollo],ROW(A36))=0,
   "",
   INDEX(Cartera1017[Comienzo Desarrollo],ROW(A36))
 ),
 ""
)</f>
        <v>46037</v>
      </c>
      <c r="I38" s="463" cm="1">
        <f t="array" ref="I38">IFERROR(
 IF(
   INDEX(Cartera1017[Fin Producción],ROW(A36))=0,
   "",
   INDEX(Cartera1017[Fin Producción],ROW(A36))
 ),
 ""
)</f>
        <v>46125</v>
      </c>
    </row>
    <row r="39" spans="1:9">
      <c r="A39" s="376" t="str" cm="1">
        <f t="array" ref="A39">IFERROR(
 IF(
   INDEX(Cartera1017[ID Mantenimiento],ROW(A37))=0,
   "",
   INDEX(Cartera1017[ID Mantenimiento],ROW(A37))
 ),
 ""
)</f>
        <v>2024-M0345</v>
      </c>
      <c r="B39" s="376" t="str" cm="1">
        <f t="array" ref="B39">IFERROR(INDEX(Cartera1017[Nombre del Requerimiento],ROW(A37)),"")</f>
        <v>MC: Actualización de opciones en el sistema de claves del aplicativo RSUP</v>
      </c>
      <c r="C39" s="376" t="str" cm="1">
        <f t="array" aca="1" ref="C39" ca="1">IFERROR(INDEX(Cartera1017[indicador de Avance],ROW(A37)),"")</f>
        <v>IMPLEMENTADO 🔵</v>
      </c>
      <c r="D39" s="376" t="str" cm="1">
        <f t="array" ref="D39">IFERROR(INDEX(Cartera1017[Gerencia],ROW(A37)),"")</f>
        <v>Recursos Humanos y Cultura</v>
      </c>
      <c r="E39" s="376" t="str" cm="1">
        <f t="array" ref="E39">IFERROR(INDEX(Cartera1017[Subgerencia],ROW(A37)),"")</f>
        <v>Compensaciones</v>
      </c>
      <c r="F39" s="376" t="str" cm="1">
        <f t="array" ref="F39">IFERROR(INDEX(Cartera1017[Sección],ROW(A37)),"")</f>
        <v>Remuneraciones Pensiones y Subsidios</v>
      </c>
      <c r="G39" s="376" t="str" cm="1">
        <f t="array" ref="G39">IFERROR(INDEX(Cartera1017[Estado TI],ROW(A37)),"")</f>
        <v>08. Producción Finalizada</v>
      </c>
      <c r="H39" s="463" cm="1">
        <f t="array" ref="H39">IFERROR(
 IF(
   INDEX(Cartera1017[Comienzo Desarrollo],ROW(A37))=0,
   "",
   INDEX(Cartera1017[Comienzo Desarrollo],ROW(A37))
 ),
 ""
)</f>
        <v>45484</v>
      </c>
      <c r="I39" s="463" cm="1">
        <f t="array" ref="I39">IFERROR(
 IF(
   INDEX(Cartera1017[Fin Producción],ROW(A37))=0,
   "",
   INDEX(Cartera1017[Fin Producción],ROW(A37))
 ),
 ""
)</f>
        <v>46045</v>
      </c>
    </row>
    <row r="40" spans="1:9">
      <c r="A40" s="376" t="str" cm="1">
        <f t="array" ref="A40">IFERROR(
 IF(
   INDEX(Cartera1017[ID Mantenimiento],ROW(A38))=0,
   "",
   INDEX(Cartera1017[ID Mantenimiento],ROW(A38))
 ),
 ""
)</f>
        <v>2024-M0295</v>
      </c>
      <c r="B40" s="376" t="str" cm="1">
        <f t="array" ref="B40">IFERROR(INDEX(Cartera1017[Nombre del Requerimiento],ROW(A38)),"")</f>
        <v>Mejoras a la funcionalidad de Contrataciones hasta 8UIT - Oracle EBS</v>
      </c>
      <c r="C40" s="376" t="str" cm="1">
        <f t="array" aca="1" ref="C40" ca="1">IFERROR(INDEX(Cartera1017[indicador de Avance],ROW(A38)),"")</f>
        <v>IMPLEMENTADO 🔵</v>
      </c>
      <c r="D40" s="376" t="str" cm="1">
        <f t="array" ref="D40">IFERROR(INDEX(Cartera1017[Gerencia],ROW(A38)),"")</f>
        <v>Administración y Logística</v>
      </c>
      <c r="E40" s="376" t="str" cm="1">
        <f t="array" ref="E40">IFERROR(INDEX(Cartera1017[Subgerencia],ROW(A38)),"")</f>
        <v>Compras</v>
      </c>
      <c r="F40" s="376" t="str" cm="1">
        <f t="array" ref="F40">IFERROR(INDEX(Cartera1017[Sección],ROW(A38)),"")</f>
        <v>Programación, Evaluación y Compras Menores</v>
      </c>
      <c r="G40" s="376" t="str" cm="1">
        <f t="array" ref="G40">IFERROR(INDEX(Cartera1017[Estado TI],ROW(A38)),"")</f>
        <v>08. Producción Finalizada</v>
      </c>
      <c r="H40" s="463" cm="1">
        <f t="array" ref="H40">IFERROR(
 IF(
   INDEX(Cartera1017[Comienzo Desarrollo],ROW(A38))=0,
   "",
   INDEX(Cartera1017[Comienzo Desarrollo],ROW(A38))
 ),
 ""
)</f>
        <v>45483</v>
      </c>
      <c r="I40" s="463" cm="1">
        <f t="array" ref="I40">IFERROR(
 IF(
   INDEX(Cartera1017[Fin Producción],ROW(A38))=0,
   "",
   INDEX(Cartera1017[Fin Producción],ROW(A38))
 ),
 ""
)</f>
        <v>46034</v>
      </c>
    </row>
    <row r="41" spans="1:9">
      <c r="A41" s="376" t="str" cm="1">
        <f t="array" ref="A41">IFERROR(
 IF(
   INDEX(Cartera1017[ID Mantenimiento],ROW(A39))=0,
   "",
   INDEX(Cartera1017[ID Mantenimiento],ROW(A39))
 ),
 ""
)</f>
        <v>2024-M0308</v>
      </c>
      <c r="B41" s="376" t="str" cm="1">
        <f t="array" ref="B41">IFERROR(INDEX(Cartera1017[Nombre del Requerimiento],ROW(A39)),"")</f>
        <v>Depuración de Datos de contacto, correos electrónicos y teléfonos celulares personal.</v>
      </c>
      <c r="C41" s="376" t="str" cm="1">
        <f t="array" aca="1" ref="C41" ca="1">IFERROR(INDEX(Cartera1017[indicador de Avance],ROW(A39)),"")</f>
        <v>EN CURSO 🟢</v>
      </c>
      <c r="D41" s="376" t="str" cm="1">
        <f t="array" ref="D41">IFERROR(INDEX(Cartera1017[Gerencia],ROW(A39)),"")</f>
        <v>Operaciones</v>
      </c>
      <c r="E41" s="376" t="str" cm="1">
        <f t="array" ref="E41">IFERROR(INDEX(Cartera1017[Subgerencia],ROW(A39)),"")</f>
        <v>Captaciones y Pagaduría</v>
      </c>
      <c r="F41" s="376" t="str" cm="1">
        <f t="array" ref="F41">IFERROR(INDEX(Cartera1017[Sección],ROW(A39)),"")</f>
        <v>Apertura de Cuentas</v>
      </c>
      <c r="G41" s="376" t="str" cm="1">
        <f t="array" ref="G41">IFERROR(INDEX(Cartera1017[Estado TI],ROW(A39)),"")</f>
        <v>03. En Desarrollo</v>
      </c>
      <c r="H41" s="463" cm="1">
        <f t="array" ref="H41">IFERROR(
 IF(
   INDEX(Cartera1017[Comienzo Desarrollo],ROW(A39))=0,
   "",
   INDEX(Cartera1017[Comienzo Desarrollo],ROW(A39))
 ),
 ""
)</f>
        <v>46083</v>
      </c>
      <c r="I41" s="463" cm="1">
        <f t="array" ref="I41">IFERROR(
 IF(
   INDEX(Cartera1017[Fin Producción],ROW(A39))=0,
   "",
   INDEX(Cartera1017[Fin Producción],ROW(A39))
 ),
 ""
)</f>
        <v>46199</v>
      </c>
    </row>
    <row r="42" spans="1:9">
      <c r="A42" s="376" t="str" cm="1">
        <f t="array" ref="A42">IFERROR(
 IF(
   INDEX(Cartera1017[ID Mantenimiento],ROW(A40))=0,
   "",
   INDEX(Cartera1017[ID Mantenimiento],ROW(A40))
 ),
 ""
)</f>
        <v>2024-M0341</v>
      </c>
      <c r="B42" s="376" t="str" cm="1">
        <f t="array" ref="B42">IFERROR(INDEX(Cartera1017[Nombre del Requerimiento],ROW(A40)),"")</f>
        <v>Incorporación de Campo para el cierre de cuentas de ahorro y corrientes.</v>
      </c>
      <c r="C42" s="376" t="str" cm="1">
        <f t="array" aca="1" ref="C42" ca="1">IFERROR(INDEX(Cartera1017[indicador de Avance],ROW(A40)),"")</f>
        <v>IMPLEMENTADO 🔵</v>
      </c>
      <c r="D42" s="376" t="str" cm="1">
        <f t="array" ref="D42">IFERROR(INDEX(Cartera1017[Gerencia],ROW(A40)),"")</f>
        <v>Operaciones</v>
      </c>
      <c r="E42" s="376" t="str" cm="1">
        <f t="array" ref="E42">IFERROR(INDEX(Cartera1017[Subgerencia],ROW(A40)),"")</f>
        <v>Captaciones y Pagaduría</v>
      </c>
      <c r="F42" s="376" t="str" cm="1">
        <f t="array" ref="F42">IFERROR(INDEX(Cartera1017[Sección],ROW(A40)),"")</f>
        <v>Apertura de Cuentas</v>
      </c>
      <c r="G42" s="376" t="str" cm="1">
        <f t="array" ref="G42">IFERROR(INDEX(Cartera1017[Estado TI],ROW(A40)),"")</f>
        <v>08. Producción Finalizada</v>
      </c>
      <c r="H42" s="463" cm="1">
        <f t="array" ref="H42">IFERROR(
 IF(
   INDEX(Cartera1017[Comienzo Desarrollo],ROW(A40))=0,
   "",
   INDEX(Cartera1017[Comienzo Desarrollo],ROW(A40))
 ),
 ""
)</f>
        <v>45468</v>
      </c>
      <c r="I42" s="463" cm="1">
        <f t="array" ref="I42">IFERROR(
 IF(
   INDEX(Cartera1017[Fin Producción],ROW(A40))=0,
   "",
   INDEX(Cartera1017[Fin Producción],ROW(A40))
 ),
 ""
)</f>
        <v>46108</v>
      </c>
    </row>
    <row r="43" spans="1:9">
      <c r="A43" s="376" t="str" cm="1">
        <f t="array" ref="A43">IFERROR(
 IF(
   INDEX(Cartera1017[ID Mantenimiento],ROW(A41))=0,
   "",
   INDEX(Cartera1017[ID Mantenimiento],ROW(A41))
 ),
 ""
)</f>
        <v>2024-M0368</v>
      </c>
      <c r="B43" s="376" t="str" cm="1">
        <f t="array" ref="B43">IFERROR(INDEX(Cartera1017[Nombre del Requerimiento],ROW(A41)),"")</f>
        <v>Mejora en los aplicativos CRMY_CRPP</v>
      </c>
      <c r="C43" s="376" t="str" cm="1">
        <f t="array" aca="1" ref="C43" ca="1">IFERROR(INDEX(Cartera1017[indicador de Avance],ROW(A41)),"")</f>
        <v>EN CURSO 🟢</v>
      </c>
      <c r="D43" s="376" t="str" cm="1">
        <f t="array" ref="D43">IFERROR(INDEX(Cartera1017[Gerencia],ROW(A41)),"")</f>
        <v>Operaciones</v>
      </c>
      <c r="E43" s="376" t="str" cm="1">
        <f t="array" ref="E43">IFERROR(INDEX(Cartera1017[Subgerencia],ROW(A41)),"")</f>
        <v>Servicios Bancarios y Recaudación</v>
      </c>
      <c r="F43" s="376" t="str" cm="1">
        <f t="array" ref="F43">IFERROR(INDEX(Cartera1017[Sección],ROW(A41)),"")</f>
        <v>Soporte Servicios Financieros</v>
      </c>
      <c r="G43" s="376" t="str" cm="1">
        <f t="array" ref="G43">IFERROR(INDEX(Cartera1017[Estado TI],ROW(A41)),"")</f>
        <v>03. En Desarrollo</v>
      </c>
      <c r="H43" s="463" cm="1">
        <f t="array" ref="H43">IFERROR(
 IF(
   INDEX(Cartera1017[Comienzo Desarrollo],ROW(A41))=0,
   "",
   INDEX(Cartera1017[Comienzo Desarrollo],ROW(A41))
 ),
 ""
)</f>
        <v>46063</v>
      </c>
      <c r="I43" s="463" cm="1">
        <f t="array" ref="I43">IFERROR(
 IF(
   INDEX(Cartera1017[Fin Producción],ROW(A41))=0,
   "",
   INDEX(Cartera1017[Fin Producción],ROW(A41))
 ),
 ""
)</f>
        <v>46290</v>
      </c>
    </row>
    <row r="44" spans="1:9">
      <c r="A44" s="376" t="str" cm="1">
        <f t="array" ref="A44">IFERROR(
 IF(
   INDEX(Cartera1017[ID Mantenimiento],ROW(A42))=0,
   "",
   INDEX(Cartera1017[ID Mantenimiento],ROW(A42))
 ),
 ""
)</f>
        <v>2024-M0431</v>
      </c>
      <c r="B44" s="376" t="str" cm="1">
        <f t="array" ref="B44">IFERROR(INDEX(Cartera1017[Nombre del Requerimiento],ROW(A42)),"")</f>
        <v>Actualizar la interface del mantenimiento 2018-M0564 para incluir la inclusión de duplicados de cronogramas y la comisión por envío físico de estado de cuenta en la emisión de boletas electrónicas del Crédito Hipotecario.</v>
      </c>
      <c r="C44" s="376" t="str" cm="1">
        <f t="array" aca="1" ref="C44" ca="1">IFERROR(INDEX(Cartera1017[indicador de Avance],ROW(A42)),"")</f>
        <v>IMPLEMENTADO 🔵</v>
      </c>
      <c r="D44" s="376" t="str" cm="1">
        <f t="array" ref="D44">IFERROR(INDEX(Cartera1017[Gerencia],ROW(A42)),"")</f>
        <v>Productos e Inclusión Financiera</v>
      </c>
      <c r="E44" s="376" t="str" cm="1">
        <f t="array" ref="E44">IFERROR(INDEX(Cartera1017[Subgerencia],ROW(A42)),"")</f>
        <v>Banca Personal</v>
      </c>
      <c r="F44" s="376" t="str" cm="1">
        <f t="array" ref="F44">IFERROR(INDEX(Cartera1017[Sección],ROW(A42)),"")</f>
        <v>Crédito Hipotecario</v>
      </c>
      <c r="G44" s="376" t="str" cm="1">
        <f t="array" ref="G44">IFERROR(INDEX(Cartera1017[Estado TI],ROW(A42)),"")</f>
        <v>08. Producción Finalizada</v>
      </c>
      <c r="H44" s="463" cm="1">
        <f t="array" ref="H44">IFERROR(
 IF(
   INDEX(Cartera1017[Comienzo Desarrollo],ROW(A42))=0,
   "",
   INDEX(Cartera1017[Comienzo Desarrollo],ROW(A42))
 ),
 ""
)</f>
        <v>45523</v>
      </c>
      <c r="I44" s="463" cm="1">
        <f t="array" ref="I44">IFERROR(
 IF(
   INDEX(Cartera1017[Fin Producción],ROW(A42))=0,
   "",
   INDEX(Cartera1017[Fin Producción],ROW(A42))
 ),
 ""
)</f>
        <v>46037</v>
      </c>
    </row>
    <row r="45" spans="1:9">
      <c r="A45" s="376" t="str" cm="1">
        <f t="array" ref="A45">IFERROR(
 IF(
   INDEX(Cartera1017[ID Mantenimiento],ROW(A43))=0,
   "",
   INDEX(Cartera1017[ID Mantenimiento],ROW(A43))
 ),
 ""
)</f>
        <v>2024-M0447</v>
      </c>
      <c r="B45" s="376" t="str" cm="1">
        <f t="array" ref="B45">IFERROR(INDEX(Cartera1017[Nombre del Requerimiento],ROW(A43)),"")</f>
        <v>Generar facturas electrónicas por el cobro de las comisiones en cuentas de ahorro por retiro en ventanilla, consulta de últimos movimientos, emisión de estado de cuenta y consulta de saldo en MN y ME.</v>
      </c>
      <c r="C45" s="376" t="str" cm="1">
        <f t="array" aca="1" ref="C45" ca="1">IFERROR(INDEX(Cartera1017[indicador de Avance],ROW(A43)),"")</f>
        <v>IMPLEMENTADO 🔵</v>
      </c>
      <c r="D45" s="376" t="str" cm="1">
        <f t="array" ref="D45">IFERROR(INDEX(Cartera1017[Gerencia],ROW(A43)),"")</f>
        <v>Operaciones</v>
      </c>
      <c r="E45" s="376" t="str" cm="1">
        <f t="array" ref="E45">IFERROR(INDEX(Cartera1017[Subgerencia],ROW(A43)),"")</f>
        <v>Captaciones y Pagaduría</v>
      </c>
      <c r="F45" s="376" t="str" cm="1">
        <f t="array" ref="F45">IFERROR(INDEX(Cartera1017[Sección],ROW(A43)),"")</f>
        <v>Administración de Cuentas y Pagaduría</v>
      </c>
      <c r="G45" s="376" t="str" cm="1">
        <f t="array" ref="G45">IFERROR(INDEX(Cartera1017[Estado TI],ROW(A43)),"")</f>
        <v>08. Producción Finalizada</v>
      </c>
      <c r="H45" s="463" cm="1">
        <f t="array" ref="H45">IFERROR(
 IF(
   INDEX(Cartera1017[Comienzo Desarrollo],ROW(A43))=0,
   "",
   INDEX(Cartera1017[Comienzo Desarrollo],ROW(A43))
 ),
 ""
)</f>
        <v>45531</v>
      </c>
      <c r="I45" s="463" cm="1">
        <f t="array" ref="I45">IFERROR(
 IF(
   INDEX(Cartera1017[Fin Producción],ROW(A43))=0,
   "",
   INDEX(Cartera1017[Fin Producción],ROW(A43))
 ),
 ""
)</f>
        <v>46059</v>
      </c>
    </row>
    <row r="46" spans="1:9">
      <c r="A46" s="376" t="str" cm="1">
        <f t="array" ref="A46">IFERROR(
 IF(
   INDEX(Cartera1017[ID Mantenimiento],ROW(A44))=0,
   "",
   INDEX(Cartera1017[ID Mantenimiento],ROW(A44))
 ),
 ""
)</f>
        <v>2024-M0509</v>
      </c>
      <c r="B46" s="376" t="str" cm="1">
        <f t="array" ref="B46">IFERROR(INDEX(Cartera1017[Nombre del Requerimiento],ROW(A44)),"")</f>
        <v>Levantamiento de Incidencias en el módulo de RBFF-FONAVI</v>
      </c>
      <c r="C46" s="376" t="str" cm="1">
        <f t="array" aca="1" ref="C46" ca="1">IFERROR(INDEX(Cartera1017[indicador de Avance],ROW(A44)),"")</f>
        <v>ATRASADO 🔴</v>
      </c>
      <c r="D46" s="376" t="str" cm="1">
        <f t="array" ref="D46">IFERROR(INDEX(Cartera1017[Gerencia],ROW(A44)),"")</f>
        <v>Operaciones</v>
      </c>
      <c r="E46" s="376" t="str" cm="1">
        <f t="array" ref="E46">IFERROR(INDEX(Cartera1017[Subgerencia],ROW(A44)),"")</f>
        <v>Servicios Bancarios y Recaudación</v>
      </c>
      <c r="F46" s="376" t="str" cm="1">
        <f t="array" ref="F46">IFERROR(INDEX(Cartera1017[Sección],ROW(A44)),"")</f>
        <v>Recaudación y Corresponsalía</v>
      </c>
      <c r="G46" s="376" t="str" cm="1">
        <f t="array" ref="G46">IFERROR(INDEX(Cartera1017[Estado TI],ROW(A44)),"")</f>
        <v>06. Calidad Finalizado</v>
      </c>
      <c r="H46" s="463" cm="1">
        <f t="array" ref="H46">IFERROR(
 IF(
   INDEX(Cartera1017[Comienzo Desarrollo],ROW(A44))=0,
   "",
   INDEX(Cartera1017[Comienzo Desarrollo],ROW(A44))
 ),
 ""
)</f>
        <v>45565</v>
      </c>
      <c r="I46" s="463" cm="1">
        <f t="array" ref="I46">IFERROR(
 IF(
   INDEX(Cartera1017[Fin Producción],ROW(A44))=0,
   "",
   INDEX(Cartera1017[Fin Producción],ROW(A44))
 ),
 ""
)</f>
        <v>46108</v>
      </c>
    </row>
    <row r="47" spans="1:9">
      <c r="A47" s="376" t="str" cm="1">
        <f t="array" ref="A47">IFERROR(
 IF(
   INDEX(Cartera1017[ID Mantenimiento],ROW(A45))=0,
   "",
   INDEX(Cartera1017[ID Mantenimiento],ROW(A45))
 ),
 ""
)</f>
        <v>2024-M0418</v>
      </c>
      <c r="B47" s="376" t="str" cm="1">
        <f t="array" ref="B47">IFERROR(INDEX(Cartera1017[Nombre del Requerimiento],ROW(A45)),"")</f>
        <v>ME: Modificación para el registro de reclamos por bancaseguros en SARE intranet/internet, en mantenimiento y reportes</v>
      </c>
      <c r="C47" s="376" t="str" cm="1">
        <f t="array" aca="1" ref="C47" ca="1">IFERROR(INDEX(Cartera1017[indicador de Avance],ROW(A45)),"")</f>
        <v>Sin Cronograma 🔵</v>
      </c>
      <c r="D47" s="376" t="str" cm="1">
        <f t="array" ref="D47">IFERROR(INDEX(Cartera1017[Gerencia],ROW(A45)),"")</f>
        <v>Gerencia General</v>
      </c>
      <c r="E47" s="376" t="str" cm="1">
        <f t="array" ref="E47">IFERROR(INDEX(Cartera1017[Subgerencia],ROW(A45)),"")</f>
        <v>Experiencia de Cliente y Reclamos</v>
      </c>
      <c r="F47" s="376" t="str" cm="1">
        <f t="array" ref="F47">IFERROR(INDEX(Cartera1017[Sección],ROW(A45)),"")</f>
        <v>Reclamos</v>
      </c>
      <c r="G47" s="376" t="str" cm="1">
        <f t="array" ref="G47">IFERROR(INDEX(Cartera1017[Estado TI],ROW(A45)),"")</f>
        <v>09. Descartado</v>
      </c>
      <c r="H47" s="463" t="str" cm="1">
        <f t="array" ref="H47">IFERROR(
 IF(
   INDEX(Cartera1017[Comienzo Desarrollo],ROW(A45))=0,
   "",
   INDEX(Cartera1017[Comienzo Desarrollo],ROW(A45))
 ),
 ""
)</f>
        <v/>
      </c>
      <c r="I47" s="463" t="str" cm="1">
        <f t="array" ref="I47">IFERROR(
 IF(
   INDEX(Cartera1017[Fin Producción],ROW(A45))=0,
   "",
   INDEX(Cartera1017[Fin Producción],ROW(A45))
 ),
 ""
)</f>
        <v/>
      </c>
    </row>
    <row r="48" spans="1:9">
      <c r="A48" s="376" t="str" cm="1">
        <f t="array" ref="A48">IFERROR(
 IF(
   INDEX(Cartera1017[ID Mantenimiento],ROW(A46))=0,
   "",
   INDEX(Cartera1017[ID Mantenimiento],ROW(A46))
 ),
 ""
)</f>
        <v>2024-M0449</v>
      </c>
      <c r="B48" s="376" t="str" cm="1">
        <f t="array" ref="B48">IFERROR(INDEX(Cartera1017[Nombre del Requerimiento],ROW(A46)),"")</f>
        <v>Reducción a 5 minutos de los extornos para tasas canal ventanilla</v>
      </c>
      <c r="C48" s="376" t="str" cm="1">
        <f t="array" aca="1" ref="C48" ca="1">IFERROR(INDEX(Cartera1017[indicador de Avance],ROW(A46)),"")</f>
        <v>ATRASADO 🔴</v>
      </c>
      <c r="D48" s="376" t="str" cm="1">
        <f t="array" ref="D48">IFERROR(INDEX(Cartera1017[Gerencia],ROW(A46)),"")</f>
        <v>Operaciones</v>
      </c>
      <c r="E48" s="376" t="str" cm="1">
        <f t="array" ref="E48">IFERROR(INDEX(Cartera1017[Subgerencia],ROW(A46)),"")</f>
        <v>Servicios Bancarios y Recaudación</v>
      </c>
      <c r="F48" s="376" t="str" cm="1">
        <f t="array" ref="F48">IFERROR(INDEX(Cartera1017[Sección],ROW(A46)),"")</f>
        <v>Recaudación y Corresponsalía</v>
      </c>
      <c r="G48" s="376" t="str" cm="1">
        <f t="array" ref="G48">IFERROR(INDEX(Cartera1017[Estado TI],ROW(A46)),"")</f>
        <v>03. En Desarrollo</v>
      </c>
      <c r="H48" s="463" cm="1">
        <f t="array" ref="H48">IFERROR(
 IF(
   INDEX(Cartera1017[Comienzo Desarrollo],ROW(A46))=0,
   "",
   INDEX(Cartera1017[Comienzo Desarrollo],ROW(A46))
 ),
 ""
)</f>
        <v>45533</v>
      </c>
      <c r="I48" s="463" cm="1">
        <f t="array" ref="I48">IFERROR(
 IF(
   INDEX(Cartera1017[Fin Producción],ROW(A46))=0,
   "",
   INDEX(Cartera1017[Fin Producción],ROW(A46))
 ),
 ""
)</f>
        <v>46108</v>
      </c>
    </row>
    <row r="49" spans="1:9">
      <c r="A49" s="376" t="str" cm="1">
        <f t="array" ref="A49">IFERROR(
 IF(
   INDEX(Cartera1017[ID Mantenimiento],ROW(A47))=0,
   "",
   INDEX(Cartera1017[ID Mantenimiento],ROW(A47))
 ),
 ""
)</f>
        <v>2024-M0461</v>
      </c>
      <c r="B49" s="376" t="str" cm="1">
        <f t="array" ref="B49">IFERROR(INDEX(Cartera1017[Nombre del Requerimiento],ROW(A47)),"")</f>
        <v>Emisión comprobante de pago por la comisión por uso de cajero BN por parte de clientes foráneos locales e internacionales</v>
      </c>
      <c r="C49" s="376" t="str" cm="1">
        <f t="array" aca="1" ref="C49" ca="1">IFERROR(INDEX(Cartera1017[indicador de Avance],ROW(A47)),"")</f>
        <v>ATRASADO 🔴</v>
      </c>
      <c r="D49" s="376" t="str" cm="1">
        <f t="array" ref="D49">IFERROR(INDEX(Cartera1017[Gerencia],ROW(A47)),"")</f>
        <v>Banca Digital</v>
      </c>
      <c r="E49" s="376" t="str" cm="1">
        <f t="array" ref="E49">IFERROR(INDEX(Cartera1017[Subgerencia],ROW(A47)),"")</f>
        <v>Canales Alternos</v>
      </c>
      <c r="F49" s="376" t="str" cm="1">
        <f t="array" ref="F49">IFERROR(INDEX(Cartera1017[Sección],ROW(A47)),"")</f>
        <v>Canales Virtuales</v>
      </c>
      <c r="G49" s="376" t="str" cm="1">
        <f t="array" ref="G49">IFERROR(INDEX(Cartera1017[Estado TI],ROW(A47)),"")</f>
        <v>06. Calidad Finalizado</v>
      </c>
      <c r="H49" s="463" cm="1">
        <f t="array" ref="H49">IFERROR(
 IF(
   INDEX(Cartera1017[Comienzo Desarrollo],ROW(A47))=0,
   "",
   INDEX(Cartera1017[Comienzo Desarrollo],ROW(A47))
 ),
 ""
)</f>
        <v>45540</v>
      </c>
      <c r="I49" s="463" cm="1">
        <f t="array" ref="I49">IFERROR(
 IF(
   INDEX(Cartera1017[Fin Producción],ROW(A47))=0,
   "",
   INDEX(Cartera1017[Fin Producción],ROW(A47))
 ),
 ""
)</f>
        <v>46142</v>
      </c>
    </row>
    <row r="50" spans="1:9">
      <c r="A50" s="376" t="str" cm="1">
        <f t="array" ref="A50">IFERROR(
 IF(
   INDEX(Cartera1017[ID Mantenimiento],ROW(A48))=0,
   "",
   INDEX(Cartera1017[ID Mantenimiento],ROW(A48))
 ),
 ""
)</f>
        <v>2024-M0462</v>
      </c>
      <c r="B50" s="376" t="str" cm="1">
        <f t="array" ref="B50">IFERROR(INDEX(Cartera1017[Nombre del Requerimiento],ROW(A48)),"")</f>
        <v>Emisión de Comprobantes de pago por la comisión por reposición de la nueva tarjeta multired</v>
      </c>
      <c r="C50" s="376" t="str" cm="1">
        <f t="array" aca="1" ref="C50" ca="1">IFERROR(INDEX(Cartera1017[indicador de Avance],ROW(A48)),"")</f>
        <v>IMPLEMENTADO 🔵</v>
      </c>
      <c r="D50" s="376" t="str" cm="1">
        <f t="array" ref="D50">IFERROR(INDEX(Cartera1017[Gerencia],ROW(A48)),"")</f>
        <v>Banca Digital</v>
      </c>
      <c r="E50" s="376" t="str" cm="1">
        <f t="array" ref="E50">IFERROR(INDEX(Cartera1017[Subgerencia],ROW(A48)),"")</f>
        <v>Canales Alternos</v>
      </c>
      <c r="F50" s="376" t="str" cm="1">
        <f t="array" ref="F50">IFERROR(INDEX(Cartera1017[Sección],ROW(A48)),"")</f>
        <v>Canales Virtuales</v>
      </c>
      <c r="G50" s="376" t="str" cm="1">
        <f t="array" ref="G50">IFERROR(INDEX(Cartera1017[Estado TI],ROW(A48)),"")</f>
        <v>08. Producción Finalizada</v>
      </c>
      <c r="H50" s="463" cm="1">
        <f t="array" ref="H50">IFERROR(
 IF(
   INDEX(Cartera1017[Comienzo Desarrollo],ROW(A48))=0,
   "",
   INDEX(Cartera1017[Comienzo Desarrollo],ROW(A48))
 ),
 ""
)</f>
        <v>46003</v>
      </c>
      <c r="I50" s="463" cm="1">
        <f t="array" ref="I50">IFERROR(
 IF(
   INDEX(Cartera1017[Fin Producción],ROW(A48))=0,
   "",
   INDEX(Cartera1017[Fin Producción],ROW(A48))
 ),
 ""
)</f>
        <v>46045</v>
      </c>
    </row>
    <row r="51" spans="1:9">
      <c r="A51" s="376" t="str" cm="1">
        <f t="array" ref="A51">IFERROR(
 IF(
   INDEX(Cartera1017[ID Mantenimiento],ROW(A49))=0,
   "",
   INDEX(Cartera1017[ID Mantenimiento],ROW(A49))
 ),
 ""
)</f>
        <v>2024-M0529</v>
      </c>
      <c r="B51" s="376" t="str" cm="1">
        <f t="array" ref="B51">IFERROR(INDEX(Cartera1017[Nombre del Requerimiento],ROW(A49)),"")</f>
        <v>Emisión de comprobantes electrónicas por los cobros de comisión a través de la Transacción 3610</v>
      </c>
      <c r="C51" s="376" t="str" cm="1">
        <f t="array" aca="1" ref="C51" ca="1">IFERROR(INDEX(Cartera1017[indicador de Avance],ROW(A49)),"")</f>
        <v>PARALIZADO ⚪</v>
      </c>
      <c r="D51" s="376" t="str" cm="1">
        <f t="array" ref="D51">IFERROR(INDEX(Cartera1017[Gerencia],ROW(A49)),"")</f>
        <v>Finanzas y Tesorería</v>
      </c>
      <c r="E51" s="376" t="str" cm="1">
        <f t="array" ref="E51">IFERROR(INDEX(Cartera1017[Subgerencia],ROW(A49)),"")</f>
        <v>Contabilidad</v>
      </c>
      <c r="F51" s="376" cm="1">
        <f t="array" ref="F51">IFERROR(INDEX(Cartera1017[Sección],ROW(A49)),"")</f>
        <v>0</v>
      </c>
      <c r="G51" s="376" t="str" cm="1">
        <f t="array" ref="G51">IFERROR(INDEX(Cartera1017[Estado TI],ROW(A49)),"")</f>
        <v>10. Paralizado</v>
      </c>
      <c r="H51" s="463" cm="1">
        <f t="array" ref="H51">IFERROR(
 IF(
   INDEX(Cartera1017[Comienzo Desarrollo],ROW(A49))=0,
   "",
   INDEX(Cartera1017[Comienzo Desarrollo],ROW(A49))
 ),
 ""
)</f>
        <v>46083</v>
      </c>
      <c r="I51" s="463" cm="1">
        <f t="array" ref="I51">IFERROR(
 IF(
   INDEX(Cartera1017[Fin Producción],ROW(A49))=0,
   "",
   INDEX(Cartera1017[Fin Producción],ROW(A49))
 ),
 ""
)</f>
        <v>46203</v>
      </c>
    </row>
    <row r="52" spans="1:9">
      <c r="A52" s="376" t="str" cm="1">
        <f t="array" ref="A52">IFERROR(
 IF(
   INDEX(Cartera1017[ID Mantenimiento],ROW(A50))=0,
   "",
   INDEX(Cartera1017[ID Mantenimiento],ROW(A50))
 ),
 ""
)</f>
        <v>2024-M0528</v>
      </c>
      <c r="B52" s="376" t="str" cm="1">
        <f t="array" ref="B52">IFERROR(INDEX(Cartera1017[Nombre del Requerimiento],ROW(A50)),"")</f>
        <v>Emisión de Comprobantes de pago por las comisiones de uso del canal ATM BN</v>
      </c>
      <c r="C52" s="376" t="str" cm="1">
        <f t="array" aca="1" ref="C52" ca="1">IFERROR(INDEX(Cartera1017[indicador de Avance],ROW(A50)),"")</f>
        <v>IMPLEMENTADO 🔵</v>
      </c>
      <c r="D52" s="376" t="str" cm="1">
        <f t="array" ref="D52">IFERROR(INDEX(Cartera1017[Gerencia],ROW(A50)),"")</f>
        <v>Banca Digital</v>
      </c>
      <c r="E52" s="376" t="str" cm="1">
        <f t="array" ref="E52">IFERROR(INDEX(Cartera1017[Subgerencia],ROW(A50)),"")</f>
        <v>Canales Alternos</v>
      </c>
      <c r="F52" s="376" t="str" cm="1">
        <f t="array" ref="F52">IFERROR(INDEX(Cartera1017[Sección],ROW(A50)),"")</f>
        <v>Canales Presenciales</v>
      </c>
      <c r="G52" s="376" t="str" cm="1">
        <f t="array" ref="G52">IFERROR(INDEX(Cartera1017[Estado TI],ROW(A50)),"")</f>
        <v>08. Producción Finalizada</v>
      </c>
      <c r="H52" s="463" cm="1">
        <f t="array" ref="H52">IFERROR(
 IF(
   INDEX(Cartera1017[Comienzo Desarrollo],ROW(A50))=0,
   "",
   INDEX(Cartera1017[Comienzo Desarrollo],ROW(A50))
 ),
 ""
)</f>
        <v>45568</v>
      </c>
      <c r="I52" s="463" cm="1">
        <f t="array" ref="I52">IFERROR(
 IF(
   INDEX(Cartera1017[Fin Producción],ROW(A50))=0,
   "",
   INDEX(Cartera1017[Fin Producción],ROW(A50))
 ),
 ""
)</f>
        <v>46035</v>
      </c>
    </row>
    <row r="53" spans="1:9">
      <c r="A53" s="376" t="str" cm="1">
        <f t="array" ref="A53">IFERROR(
 IF(
   INDEX(Cartera1017[ID Mantenimiento],ROW(A51))=0,
   "",
   INDEX(Cartera1017[ID Mantenimiento],ROW(A51))
 ),
 ""
)</f>
        <v>2024-M0546</v>
      </c>
      <c r="B53" s="376" t="str" cm="1">
        <f t="array" ref="B53">IFERROR(INDEX(Cartera1017[Nombre del Requerimiento],ROW(A51)),"")</f>
        <v>Efectuar cambios en la Transacción 3210 Sedapal</v>
      </c>
      <c r="C53" s="376" t="str" cm="1">
        <f t="array" aca="1" ref="C53" ca="1">IFERROR(INDEX(Cartera1017[indicador de Avance],ROW(A51)),"")</f>
        <v>Sin Cronograma 🔵</v>
      </c>
      <c r="D53" s="376" t="str" cm="1">
        <f t="array" ref="D53">IFERROR(INDEX(Cartera1017[Gerencia],ROW(A51)),"")</f>
        <v>Operaciones</v>
      </c>
      <c r="E53" s="376" t="str" cm="1">
        <f t="array" ref="E53">IFERROR(INDEX(Cartera1017[Subgerencia],ROW(A51)),"")</f>
        <v>Servicios Bancarios y Recaudación</v>
      </c>
      <c r="F53" s="376" t="str" cm="1">
        <f t="array" ref="F53">IFERROR(INDEX(Cartera1017[Sección],ROW(A51)),"")</f>
        <v>Recaudación y Corresponsalía</v>
      </c>
      <c r="G53" s="376" t="str" cm="1">
        <f t="array" ref="G53">IFERROR(INDEX(Cartera1017[Estado TI],ROW(A51)),"")</f>
        <v>09. Descartado</v>
      </c>
      <c r="H53" s="463" t="str" cm="1">
        <f t="array" ref="H53">IFERROR(
 IF(
   INDEX(Cartera1017[Comienzo Desarrollo],ROW(A51))=0,
   "",
   INDEX(Cartera1017[Comienzo Desarrollo],ROW(A51))
 ),
 ""
)</f>
        <v/>
      </c>
      <c r="I53" s="463" t="str" cm="1">
        <f t="array" ref="I53">IFERROR(
 IF(
   INDEX(Cartera1017[Fin Producción],ROW(A51))=0,
   "",
   INDEX(Cartera1017[Fin Producción],ROW(A51))
 ),
 ""
)</f>
        <v/>
      </c>
    </row>
    <row r="54" spans="1:9">
      <c r="A54" s="376" t="str" cm="1">
        <f t="array" ref="A54">IFERROR(
 IF(
   INDEX(Cartera1017[ID Mantenimiento],ROW(A52))=0,
   "",
   INDEX(Cartera1017[ID Mantenimiento],ROW(A52))
 ),
 ""
)</f>
        <v>2024-M0578</v>
      </c>
      <c r="B54" s="376" t="str" cm="1">
        <f t="array" ref="B54">IFERROR(INDEX(Cartera1017[Nombre del Requerimiento],ROW(A52)),"")</f>
        <v>ME: FACTURACIONELECTRONICA .- CREACIÓN DE UNA INTERFACE ORACLE FAH PARA EL APLICATIVO DE BANKTRADE</v>
      </c>
      <c r="C54" s="376" t="str" cm="1">
        <f t="array" aca="1" ref="C54" ca="1">IFERROR(INDEX(Cartera1017[indicador de Avance],ROW(A52)),"")</f>
        <v>EN RIESGO 🟡</v>
      </c>
      <c r="D54" s="376" t="str" cm="1">
        <f t="array" ref="D54">IFERROR(INDEX(Cartera1017[Gerencia],ROW(A52)),"")</f>
        <v>Operaciones</v>
      </c>
      <c r="E54" s="376" t="str" cm="1">
        <f t="array" ref="E54">IFERROR(INDEX(Cartera1017[Subgerencia],ROW(A52)),"")</f>
        <v>Internacional</v>
      </c>
      <c r="F54" s="376" t="str" cm="1">
        <f t="array" ref="F54">IFERROR(INDEX(Cartera1017[Sección],ROW(A52)),"")</f>
        <v>Comercio Exterior</v>
      </c>
      <c r="G54" s="376" t="str" cm="1">
        <f t="array" ref="G54">IFERROR(INDEX(Cartera1017[Estado TI],ROW(A52)),"")</f>
        <v>06. Calidad Finalizado</v>
      </c>
      <c r="H54" s="463" cm="1">
        <f t="array" ref="H54">IFERROR(
 IF(
   INDEX(Cartera1017[Comienzo Desarrollo],ROW(A52))=0,
   "",
   INDEX(Cartera1017[Comienzo Desarrollo],ROW(A52))
 ),
 ""
)</f>
        <v>45796</v>
      </c>
      <c r="I54" s="463" cm="1">
        <f t="array" ref="I54">IFERROR(
 IF(
   INDEX(Cartera1017[Fin Producción],ROW(A52))=0,
   "",
   INDEX(Cartera1017[Fin Producción],ROW(A52))
 ),
 ""
)</f>
        <v>46174</v>
      </c>
    </row>
    <row r="55" spans="1:9">
      <c r="A55" s="376" t="str" cm="1">
        <f t="array" ref="A55">IFERROR(
 IF(
   INDEX(Cartera1017[ID Mantenimiento],ROW(A53))=0,
   "",
   INDEX(Cartera1017[ID Mantenimiento],ROW(A53))
 ),
 ""
)</f>
        <v>2024-M0621</v>
      </c>
      <c r="B55" s="376" t="str" cm="1">
        <f t="array" ref="B55">IFERROR(INDEX(Cartera1017[Nombre del Requerimiento],ROW(A53)),"")</f>
        <v>Actualización del requerimiento de Oplaft en la BDUC – Fase 2 PEP</v>
      </c>
      <c r="C55" s="376" t="str" cm="1">
        <f t="array" aca="1" ref="C55" ca="1">IFERROR(INDEX(Cartera1017[indicador de Avance],ROW(A53)),"")</f>
        <v>ATRASADO 🔴</v>
      </c>
      <c r="D55" s="376" t="str" cm="1">
        <f t="array" ref="D55">IFERROR(INDEX(Cartera1017[Gerencia],ROW(A53)),"")</f>
        <v>Oficialía de PLAFT</v>
      </c>
      <c r="E55" s="376" t="str" cm="1">
        <f t="array" ref="E55">IFERROR(INDEX(Cartera1017[Subgerencia],ROW(A53)),"")</f>
        <v>Prevención</v>
      </c>
      <c r="F55" s="376" t="str" cm="1">
        <f t="array" ref="F55">IFERROR(INDEX(Cartera1017[Sección],ROW(A53)),"")</f>
        <v>Prevención</v>
      </c>
      <c r="G55" s="376" t="str" cm="1">
        <f t="array" ref="G55">IFERROR(INDEX(Cartera1017[Estado TI],ROW(A53)),"")</f>
        <v>06. Calidad Finalizado</v>
      </c>
      <c r="H55" s="463" cm="1">
        <f t="array" ref="H55">IFERROR(
 IF(
   INDEX(Cartera1017[Comienzo Desarrollo],ROW(A53))=0,
   "",
   INDEX(Cartera1017[Comienzo Desarrollo],ROW(A53))
 ),
 ""
)</f>
        <v>45964</v>
      </c>
      <c r="I55" s="463" cm="1">
        <f t="array" ref="I55">IFERROR(
 IF(
   INDEX(Cartera1017[Fin Producción],ROW(A53))=0,
   "",
   INDEX(Cartera1017[Fin Producción],ROW(A53))
 ),
 ""
)</f>
        <v>46160</v>
      </c>
    </row>
    <row r="56" spans="1:9">
      <c r="A56" s="376" t="str" cm="1">
        <f t="array" ref="A56">IFERROR(
 IF(
   INDEX(Cartera1017[ID Mantenimiento],ROW(A54))=0,
   "",
   INDEX(Cartera1017[ID Mantenimiento],ROW(A54))
 ),
 ""
)</f>
        <v>2024-M0644</v>
      </c>
      <c r="B56" s="376" t="str" cm="1">
        <f t="array" ref="B56">IFERROR(INDEX(Cartera1017[Nombre del Requerimiento],ROW(A54)),"")</f>
        <v>Generación de Archivos Planos del proceso Operativo de Créditos Hipotecarios.</v>
      </c>
      <c r="C56" s="376" t="str" cm="1">
        <f t="array" aca="1" ref="C56" ca="1">IFERROR(INDEX(Cartera1017[indicador de Avance],ROW(A54)),"")</f>
        <v>IMPLEMENTADO 🔵</v>
      </c>
      <c r="D56" s="376" t="str" cm="1">
        <f t="array" ref="D56">IFERROR(INDEX(Cartera1017[Gerencia],ROW(A54)),"")</f>
        <v>Operaciones</v>
      </c>
      <c r="E56" s="376" t="str" cm="1">
        <f t="array" ref="E56">IFERROR(INDEX(Cartera1017[Subgerencia],ROW(A54)),"")</f>
        <v>Servicios Bancarios y Recaudación</v>
      </c>
      <c r="F56" s="376" t="str" cm="1">
        <f t="array" ref="F56">IFERROR(INDEX(Cartera1017[Sección],ROW(A54)),"")</f>
        <v>Soporte Servicios Financieros</v>
      </c>
      <c r="G56" s="376" t="str" cm="1">
        <f t="array" ref="G56">IFERROR(INDEX(Cartera1017[Estado TI],ROW(A54)),"")</f>
        <v>08. Producción Finalizada</v>
      </c>
      <c r="H56" s="463" cm="1">
        <f t="array" ref="H56">IFERROR(
 IF(
   INDEX(Cartera1017[Comienzo Desarrollo],ROW(A54))=0,
   "",
   INDEX(Cartera1017[Comienzo Desarrollo],ROW(A54))
 ),
 ""
)</f>
        <v>45964</v>
      </c>
      <c r="I56" s="463" cm="1">
        <f t="array" ref="I56">IFERROR(
 IF(
   INDEX(Cartera1017[Fin Producción],ROW(A54))=0,
   "",
   INDEX(Cartera1017[Fin Producción],ROW(A54))
 ),
 ""
)</f>
        <v>46115</v>
      </c>
    </row>
    <row r="57" spans="1:9">
      <c r="A57" s="376" t="str" cm="1">
        <f t="array" ref="A57">IFERROR(
 IF(
   INDEX(Cartera1017[ID Mantenimiento],ROW(A55))=0,
   "",
   INDEX(Cartera1017[ID Mantenimiento],ROW(A55))
 ),
 ""
)</f>
        <v>2024-M0595</v>
      </c>
      <c r="B57" s="376" t="str" cm="1">
        <f t="array" ref="B57">IFERROR(INDEX(Cartera1017[Nombre del Requerimiento],ROW(A55)),"")</f>
        <v>REVISION DE EVENTO DE INTERRUPCION DEL MICROSERVICIO MSGatewayRestGo</v>
      </c>
      <c r="C57" s="376" t="str" cm="1">
        <f t="array" aca="1" ref="C57" ca="1">IFERROR(INDEX(Cartera1017[indicador de Avance],ROW(A55)),"")</f>
        <v>ATRASADO 🔴</v>
      </c>
      <c r="D57" s="376" t="str" cm="1">
        <f t="array" ref="D57">IFERROR(INDEX(Cartera1017[Gerencia],ROW(A55)),"")</f>
        <v>Tecnologías de Información</v>
      </c>
      <c r="E57" s="376" t="str" cm="1">
        <f t="array" ref="E57">IFERROR(INDEX(Cartera1017[Subgerencia],ROW(A55)),"")</f>
        <v>Construcción de Aplicaciones</v>
      </c>
      <c r="F57" s="376" t="str" cm="1">
        <f t="array" ref="F57">IFERROR(INDEX(Cartera1017[Sección],ROW(A55)),"")</f>
        <v>Sistemas Bancarios</v>
      </c>
      <c r="G57" s="376" t="str" cm="1">
        <f t="array" ref="G57">IFERROR(INDEX(Cartera1017[Estado TI],ROW(A55)),"")</f>
        <v>07. En Despliegue</v>
      </c>
      <c r="H57" s="463" cm="1">
        <f t="array" ref="H57">IFERROR(
 IF(
   INDEX(Cartera1017[Comienzo Desarrollo],ROW(A55))=0,
   "",
   INDEX(Cartera1017[Comienzo Desarrollo],ROW(A55))
 ),
 ""
)</f>
        <v>45601</v>
      </c>
      <c r="I57" s="463" cm="1">
        <f t="array" ref="I57">IFERROR(
 IF(
   INDEX(Cartera1017[Fin Producción],ROW(A55))=0,
   "",
   INDEX(Cartera1017[Fin Producción],ROW(A55))
 ),
 ""
)</f>
        <v>46108</v>
      </c>
    </row>
    <row r="58" spans="1:9">
      <c r="A58" s="376" t="str" cm="1">
        <f t="array" ref="A58">IFERROR(
 IF(
   INDEX(Cartera1017[ID Mantenimiento],ROW(A56))=0,
   "",
   INDEX(Cartera1017[ID Mantenimiento],ROW(A56))
 ),
 ""
)</f>
        <v>2024-M0687</v>
      </c>
      <c r="B58" s="376" t="str" cm="1">
        <f t="array" ref="B58">IFERROR(INDEX(Cartera1017[Nombre del Requerimiento],ROW(A56)),"")</f>
        <v>Reporte de trazabilidad y validación criptográfica para el canal ATMs - Indecopi</v>
      </c>
      <c r="C58" s="376" t="str" cm="1">
        <f t="array" aca="1" ref="C58" ca="1">IFERROR(INDEX(Cartera1017[indicador de Avance],ROW(A56)),"")</f>
        <v>IMPLEMENTADO 🔵</v>
      </c>
      <c r="D58" s="376" t="str" cm="1">
        <f t="array" ref="D58">IFERROR(INDEX(Cartera1017[Gerencia],ROW(A56)),"")</f>
        <v>Banca Digital</v>
      </c>
      <c r="E58" s="376" t="str" cm="1">
        <f t="array" ref="E58">IFERROR(INDEX(Cartera1017[Subgerencia],ROW(A56)),"")</f>
        <v>Canales Alternos</v>
      </c>
      <c r="F58" s="376" t="str" cm="1">
        <f t="array" ref="F58">IFERROR(INDEX(Cartera1017[Sección],ROW(A56)),"")</f>
        <v>Canales Presenciales</v>
      </c>
      <c r="G58" s="376" t="str" cm="1">
        <f t="array" ref="G58">IFERROR(INDEX(Cartera1017[Estado TI],ROW(A56)),"")</f>
        <v>08. Producción Finalizada</v>
      </c>
      <c r="H58" s="463" cm="1">
        <f t="array" ref="H58">IFERROR(
 IF(
   INDEX(Cartera1017[Comienzo Desarrollo],ROW(A56))=0,
   "",
   INDEX(Cartera1017[Comienzo Desarrollo],ROW(A56))
 ),
 ""
)</f>
        <v>45748</v>
      </c>
      <c r="I58" s="463" cm="1">
        <f t="array" ref="I58">IFERROR(
 IF(
   INDEX(Cartera1017[Fin Producción],ROW(A56))=0,
   "",
   INDEX(Cartera1017[Fin Producción],ROW(A56))
 ),
 ""
)</f>
        <v>46051</v>
      </c>
    </row>
    <row r="59" spans="1:9">
      <c r="A59" s="376" t="str" cm="1">
        <f t="array" ref="A59">IFERROR(
 IF(
   INDEX(Cartera1017[ID Mantenimiento],ROW(A57))=0,
   "",
   INDEX(Cartera1017[ID Mantenimiento],ROW(A57))
 ),
 ""
)</f>
        <v>2025-M0096</v>
      </c>
      <c r="B59" s="376" t="str" cm="1">
        <f t="array" ref="B59">IFERROR(INDEX(Cartera1017[Nombre del Requerimiento],ROW(A57)),"")</f>
        <v>Mejoras en el Aplicativo BDUC sobre el módulo elección de medio de envío de estado de cuentas corrientes</v>
      </c>
      <c r="C59" s="376" t="str" cm="1">
        <f t="array" aca="1" ref="C59" ca="1">IFERROR(INDEX(Cartera1017[indicador de Avance],ROW(A57)),"")</f>
        <v>EN CURSO 🟢</v>
      </c>
      <c r="D59" s="376" t="str" cm="1">
        <f t="array" ref="D59">IFERROR(INDEX(Cartera1017[Gerencia],ROW(A57)),"")</f>
        <v>Operaciones</v>
      </c>
      <c r="E59" s="376" t="str" cm="1">
        <f t="array" ref="E59">IFERROR(INDEX(Cartera1017[Subgerencia],ROW(A57)),"")</f>
        <v>Captaciones y Pagaduría</v>
      </c>
      <c r="F59" s="376" t="str" cm="1">
        <f t="array" ref="F59">IFERROR(INDEX(Cartera1017[Sección],ROW(A57)),"")</f>
        <v>Apertura de Cuentas</v>
      </c>
      <c r="G59" s="376" t="str" cm="1">
        <f t="array" ref="G59">IFERROR(INDEX(Cartera1017[Estado TI],ROW(A57)),"")</f>
        <v>03. En Desarrollo</v>
      </c>
      <c r="H59" s="463" cm="1">
        <f t="array" ref="H59">IFERROR(
 IF(
   INDEX(Cartera1017[Comienzo Desarrollo],ROW(A57))=0,
   "",
   INDEX(Cartera1017[Comienzo Desarrollo],ROW(A57))
 ),
 ""
)</f>
        <v>46266</v>
      </c>
      <c r="I59" s="463" cm="1">
        <f t="array" ref="I59">IFERROR(
 IF(
   INDEX(Cartera1017[Fin Producción],ROW(A57))=0,
   "",
   INDEX(Cartera1017[Fin Producción],ROW(A57))
 ),
 ""
)</f>
        <v>46395</v>
      </c>
    </row>
    <row r="60" spans="1:9">
      <c r="A60" s="376" t="str" cm="1">
        <f t="array" ref="A60">IFERROR(
 IF(
   INDEX(Cartera1017[ID Mantenimiento],ROW(A58))=0,
   "",
   INDEX(Cartera1017[ID Mantenimiento],ROW(A58))
 ),
 ""
)</f>
        <v>2025-M0050</v>
      </c>
      <c r="B60" s="376" t="str" cm="1">
        <f t="array" ref="B60">IFERROR(INDEX(Cartera1017[Nombre del Requerimiento],ROW(A58)),"")</f>
        <v>BDUC (Módulo de Apertura Masiva)</v>
      </c>
      <c r="C60" s="376" t="str" cm="1">
        <f t="array" aca="1" ref="C60" ca="1">IFERROR(INDEX(Cartera1017[indicador de Avance],ROW(A58)),"")</f>
        <v>IMPLEMENTADO 🔵</v>
      </c>
      <c r="D60" s="376" t="str" cm="1">
        <f t="array" ref="D60">IFERROR(INDEX(Cartera1017[Gerencia],ROW(A58)),"")</f>
        <v>Tecnologías de Información</v>
      </c>
      <c r="E60" s="376" t="str" cm="1">
        <f t="array" ref="E60">IFERROR(INDEX(Cartera1017[Subgerencia],ROW(A58)),"")</f>
        <v>Construcción de Aplicaciones</v>
      </c>
      <c r="F60" s="376" t="str" cm="1">
        <f t="array" ref="F60">IFERROR(INDEX(Cartera1017[Sección],ROW(A58)),"")</f>
        <v>Sistemas Bancarios</v>
      </c>
      <c r="G60" s="376" t="str" cm="1">
        <f t="array" ref="G60">IFERROR(INDEX(Cartera1017[Estado TI],ROW(A58)),"")</f>
        <v>08. Producción Finalizada</v>
      </c>
      <c r="H60" s="463" cm="1">
        <f t="array" ref="H60">IFERROR(
 IF(
   INDEX(Cartera1017[Comienzo Desarrollo],ROW(A58))=0,
   "",
   INDEX(Cartera1017[Comienzo Desarrollo],ROW(A58))
 ),
 ""
)</f>
        <v>46014</v>
      </c>
      <c r="I60" s="463" cm="1">
        <f t="array" ref="I60">IFERROR(
 IF(
   INDEX(Cartera1017[Fin Producción],ROW(A58))=0,
   "",
   INDEX(Cartera1017[Fin Producción],ROW(A58))
 ),
 ""
)</f>
        <v>46137</v>
      </c>
    </row>
    <row r="61" spans="1:9">
      <c r="A61" s="376" t="str" cm="1">
        <f t="array" ref="A61">IFERROR(
 IF(
   INDEX(Cartera1017[ID Mantenimiento],ROW(A59))=0,
   "",
   INDEX(Cartera1017[ID Mantenimiento],ROW(A59))
 ),
 ""
)</f>
        <v>2025-M0087</v>
      </c>
      <c r="B61" s="376" t="str" cm="1">
        <f t="array" ref="B61">IFERROR(INDEX(Cartera1017[Nombre del Requerimiento],ROW(A59)),"")</f>
        <v>Requerimiento Modificación por Servicio de Desembolso CBD transacción 0553</v>
      </c>
      <c r="C61" s="376" t="str" cm="1">
        <f t="array" aca="1" ref="C61" ca="1">IFERROR(INDEX(Cartera1017[indicador de Avance],ROW(A59)),"")</f>
        <v>IMPLEMENTADO 🔵</v>
      </c>
      <c r="D61" s="376" t="str" cm="1">
        <f t="array" ref="D61">IFERROR(INDEX(Cartera1017[Gerencia],ROW(A59)),"")</f>
        <v>Operaciones</v>
      </c>
      <c r="E61" s="376" t="str" cm="1">
        <f t="array" ref="E61">IFERROR(INDEX(Cartera1017[Subgerencia],ROW(A59)),"")</f>
        <v>Servicios Bancarios y Recaudación</v>
      </c>
      <c r="F61" s="376" t="str" cm="1">
        <f t="array" ref="F61">IFERROR(INDEX(Cartera1017[Sección],ROW(A59)),"")</f>
        <v>Recaudación y Corresponsalía</v>
      </c>
      <c r="G61" s="376" t="str" cm="1">
        <f t="array" ref="G61">IFERROR(INDEX(Cartera1017[Estado TI],ROW(A59)),"")</f>
        <v>08. Producción Finalizada</v>
      </c>
      <c r="H61" s="463" cm="1">
        <f t="array" ref="H61">IFERROR(
 IF(
   INDEX(Cartera1017[Comienzo Desarrollo],ROW(A59))=0,
   "",
   INDEX(Cartera1017[Comienzo Desarrollo],ROW(A59))
 ),
 ""
)</f>
        <v>46055</v>
      </c>
      <c r="I61" s="463" cm="1">
        <f t="array" ref="I61">IFERROR(
 IF(
   INDEX(Cartera1017[Fin Producción],ROW(A59))=0,
   "",
   INDEX(Cartera1017[Fin Producción],ROW(A59))
 ),
 ""
)</f>
        <v>46111</v>
      </c>
    </row>
    <row r="62" spans="1:9">
      <c r="A62" s="376" t="str" cm="1">
        <f t="array" ref="A62">IFERROR(
 IF(
   INDEX(Cartera1017[ID Mantenimiento],ROW(A60))=0,
   "",
   INDEX(Cartera1017[ID Mantenimiento],ROW(A60))
 ),
 ""
)</f>
        <v>2025-M0082</v>
      </c>
      <c r="B62" s="376" t="str" cm="1">
        <f t="array" ref="B62">IFERROR(INDEX(Cartera1017[Nombre del Requerimiento],ROW(A60)),"")</f>
        <v>Incorporación de Carga Automática EMAPICA</v>
      </c>
      <c r="C62" s="376" t="str" cm="1">
        <f t="array" aca="1" ref="C62" ca="1">IFERROR(INDEX(Cartera1017[indicador de Avance],ROW(A60)),"")</f>
        <v>IMPLEMENTADO 🔵</v>
      </c>
      <c r="D62" s="376" t="str" cm="1">
        <f t="array" ref="D62">IFERROR(INDEX(Cartera1017[Gerencia],ROW(A60)),"")</f>
        <v>Operaciones</v>
      </c>
      <c r="E62" s="376" t="str" cm="1">
        <f t="array" ref="E62">IFERROR(INDEX(Cartera1017[Subgerencia],ROW(A60)),"")</f>
        <v>Servicios Bancarios y Recaudación</v>
      </c>
      <c r="F62" s="376" t="str" cm="1">
        <f t="array" ref="F62">IFERROR(INDEX(Cartera1017[Sección],ROW(A60)),"")</f>
        <v>Recaudación y Corresponsalía</v>
      </c>
      <c r="G62" s="376" t="str" cm="1">
        <f t="array" ref="G62">IFERROR(INDEX(Cartera1017[Estado TI],ROW(A60)),"")</f>
        <v>08. Producción Finalizada</v>
      </c>
      <c r="H62" s="463" cm="1">
        <f t="array" ref="H62">IFERROR(
 IF(
   INDEX(Cartera1017[Comienzo Desarrollo],ROW(A60))=0,
   "",
   INDEX(Cartera1017[Comienzo Desarrollo],ROW(A60))
 ),
 ""
)</f>
        <v>45691</v>
      </c>
      <c r="I62" s="463" cm="1">
        <f t="array" ref="I62">IFERROR(
 IF(
   INDEX(Cartera1017[Fin Producción],ROW(A60))=0,
   "",
   INDEX(Cartera1017[Fin Producción],ROW(A60))
 ),
 ""
)</f>
        <v>46047</v>
      </c>
    </row>
    <row r="63" spans="1:9">
      <c r="A63" s="376" t="str" cm="1">
        <f t="array" ref="A63">IFERROR(
 IF(
   INDEX(Cartera1017[ID Mantenimiento],ROW(A61))=0,
   "",
   INDEX(Cartera1017[ID Mantenimiento],ROW(A61))
 ),
 ""
)</f>
        <v>2025-M0113</v>
      </c>
      <c r="B63" s="376" t="str" cm="1">
        <f t="array" ref="B63">IFERROR(INDEX(Cartera1017[Nombre del Requerimiento],ROW(A61)),"")</f>
        <v xml:space="preserve">Automatización de la Emisión de Liquidación Prestamos Multired  </v>
      </c>
      <c r="C63" s="376" t="str" cm="1">
        <f t="array" aca="1" ref="C63" ca="1">IFERROR(INDEX(Cartera1017[indicador de Avance],ROW(A61)),"")</f>
        <v>IMPLEMENTADO 🔵</v>
      </c>
      <c r="D63" s="376" t="str" cm="1">
        <f t="array" ref="D63">IFERROR(INDEX(Cartera1017[Gerencia],ROW(A61)),"")</f>
        <v>Operaciones</v>
      </c>
      <c r="E63" s="376" t="str" cm="1">
        <f t="array" ref="E63">IFERROR(INDEX(Cartera1017[Subgerencia],ROW(A61)),"")</f>
        <v>Servicios Bancarios y Recaudación</v>
      </c>
      <c r="F63" s="376" t="str" cm="1">
        <f t="array" ref="F63">IFERROR(INDEX(Cartera1017[Sección],ROW(A61)),"")</f>
        <v>Soporte Servicios Financieros</v>
      </c>
      <c r="G63" s="376" t="str" cm="1">
        <f t="array" ref="G63">IFERROR(INDEX(Cartera1017[Estado TI],ROW(A61)),"")</f>
        <v>08. Producción Finalizada</v>
      </c>
      <c r="H63" s="463" cm="1">
        <f t="array" ref="H63">IFERROR(
 IF(
   INDEX(Cartera1017[Comienzo Desarrollo],ROW(A61))=0,
   "",
   INDEX(Cartera1017[Comienzo Desarrollo],ROW(A61))
 ),
 ""
)</f>
        <v>45855</v>
      </c>
      <c r="I63" s="463" cm="1">
        <f t="array" ref="I63">IFERROR(
 IF(
   INDEX(Cartera1017[Fin Producción],ROW(A61))=0,
   "",
   INDEX(Cartera1017[Fin Producción],ROW(A61))
 ),
 ""
)</f>
        <v>46108</v>
      </c>
    </row>
    <row r="64" spans="1:9">
      <c r="A64" s="376" t="str" cm="1">
        <f t="array" ref="A64">IFERROR(
 IF(
   INDEX(Cartera1017[ID Mantenimiento],ROW(A62))=0,
   "",
   INDEX(Cartera1017[ID Mantenimiento],ROW(A62))
 ),
 ""
)</f>
        <v>2025-M0274</v>
      </c>
      <c r="B64" s="376" t="str" cm="1">
        <f t="array" ref="B64">IFERROR(INDEX(Cartera1017[Nombre del Requerimiento],ROW(A62)),"")</f>
        <v>Requerimiento Correctivo Proceso de Generación de EECC corriente</v>
      </c>
      <c r="C64" s="376" t="str" cm="1">
        <f t="array" aca="1" ref="C64" ca="1">IFERROR(INDEX(Cartera1017[indicador de Avance],ROW(A62)),"")</f>
        <v>IMPLEMENTADO 🔵</v>
      </c>
      <c r="D64" s="376" t="str" cm="1">
        <f t="array" ref="D64">IFERROR(INDEX(Cartera1017[Gerencia],ROW(A62)),"")</f>
        <v>Operaciones</v>
      </c>
      <c r="E64" s="376" t="str" cm="1">
        <f t="array" ref="E64">IFERROR(INDEX(Cartera1017[Subgerencia],ROW(A62)),"")</f>
        <v>Captaciones y Pagaduría</v>
      </c>
      <c r="F64" s="376" t="str" cm="1">
        <f t="array" ref="F64">IFERROR(INDEX(Cartera1017[Sección],ROW(A62)),"")</f>
        <v>Administración de Cuentas y Pagaduría</v>
      </c>
      <c r="G64" s="376" t="str" cm="1">
        <f t="array" ref="G64">IFERROR(INDEX(Cartera1017[Estado TI],ROW(A62)),"")</f>
        <v>08. Producción Finalizada</v>
      </c>
      <c r="H64" s="463" cm="1">
        <f t="array" ref="H64">IFERROR(
 IF(
   INDEX(Cartera1017[Comienzo Desarrollo],ROW(A62))=0,
   "",
   INDEX(Cartera1017[Comienzo Desarrollo],ROW(A62))
 ),
 ""
)</f>
        <v>45964</v>
      </c>
      <c r="I64" s="463" cm="1">
        <f t="array" ref="I64">IFERROR(
 IF(
   INDEX(Cartera1017[Fin Producción],ROW(A62))=0,
   "",
   INDEX(Cartera1017[Fin Producción],ROW(A62))
 ),
 ""
)</f>
        <v>46125</v>
      </c>
    </row>
    <row r="65" spans="1:9">
      <c r="A65" s="376" t="str" cm="1">
        <f t="array" ref="A65">IFERROR(
 IF(
   INDEX(Cartera1017[ID Mantenimiento],ROW(A63))=0,
   "",
   INDEX(Cartera1017[ID Mantenimiento],ROW(A63))
 ),
 ""
)</f>
        <v>2023-M0421</v>
      </c>
      <c r="B65" s="376" t="str" cm="1">
        <f t="array" ref="B65">IFERROR(INDEX(Cartera1017[Nombre del Requerimiento],ROW(A63)),"")</f>
        <v>Proyecto de Migración y Optimización de la Aplicación Base de Datos Única de Clientes</v>
      </c>
      <c r="C65" s="376" t="str" cm="1">
        <f t="array" aca="1" ref="C65" ca="1">IFERROR(INDEX(Cartera1017[indicador de Avance],ROW(A63)),"")</f>
        <v>ATRASADO 🔴</v>
      </c>
      <c r="D65" s="376" t="str" cm="1">
        <f t="array" ref="D65">IFERROR(INDEX(Cartera1017[Gerencia],ROW(A63)),"")</f>
        <v>Operaciones</v>
      </c>
      <c r="E65" s="376" t="str" cm="1">
        <f t="array" ref="E65">IFERROR(INDEX(Cartera1017[Subgerencia],ROW(A63)),"")</f>
        <v>Captaciones y Pagaduría</v>
      </c>
      <c r="F65" s="376" t="str" cm="1">
        <f t="array" ref="F65">IFERROR(INDEX(Cartera1017[Sección],ROW(A63)),"")</f>
        <v>Apertura de Cuentas</v>
      </c>
      <c r="G65" s="376" t="str" cm="1">
        <f t="array" ref="G65">IFERROR(INDEX(Cartera1017[Estado TI],ROW(A63)),"")</f>
        <v>07. En Despliegue</v>
      </c>
      <c r="H65" s="463" cm="1">
        <f t="array" ref="H65">IFERROR(
 IF(
   INDEX(Cartera1017[Comienzo Desarrollo],ROW(A63))=0,
   "",
   INDEX(Cartera1017[Comienzo Desarrollo],ROW(A63))
 ),
 ""
)</f>
        <v>46014</v>
      </c>
      <c r="I65" s="463" cm="1">
        <f t="array" ref="I65">IFERROR(
 IF(
   INDEX(Cartera1017[Fin Producción],ROW(A63))=0,
   "",
   INDEX(Cartera1017[Fin Producción],ROW(A63))
 ),
 ""
)</f>
        <v>46108</v>
      </c>
    </row>
    <row r="66" spans="1:9">
      <c r="A66" s="376" t="str" cm="1">
        <f t="array" ref="A66">IFERROR(
 IF(
   INDEX(Cartera1017[ID Mantenimiento],ROW(A64))=0,
   "",
   INDEX(Cartera1017[ID Mantenimiento],ROW(A64))
 ),
 ""
)</f>
        <v>2023-M0369</v>
      </c>
      <c r="B66" s="376" t="str" cm="1">
        <f t="array" ref="B66">IFERROR(INDEX(Cartera1017[Nombre del Requerimiento],ROW(A64)),"")</f>
        <v>Generación de Expedientes según Tipo de Régimen – Fase 1</v>
      </c>
      <c r="C66" s="376" t="str" cm="1">
        <f t="array" aca="1" ref="C66" ca="1">IFERROR(INDEX(Cartera1017[indicador de Avance],ROW(A64)),"")</f>
        <v>IMPLEMENTADO 🔵</v>
      </c>
      <c r="D66" s="376" t="str" cm="1">
        <f t="array" ref="D66">IFERROR(INDEX(Cartera1017[Gerencia],ROW(A64)),"")</f>
        <v>Oficialía de PLAFT</v>
      </c>
      <c r="E66" s="376" t="str" cm="1">
        <f t="array" ref="E66">IFERROR(INDEX(Cartera1017[Subgerencia],ROW(A64)),"")</f>
        <v>Oficialía de PLAFT</v>
      </c>
      <c r="F66" s="376" t="str" cm="1">
        <f t="array" ref="F66">IFERROR(INDEX(Cartera1017[Sección],ROW(A64)),"")</f>
        <v>Prevención</v>
      </c>
      <c r="G66" s="376" t="str" cm="1">
        <f t="array" ref="G66">IFERROR(INDEX(Cartera1017[Estado TI],ROW(A64)),"")</f>
        <v>08. Producción Finalizada</v>
      </c>
      <c r="H66" s="463" cm="1">
        <f t="array" ref="H66">IFERROR(
 IF(
   INDEX(Cartera1017[Comienzo Desarrollo],ROW(A64))=0,
   "",
   INDEX(Cartera1017[Comienzo Desarrollo],ROW(A64))
 ),
 ""
)</f>
        <v>45768</v>
      </c>
      <c r="I66" s="463" cm="1">
        <f t="array" ref="I66">IFERROR(
 IF(
   INDEX(Cartera1017[Fin Producción],ROW(A64))=0,
   "",
   INDEX(Cartera1017[Fin Producción],ROW(A64))
 ),
 ""
)</f>
        <v>46043</v>
      </c>
    </row>
    <row r="67" spans="1:9">
      <c r="A67" s="376" t="str" cm="1">
        <f t="array" ref="A67">IFERROR(
 IF(
   INDEX(Cartera1017[ID Mantenimiento],ROW(A65))=0,
   "",
   INDEX(Cartera1017[ID Mantenimiento],ROW(A65))
 ),
 ""
)</f>
        <v>2025-M0116</v>
      </c>
      <c r="B67" s="376" t="str" cm="1">
        <f t="array" ref="B67">IFERROR(INDEX(Cartera1017[Nombre del Requerimiento],ROW(A65)),"")</f>
        <v>Reporte de trazabilidad y validación criptográfica para el canal Agentes - Indecopi</v>
      </c>
      <c r="C67" s="376" t="str" cm="1">
        <f t="array" aca="1" ref="C67" ca="1">IFERROR(INDEX(Cartera1017[indicador de Avance],ROW(A65)),"")</f>
        <v>ATRASADO 🔴</v>
      </c>
      <c r="D67" s="376" t="str" cm="1">
        <f t="array" ref="D67">IFERROR(INDEX(Cartera1017[Gerencia],ROW(A65)),"")</f>
        <v>Banca Digital</v>
      </c>
      <c r="E67" s="376" t="str" cm="1">
        <f t="array" ref="E67">IFERROR(INDEX(Cartera1017[Subgerencia],ROW(A65)),"")</f>
        <v>Canales Alternos</v>
      </c>
      <c r="F67" s="376" t="str" cm="1">
        <f t="array" ref="F67">IFERROR(INDEX(Cartera1017[Sección],ROW(A65)),"")</f>
        <v>Canales Presenciales</v>
      </c>
      <c r="G67" s="376" t="str" cm="1">
        <f t="array" ref="G67">IFERROR(INDEX(Cartera1017[Estado TI],ROW(A65)),"")</f>
        <v>06. Calidad Finalizado</v>
      </c>
      <c r="H67" s="463" cm="1">
        <f t="array" ref="H67">IFERROR(
 IF(
   INDEX(Cartera1017[Comienzo Desarrollo],ROW(A65))=0,
   "",
   INDEX(Cartera1017[Comienzo Desarrollo],ROW(A65))
 ),
 ""
)</f>
        <v>45971</v>
      </c>
      <c r="I67" s="463" cm="1">
        <f t="array" ref="I67">IFERROR(
 IF(
   INDEX(Cartera1017[Fin Producción],ROW(A65))=0,
   "",
   INDEX(Cartera1017[Fin Producción],ROW(A65))
 ),
 ""
)</f>
        <v>46108</v>
      </c>
    </row>
    <row r="68" spans="1:9">
      <c r="A68" s="376" t="str" cm="1">
        <f t="array" ref="A68">IFERROR(
 IF(
   INDEX(Cartera1017[ID Mantenimiento],ROW(A66))=0,
   "",
   INDEX(Cartera1017[ID Mantenimiento],ROW(A66))
 ),
 ""
)</f>
        <v>2025-M0086</v>
      </c>
      <c r="B68" s="376" t="str" cm="1">
        <f t="array" ref="B68">IFERROR(INDEX(Cartera1017[Nombre del Requerimiento],ROW(A66)),"")</f>
        <v>IDENTIFICADOR DEL ERROR EN EL SISTEMA DEL ATM POR RETENCION DE TARJETA Y COBRO DE COMISION  POR REPOSICION</v>
      </c>
      <c r="C68" s="376" t="str" cm="1">
        <f t="array" aca="1" ref="C68" ca="1">IFERROR(INDEX(Cartera1017[indicador de Avance],ROW(A66)),"")</f>
        <v>PARALIZADO ⚪</v>
      </c>
      <c r="D68" s="376" t="str" cm="1">
        <f t="array" ref="D68">IFERROR(INDEX(Cartera1017[Gerencia],ROW(A66)),"")</f>
        <v>Banca Digital</v>
      </c>
      <c r="E68" s="376" t="str" cm="1">
        <f t="array" ref="E68">IFERROR(INDEX(Cartera1017[Subgerencia],ROW(A66)),"")</f>
        <v>Canales Alternos</v>
      </c>
      <c r="F68" s="376" t="str" cm="1">
        <f t="array" ref="F68">IFERROR(INDEX(Cartera1017[Sección],ROW(A66)),"")</f>
        <v>Canales Virtuales</v>
      </c>
      <c r="G68" s="376" t="str" cm="1">
        <f t="array" ref="G68">IFERROR(INDEX(Cartera1017[Estado TI],ROW(A66)),"")</f>
        <v>10. Paralizado</v>
      </c>
      <c r="H68" s="463" t="str" cm="1">
        <f t="array" ref="H68">IFERROR(
 IF(
   INDEX(Cartera1017[Comienzo Desarrollo],ROW(A66))=0,
   "",
   INDEX(Cartera1017[Comienzo Desarrollo],ROW(A66))
 ),
 ""
)</f>
        <v/>
      </c>
      <c r="I68" s="463" cm="1">
        <f t="array" ref="I68">IFERROR(
 IF(
   INDEX(Cartera1017[Fin Producción],ROW(A66))=0,
   "",
   INDEX(Cartera1017[Fin Producción],ROW(A66))
 ),
 ""
)</f>
        <v>46477</v>
      </c>
    </row>
    <row r="69" spans="1:9">
      <c r="A69" s="376" t="str" cm="1">
        <f t="array" ref="A69">IFERROR(
 IF(
   INDEX(Cartera1017[ID Mantenimiento],ROW(A67))=0,
   "",
   INDEX(Cartera1017[ID Mantenimiento],ROW(A67))
 ),
 ""
)</f>
        <v>2025-M0278</v>
      </c>
      <c r="B69" s="376" t="str" cm="1">
        <f t="array" ref="B69">IFERROR(INDEX(Cartera1017[Nombre del Requerimiento],ROW(A67)),"")</f>
        <v>Validación CCI / DNI pago de proveedores del estado para abonos en cuentas de ahorro MN</v>
      </c>
      <c r="C69" s="376" t="str" cm="1">
        <f t="array" aca="1" ref="C69" ca="1">IFERROR(INDEX(Cartera1017[indicador de Avance],ROW(A67)),"")</f>
        <v>Sin Cronograma 🔵</v>
      </c>
      <c r="D69" s="376" t="str" cm="1">
        <f t="array" ref="D69">IFERROR(INDEX(Cartera1017[Gerencia],ROW(A67)),"")</f>
        <v>Operaciones</v>
      </c>
      <c r="E69" s="376" t="str" cm="1">
        <f t="array" ref="E69">IFERROR(INDEX(Cartera1017[Subgerencia],ROW(A67)),"")</f>
        <v>Captaciones y Pagaduría</v>
      </c>
      <c r="F69" s="376" t="str" cm="1">
        <f t="array" ref="F69">IFERROR(INDEX(Cartera1017[Sección],ROW(A67)),"")</f>
        <v>Sistema de Pagos</v>
      </c>
      <c r="G69" s="376" t="str" cm="1">
        <f t="array" ref="G69">IFERROR(INDEX(Cartera1017[Estado TI],ROW(A67)),"")</f>
        <v>09. Descartado</v>
      </c>
      <c r="H69" s="463" t="str" cm="1">
        <f t="array" ref="H69">IFERROR(
 IF(
   INDEX(Cartera1017[Comienzo Desarrollo],ROW(A67))=0,
   "",
   INDEX(Cartera1017[Comienzo Desarrollo],ROW(A67))
 ),
 ""
)</f>
        <v/>
      </c>
      <c r="I69" s="463" t="str" cm="1">
        <f t="array" ref="I69">IFERROR(
 IF(
   INDEX(Cartera1017[Fin Producción],ROW(A67))=0,
   "",
   INDEX(Cartera1017[Fin Producción],ROW(A67))
 ),
 ""
)</f>
        <v/>
      </c>
    </row>
    <row r="70" spans="1:9">
      <c r="A70" s="376" t="str" cm="1">
        <f t="array" ref="A70">IFERROR(
 IF(
   INDEX(Cartera1017[ID Mantenimiento],ROW(A68))=0,
   "",
   INDEX(Cartera1017[ID Mantenimiento],ROW(A68))
 ),
 ""
)</f>
        <v>2025-M0182</v>
      </c>
      <c r="B70" s="376" t="str" cm="1">
        <f t="array" ref="B70">IFERROR(INDEX(Cartera1017[Nombre del Requerimiento],ROW(A68)),"")</f>
        <v>OPTIMIZACION EN EL SISTEMA DE TRANSFERENCIAS INTERBANCARIAS DIFERIDAS SITE VIA ( CCE ) - FASE 2</v>
      </c>
      <c r="C70" s="376" t="str" cm="1">
        <f t="array" aca="1" ref="C70" ca="1">IFERROR(INDEX(Cartera1017[indicador de Avance],ROW(A68)),"")</f>
        <v>EN CURSO 🟢</v>
      </c>
      <c r="D70" s="376" t="str" cm="1">
        <f t="array" ref="D70">IFERROR(INDEX(Cartera1017[Gerencia],ROW(A68)),"")</f>
        <v>Operaciones</v>
      </c>
      <c r="E70" s="376" t="str" cm="1">
        <f t="array" ref="E70">IFERROR(INDEX(Cartera1017[Subgerencia],ROW(A68)),"")</f>
        <v>Captaciones y Pagaduría</v>
      </c>
      <c r="F70" s="376" t="str" cm="1">
        <f t="array" ref="F70">IFERROR(INDEX(Cartera1017[Sección],ROW(A68)),"")</f>
        <v>Sistema de Pagos</v>
      </c>
      <c r="G70" s="376" t="str" cm="1">
        <f t="array" ref="G70">IFERROR(INDEX(Cartera1017[Estado TI],ROW(A68)),"")</f>
        <v>03. En Desarrollo</v>
      </c>
      <c r="H70" s="463" cm="1">
        <f t="array" ref="H70">IFERROR(
 IF(
   INDEX(Cartera1017[Comienzo Desarrollo],ROW(A68))=0,
   "",
   INDEX(Cartera1017[Comienzo Desarrollo],ROW(A68))
 ),
 ""
)</f>
        <v>46153</v>
      </c>
      <c r="I70" s="463" cm="1">
        <f t="array" ref="I70">IFERROR(
 IF(
   INDEX(Cartera1017[Fin Producción],ROW(A68))=0,
   "",
   INDEX(Cartera1017[Fin Producción],ROW(A68))
 ),
 ""
)</f>
        <v>46237</v>
      </c>
    </row>
    <row r="71" spans="1:9">
      <c r="A71" s="376" t="str" cm="1">
        <f t="array" ref="A71">IFERROR(
 IF(
   INDEX(Cartera1017[ID Mantenimiento],ROW(A69))=0,
   "",
   INDEX(Cartera1017[ID Mantenimiento],ROW(A69))
 ),
 ""
)</f>
        <v>2025-M0538</v>
      </c>
      <c r="B71" s="376" t="str" cm="1">
        <f t="array" ref="B71">IFERROR(INDEX(Cartera1017[Nombre del Requerimiento],ROW(A69)),"")</f>
        <v>Revisión, Actualización, Optimización y Automatización del Proceso de Carga del RCD</v>
      </c>
      <c r="C71" s="376" t="str" cm="1">
        <f t="array" aca="1" ref="C71" ca="1">IFERROR(INDEX(Cartera1017[indicador de Avance],ROW(A69)),"")</f>
        <v>IMPLEMENTADO 🔵</v>
      </c>
      <c r="D71" s="376" t="str" cm="1">
        <f t="array" ref="D71">IFERROR(INDEX(Cartera1017[Gerencia],ROW(A69)),"")</f>
        <v>Tecnologías de Información</v>
      </c>
      <c r="E71" s="376" t="str" cm="1">
        <f t="array" ref="E71">IFERROR(INDEX(Cartera1017[Subgerencia],ROW(A69)),"")</f>
        <v>Construcción de Aplicaciones</v>
      </c>
      <c r="F71" s="376" t="str" cm="1">
        <f t="array" ref="F71">IFERROR(INDEX(Cartera1017[Sección],ROW(A69)),"")</f>
        <v>Sistemas Bancarios</v>
      </c>
      <c r="G71" s="376" t="str" cm="1">
        <f t="array" ref="G71">IFERROR(INDEX(Cartera1017[Estado TI],ROW(A69)),"")</f>
        <v>08. Producción Finalizada</v>
      </c>
      <c r="H71" s="463" cm="1">
        <f t="array" ref="H71">IFERROR(
 IF(
   INDEX(Cartera1017[Comienzo Desarrollo],ROW(A69))=0,
   "",
   INDEX(Cartera1017[Comienzo Desarrollo],ROW(A69))
 ),
 ""
)</f>
        <v>45873</v>
      </c>
      <c r="I71" s="463" cm="1">
        <f t="array" ref="I71">IFERROR(
 IF(
   INDEX(Cartera1017[Fin Producción],ROW(A69))=0,
   "",
   INDEX(Cartera1017[Fin Producción],ROW(A69))
 ),
 ""
)</f>
        <v>46108</v>
      </c>
    </row>
    <row r="72" spans="1:9">
      <c r="A72" s="376" t="str" cm="1">
        <f t="array" ref="A72">IFERROR(
 IF(
   INDEX(Cartera1017[ID Mantenimiento],ROW(A70))=0,
   "",
   INDEX(Cartera1017[ID Mantenimiento],ROW(A70))
 ),
 ""
)</f>
        <v>2025-M0537</v>
      </c>
      <c r="B72" s="376" t="str" cm="1">
        <f t="array" ref="B72">IFERROR(INDEX(Cartera1017[Nombre del Requerimiento],ROW(A70)),"")</f>
        <v>REVISION, ACTUALIZACION, AUTOMATIZACION  Y OPTIMIZACION  DEL PROCESO CARGA DEL RCD ANEXO 5</v>
      </c>
      <c r="C72" s="376" t="str" cm="1">
        <f t="array" aca="1" ref="C72" ca="1">IFERROR(INDEX(Cartera1017[indicador de Avance],ROW(A70)),"")</f>
        <v>IMPLEMENTADO 🔵</v>
      </c>
      <c r="D72" s="376" t="str" cm="1">
        <f t="array" ref="D72">IFERROR(INDEX(Cartera1017[Gerencia],ROW(A70)),"")</f>
        <v>Tecnologías de Información</v>
      </c>
      <c r="E72" s="376" t="str" cm="1">
        <f t="array" ref="E72">IFERROR(INDEX(Cartera1017[Subgerencia],ROW(A70)),"")</f>
        <v>Construcción de Aplicaciones</v>
      </c>
      <c r="F72" s="376" t="str" cm="1">
        <f t="array" ref="F72">IFERROR(INDEX(Cartera1017[Sección],ROW(A70)),"")</f>
        <v>Sistemas Bancarios</v>
      </c>
      <c r="G72" s="376" t="str" cm="1">
        <f t="array" ref="G72">IFERROR(INDEX(Cartera1017[Estado TI],ROW(A70)),"")</f>
        <v>08. Producción Finalizada</v>
      </c>
      <c r="H72" s="463" cm="1">
        <f t="array" ref="H72">IFERROR(
 IF(
   INDEX(Cartera1017[Comienzo Desarrollo],ROW(A70))=0,
   "",
   INDEX(Cartera1017[Comienzo Desarrollo],ROW(A70))
 ),
 ""
)</f>
        <v>45873</v>
      </c>
      <c r="I72" s="463" cm="1">
        <f t="array" ref="I72">IFERROR(
 IF(
   INDEX(Cartera1017[Fin Producción],ROW(A70))=0,
   "",
   INDEX(Cartera1017[Fin Producción],ROW(A70))
 ),
 ""
)</f>
        <v>46108</v>
      </c>
    </row>
    <row r="73" spans="1:9">
      <c r="A73" s="376" t="str" cm="1">
        <f t="array" ref="A73">IFERROR(
 IF(
   INDEX(Cartera1017[ID Mantenimiento],ROW(A71))=0,
   "",
   INDEX(Cartera1017[ID Mantenimiento],ROW(A71))
 ),
 ""
)</f>
        <v>2025-M0148</v>
      </c>
      <c r="B73" s="376" t="str" cm="1">
        <f t="array" ref="B73">IFERROR(INDEX(Cartera1017[Nombre del Requerimiento],ROW(A71)),"")</f>
        <v>INTERFAZ SISTEMA CONTABILIDAD BASE DE DATOS (COBD) Y BANK TRADE- BNKT</v>
      </c>
      <c r="C73" s="376" t="str" cm="1">
        <f t="array" aca="1" ref="C73" ca="1">IFERROR(INDEX(Cartera1017[indicador de Avance],ROW(A71)),"")</f>
        <v>IMPLEMENTADO 🔵</v>
      </c>
      <c r="D73" s="376" t="str" cm="1">
        <f t="array" ref="D73">IFERROR(INDEX(Cartera1017[Gerencia],ROW(A71)),"")</f>
        <v>Operaciones</v>
      </c>
      <c r="E73" s="376" t="str" cm="1">
        <f t="array" ref="E73">IFERROR(INDEX(Cartera1017[Subgerencia],ROW(A71)),"")</f>
        <v>Internacional</v>
      </c>
      <c r="F73" s="376" t="str" cm="1">
        <f t="array" ref="F73">IFERROR(INDEX(Cartera1017[Sección],ROW(A71)),"")</f>
        <v>Comercio Exterior</v>
      </c>
      <c r="G73" s="376" t="str" cm="1">
        <f t="array" ref="G73">IFERROR(INDEX(Cartera1017[Estado TI],ROW(A71)),"")</f>
        <v>08. Producción Finalizada</v>
      </c>
      <c r="H73" s="463" cm="1">
        <f t="array" ref="H73">IFERROR(
 IF(
   INDEX(Cartera1017[Comienzo Desarrollo],ROW(A71))=0,
   "",
   INDEX(Cartera1017[Comienzo Desarrollo],ROW(A71))
 ),
 ""
)</f>
        <v>45712</v>
      </c>
      <c r="I73" s="463" cm="1">
        <f t="array" ref="I73">IFERROR(
 IF(
   INDEX(Cartera1017[Fin Producción],ROW(A71))=0,
   "",
   INDEX(Cartera1017[Fin Producción],ROW(A71))
 ),
 ""
)</f>
        <v>46035</v>
      </c>
    </row>
    <row r="74" spans="1:9">
      <c r="A74" s="376" t="str" cm="1">
        <f t="array" ref="A74">IFERROR(
 IF(
   INDEX(Cartera1017[ID Mantenimiento],ROW(A72))=0,
   "",
   INDEX(Cartera1017[ID Mantenimiento],ROW(A72))
 ),
 ""
)</f>
        <v>2025-M0171</v>
      </c>
      <c r="B74" s="376" t="str" cm="1">
        <f t="array" ref="B74">IFERROR(INDEX(Cartera1017[Nombre del Requerimiento],ROW(A72)),"")</f>
        <v>Actualización de Tablas de Parámetros de Prestamos Multired y de Tarjeta de Crédito</v>
      </c>
      <c r="C74" s="376" t="str" cm="1">
        <f t="array" aca="1" ref="C74" ca="1">IFERROR(INDEX(Cartera1017[indicador de Avance],ROW(A72)),"")</f>
        <v>IMPLEMENTADO 🔵</v>
      </c>
      <c r="D74" s="376" t="str" cm="1">
        <f t="array" ref="D74">IFERROR(INDEX(Cartera1017[Gerencia],ROW(A72)),"")</f>
        <v>Productos e Inclusión Financiera</v>
      </c>
      <c r="E74" s="376" t="str" cm="1">
        <f t="array" ref="E74">IFERROR(INDEX(Cartera1017[Subgerencia],ROW(A72)),"")</f>
        <v>Banca Personal</v>
      </c>
      <c r="F74" s="376" t="str" cm="1">
        <f t="array" ref="F74">IFERROR(INDEX(Cartera1017[Sección],ROW(A72)),"")</f>
        <v>Préstamo Multired</v>
      </c>
      <c r="G74" s="376" t="str" cm="1">
        <f t="array" ref="G74">IFERROR(INDEX(Cartera1017[Estado TI],ROW(A72)),"")</f>
        <v>08. Producción Finalizada</v>
      </c>
      <c r="H74" s="463" cm="1">
        <f t="array" ref="H74">IFERROR(
 IF(
   INDEX(Cartera1017[Comienzo Desarrollo],ROW(A72))=0,
   "",
   INDEX(Cartera1017[Comienzo Desarrollo],ROW(A72))
 ),
 ""
)</f>
        <v>45719</v>
      </c>
      <c r="I74" s="463" cm="1">
        <f t="array" ref="I74">IFERROR(
 IF(
   INDEX(Cartera1017[Fin Producción],ROW(A72))=0,
   "",
   INDEX(Cartera1017[Fin Producción],ROW(A72))
 ),
 ""
)</f>
        <v>46043</v>
      </c>
    </row>
    <row r="75" spans="1:9">
      <c r="A75" s="376" t="str" cm="1">
        <f t="array" ref="A75">IFERROR(
 IF(
   INDEX(Cartera1017[ID Mantenimiento],ROW(A73))=0,
   "",
   INDEX(Cartera1017[ID Mantenimiento],ROW(A73))
 ),
 ""
)</f>
        <v>2025-M0199</v>
      </c>
      <c r="B75" s="376" t="str" cm="1">
        <f t="array" ref="B75">IFERROR(INDEX(Cartera1017[Nombre del Requerimiento],ROW(A73)),"")</f>
        <v>Automatización Contable de Servicios Educativos.</v>
      </c>
      <c r="C75" s="376" t="str" cm="1">
        <f t="array" aca="1" ref="C75" ca="1">IFERROR(INDEX(Cartera1017[indicador de Avance],ROW(A73)),"")</f>
        <v>PARALIZADO ⚪</v>
      </c>
      <c r="D75" s="376" t="str" cm="1">
        <f t="array" ref="D75">IFERROR(INDEX(Cartera1017[Gerencia],ROW(A73)),"")</f>
        <v>Operaciones</v>
      </c>
      <c r="E75" s="376" t="str" cm="1">
        <f t="array" ref="E75">IFERROR(INDEX(Cartera1017[Subgerencia],ROW(A73)),"")</f>
        <v>Servicios Bancarios y Recaudación</v>
      </c>
      <c r="F75" s="376" t="str" cm="1">
        <f t="array" ref="F75">IFERROR(INDEX(Cartera1017[Sección],ROW(A73)),"")</f>
        <v>Recaudación y Corresponsalía</v>
      </c>
      <c r="G75" s="376" t="str" cm="1">
        <f t="array" ref="G75">IFERROR(INDEX(Cartera1017[Estado TI],ROW(A73)),"")</f>
        <v>10. Paralizado</v>
      </c>
      <c r="H75" s="463" t="str" cm="1">
        <f t="array" ref="H75">IFERROR(
 IF(
   INDEX(Cartera1017[Comienzo Desarrollo],ROW(A73))=0,
   "",
   INDEX(Cartera1017[Comienzo Desarrollo],ROW(A73))
 ),
 ""
)</f>
        <v/>
      </c>
      <c r="I75" s="463" cm="1">
        <f t="array" ref="I75">IFERROR(
 IF(
   INDEX(Cartera1017[Fin Producción],ROW(A73))=0,
   "",
   INDEX(Cartera1017[Fin Producción],ROW(A73))
 ),
 ""
)</f>
        <v>46356</v>
      </c>
    </row>
    <row r="76" spans="1:9">
      <c r="A76" s="376" t="str" cm="1">
        <f t="array" ref="A76">IFERROR(
 IF(
   INDEX(Cartera1017[ID Mantenimiento],ROW(A74))=0,
   "",
   INDEX(Cartera1017[ID Mantenimiento],ROW(A74))
 ),
 ""
)</f>
        <v>2025-M0306</v>
      </c>
      <c r="B76" s="376" t="str" cm="1">
        <f t="array" ref="B76">IFERROR(INDEX(Cartera1017[Nombre del Requerimiento],ROW(A74)),"")</f>
        <v>Mantenimiento de Base de Datos para cálculo de requerimiento de capital por riesgo de crédito</v>
      </c>
      <c r="C76" s="376" t="str" cm="1">
        <f t="array" aca="1" ref="C76" ca="1">IFERROR(INDEX(Cartera1017[indicador de Avance],ROW(A74)),"")</f>
        <v>EN CURSO 🟢</v>
      </c>
      <c r="D76" s="376" t="str" cm="1">
        <f t="array" ref="D76">IFERROR(INDEX(Cartera1017[Gerencia],ROW(A74)),"")</f>
        <v>Riesgos</v>
      </c>
      <c r="E76" s="376" t="str" cm="1">
        <f t="array" ref="E76">IFERROR(INDEX(Cartera1017[Subgerencia],ROW(A74)),"")</f>
        <v>Riesgos Crediticios y Financieros</v>
      </c>
      <c r="F76" s="376" t="str" cm="1">
        <f t="array" ref="F76">IFERROR(INDEX(Cartera1017[Sección],ROW(A74)),"")</f>
        <v>Riesgos Crediticios</v>
      </c>
      <c r="G76" s="376" t="str" cm="1">
        <f t="array" ref="G76">IFERROR(INDEX(Cartera1017[Estado TI],ROW(A74)),"")</f>
        <v>03. En Desarrollo</v>
      </c>
      <c r="H76" s="463" cm="1">
        <f t="array" ref="H76">IFERROR(
 IF(
   INDEX(Cartera1017[Comienzo Desarrollo],ROW(A74))=0,
   "",
   INDEX(Cartera1017[Comienzo Desarrollo],ROW(A74))
 ),
 ""
)</f>
        <v>46266</v>
      </c>
      <c r="I76" s="463" cm="1">
        <f t="array" ref="I76">IFERROR(
 IF(
   INDEX(Cartera1017[Fin Producción],ROW(A74))=0,
   "",
   INDEX(Cartera1017[Fin Producción],ROW(A74))
 ),
 ""
)</f>
        <v>46454</v>
      </c>
    </row>
    <row r="77" spans="1:9">
      <c r="A77" s="376" t="str" cm="1">
        <f t="array" ref="A77">IFERROR(
 IF(
   INDEX(Cartera1017[ID Mantenimiento],ROW(A75))=0,
   "",
   INDEX(Cartera1017[ID Mantenimiento],ROW(A75))
 ),
 ""
)</f>
        <v>2025-M0180</v>
      </c>
      <c r="B77" s="376" t="str" cm="1">
        <f t="array" ref="B77">IFERROR(INDEX(Cartera1017[Nombre del Requerimiento],ROW(A75)),"")</f>
        <v>Extracción periódica de la información del sistema SYGNUS que se encuentra en el entorno de Open Distribuido</v>
      </c>
      <c r="C77" s="376" t="str" cm="1">
        <f t="array" aca="1" ref="C77" ca="1">IFERROR(INDEX(Cartera1017[indicador de Avance],ROW(A75)),"")</f>
        <v>IMPLEMENTADO 🔵</v>
      </c>
      <c r="D77" s="376" t="str" cm="1">
        <f t="array" ref="D77">IFERROR(INDEX(Cartera1017[Gerencia],ROW(A75)),"")</f>
        <v>Recursos Humanos y Cultura</v>
      </c>
      <c r="E77" s="376" t="str" cm="1">
        <f t="array" ref="E77">IFERROR(INDEX(Cartera1017[Subgerencia],ROW(A75)),"")</f>
        <v>Administración de Personal</v>
      </c>
      <c r="F77" s="376" t="str" cm="1">
        <f t="array" ref="F77">IFERROR(INDEX(Cartera1017[Sección],ROW(A75)),"")</f>
        <v>Registro de Personal</v>
      </c>
      <c r="G77" s="376" t="str" cm="1">
        <f t="array" ref="G77">IFERROR(INDEX(Cartera1017[Estado TI],ROW(A75)),"")</f>
        <v>08. Producción Finalizada</v>
      </c>
      <c r="H77" s="463" cm="1">
        <f t="array" ref="H77">IFERROR(
 IF(
   INDEX(Cartera1017[Comienzo Desarrollo],ROW(A75))=0,
   "",
   INDEX(Cartera1017[Comienzo Desarrollo],ROW(A75))
 ),
 ""
)</f>
        <v>45943</v>
      </c>
      <c r="I77" s="463" cm="1">
        <f t="array" ref="I77">IFERROR(
 IF(
   INDEX(Cartera1017[Fin Producción],ROW(A75))=0,
   "",
   INDEX(Cartera1017[Fin Producción],ROW(A75))
 ),
 ""
)</f>
        <v>46052</v>
      </c>
    </row>
    <row r="78" spans="1:9">
      <c r="A78" s="376" t="str" cm="1">
        <f t="array" ref="A78">IFERROR(
 IF(
   INDEX(Cartera1017[ID Mantenimiento],ROW(A76))=0,
   "",
   INDEX(Cartera1017[ID Mantenimiento],ROW(A76))
 ),
 ""
)</f>
        <v>2025-M0203</v>
      </c>
      <c r="B78" s="376" t="str" cm="1">
        <f t="array" ref="B78">IFERROR(INDEX(Cartera1017[Nombre del Requerimiento],ROW(A76)),"")</f>
        <v>Extracción periódica de la información del sistema SIP (Sistema Integral de Personal) que se encuentra en el entorno de mainframe</v>
      </c>
      <c r="C78" s="376" t="str" cm="1">
        <f t="array" aca="1" ref="C78" ca="1">IFERROR(INDEX(Cartera1017[indicador de Avance],ROW(A76)),"")</f>
        <v>IMPLEMENTADO 🔵</v>
      </c>
      <c r="D78" s="376" t="str" cm="1">
        <f t="array" ref="D78">IFERROR(INDEX(Cartera1017[Gerencia],ROW(A76)),"")</f>
        <v>Recursos Humanos y Cultura</v>
      </c>
      <c r="E78" s="376" t="str" cm="1">
        <f t="array" ref="E78">IFERROR(INDEX(Cartera1017[Subgerencia],ROW(A76)),"")</f>
        <v>Administración de Personal</v>
      </c>
      <c r="F78" s="376" t="str" cm="1">
        <f t="array" ref="F78">IFERROR(INDEX(Cartera1017[Sección],ROW(A76)),"")</f>
        <v>Registro de Personal</v>
      </c>
      <c r="G78" s="376" t="str" cm="1">
        <f t="array" ref="G78">IFERROR(INDEX(Cartera1017[Estado TI],ROW(A76)),"")</f>
        <v>08. Producción Finalizada</v>
      </c>
      <c r="H78" s="463" cm="1">
        <f t="array" ref="H78">IFERROR(
 IF(
   INDEX(Cartera1017[Comienzo Desarrollo],ROW(A76))=0,
   "",
   INDEX(Cartera1017[Comienzo Desarrollo],ROW(A76))
 ),
 ""
)</f>
        <v>45943</v>
      </c>
      <c r="I78" s="463" cm="1">
        <f t="array" ref="I78">IFERROR(
 IF(
   INDEX(Cartera1017[Fin Producción],ROW(A76))=0,
   "",
   INDEX(Cartera1017[Fin Producción],ROW(A76))
 ),
 ""
)</f>
        <v>46108</v>
      </c>
    </row>
    <row r="79" spans="1:9">
      <c r="A79" s="376" t="str" cm="1">
        <f t="array" ref="A79">IFERROR(
 IF(
   INDEX(Cartera1017[ID Mantenimiento],ROW(A77))=0,
   "",
   INDEX(Cartera1017[ID Mantenimiento],ROW(A77))
 ),
 ""
)</f>
        <v>2025-M0204</v>
      </c>
      <c r="B79" s="376" t="str" cm="1">
        <f t="array" ref="B79">IFERROR(INDEX(Cartera1017[Nombre del Requerimiento],ROW(A77)),"")</f>
        <v>Extracción periódica de la información del sistema Oracle Financial que se encuentra en el entorno de Open Distribuido</v>
      </c>
      <c r="C79" s="376" t="str" cm="1">
        <f t="array" aca="1" ref="C79" ca="1">IFERROR(INDEX(Cartera1017[indicador de Avance],ROW(A77)),"")</f>
        <v>IMPLEMENTADO 🔵</v>
      </c>
      <c r="D79" s="376" t="str" cm="1">
        <f t="array" ref="D79">IFERROR(INDEX(Cartera1017[Gerencia],ROW(A77)),"")</f>
        <v>Recursos Humanos y Cultura</v>
      </c>
      <c r="E79" s="376" t="str" cm="1">
        <f t="array" ref="E79">IFERROR(INDEX(Cartera1017[Subgerencia],ROW(A77)),"")</f>
        <v>Administración de Personal</v>
      </c>
      <c r="F79" s="376" t="str" cm="1">
        <f t="array" ref="F79">IFERROR(INDEX(Cartera1017[Sección],ROW(A77)),"")</f>
        <v>Registro de Personal</v>
      </c>
      <c r="G79" s="376" t="str" cm="1">
        <f t="array" ref="G79">IFERROR(INDEX(Cartera1017[Estado TI],ROW(A77)),"")</f>
        <v>08. Producción Finalizada</v>
      </c>
      <c r="H79" s="463" cm="1">
        <f t="array" ref="H79">IFERROR(
 IF(
   INDEX(Cartera1017[Comienzo Desarrollo],ROW(A77))=0,
   "",
   INDEX(Cartera1017[Comienzo Desarrollo],ROW(A77))
 ),
 ""
)</f>
        <v>45943</v>
      </c>
      <c r="I79" s="463" cm="1">
        <f t="array" ref="I79">IFERROR(
 IF(
   INDEX(Cartera1017[Fin Producción],ROW(A77))=0,
   "",
   INDEX(Cartera1017[Fin Producción],ROW(A77))
 ),
 ""
)</f>
        <v>46051</v>
      </c>
    </row>
    <row r="80" spans="1:9">
      <c r="A80" s="376" t="str" cm="1">
        <f t="array" ref="A80">IFERROR(
 IF(
   INDEX(Cartera1017[ID Mantenimiento],ROW(A78))=0,
   "",
   INDEX(Cartera1017[ID Mantenimiento],ROW(A78))
 ),
 ""
)</f>
        <v>2025-M0206</v>
      </c>
      <c r="B80" s="376" t="str" cm="1">
        <f t="array" ref="B80">IFERROR(INDEX(Cartera1017[Nombre del Requerimiento],ROW(A78)),"")</f>
        <v>Extraer información relacionada a maestra de empleados siguiendo el diseño propuesto en el presente documento</v>
      </c>
      <c r="C80" s="376" t="str" cm="1">
        <f t="array" aca="1" ref="C80" ca="1">IFERROR(INDEX(Cartera1017[indicador de Avance],ROW(A78)),"")</f>
        <v>IMPLEMENTADO 🔵</v>
      </c>
      <c r="D80" s="376" t="str" cm="1">
        <f t="array" ref="D80">IFERROR(INDEX(Cartera1017[Gerencia],ROW(A78)),"")</f>
        <v>Recursos Humanos y Cultura</v>
      </c>
      <c r="E80" s="376" t="str" cm="1">
        <f t="array" ref="E80">IFERROR(INDEX(Cartera1017[Subgerencia],ROW(A78)),"")</f>
        <v>Administración de Personal</v>
      </c>
      <c r="F80" s="376" t="str" cm="1">
        <f t="array" ref="F80">IFERROR(INDEX(Cartera1017[Sección],ROW(A78)),"")</f>
        <v>Registro de Personal</v>
      </c>
      <c r="G80" s="376" t="str" cm="1">
        <f t="array" ref="G80">IFERROR(INDEX(Cartera1017[Estado TI],ROW(A78)),"")</f>
        <v>08. Producción Finalizada</v>
      </c>
      <c r="H80" s="463" cm="1">
        <f t="array" ref="H80">IFERROR(
 IF(
   INDEX(Cartera1017[Comienzo Desarrollo],ROW(A78))=0,
   "",
   INDEX(Cartera1017[Comienzo Desarrollo],ROW(A78))
 ),
 ""
)</f>
        <v>45804</v>
      </c>
      <c r="I80" s="463" cm="1">
        <f t="array" ref="I80">IFERROR(
 IF(
   INDEX(Cartera1017[Fin Producción],ROW(A78))=0,
   "",
   INDEX(Cartera1017[Fin Producción],ROW(A78))
 ),
 ""
)</f>
        <v>46108</v>
      </c>
    </row>
    <row r="81" spans="1:9">
      <c r="A81" s="376" t="str" cm="1">
        <f t="array" ref="A81">IFERROR(
 IF(
   INDEX(Cartera1017[ID Mantenimiento],ROW(A79))=0,
   "",
   INDEX(Cartera1017[ID Mantenimiento],ROW(A79))
 ),
 ""
)</f>
        <v>2025-M0207</v>
      </c>
      <c r="B81" s="376" t="str" cm="1">
        <f t="array" ref="B81">IFERROR(INDEX(Cartera1017[Nombre del Requerimiento],ROW(A79)),"")</f>
        <v>Extraer información relacionada a maestra de empleados - Dirección siguiendo el diseño propuesto en el presente documento</v>
      </c>
      <c r="C81" s="376" t="str" cm="1">
        <f t="array" aca="1" ref="C81" ca="1">IFERROR(INDEX(Cartera1017[indicador de Avance],ROW(A79)),"")</f>
        <v>IMPLEMENTADO 🔵</v>
      </c>
      <c r="D81" s="376" t="str" cm="1">
        <f t="array" ref="D81">IFERROR(INDEX(Cartera1017[Gerencia],ROW(A79)),"")</f>
        <v>Recursos Humanos y Cultura</v>
      </c>
      <c r="E81" s="376" t="str" cm="1">
        <f t="array" ref="E81">IFERROR(INDEX(Cartera1017[Subgerencia],ROW(A79)),"")</f>
        <v>Administración de Personal</v>
      </c>
      <c r="F81" s="376" t="str" cm="1">
        <f t="array" ref="F81">IFERROR(INDEX(Cartera1017[Sección],ROW(A79)),"")</f>
        <v>Registro de Personal</v>
      </c>
      <c r="G81" s="376" t="str" cm="1">
        <f t="array" ref="G81">IFERROR(INDEX(Cartera1017[Estado TI],ROW(A79)),"")</f>
        <v>08. Producción Finalizada</v>
      </c>
      <c r="H81" s="463" cm="1">
        <f t="array" ref="H81">IFERROR(
 IF(
   INDEX(Cartera1017[Comienzo Desarrollo],ROW(A79))=0,
   "",
   INDEX(Cartera1017[Comienzo Desarrollo],ROW(A79))
 ),
 ""
)</f>
        <v>45804</v>
      </c>
      <c r="I81" s="463" cm="1">
        <f t="array" ref="I81">IFERROR(
 IF(
   INDEX(Cartera1017[Fin Producción],ROW(A79))=0,
   "",
   INDEX(Cartera1017[Fin Producción],ROW(A79))
 ),
 ""
)</f>
        <v>46108</v>
      </c>
    </row>
    <row r="82" spans="1:9">
      <c r="A82" s="376" t="str" cm="1">
        <f t="array" ref="A82">IFERROR(
 IF(
   INDEX(Cartera1017[ID Mantenimiento],ROW(A80))=0,
   "",
   INDEX(Cartera1017[ID Mantenimiento],ROW(A80))
 ),
 ""
)</f>
        <v>2025-M0186</v>
      </c>
      <c r="B82" s="376" t="str" cm="1">
        <f t="array" ref="B82">IFERROR(INDEX(Cartera1017[Nombre del Requerimiento],ROW(A80)),"")</f>
        <v>Extraer información relacionada a maestra de empleados - Dependientes siguiendo el diseño propuesto en el presente documento</v>
      </c>
      <c r="C82" s="376" t="str" cm="1">
        <f t="array" aca="1" ref="C82" ca="1">IFERROR(INDEX(Cartera1017[indicador de Avance],ROW(A80)),"")</f>
        <v>IMPLEMENTADO 🔵</v>
      </c>
      <c r="D82" s="376" t="str" cm="1">
        <f t="array" ref="D82">IFERROR(INDEX(Cartera1017[Gerencia],ROW(A80)),"")</f>
        <v>Recursos Humanos y Cultura</v>
      </c>
      <c r="E82" s="376" t="str" cm="1">
        <f t="array" ref="E82">IFERROR(INDEX(Cartera1017[Subgerencia],ROW(A80)),"")</f>
        <v>Administración de Personal</v>
      </c>
      <c r="F82" s="376" t="str" cm="1">
        <f t="array" ref="F82">IFERROR(INDEX(Cartera1017[Sección],ROW(A80)),"")</f>
        <v>Registro de Personal</v>
      </c>
      <c r="G82" s="376" t="str" cm="1">
        <f t="array" ref="G82">IFERROR(INDEX(Cartera1017[Estado TI],ROW(A80)),"")</f>
        <v>08. Producción Finalizada</v>
      </c>
      <c r="H82" s="463" cm="1">
        <f t="array" ref="H82">IFERROR(
 IF(
   INDEX(Cartera1017[Comienzo Desarrollo],ROW(A80))=0,
   "",
   INDEX(Cartera1017[Comienzo Desarrollo],ROW(A80))
 ),
 ""
)</f>
        <v>45721</v>
      </c>
      <c r="I82" s="463" cm="1">
        <f t="array" ref="I82">IFERROR(
 IF(
   INDEX(Cartera1017[Fin Producción],ROW(A80))=0,
   "",
   INDEX(Cartera1017[Fin Producción],ROW(A80))
 ),
 ""
)</f>
        <v>46108</v>
      </c>
    </row>
    <row r="83" spans="1:9">
      <c r="A83" s="376" t="str" cm="1">
        <f t="array" ref="A83">IFERROR(
 IF(
   INDEX(Cartera1017[ID Mantenimiento],ROW(A81))=0,
   "",
   INDEX(Cartera1017[ID Mantenimiento],ROW(A81))
 ),
 ""
)</f>
        <v>2025-M0618</v>
      </c>
      <c r="B83" s="376" t="str" cm="1">
        <f t="array" ref="B83">IFERROR(INDEX(Cartera1017[Nombre del Requerimiento],ROW(A81)),"")</f>
        <v>IMPLEMENTACIÓN DEL PRE-CALENDARIO (CRONOGRAMA) DE PAGOS Y EL PRE REGISTRO DE DESEMBOLSO EN EL CRMY</v>
      </c>
      <c r="C83" s="376" t="str" cm="1">
        <f t="array" aca="1" ref="C83" ca="1">IFERROR(INDEX(Cartera1017[indicador de Avance],ROW(A81)),"")</f>
        <v>PARALIZADO ⚪</v>
      </c>
      <c r="D83" s="376" t="str" cm="1">
        <f t="array" ref="D83">IFERROR(INDEX(Cartera1017[Gerencia],ROW(A81)),"")</f>
        <v>Productos e Inclusión Financiera</v>
      </c>
      <c r="E83" s="376" t="str" cm="1">
        <f t="array" ref="E83">IFERROR(INDEX(Cartera1017[Subgerencia],ROW(A81)),"")</f>
        <v>Inclusión Financiera</v>
      </c>
      <c r="F83" s="376" t="str" cm="1">
        <f t="array" ref="F83">IFERROR(INDEX(Cartera1017[Sección],ROW(A81)),"")</f>
        <v>Banca Privada</v>
      </c>
      <c r="G83" s="376" t="str" cm="1">
        <f t="array" ref="G83">IFERROR(INDEX(Cartera1017[Estado TI],ROW(A81)),"")</f>
        <v>10. Paralizado</v>
      </c>
      <c r="H83" s="463" t="str" cm="1">
        <f t="array" ref="H83">IFERROR(
 IF(
   INDEX(Cartera1017[Comienzo Desarrollo],ROW(A81))=0,
   "",
   INDEX(Cartera1017[Comienzo Desarrollo],ROW(A81))
 ),
 ""
)</f>
        <v/>
      </c>
      <c r="I83" s="463" cm="1">
        <f t="array" ref="I83">IFERROR(
 IF(
   INDEX(Cartera1017[Fin Producción],ROW(A81))=0,
   "",
   INDEX(Cartera1017[Fin Producción],ROW(A81))
 ),
 ""
)</f>
        <v>46265</v>
      </c>
    </row>
    <row r="84" spans="1:9">
      <c r="A84" s="376" t="str" cm="1">
        <f t="array" ref="A84">IFERROR(
 IF(
   INDEX(Cartera1017[ID Mantenimiento],ROW(A82))=0,
   "",
   INDEX(Cartera1017[ID Mantenimiento],ROW(A82))
 ),
 ""
)</f>
        <v>2025-M0312</v>
      </c>
      <c r="B84" s="376" t="str" cm="1">
        <f t="array" ref="B84">IFERROR(INDEX(Cartera1017[Nombre del Requerimiento],ROW(A82)),"")</f>
        <v>MEJORAS EN EL CANAL DE PÁGALO Y INCORPORACIÓN DE OSINERGMIN Y CONAFOVICER - Incorporación de nuevas entidades públicas en el canal Págalo.pe - DISEÑO</v>
      </c>
      <c r="C84" s="376" t="str" cm="1">
        <f t="array" aca="1" ref="C84" ca="1">IFERROR(INDEX(Cartera1017[indicador de Avance],ROW(A82)),"")</f>
        <v>Sin Cronograma 🔵</v>
      </c>
      <c r="D84" s="376" t="str" cm="1">
        <f t="array" ref="D84">IFERROR(INDEX(Cartera1017[Gerencia],ROW(A82)),"")</f>
        <v>Banca Digital</v>
      </c>
      <c r="E84" s="376" t="str" cm="1">
        <f t="array" ref="E84">IFERROR(INDEX(Cartera1017[Subgerencia],ROW(A82)),"")</f>
        <v>Canales Alternos</v>
      </c>
      <c r="F84" s="376" t="str" cm="1">
        <f t="array" ref="F84">IFERROR(INDEX(Cartera1017[Sección],ROW(A82)),"")</f>
        <v>Canales Virtuales</v>
      </c>
      <c r="G84" s="376" t="str" cm="1">
        <f t="array" ref="G84">IFERROR(INDEX(Cartera1017[Estado TI],ROW(A82)),"")</f>
        <v>09. Descartado</v>
      </c>
      <c r="H84" s="463" t="str" cm="1">
        <f t="array" ref="H84">IFERROR(
 IF(
   INDEX(Cartera1017[Comienzo Desarrollo],ROW(A82))=0,
   "",
   INDEX(Cartera1017[Comienzo Desarrollo],ROW(A82))
 ),
 ""
)</f>
        <v/>
      </c>
      <c r="I84" s="463" t="str" cm="1">
        <f t="array" ref="I84">IFERROR(
 IF(
   INDEX(Cartera1017[Fin Producción],ROW(A82))=0,
   "",
   INDEX(Cartera1017[Fin Producción],ROW(A82))
 ),
 ""
)</f>
        <v/>
      </c>
    </row>
    <row r="85" spans="1:9">
      <c r="A85" s="376" t="str" cm="1">
        <f t="array" ref="A85">IFERROR(
 IF(
   INDEX(Cartera1017[ID Mantenimiento],ROW(A83))=0,
   "",
   INDEX(Cartera1017[ID Mantenimiento],ROW(A83))
 ),
 ""
)</f>
        <v>2025-M0322</v>
      </c>
      <c r="B85" s="376" t="str" cm="1">
        <f t="array" ref="B85">IFERROR(INDEX(Cartera1017[Nombre del Requerimiento],ROW(A83)),"")</f>
        <v>Apertura de Cuenta de Detracciones en Línea Persona Jurídica</v>
      </c>
      <c r="C85" s="376" t="str" cm="1">
        <f t="array" aca="1" ref="C85" ca="1">IFERROR(INDEX(Cartera1017[indicador de Avance],ROW(A83)),"")</f>
        <v>ATRASADO 🔴</v>
      </c>
      <c r="D85" s="376" t="str" cm="1">
        <f t="array" ref="D85">IFERROR(INDEX(Cartera1017[Gerencia],ROW(A83)),"")</f>
        <v>Operaciones</v>
      </c>
      <c r="E85" s="376" t="str" cm="1">
        <f t="array" ref="E85">IFERROR(INDEX(Cartera1017[Subgerencia],ROW(A83)),"")</f>
        <v>Captaciones y Pagaduría</v>
      </c>
      <c r="F85" s="376" t="str" cm="1">
        <f t="array" ref="F85">IFERROR(INDEX(Cartera1017[Sección],ROW(A83)),"")</f>
        <v>Administración de Cuentas y Pagaduría</v>
      </c>
      <c r="G85" s="376" t="str" cm="1">
        <f t="array" ref="G85">IFERROR(INDEX(Cartera1017[Estado TI],ROW(A83)),"")</f>
        <v>03. En Desarrollo</v>
      </c>
      <c r="H85" s="463" cm="1">
        <f t="array" ref="H85">IFERROR(
 IF(
   INDEX(Cartera1017[Comienzo Desarrollo],ROW(A83))=0,
   "",
   INDEX(Cartera1017[Comienzo Desarrollo],ROW(A83))
 ),
 ""
)</f>
        <v>45769</v>
      </c>
      <c r="I85" s="463" cm="1">
        <f t="array" ref="I85">IFERROR(
 IF(
   INDEX(Cartera1017[Fin Producción],ROW(A83))=0,
   "",
   INDEX(Cartera1017[Fin Producción],ROW(A83))
 ),
 ""
)</f>
        <v>46139</v>
      </c>
    </row>
    <row r="86" spans="1:9">
      <c r="A86" s="376" t="str" cm="1">
        <f t="array" ref="A86">IFERROR(
 IF(
   INDEX(Cartera1017[ID Mantenimiento],ROW(A84))=0,
   "",
   INDEX(Cartera1017[ID Mantenimiento],ROW(A84))
 ),
 ""
)</f>
        <v>2025-M0653</v>
      </c>
      <c r="B86" s="376" t="str" cm="1">
        <f t="array" ref="B86">IFERROR(INDEX(Cartera1017[Nombre del Requerimiento],ROW(A84)),"")</f>
        <v>Proceso para la eliminación automática de firmas Saraweb Branch – MEF
(Batch/Mainframe)</v>
      </c>
      <c r="C86" s="376" t="str" cm="1">
        <f t="array" aca="1" ref="C86" ca="1">IFERROR(INDEX(Cartera1017[indicador de Avance],ROW(A84)),"")</f>
        <v>EN CURSO 🟢</v>
      </c>
      <c r="D86" s="376" t="str" cm="1">
        <f t="array" ref="D86">IFERROR(INDEX(Cartera1017[Gerencia],ROW(A84)),"")</f>
        <v>Operaciones</v>
      </c>
      <c r="E86" s="376" t="str" cm="1">
        <f t="array" ref="E86">IFERROR(INDEX(Cartera1017[Subgerencia],ROW(A84)),"")</f>
        <v>Captaciones y Pagaduría</v>
      </c>
      <c r="F86" s="376" t="str" cm="1">
        <f t="array" ref="F86">IFERROR(INDEX(Cartera1017[Sección],ROW(A84)),"")</f>
        <v>Apertura de Cuentas</v>
      </c>
      <c r="G86" s="376" t="str" cm="1">
        <f t="array" ref="G86">IFERROR(INDEX(Cartera1017[Estado TI],ROW(A84)),"")</f>
        <v>03. En Desarrollo</v>
      </c>
      <c r="H86" s="463" cm="1">
        <f t="array" ref="H86">IFERROR(
 IF(
   INDEX(Cartera1017[Comienzo Desarrollo],ROW(A84))=0,
   "",
   INDEX(Cartera1017[Comienzo Desarrollo],ROW(A84))
 ),
 ""
)</f>
        <v>46083</v>
      </c>
      <c r="I86" s="463" cm="1">
        <f t="array" ref="I86">IFERROR(
 IF(
   INDEX(Cartera1017[Fin Producción],ROW(A84))=0,
   "",
   INDEX(Cartera1017[Fin Producción],ROW(A84))
 ),
 ""
)</f>
        <v>46241</v>
      </c>
    </row>
    <row r="87" spans="1:9">
      <c r="A87" s="376" t="str" cm="1">
        <f t="array" ref="A87">IFERROR(
 IF(
   INDEX(Cartera1017[ID Mantenimiento],ROW(A85))=0,
   "",
   INDEX(Cartera1017[ID Mantenimiento],ROW(A85))
 ),
 ""
)</f>
        <v>2025-M0298</v>
      </c>
      <c r="B87" s="376" t="str" cm="1">
        <f t="array" ref="B87">IFERROR(INDEX(Cartera1017[Nombre del Requerimiento],ROW(A85)),"")</f>
        <v>Desactivación del servicio BIM relacionado a la Cuenta DNI</v>
      </c>
      <c r="C87" s="376" t="str" cm="1">
        <f t="array" aca="1" ref="C87" ca="1">IFERROR(INDEX(Cartera1017[indicador de Avance],ROW(A85)),"")</f>
        <v>IMPLEMENTADO 🔵</v>
      </c>
      <c r="D87" s="376" t="str" cm="1">
        <f t="array" ref="D87">IFERROR(INDEX(Cartera1017[Gerencia],ROW(A85)),"")</f>
        <v>Banca Digital</v>
      </c>
      <c r="E87" s="376" t="str" cm="1">
        <f t="array" ref="E87">IFERROR(INDEX(Cartera1017[Subgerencia],ROW(A85)),"")</f>
        <v>Canales Alternos</v>
      </c>
      <c r="F87" s="376" t="str" cm="1">
        <f t="array" ref="F87">IFERROR(INDEX(Cartera1017[Sección],ROW(A85)),"")</f>
        <v>Canales Virtuales</v>
      </c>
      <c r="G87" s="376" t="str" cm="1">
        <f t="array" ref="G87">IFERROR(INDEX(Cartera1017[Estado TI],ROW(A85)),"")</f>
        <v>08. Producción Finalizada</v>
      </c>
      <c r="H87" s="463" cm="1">
        <f t="array" ref="H87">IFERROR(
 IF(
   INDEX(Cartera1017[Comienzo Desarrollo],ROW(A85))=0,
   "",
   INDEX(Cartera1017[Comienzo Desarrollo],ROW(A85))
 ),
 ""
)</f>
        <v>45757</v>
      </c>
      <c r="I87" s="463" cm="1">
        <f t="array" ref="I87">IFERROR(
 IF(
   INDEX(Cartera1017[Fin Producción],ROW(A85))=0,
   "",
   INDEX(Cartera1017[Fin Producción],ROW(A85))
 ),
 ""
)</f>
        <v>46035</v>
      </c>
    </row>
    <row r="88" spans="1:9">
      <c r="A88" s="376" t="str" cm="1">
        <f t="array" ref="A88">IFERROR(
 IF(
   INDEX(Cartera1017[ID Mantenimiento],ROW(A86))=0,
   "",
   INDEX(Cartera1017[ID Mantenimiento],ROW(A86))
 ),
 ""
)</f>
        <v>2025-M0268</v>
      </c>
      <c r="B88" s="376" t="str" cm="1">
        <f t="array" ref="B88">IFERROR(INDEX(Cartera1017[Nombre del Requerimiento],ROW(A86)),"")</f>
        <v>CORRECCION DE LA DESCRIPCION QUE CONTIENE EL CAMPO CENTRO DE LABORES</v>
      </c>
      <c r="C88" s="376" t="str" cm="1">
        <f t="array" aca="1" ref="C88" ca="1">IFERROR(INDEX(Cartera1017[indicador de Avance],ROW(A86)),"")</f>
        <v>IMPLEMENTADO 🔵</v>
      </c>
      <c r="D88" s="376" t="str" cm="1">
        <f t="array" ref="D88">IFERROR(INDEX(Cartera1017[Gerencia],ROW(A86)),"")</f>
        <v>Operaciones</v>
      </c>
      <c r="E88" s="376" t="str" cm="1">
        <f t="array" ref="E88">IFERROR(INDEX(Cartera1017[Subgerencia],ROW(A86)),"")</f>
        <v>Captaciones y Pagaduría</v>
      </c>
      <c r="F88" s="376" t="str" cm="1">
        <f t="array" ref="F88">IFERROR(INDEX(Cartera1017[Sección],ROW(A86)),"")</f>
        <v>Apertura de Cuentas</v>
      </c>
      <c r="G88" s="376" t="str" cm="1">
        <f t="array" ref="G88">IFERROR(INDEX(Cartera1017[Estado TI],ROW(A86)),"")</f>
        <v>08. Producción Finalizada</v>
      </c>
      <c r="H88" s="463" cm="1">
        <f t="array" ref="H88">IFERROR(
 IF(
   INDEX(Cartera1017[Comienzo Desarrollo],ROW(A86))=0,
   "",
   INDEX(Cartera1017[Comienzo Desarrollo],ROW(A86))
 ),
 ""
)</f>
        <v>45743</v>
      </c>
      <c r="I88" s="463" cm="1">
        <f t="array" ref="I88">IFERROR(
 IF(
   INDEX(Cartera1017[Fin Producción],ROW(A86))=0,
   "",
   INDEX(Cartera1017[Fin Producción],ROW(A86))
 ),
 ""
)</f>
        <v>46108</v>
      </c>
    </row>
    <row r="89" spans="1:9">
      <c r="A89" s="376" t="str" cm="1">
        <f t="array" ref="A89">IFERROR(
 IF(
   INDEX(Cartera1017[ID Mantenimiento],ROW(A87))=0,
   "",
   INDEX(Cartera1017[ID Mantenimiento],ROW(A87))
 ),
 ""
)</f>
        <v>2025-M0255</v>
      </c>
      <c r="B89" s="376" t="str" cm="1">
        <f t="array" ref="B89">IFERROR(INDEX(Cartera1017[Nombre del Requerimiento],ROW(A87)),"")</f>
        <v>Optimización de accesos y procesos de SIGA</v>
      </c>
      <c r="C89" s="376" t="str" cm="1">
        <f t="array" aca="1" ref="C89" ca="1">IFERROR(INDEX(Cartera1017[indicador de Avance],ROW(A87)),"")</f>
        <v>ATRASADO 🔴</v>
      </c>
      <c r="D89" s="376" t="str" cm="1">
        <f t="array" ref="D89">IFERROR(INDEX(Cartera1017[Gerencia],ROW(A87)),"")</f>
        <v>Operaciones</v>
      </c>
      <c r="E89" s="376" t="str" cm="1">
        <f t="array" ref="E89">IFERROR(INDEX(Cartera1017[Subgerencia],ROW(A87)),"")</f>
        <v>Caja y Valores</v>
      </c>
      <c r="F89" s="376" t="str" cm="1">
        <f t="array" ref="F89">IFERROR(INDEX(Cartera1017[Sección],ROW(A87)),"")</f>
        <v>Caja y Valores en Custodia</v>
      </c>
      <c r="G89" s="376" t="str" cm="1">
        <f t="array" ref="G89">IFERROR(INDEX(Cartera1017[Estado TI],ROW(A87)),"")</f>
        <v>07. En Despliegue</v>
      </c>
      <c r="H89" s="463" cm="1">
        <f t="array" ref="H89">IFERROR(
 IF(
   INDEX(Cartera1017[Comienzo Desarrollo],ROW(A87))=0,
   "",
   INDEX(Cartera1017[Comienzo Desarrollo],ROW(A87))
 ),
 ""
)</f>
        <v>46083</v>
      </c>
      <c r="I89" s="463" cm="1">
        <f t="array" ref="I89">IFERROR(
 IF(
   INDEX(Cartera1017[Fin Producción],ROW(A87))=0,
   "",
   INDEX(Cartera1017[Fin Producción],ROW(A87))
 ),
 ""
)</f>
        <v>46125</v>
      </c>
    </row>
    <row r="90" spans="1:9">
      <c r="A90" s="376" t="str" cm="1">
        <f t="array" ref="A90">IFERROR(
 IF(
   INDEX(Cartera1017[ID Mantenimiento],ROW(A88))=0,
   "",
   INDEX(Cartera1017[ID Mantenimiento],ROW(A88))
 ),
 ""
)</f>
        <v>2025-M0293</v>
      </c>
      <c r="B90" s="376" t="str" cm="1">
        <f t="array" ref="B90">IFERROR(INDEX(Cartera1017[Nombre del Requerimiento],ROW(A88)),"")</f>
        <v>MC: BN y  SEDAPAL, adecuar los digitos de referencia de 7 Digitos, para facilitar los datos en el archivo conciliatorio y continuar con la cobranza</v>
      </c>
      <c r="C90" s="376" t="str" cm="1">
        <f t="array" aca="1" ref="C90" ca="1">IFERROR(INDEX(Cartera1017[indicador de Avance],ROW(A88)),"")</f>
        <v>IMPLEMENTADO 🔵</v>
      </c>
      <c r="D90" s="376" t="str" cm="1">
        <f t="array" ref="D90">IFERROR(INDEX(Cartera1017[Gerencia],ROW(A88)),"")</f>
        <v>Operaciones</v>
      </c>
      <c r="E90" s="376" t="str" cm="1">
        <f t="array" ref="E90">IFERROR(INDEX(Cartera1017[Subgerencia],ROW(A88)),"")</f>
        <v>Servicios Bancarios y Recaudación</v>
      </c>
      <c r="F90" s="376" t="str" cm="1">
        <f t="array" ref="F90">IFERROR(INDEX(Cartera1017[Sección],ROW(A88)),"")</f>
        <v>Recaudación y Corresponsalía</v>
      </c>
      <c r="G90" s="376" t="str" cm="1">
        <f t="array" ref="G90">IFERROR(INDEX(Cartera1017[Estado TI],ROW(A88)),"")</f>
        <v>08. Producción Finalizada</v>
      </c>
      <c r="H90" s="463" cm="1">
        <f t="array" ref="H90">IFERROR(
 IF(
   INDEX(Cartera1017[Comienzo Desarrollo],ROW(A88))=0,
   "",
   INDEX(Cartera1017[Comienzo Desarrollo],ROW(A88))
 ),
 ""
)</f>
        <v>45756</v>
      </c>
      <c r="I90" s="463" cm="1">
        <f t="array" ref="I90">IFERROR(
 IF(
   INDEX(Cartera1017[Fin Producción],ROW(A88))=0,
   "",
   INDEX(Cartera1017[Fin Producción],ROW(A88))
 ),
 ""
)</f>
        <v>46035</v>
      </c>
    </row>
    <row r="91" spans="1:9">
      <c r="A91" s="376" t="str" cm="1">
        <f t="array" ref="A91">IFERROR(
 IF(
   INDEX(Cartera1017[ID Mantenimiento],ROW(A89))=0,
   "",
   INDEX(Cartera1017[ID Mantenimiento],ROW(A89))
 ),
 ""
)</f>
        <v>2025-M0301</v>
      </c>
      <c r="B91" s="376" t="str" cm="1">
        <f t="array" ref="B91">IFERROR(INDEX(Cartera1017[Nombre del Requerimiento],ROW(A89)),"")</f>
        <v>ME: ATENCION DE FUNCIONALIDADES QUE FUERON RE - PRIORIZADOS COBN LA FINALIDAD DE CULMINAR EL PRODUCTO MINIMO VIABLE (MVP) DE LA APLICACION SAHE HORAS EXTRAS</v>
      </c>
      <c r="C91" s="376" t="str" cm="1">
        <f t="array" aca="1" ref="C91" ca="1">IFERROR(INDEX(Cartera1017[indicador de Avance],ROW(A89)),"")</f>
        <v>ATRASADO 🔴</v>
      </c>
      <c r="D91" s="376" t="str" cm="1">
        <f t="array" ref="D91">IFERROR(INDEX(Cartera1017[Gerencia],ROW(A89)),"")</f>
        <v>Recursos Humanos y Cultura</v>
      </c>
      <c r="E91" s="376" t="str" cm="1">
        <f t="array" ref="E91">IFERROR(INDEX(Cartera1017[Subgerencia],ROW(A89)),"")</f>
        <v>Compensaciones</v>
      </c>
      <c r="F91" s="376" t="str" cm="1">
        <f t="array" ref="F91">IFERROR(INDEX(Cartera1017[Sección],ROW(A89)),"")</f>
        <v>Aplicación y Control de Planillas</v>
      </c>
      <c r="G91" s="376" t="str" cm="1">
        <f t="array" ref="G91">IFERROR(INDEX(Cartera1017[Estado TI],ROW(A89)),"")</f>
        <v>03. En Desarrollo</v>
      </c>
      <c r="H91" s="463" cm="1">
        <f t="array" ref="H91">IFERROR(
 IF(
   INDEX(Cartera1017[Comienzo Desarrollo],ROW(A89))=0,
   "",
   INDEX(Cartera1017[Comienzo Desarrollo],ROW(A89))
 ),
 ""
)</f>
        <v>46078</v>
      </c>
      <c r="I91" s="463" cm="1">
        <f t="array" ref="I91">IFERROR(
 IF(
   INDEX(Cartera1017[Fin Producción],ROW(A89))=0,
   "",
   INDEX(Cartera1017[Fin Producción],ROW(A89))
 ),
 ""
)</f>
        <v>46185</v>
      </c>
    </row>
    <row r="92" spans="1:9">
      <c r="A92" s="376" t="str" cm="1">
        <f t="array" ref="A92">IFERROR(
 IF(
   INDEX(Cartera1017[ID Mantenimiento],ROW(A90))=0,
   "",
   INDEX(Cartera1017[ID Mantenimiento],ROW(A90))
 ),
 ""
)</f>
        <v>2025-M0282</v>
      </c>
      <c r="B92" s="376" t="str" cm="1">
        <f t="array" ref="B92">IFERROR(INDEX(Cartera1017[Nombre del Requerimiento],ROW(A90)),"")</f>
        <v>REPORTE DIARIO EN OPERACIONES EN CUENTAS CORRIENTES</v>
      </c>
      <c r="C92" s="376" t="str" cm="1">
        <f t="array" aca="1" ref="C92" ca="1">IFERROR(INDEX(Cartera1017[indicador de Avance],ROW(A90)),"")</f>
        <v>ATRASADO 🔴</v>
      </c>
      <c r="D92" s="376" t="str" cm="1">
        <f t="array" ref="D92">IFERROR(INDEX(Cartera1017[Gerencia],ROW(A90)),"")</f>
        <v>Operaciones</v>
      </c>
      <c r="E92" s="376" t="str" cm="1">
        <f t="array" ref="E92">IFERROR(INDEX(Cartera1017[Subgerencia],ROW(A90)),"")</f>
        <v>Captaciones y Pagaduría</v>
      </c>
      <c r="F92" s="376" t="str" cm="1">
        <f t="array" ref="F92">IFERROR(INDEX(Cartera1017[Sección],ROW(A90)),"")</f>
        <v>Apertura de Cuentas</v>
      </c>
      <c r="G92" s="376" t="str" cm="1">
        <f t="array" ref="G92">IFERROR(INDEX(Cartera1017[Estado TI],ROW(A90)),"")</f>
        <v>03. En Desarrollo</v>
      </c>
      <c r="H92" s="463" cm="1">
        <f t="array" ref="H92">IFERROR(
 IF(
   INDEX(Cartera1017[Comienzo Desarrollo],ROW(A90))=0,
   "",
   INDEX(Cartera1017[Comienzo Desarrollo],ROW(A90))
 ),
 ""
)</f>
        <v>46083</v>
      </c>
      <c r="I92" s="463" cm="1">
        <f t="array" ref="I92">IFERROR(
 IF(
   INDEX(Cartera1017[Fin Producción],ROW(A90))=0,
   "",
   INDEX(Cartera1017[Fin Producción],ROW(A90))
 ),
 ""
)</f>
        <v>46129</v>
      </c>
    </row>
    <row r="93" spans="1:9">
      <c r="A93" s="376" t="str" cm="1">
        <f t="array" ref="A93">IFERROR(
 IF(
   INDEX(Cartera1017[ID Mantenimiento],ROW(A91))=0,
   "",
   INDEX(Cartera1017[ID Mantenimiento],ROW(A91))
 ),
 ""
)</f>
        <v>2025-M0299</v>
      </c>
      <c r="B93" s="376" t="str" cm="1">
        <f t="array" ref="B93">IFERROR(INDEX(Cartera1017[Nombre del Requerimiento],ROW(A91)),"")</f>
        <v>ACTUALIZAR LAS CARPETAS DE ENTRADA DIFERIDAS.</v>
      </c>
      <c r="C93" s="376" t="str" cm="1">
        <f t="array" aca="1" ref="C93" ca="1">IFERROR(INDEX(Cartera1017[indicador de Avance],ROW(A91)),"")</f>
        <v>ATRASADO 🔴</v>
      </c>
      <c r="D93" s="376" t="str" cm="1">
        <f t="array" ref="D93">IFERROR(INDEX(Cartera1017[Gerencia],ROW(A91)),"")</f>
        <v>Tecnologías de Información</v>
      </c>
      <c r="E93" s="376" t="str" cm="1">
        <f t="array" ref="E93">IFERROR(INDEX(Cartera1017[Subgerencia],ROW(A91)),"")</f>
        <v>Construcción de Aplicaciones</v>
      </c>
      <c r="F93" s="376" t="str" cm="1">
        <f t="array" ref="F93">IFERROR(INDEX(Cartera1017[Sección],ROW(A91)),"")</f>
        <v>Sistemas Bancarios</v>
      </c>
      <c r="G93" s="376" t="str" cm="1">
        <f t="array" ref="G93">IFERROR(INDEX(Cartera1017[Estado TI],ROW(A91)),"")</f>
        <v>07. En Despliegue</v>
      </c>
      <c r="H93" s="463" cm="1">
        <f t="array" ref="H93">IFERROR(
 IF(
   INDEX(Cartera1017[Comienzo Desarrollo],ROW(A91))=0,
   "",
   INDEX(Cartera1017[Comienzo Desarrollo],ROW(A91))
 ),
 ""
)</f>
        <v>45757</v>
      </c>
      <c r="I93" s="463" cm="1">
        <f t="array" ref="I93">IFERROR(
 IF(
   INDEX(Cartera1017[Fin Producción],ROW(A91))=0,
   "",
   INDEX(Cartera1017[Fin Producción],ROW(A91))
 ),
 ""
)</f>
        <v>46108</v>
      </c>
    </row>
    <row r="94" spans="1:9">
      <c r="A94" s="376" t="str" cm="1">
        <f t="array" ref="A94">IFERROR(
 IF(
   INDEX(Cartera1017[ID Mantenimiento],ROW(A92))=0,
   "",
   INDEX(Cartera1017[ID Mantenimiento],ROW(A92))
 ),
 ""
)</f>
        <v>2025-M0328</v>
      </c>
      <c r="B94" s="376" t="str" cm="1">
        <f t="array" ref="B94">IFERROR(INDEX(Cartera1017[Nombre del Requerimiento],ROW(A92)),"")</f>
        <v>ME: MIGRACION Y MEJORA DEL APLICATIVO WEB POAD ADMINISTRACION PORTAL DEL EMPLEADO - FASE II</v>
      </c>
      <c r="C94" s="376" t="str" cm="1">
        <f t="array" aca="1" ref="C94" ca="1">IFERROR(INDEX(Cartera1017[indicador de Avance],ROW(A92)),"")</f>
        <v>EN CURSO 🟢</v>
      </c>
      <c r="D94" s="376" t="str" cm="1">
        <f t="array" ref="D94">IFERROR(INDEX(Cartera1017[Gerencia],ROW(A92)),"")</f>
        <v>Recursos Humanos y Cultura</v>
      </c>
      <c r="E94" s="376" t="str" cm="1">
        <f t="array" ref="E94">IFERROR(INDEX(Cartera1017[Subgerencia],ROW(A92)),"")</f>
        <v>Desarrollo del Talento</v>
      </c>
      <c r="F94" s="376" t="str" cm="1">
        <f t="array" ref="F94">IFERROR(INDEX(Cartera1017[Sección],ROW(A92)),"")</f>
        <v>Cultura Organizacional</v>
      </c>
      <c r="G94" s="376" t="str" cm="1">
        <f t="array" ref="G94">IFERROR(INDEX(Cartera1017[Estado TI],ROW(A92)),"")</f>
        <v>03. En Desarrollo</v>
      </c>
      <c r="H94" s="463" cm="1">
        <f t="array" ref="H94">IFERROR(
 IF(
   INDEX(Cartera1017[Comienzo Desarrollo],ROW(A92))=0,
   "",
   INDEX(Cartera1017[Comienzo Desarrollo],ROW(A92))
 ),
 ""
)</f>
        <v>46160</v>
      </c>
      <c r="I94" s="463" cm="1">
        <f t="array" ref="I94">IFERROR(
 IF(
   INDEX(Cartera1017[Fin Producción],ROW(A92))=0,
   "",
   INDEX(Cartera1017[Fin Producción],ROW(A92))
 ),
 ""
)</f>
        <v>46272</v>
      </c>
    </row>
    <row r="95" spans="1:9">
      <c r="A95" s="376" t="str" cm="1">
        <f t="array" ref="A95">IFERROR(
 IF(
   INDEX(Cartera1017[ID Mantenimiento],ROW(A93))=0,
   "",
   INDEX(Cartera1017[ID Mantenimiento],ROW(A93))
 ),
 ""
)</f>
        <v>2025-M0266</v>
      </c>
      <c r="B95" s="376" t="str" cm="1">
        <f t="array" ref="B95">IFERROR(INDEX(Cartera1017[Nombre del Requerimiento],ROW(A93)),"")</f>
        <v>MC: Migración del servicio de transmisión en linea de Host a ambiente distribuido - PAGALO.PE</v>
      </c>
      <c r="C95" s="376" t="str" cm="1">
        <f t="array" aca="1" ref="C95" ca="1">IFERROR(INDEX(Cartera1017[indicador de Avance],ROW(A93)),"")</f>
        <v>ATRASADO 🔴</v>
      </c>
      <c r="D95" s="376" t="str" cm="1">
        <f t="array" ref="D95">IFERROR(INDEX(Cartera1017[Gerencia],ROW(A93)),"")</f>
        <v>Tecnologías de Información</v>
      </c>
      <c r="E95" s="376" t="str" cm="1">
        <f t="array" ref="E95">IFERROR(INDEX(Cartera1017[Subgerencia],ROW(A93)),"")</f>
        <v>Construcción de Aplicaciones</v>
      </c>
      <c r="F95" s="376" t="str" cm="1">
        <f t="array" ref="F95">IFERROR(INDEX(Cartera1017[Sección],ROW(A93)),"")</f>
        <v>Sistemas Bancarios</v>
      </c>
      <c r="G95" s="376" t="str" cm="1">
        <f t="array" ref="G95">IFERROR(INDEX(Cartera1017[Estado TI],ROW(A93)),"")</f>
        <v>05. En Calidad</v>
      </c>
      <c r="H95" s="463" cm="1">
        <f t="array" ref="H95">IFERROR(
 IF(
   INDEX(Cartera1017[Comienzo Desarrollo],ROW(A93))=0,
   "",
   INDEX(Cartera1017[Comienzo Desarrollo],ROW(A93))
 ),
 ""
)</f>
        <v>46030</v>
      </c>
      <c r="I95" s="463" cm="1">
        <f t="array" ref="I95">IFERROR(
 IF(
   INDEX(Cartera1017[Fin Producción],ROW(A93))=0,
   "",
   INDEX(Cartera1017[Fin Producción],ROW(A93))
 ),
 ""
)</f>
        <v>46139</v>
      </c>
    </row>
    <row r="96" spans="1:9">
      <c r="A96" s="376" t="str" cm="1">
        <f t="array" ref="A96">IFERROR(
 IF(
   INDEX(Cartera1017[ID Mantenimiento],ROW(A94))=0,
   "",
   INDEX(Cartera1017[ID Mantenimiento],ROW(A94))
 ),
 ""
)</f>
        <v>2025-M0364</v>
      </c>
      <c r="B96" s="376" t="str" cm="1">
        <f t="array" ref="B96">IFERROR(INDEX(Cartera1017[Nombre del Requerimiento],ROW(A94)),"")</f>
        <v>Transferencias Interbancarias Inmediatas  entrantes ME   -  Movil Android</v>
      </c>
      <c r="C96" s="376" t="str" cm="1">
        <f t="array" aca="1" ref="C96" ca="1">IFERROR(INDEX(Cartera1017[indicador de Avance],ROW(A94)),"")</f>
        <v>PARALIZADO ⚪</v>
      </c>
      <c r="D96" s="376" t="str" cm="1">
        <f t="array" ref="D96">IFERROR(INDEX(Cartera1017[Gerencia],ROW(A94)),"")</f>
        <v>Operaciones</v>
      </c>
      <c r="E96" s="376" t="str" cm="1">
        <f t="array" ref="E96">IFERROR(INDEX(Cartera1017[Subgerencia],ROW(A94)),"")</f>
        <v>Captaciones y Pagaduría</v>
      </c>
      <c r="F96" s="376" t="str" cm="1">
        <f t="array" ref="F96">IFERROR(INDEX(Cartera1017[Sección],ROW(A94)),"")</f>
        <v>Sistema de Pagos</v>
      </c>
      <c r="G96" s="376" t="str" cm="1">
        <f t="array" ref="G96">IFERROR(INDEX(Cartera1017[Estado TI],ROW(A94)),"")</f>
        <v>10. Paralizado</v>
      </c>
      <c r="H96" s="463" t="str" cm="1">
        <f t="array" ref="H96">IFERROR(
 IF(
   INDEX(Cartera1017[Comienzo Desarrollo],ROW(A94))=0,
   "",
   INDEX(Cartera1017[Comienzo Desarrollo],ROW(A94))
 ),
 ""
)</f>
        <v/>
      </c>
      <c r="I96" s="463" t="str" cm="1">
        <f t="array" ref="I96">IFERROR(
 IF(
   INDEX(Cartera1017[Fin Producción],ROW(A94))=0,
   "",
   INDEX(Cartera1017[Fin Producción],ROW(A94))
 ),
 ""
)</f>
        <v/>
      </c>
    </row>
    <row r="97" spans="1:9">
      <c r="A97" s="376" t="str" cm="1">
        <f t="array" ref="A97">IFERROR(
 IF(
   INDEX(Cartera1017[ID Mantenimiento],ROW(A95))=0,
   "",
   INDEX(Cartera1017[ID Mantenimiento],ROW(A95))
 ),
 ""
)</f>
        <v>2025-M0363</v>
      </c>
      <c r="B97" s="376" t="str" cm="1">
        <f t="array" ref="B97">IFERROR(INDEX(Cartera1017[Nombre del Requerimiento],ROW(A95)),"")</f>
        <v>Transferencias Interbancarias Inmediatas  entrantes ME   -  Movil IOS</v>
      </c>
      <c r="C97" s="376" t="str" cm="1">
        <f t="array" aca="1" ref="C97" ca="1">IFERROR(INDEX(Cartera1017[indicador de Avance],ROW(A95)),"")</f>
        <v>PARALIZADO ⚪</v>
      </c>
      <c r="D97" s="376" t="str" cm="1">
        <f t="array" ref="D97">IFERROR(INDEX(Cartera1017[Gerencia],ROW(A95)),"")</f>
        <v>Operaciones</v>
      </c>
      <c r="E97" s="376" t="str" cm="1">
        <f t="array" ref="E97">IFERROR(INDEX(Cartera1017[Subgerencia],ROW(A95)),"")</f>
        <v>Captaciones y Pagaduría</v>
      </c>
      <c r="F97" s="376" t="str" cm="1">
        <f t="array" ref="F97">IFERROR(INDEX(Cartera1017[Sección],ROW(A95)),"")</f>
        <v>Sistema de Pagos</v>
      </c>
      <c r="G97" s="376" t="str" cm="1">
        <f t="array" ref="G97">IFERROR(INDEX(Cartera1017[Estado TI],ROW(A95)),"")</f>
        <v>10. Paralizado</v>
      </c>
      <c r="H97" s="463" t="str" cm="1">
        <f t="array" ref="H97">IFERROR(
 IF(
   INDEX(Cartera1017[Comienzo Desarrollo],ROW(A95))=0,
   "",
   INDEX(Cartera1017[Comienzo Desarrollo],ROW(A95))
 ),
 ""
)</f>
        <v/>
      </c>
      <c r="I97" s="463" t="str" cm="1">
        <f t="array" ref="I97">IFERROR(
 IF(
   INDEX(Cartera1017[Fin Producción],ROW(A95))=0,
   "",
   INDEX(Cartera1017[Fin Producción],ROW(A95))
 ),
 ""
)</f>
        <v/>
      </c>
    </row>
    <row r="98" spans="1:9">
      <c r="A98" s="376" t="str" cm="1">
        <f t="array" ref="A98">IFERROR(
 IF(
   INDEX(Cartera1017[ID Mantenimiento],ROW(A96))=0,
   "",
   INDEX(Cartera1017[ID Mantenimiento],ROW(A96))
 ),
 ""
)</f>
        <v>2025-M0379</v>
      </c>
      <c r="B98" s="376" t="str" cm="1">
        <f t="array" ref="B98">IFERROR(INDEX(Cartera1017[Nombre del Requerimiento],ROW(A96)),"")</f>
        <v>Inscripción de Nuevos Centros de Captura Saraweb Sing</v>
      </c>
      <c r="C98" s="376" t="str" cm="1">
        <f t="array" aca="1" ref="C98" ca="1">IFERROR(INDEX(Cartera1017[indicador de Avance],ROW(A96)),"")</f>
        <v>ATRASADO 🔴</v>
      </c>
      <c r="D98" s="376" t="str" cm="1">
        <f t="array" ref="D98">IFERROR(INDEX(Cartera1017[Gerencia],ROW(A96)),"")</f>
        <v>Operaciones</v>
      </c>
      <c r="E98" s="376" t="str" cm="1">
        <f t="array" ref="E98">IFERROR(INDEX(Cartera1017[Subgerencia],ROW(A96)),"")</f>
        <v>Captaciones y Pagaduría</v>
      </c>
      <c r="F98" s="376" t="str" cm="1">
        <f t="array" ref="F98">IFERROR(INDEX(Cartera1017[Sección],ROW(A96)),"")</f>
        <v>Apertura de Cuentas</v>
      </c>
      <c r="G98" s="376" t="str" cm="1">
        <f t="array" ref="G98">IFERROR(INDEX(Cartera1017[Estado TI],ROW(A96)),"")</f>
        <v>07. En Despliegue</v>
      </c>
      <c r="H98" s="463" cm="1">
        <f t="array" ref="H98">IFERROR(
 IF(
   INDEX(Cartera1017[Comienzo Desarrollo],ROW(A96))=0,
   "",
   INDEX(Cartera1017[Comienzo Desarrollo],ROW(A96))
 ),
 ""
)</f>
        <v>45796</v>
      </c>
      <c r="I98" s="463" cm="1">
        <f t="array" ref="I98">IFERROR(
 IF(
   INDEX(Cartera1017[Fin Producción],ROW(A96))=0,
   "",
   INDEX(Cartera1017[Fin Producción],ROW(A96))
 ),
 ""
)</f>
        <v>46108</v>
      </c>
    </row>
    <row r="99" spans="1:9">
      <c r="A99" s="376" t="str" cm="1">
        <f t="array" ref="A99">IFERROR(
 IF(
   INDEX(Cartera1017[ID Mantenimiento],ROW(A97))=0,
   "",
   INDEX(Cartera1017[ID Mantenimiento],ROW(A97))
 ),
 ""
)</f>
        <v>2025-M0465</v>
      </c>
      <c r="B99" s="376" t="str" cm="1">
        <f t="array" ref="B99">IFERROR(INDEX(Cartera1017[Nombre del Requerimiento],ROW(A97)),"")</f>
        <v>Adicionar los nombres completos y el DNI del depositante en el reporte SICT4178 cuando son abonos en Cta Cte por el agente Globokas 0990</v>
      </c>
      <c r="C99" s="376" t="str" cm="1">
        <f t="array" aca="1" ref="C99" ca="1">IFERROR(INDEX(Cartera1017[indicador de Avance],ROW(A97)),"")</f>
        <v>ATRASADO 🔴</v>
      </c>
      <c r="D99" s="376" t="str" cm="1">
        <f t="array" ref="D99">IFERROR(INDEX(Cartera1017[Gerencia],ROW(A97)),"")</f>
        <v>Operaciones</v>
      </c>
      <c r="E99" s="376" t="str" cm="1">
        <f t="array" ref="E99">IFERROR(INDEX(Cartera1017[Subgerencia],ROW(A97)),"")</f>
        <v>Captaciones y Pagaduría</v>
      </c>
      <c r="F99" s="376" t="str" cm="1">
        <f t="array" ref="F99">IFERROR(INDEX(Cartera1017[Sección],ROW(A97)),"")</f>
        <v>Administración de Cuentas y Pagaduría</v>
      </c>
      <c r="G99" s="376" t="str" cm="1">
        <f t="array" ref="G99">IFERROR(INDEX(Cartera1017[Estado TI],ROW(A97)),"")</f>
        <v>04. Desarrollo Finalizado</v>
      </c>
      <c r="H99" s="463" cm="1">
        <f t="array" ref="H99">IFERROR(
 IF(
   INDEX(Cartera1017[Comienzo Desarrollo],ROW(A97))=0,
   "",
   INDEX(Cartera1017[Comienzo Desarrollo],ROW(A97))
 ),
 ""
)</f>
        <v>46083</v>
      </c>
      <c r="I99" s="463" cm="1">
        <f t="array" ref="I99">IFERROR(
 IF(
   INDEX(Cartera1017[Fin Producción],ROW(A97))=0,
   "",
   INDEX(Cartera1017[Fin Producción],ROW(A97))
 ),
 ""
)</f>
        <v>46152</v>
      </c>
    </row>
    <row r="100" spans="1:9">
      <c r="A100" s="376" t="str" cm="1">
        <f t="array" ref="A100">IFERROR(
 IF(
   INDEX(Cartera1017[ID Mantenimiento],ROW(A98))=0,
   "",
   INDEX(Cartera1017[ID Mantenimiento],ROW(A98))
 ),
 ""
)</f>
        <v>2025-M0659</v>
      </c>
      <c r="B100" s="376" t="str" cm="1">
        <f t="array" ref="B100">IFERROR(INDEX(Cartera1017[Nombre del Requerimiento],ROW(A98)),"")</f>
        <v>INCORPORACIÓN FUNCIONALIDADES APLICACIÓN EMULACIÓN CTAS. MONETARIAS</v>
      </c>
      <c r="C100" s="376" t="str" cm="1">
        <f t="array" aca="1" ref="C100" ca="1">IFERROR(INDEX(Cartera1017[indicador de Avance],ROW(A98)),"")</f>
        <v>IMPLEMENTADO 🔵</v>
      </c>
      <c r="D100" s="376" t="str" cm="1">
        <f t="array" ref="D100">IFERROR(INDEX(Cartera1017[Gerencia],ROW(A98)),"")</f>
        <v>Finanzas y Tesorería</v>
      </c>
      <c r="E100" s="376" t="str" cm="1">
        <f t="array" ref="E100">IFERROR(INDEX(Cartera1017[Subgerencia],ROW(A98)),"")</f>
        <v>Estudios Económicos y Financieros</v>
      </c>
      <c r="F100" s="376" t="str" cm="1">
        <f t="array" ref="F100">IFERROR(INDEX(Cartera1017[Sección],ROW(A98)),"")</f>
        <v>Estadísticas y Estudios Económicos</v>
      </c>
      <c r="G100" s="376" t="str" cm="1">
        <f t="array" ref="G100">IFERROR(INDEX(Cartera1017[Estado TI],ROW(A98)),"")</f>
        <v>08. Producción Finalizada</v>
      </c>
      <c r="H100" s="463" cm="1">
        <f t="array" ref="H100">IFERROR(
 IF(
   INDEX(Cartera1017[Comienzo Desarrollo],ROW(A98))=0,
   "",
   INDEX(Cartera1017[Comienzo Desarrollo],ROW(A98))
 ),
 ""
)</f>
        <v>45932</v>
      </c>
      <c r="I100" s="463" cm="1">
        <f t="array" ref="I100">IFERROR(
 IF(
   INDEX(Cartera1017[Fin Producción],ROW(A98))=0,
   "",
   INDEX(Cartera1017[Fin Producción],ROW(A98))
 ),
 ""
)</f>
        <v>46058</v>
      </c>
    </row>
    <row r="101" spans="1:9">
      <c r="A101" s="376" t="str" cm="1">
        <f t="array" ref="A101">IFERROR(
 IF(
   INDEX(Cartera1017[ID Mantenimiento],ROW(A99))=0,
   "",
   INDEX(Cartera1017[ID Mantenimiento],ROW(A99))
 ),
 ""
)</f>
        <v>2025-M0425</v>
      </c>
      <c r="B101" s="376" t="str" cm="1">
        <f t="array" ref="B101">IFERROR(INDEX(Cartera1017[Nombre del Requerimiento],ROW(A99)),"")</f>
        <v>Habilitar en la transacción 1410 las Transferencias Interbancarias diferidas vía CCE con cargo a cuentas de ahorro PJ</v>
      </c>
      <c r="C101" s="376" t="str" cm="1">
        <f t="array" aca="1" ref="C101" ca="1">IFERROR(INDEX(Cartera1017[indicador de Avance],ROW(A99)),"")</f>
        <v>ATRASADO 🔴</v>
      </c>
      <c r="D101" s="376" t="str" cm="1">
        <f t="array" ref="D101">IFERROR(INDEX(Cartera1017[Gerencia],ROW(A99)),"")</f>
        <v>Operaciones</v>
      </c>
      <c r="E101" s="376" t="str" cm="1">
        <f t="array" ref="E101">IFERROR(INDEX(Cartera1017[Subgerencia],ROW(A99)),"")</f>
        <v>Captaciones y Pagaduría</v>
      </c>
      <c r="F101" s="376" t="str" cm="1">
        <f t="array" ref="F101">IFERROR(INDEX(Cartera1017[Sección],ROW(A99)),"")</f>
        <v>Sistema de Pagos</v>
      </c>
      <c r="G101" s="376" t="str" cm="1">
        <f t="array" ref="G101">IFERROR(INDEX(Cartera1017[Estado TI],ROW(A99)),"")</f>
        <v>03. En Desarrollo</v>
      </c>
      <c r="H101" s="463" cm="1">
        <f t="array" ref="H101">IFERROR(
 IF(
   INDEX(Cartera1017[Comienzo Desarrollo],ROW(A99))=0,
   "",
   INDEX(Cartera1017[Comienzo Desarrollo],ROW(A99))
 ),
 ""
)</f>
        <v>46083</v>
      </c>
      <c r="I101" s="463" cm="1">
        <f t="array" ref="I101">IFERROR(
 IF(
   INDEX(Cartera1017[Fin Producción],ROW(A99))=0,
   "",
   INDEX(Cartera1017[Fin Producción],ROW(A99))
 ),
 ""
)</f>
        <v>46150</v>
      </c>
    </row>
    <row r="102" spans="1:9">
      <c r="A102" s="376" t="str" cm="1">
        <f t="array" ref="A102">IFERROR(
 IF(
   INDEX(Cartera1017[ID Mantenimiento],ROW(A100))=0,
   "",
   INDEX(Cartera1017[ID Mantenimiento],ROW(A100))
 ),
 ""
)</f>
        <v>2025-M0422</v>
      </c>
      <c r="B102" s="376" t="str" cm="1">
        <f t="array" ref="B102">IFERROR(INDEX(Cartera1017[Nombre del Requerimiento],ROW(A100)),"")</f>
        <v>Clientes no aceptados por actividad económica en BDUC.</v>
      </c>
      <c r="C102" s="376" t="str" cm="1">
        <f t="array" aca="1" ref="C102" ca="1">IFERROR(INDEX(Cartera1017[indicador de Avance],ROW(A100)),"")</f>
        <v>ATRASADO 🔴</v>
      </c>
      <c r="D102" s="376" t="str" cm="1">
        <f t="array" ref="D102">IFERROR(INDEX(Cartera1017[Gerencia],ROW(A100)),"")</f>
        <v>Oficialía de PLAFT</v>
      </c>
      <c r="E102" s="376" t="str" cm="1">
        <f t="array" ref="E102">IFERROR(INDEX(Cartera1017[Subgerencia],ROW(A100)),"")</f>
        <v>Prevención</v>
      </c>
      <c r="F102" s="376" t="str" cm="1">
        <f t="array" ref="F102">IFERROR(INDEX(Cartera1017[Sección],ROW(A100)),"")</f>
        <v>Prevención</v>
      </c>
      <c r="G102" s="376" t="str" cm="1">
        <f t="array" ref="G102">IFERROR(INDEX(Cartera1017[Estado TI],ROW(A100)),"")</f>
        <v>07. En Despliegue</v>
      </c>
      <c r="H102" s="463" cm="1">
        <f t="array" ref="H102">IFERROR(
 IF(
   INDEX(Cartera1017[Comienzo Desarrollo],ROW(A100))=0,
   "",
   INDEX(Cartera1017[Comienzo Desarrollo],ROW(A100))
 ),
 ""
)</f>
        <v>45806</v>
      </c>
      <c r="I102" s="463" cm="1">
        <f t="array" ref="I102">IFERROR(
 IF(
   INDEX(Cartera1017[Fin Producción],ROW(A100))=0,
   "",
   INDEX(Cartera1017[Fin Producción],ROW(A100))
 ),
 ""
)</f>
        <v>46108</v>
      </c>
    </row>
    <row r="103" spans="1:9">
      <c r="A103" s="376" t="str" cm="1">
        <f t="array" ref="A103">IFERROR(
 IF(
   INDEX(Cartera1017[ID Mantenimiento],ROW(A101))=0,
   "",
   INDEX(Cartera1017[ID Mantenimiento],ROW(A101))
 ),
 ""
)</f>
        <v>2025-M0431</v>
      </c>
      <c r="B103" s="376" t="str" cm="1">
        <f t="array" ref="B103">IFERROR(INDEX(Cartera1017[Nombre del Requerimiento],ROW(A101)),"")</f>
        <v>INCLUSIÓN DE TASAS DE DNI ELECTRÓNICO DE RENIEC Y PASAPORTE BIOMÉTRICO DE MIGRACIONES Y ACTUALIZACIÓN DE DEPENDENCIAS Y DISTRITOS JUDICIALES PARA EL PAGO DE TASAS DEL PODER JUDICIAL EN EL CANAL AGENTE BN</v>
      </c>
      <c r="C103" s="376" t="str" cm="1">
        <f t="array" aca="1" ref="C103" ca="1">IFERROR(INDEX(Cartera1017[indicador de Avance],ROW(A101)),"")</f>
        <v>EN RIESGO 🟡</v>
      </c>
      <c r="D103" s="376" t="str" cm="1">
        <f t="array" ref="D103">IFERROR(INDEX(Cartera1017[Gerencia],ROW(A101)),"")</f>
        <v>Banca Digital</v>
      </c>
      <c r="E103" s="376" t="str" cm="1">
        <f t="array" ref="E103">IFERROR(INDEX(Cartera1017[Subgerencia],ROW(A101)),"")</f>
        <v>Canales Alternos</v>
      </c>
      <c r="F103" s="376" t="str" cm="1">
        <f t="array" ref="F103">IFERROR(INDEX(Cartera1017[Sección],ROW(A101)),"")</f>
        <v>Canales Presenciales</v>
      </c>
      <c r="G103" s="376" t="str" cm="1">
        <f t="array" ref="G103">IFERROR(INDEX(Cartera1017[Estado TI],ROW(A101)),"")</f>
        <v>03. En Desarrollo</v>
      </c>
      <c r="H103" s="463" cm="1">
        <f t="array" ref="H103">IFERROR(
 IF(
   INDEX(Cartera1017[Comienzo Desarrollo],ROW(A101))=0,
   "",
   INDEX(Cartera1017[Comienzo Desarrollo],ROW(A101))
 ),
 ""
)</f>
        <v>46083</v>
      </c>
      <c r="I103" s="463" cm="1">
        <f t="array" ref="I103">IFERROR(
 IF(
   INDEX(Cartera1017[Fin Producción],ROW(A101))=0,
   "",
   INDEX(Cartera1017[Fin Producción],ROW(A101))
 ),
 ""
)</f>
        <v>46269</v>
      </c>
    </row>
    <row r="104" spans="1:9">
      <c r="A104" s="376" t="str" cm="1">
        <f t="array" ref="A104">IFERROR(
 IF(
   INDEX(Cartera1017[ID Mantenimiento],ROW(A102))=0,
   "",
   INDEX(Cartera1017[ID Mantenimiento],ROW(A102))
 ),
 ""
)</f>
        <v>2025-M0370</v>
      </c>
      <c r="B104" s="376" t="str" cm="1">
        <f t="array" ref="B104">IFERROR(INDEX(Cartera1017[Nombre del Requerimiento],ROW(A102)),"")</f>
        <v>MN: Actualización de las tablas de alineamiento contable correspondiente al producto TC</v>
      </c>
      <c r="C104" s="376" t="str" cm="1">
        <f t="array" aca="1" ref="C104" ca="1">IFERROR(INDEX(Cartera1017[indicador de Avance],ROW(A102)),"")</f>
        <v>ATRASADO 🔴</v>
      </c>
      <c r="D104" s="376" t="str" cm="1">
        <f t="array" ref="D104">IFERROR(INDEX(Cartera1017[Gerencia],ROW(A102)),"")</f>
        <v>Productos e Inclusión Financiera</v>
      </c>
      <c r="E104" s="376" t="str" cm="1">
        <f t="array" ref="E104">IFERROR(INDEX(Cartera1017[Subgerencia],ROW(A102)),"")</f>
        <v>Banca Personal</v>
      </c>
      <c r="F104" s="376" t="str" cm="1">
        <f t="array" ref="F104">IFERROR(INDEX(Cartera1017[Sección],ROW(A102)),"")</f>
        <v>Tarjeta de Crédito</v>
      </c>
      <c r="G104" s="376" t="str" cm="1">
        <f t="array" ref="G104">IFERROR(INDEX(Cartera1017[Estado TI],ROW(A102)),"")</f>
        <v>07. En Despliegue</v>
      </c>
      <c r="H104" s="463" cm="1">
        <f t="array" ref="H104">IFERROR(
 IF(
   INDEX(Cartera1017[Comienzo Desarrollo],ROW(A102))=0,
   "",
   INDEX(Cartera1017[Comienzo Desarrollo],ROW(A102))
 ),
 ""
)</f>
        <v>45789</v>
      </c>
      <c r="I104" s="463" cm="1">
        <f t="array" ref="I104">IFERROR(
 IF(
   INDEX(Cartera1017[Fin Producción],ROW(A102))=0,
   "",
   INDEX(Cartera1017[Fin Producción],ROW(A102))
 ),
 ""
)</f>
        <v>46108</v>
      </c>
    </row>
    <row r="105" spans="1:9">
      <c r="A105" s="376" t="str" cm="1">
        <f t="array" ref="A105">IFERROR(
 IF(
   INDEX(Cartera1017[ID Mantenimiento],ROW(A103))=0,
   "",
   INDEX(Cartera1017[ID Mantenimiento],ROW(A103))
 ),
 ""
)</f>
        <v>2025-M0337</v>
      </c>
      <c r="B105" s="376" t="str" cm="1">
        <f t="array" ref="B105">IFERROR(INDEX(Cartera1017[Nombre del Requerimiento],ROW(A103)),"")</f>
        <v>ME: AUTOMATIZACION DE LOS PROCESOS DE ARCHIVOS DE DOCUMENTOS(SGAC)</v>
      </c>
      <c r="C105" s="376" t="str" cm="1">
        <f t="array" aca="1" ref="C105" ca="1">IFERROR(INDEX(Cartera1017[indicador de Avance],ROW(A103)),"")</f>
        <v>IMPLEMENTADO 🔵</v>
      </c>
      <c r="D105" s="376" t="str" cm="1">
        <f t="array" ref="D105">IFERROR(INDEX(Cartera1017[Gerencia],ROW(A103)),"")</f>
        <v>Administración y Logística</v>
      </c>
      <c r="E105" s="376" t="str" cm="1">
        <f t="array" ref="E105">IFERROR(INDEX(Cartera1017[Subgerencia],ROW(A103)),"")</f>
        <v>Servicios</v>
      </c>
      <c r="F105" s="376" t="str" cm="1">
        <f t="array" ref="F105">IFERROR(INDEX(Cartera1017[Sección],ROW(A103)),"")</f>
        <v>Archivo Central</v>
      </c>
      <c r="G105" s="376" t="str" cm="1">
        <f t="array" ref="G105">IFERROR(INDEX(Cartera1017[Estado TI],ROW(A103)),"")</f>
        <v>08. Producción Finalizada</v>
      </c>
      <c r="H105" s="463" cm="1">
        <f t="array" ref="H105">IFERROR(
 IF(
   INDEX(Cartera1017[Comienzo Desarrollo],ROW(A103))=0,
   "",
   INDEX(Cartera1017[Comienzo Desarrollo],ROW(A103))
 ),
 ""
)</f>
        <v>45859</v>
      </c>
      <c r="I105" s="463" cm="1">
        <f t="array" ref="I105">IFERROR(
 IF(
   INDEX(Cartera1017[Fin Producción],ROW(A103))=0,
   "",
   INDEX(Cartera1017[Fin Producción],ROW(A103))
 ),
 ""
)</f>
        <v>46037</v>
      </c>
    </row>
    <row r="106" spans="1:9">
      <c r="A106" s="376" t="str" cm="1">
        <f t="array" ref="A106">IFERROR(
 IF(
   INDEX(Cartera1017[ID Mantenimiento],ROW(A104))=0,
   "",
   INDEX(Cartera1017[ID Mantenimiento],ROW(A104))
 ),
 ""
)</f>
        <v>2025-M0404</v>
      </c>
      <c r="B106" s="376" t="str" cm="1">
        <f t="array" ref="B106">IFERROR(INDEX(Cartera1017[Nombre del Requerimiento],ROW(A104)),"")</f>
        <v xml:space="preserve">ME: Implementación de Servicio en Línea y sin Base de Datos - Osinergmin -Hub de integración
</v>
      </c>
      <c r="C106" s="376" t="str" cm="1">
        <f t="array" aca="1" ref="C106" ca="1">IFERROR(INDEX(Cartera1017[indicador de Avance],ROW(A104)),"")</f>
        <v>IMPLEMENTADO 🔵</v>
      </c>
      <c r="D106" s="376" t="str" cm="1">
        <f t="array" ref="D106">IFERROR(INDEX(Cartera1017[Gerencia],ROW(A104)),"")</f>
        <v>Operaciones</v>
      </c>
      <c r="E106" s="376" t="str" cm="1">
        <f t="array" ref="E106">IFERROR(INDEX(Cartera1017[Subgerencia],ROW(A104)),"")</f>
        <v>Servicios Bancarios y Recaudación</v>
      </c>
      <c r="F106" s="376" t="str" cm="1">
        <f t="array" ref="F106">IFERROR(INDEX(Cartera1017[Sección],ROW(A104)),"")</f>
        <v>Recaudación y Corresponsalía</v>
      </c>
      <c r="G106" s="376" t="str" cm="1">
        <f t="array" ref="G106">IFERROR(INDEX(Cartera1017[Estado TI],ROW(A104)),"")</f>
        <v>08. Producción Finalizada</v>
      </c>
      <c r="H106" s="463" cm="1">
        <f t="array" ref="H106">IFERROR(
 IF(
   INDEX(Cartera1017[Comienzo Desarrollo],ROW(A104))=0,
   "",
   INDEX(Cartera1017[Comienzo Desarrollo],ROW(A104))
 ),
 ""
)</f>
        <v>45804</v>
      </c>
      <c r="I106" s="463" cm="1">
        <f t="array" ref="I106">IFERROR(
 IF(
   INDEX(Cartera1017[Fin Producción],ROW(A104))=0,
   "",
   INDEX(Cartera1017[Fin Producción],ROW(A104))
 ),
 ""
)</f>
        <v>46108</v>
      </c>
    </row>
    <row r="107" spans="1:9">
      <c r="A107" s="376" t="str" cm="1">
        <f t="array" ref="A107">IFERROR(
 IF(
   INDEX(Cartera1017[ID Mantenimiento],ROW(A105))=0,
   "",
   INDEX(Cartera1017[ID Mantenimiento],ROW(A105))
 ),
 ""
)</f>
        <v>2025-M0426</v>
      </c>
      <c r="B107" s="376" t="str" cm="1">
        <f t="array" ref="B107">IFERROR(INDEX(Cartera1017[Nombre del Requerimiento],ROW(A105)),"")</f>
        <v>Generación Clave Internet y Afiliación  CDD en Banca Móvil por Biometria – Capa Front Android</v>
      </c>
      <c r="C107" s="376" t="str" cm="1">
        <f t="array" aca="1" ref="C107" ca="1">IFERROR(INDEX(Cartera1017[indicador de Avance],ROW(A105)),"")</f>
        <v>ATRASADO 🔴</v>
      </c>
      <c r="D107" s="376" t="str" cm="1">
        <f t="array" ref="D107">IFERROR(INDEX(Cartera1017[Gerencia],ROW(A105)),"")</f>
        <v>Banca Digital</v>
      </c>
      <c r="E107" s="376" t="str" cm="1">
        <f t="array" ref="E107">IFERROR(INDEX(Cartera1017[Subgerencia],ROW(A105)),"")</f>
        <v>Canales Alternos</v>
      </c>
      <c r="F107" s="376" t="str" cm="1">
        <f t="array" ref="F107">IFERROR(INDEX(Cartera1017[Sección],ROW(A105)),"")</f>
        <v>Canales Presenciales</v>
      </c>
      <c r="G107" s="376" t="str" cm="1">
        <f t="array" ref="G107">IFERROR(INDEX(Cartera1017[Estado TI],ROW(A105)),"")</f>
        <v>06. Calidad Finalizado</v>
      </c>
      <c r="H107" s="463" cm="1">
        <f t="array" ref="H107">IFERROR(
 IF(
   INDEX(Cartera1017[Comienzo Desarrollo],ROW(A105))=0,
   "",
   INDEX(Cartera1017[Comienzo Desarrollo],ROW(A105))
 ),
 ""
)</f>
        <v>45812</v>
      </c>
      <c r="I107" s="463" cm="1">
        <f t="array" ref="I107">IFERROR(
 IF(
   INDEX(Cartera1017[Fin Producción],ROW(A105))=0,
   "",
   INDEX(Cartera1017[Fin Producción],ROW(A105))
 ),
 ""
)</f>
        <v>46108</v>
      </c>
    </row>
    <row r="108" spans="1:9">
      <c r="A108" s="376" t="str" cm="1">
        <f t="array" ref="A108">IFERROR(
 IF(
   INDEX(Cartera1017[ID Mantenimiento],ROW(A106))=0,
   "",
   INDEX(Cartera1017[ID Mantenimiento],ROW(A106))
 ),
 ""
)</f>
        <v>2025-M0427</v>
      </c>
      <c r="B108" s="376" t="str" cm="1">
        <f t="array" ref="B108">IFERROR(INDEX(Cartera1017[Nombre del Requerimiento],ROW(A106)),"")</f>
        <v>Generación Clave Internet y Afiliación  CDD en Banca Móvil por Biometria – Capa Front IOS</v>
      </c>
      <c r="C108" s="376" t="str" cm="1">
        <f t="array" aca="1" ref="C108" ca="1">IFERROR(INDEX(Cartera1017[indicador de Avance],ROW(A106)),"")</f>
        <v>ATRASADO 🔴</v>
      </c>
      <c r="D108" s="376" t="str" cm="1">
        <f t="array" ref="D108">IFERROR(INDEX(Cartera1017[Gerencia],ROW(A106)),"")</f>
        <v>Banca Digital</v>
      </c>
      <c r="E108" s="376" t="str" cm="1">
        <f t="array" ref="E108">IFERROR(INDEX(Cartera1017[Subgerencia],ROW(A106)),"")</f>
        <v>Canales Alternos</v>
      </c>
      <c r="F108" s="376" t="str" cm="1">
        <f t="array" ref="F108">IFERROR(INDEX(Cartera1017[Sección],ROW(A106)),"")</f>
        <v>Canales Virtuales</v>
      </c>
      <c r="G108" s="376" t="str" cm="1">
        <f t="array" ref="G108">IFERROR(INDEX(Cartera1017[Estado TI],ROW(A106)),"")</f>
        <v>06. Calidad Finalizado</v>
      </c>
      <c r="H108" s="463" cm="1">
        <f t="array" ref="H108">IFERROR(
 IF(
   INDEX(Cartera1017[Comienzo Desarrollo],ROW(A106))=0,
   "",
   INDEX(Cartera1017[Comienzo Desarrollo],ROW(A106))
 ),
 ""
)</f>
        <v>45812</v>
      </c>
      <c r="I108" s="463" cm="1">
        <f t="array" ref="I108">IFERROR(
 IF(
   INDEX(Cartera1017[Fin Producción],ROW(A106))=0,
   "",
   INDEX(Cartera1017[Fin Producción],ROW(A106))
 ),
 ""
)</f>
        <v>46111</v>
      </c>
    </row>
    <row r="109" spans="1:9">
      <c r="A109" s="376" t="str" cm="1">
        <f t="array" ref="A109">IFERROR(
 IF(
   INDEX(Cartera1017[ID Mantenimiento],ROW(A107))=0,
   "",
   INDEX(Cartera1017[ID Mantenimiento],ROW(A107))
 ),
 ""
)</f>
        <v>2025-M0570</v>
      </c>
      <c r="B109" s="376" t="str" cm="1">
        <f t="array" ref="B109">IFERROR(INDEX(Cartera1017[Nombre del Requerimiento],ROW(A107)),"")</f>
        <v>CARGA DE TABLAS BNDJF11, BNDJF12, BNDJ13 EN REPOSITORIO DE BIGDATA PARA LA GENERACIÓN DE REPORTES DEJA</v>
      </c>
      <c r="C109" s="376" t="str" cm="1">
        <f t="array" aca="1" ref="C109" ca="1">IFERROR(INDEX(Cartera1017[indicador de Avance],ROW(A107)),"")</f>
        <v>EN CURSO 🟢</v>
      </c>
      <c r="D109" s="376" t="str" cm="1">
        <f t="array" ref="D109">IFERROR(INDEX(Cartera1017[Gerencia],ROW(A107)),"")</f>
        <v>Operaciones</v>
      </c>
      <c r="E109" s="376" t="str" cm="1">
        <f t="array" ref="E109">IFERROR(INDEX(Cartera1017[Subgerencia],ROW(A107)),"")</f>
        <v>Servicios Bancarios y Recaudación</v>
      </c>
      <c r="F109" s="376" t="str" cm="1">
        <f t="array" ref="F109">IFERROR(INDEX(Cartera1017[Sección],ROW(A107)),"")</f>
        <v>Depósitos Judiciales y Administrativos</v>
      </c>
      <c r="G109" s="376" t="str" cm="1">
        <f t="array" ref="G109">IFERROR(INDEX(Cartera1017[Estado TI],ROW(A107)),"")</f>
        <v>03. En Desarrollo</v>
      </c>
      <c r="H109" s="463" cm="1">
        <f t="array" ref="H109">IFERROR(
 IF(
   INDEX(Cartera1017[Comienzo Desarrollo],ROW(A107))=0,
   "",
   INDEX(Cartera1017[Comienzo Desarrollo],ROW(A107))
 ),
 ""
)</f>
        <v>46219</v>
      </c>
      <c r="I109" s="463" cm="1">
        <f t="array" ref="I109">IFERROR(
 IF(
   INDEX(Cartera1017[Fin Producción],ROW(A107))=0,
   "",
   INDEX(Cartera1017[Fin Producción],ROW(A107))
 ),
 ""
)</f>
        <v>46305</v>
      </c>
    </row>
    <row r="110" spans="1:9">
      <c r="A110" s="376" t="str" cm="1">
        <f t="array" ref="A110">IFERROR(
 IF(
   INDEX(Cartera1017[ID Mantenimiento],ROW(A108))=0,
   "",
   INDEX(Cartera1017[ID Mantenimiento],ROW(A108))
 ),
 ""
)</f>
        <v>2025-M0641</v>
      </c>
      <c r="B110" s="376" t="str" cm="1">
        <f t="array" ref="B110">IFERROR(INDEX(Cartera1017[Nombre del Requerimiento],ROW(A108)),"")</f>
        <v xml:space="preserve">Biometría Dactilar para la Transacción 0550  </v>
      </c>
      <c r="C110" s="376" t="str" cm="1">
        <f t="array" aca="1" ref="C110" ca="1">IFERROR(INDEX(Cartera1017[indicador de Avance],ROW(A108)),"")</f>
        <v>IMPLEMENTADO 🔵</v>
      </c>
      <c r="D110" s="376" t="str" cm="1">
        <f t="array" ref="D110">IFERROR(INDEX(Cartera1017[Gerencia],ROW(A108)),"")</f>
        <v>Operaciones</v>
      </c>
      <c r="E110" s="376" t="str" cm="1">
        <f t="array" ref="E110">IFERROR(INDEX(Cartera1017[Subgerencia],ROW(A108)),"")</f>
        <v>Servicios Bancarios y Recaudación</v>
      </c>
      <c r="F110" s="376" t="str" cm="1">
        <f t="array" ref="F110">IFERROR(INDEX(Cartera1017[Sección],ROW(A108)),"")</f>
        <v>Recaudación y Corresponsalía</v>
      </c>
      <c r="G110" s="376" t="str" cm="1">
        <f t="array" ref="G110">IFERROR(INDEX(Cartera1017[Estado TI],ROW(A108)),"")</f>
        <v>08. Producción Finalizada</v>
      </c>
      <c r="H110" s="463" cm="1">
        <f t="array" ref="H110">IFERROR(
 IF(
   INDEX(Cartera1017[Comienzo Desarrollo],ROW(A108))=0,
   "",
   INDEX(Cartera1017[Comienzo Desarrollo],ROW(A108))
 ),
 ""
)</f>
        <v>45992</v>
      </c>
      <c r="I110" s="463" cm="1">
        <f t="array" ref="I110">IFERROR(
 IF(
   INDEX(Cartera1017[Fin Producción],ROW(A108))=0,
   "",
   INDEX(Cartera1017[Fin Producción],ROW(A108))
 ),
 ""
)</f>
        <v>46038</v>
      </c>
    </row>
    <row r="111" spans="1:9">
      <c r="A111" s="376" t="str" cm="1">
        <f t="array" ref="A111">IFERROR(
 IF(
   INDEX(Cartera1017[ID Mantenimiento],ROW(A109))=0,
   "",
   INDEX(Cartera1017[ID Mantenimiento],ROW(A109))
 ),
 ""
)</f>
        <v>2025-M0518</v>
      </c>
      <c r="B111" s="376" t="str" cm="1">
        <f t="array" ref="B111">IFERROR(INDEX(Cartera1017[Nombre del Requerimiento],ROW(A109)),"")</f>
        <v>REGISTRO DE FAMILIARES EN EL POEM INCLUYENDO EL SEGURO  VIDA LEY</v>
      </c>
      <c r="C111" s="376" t="str" cm="1">
        <f t="array" aca="1" ref="C111" ca="1">IFERROR(INDEX(Cartera1017[indicador de Avance],ROW(A109)),"")</f>
        <v>PARALIZADO ⚪</v>
      </c>
      <c r="D111" s="376" t="str" cm="1">
        <f t="array" ref="D111">IFERROR(INDEX(Cartera1017[Gerencia],ROW(A109)),"")</f>
        <v>Recursos Humanos y Cultura</v>
      </c>
      <c r="E111" s="376" t="str" cm="1">
        <f t="array" ref="E111">IFERROR(INDEX(Cartera1017[Subgerencia],ROW(A109)),"")</f>
        <v>Desarrollo del Talento</v>
      </c>
      <c r="F111" s="376" t="str" cm="1">
        <f t="array" ref="F111">IFERROR(INDEX(Cartera1017[Sección],ROW(A109)),"")</f>
        <v>Asistencia y Bienestar</v>
      </c>
      <c r="G111" s="376" t="str" cm="1">
        <f t="array" ref="G111">IFERROR(INDEX(Cartera1017[Estado TI],ROW(A109)),"")</f>
        <v>10. Paralizado</v>
      </c>
      <c r="H111" s="463" cm="1">
        <f t="array" ref="H111">IFERROR(
 IF(
   INDEX(Cartera1017[Comienzo Desarrollo],ROW(A109))=0,
   "",
   INDEX(Cartera1017[Comienzo Desarrollo],ROW(A109))
 ),
 ""
)</f>
        <v>46204</v>
      </c>
      <c r="I111" s="463" cm="1">
        <f t="array" ref="I111">IFERROR(
 IF(
   INDEX(Cartera1017[Fin Producción],ROW(A109))=0,
   "",
   INDEX(Cartera1017[Fin Producción],ROW(A109))
 ),
 ""
)</f>
        <v>46300</v>
      </c>
    </row>
    <row r="112" spans="1:9">
      <c r="A112" s="376" t="str" cm="1">
        <f t="array" ref="A112">IFERROR(
 IF(
   INDEX(Cartera1017[ID Mantenimiento],ROW(A110))=0,
   "",
   INDEX(Cartera1017[ID Mantenimiento],ROW(A110))
 ),
 ""
)</f>
        <v>2025-M0419</v>
      </c>
      <c r="B112" s="376" t="str" cm="1">
        <f t="array" ref="B112">IFERROR(INDEX(Cartera1017[Nombre del Requerimiento],ROW(A110)),"")</f>
        <v>Mejora Reporte  Reprogramaciones – Crédito de consumo e Hipotecario</v>
      </c>
      <c r="C112" s="376" t="str" cm="1">
        <f t="array" aca="1" ref="C112" ca="1">IFERROR(INDEX(Cartera1017[indicador de Avance],ROW(A110)),"")</f>
        <v>PARALIZADO ⚪</v>
      </c>
      <c r="D112" s="376" t="str" cm="1">
        <f t="array" ref="D112">IFERROR(INDEX(Cartera1017[Gerencia],ROW(A110)),"")</f>
        <v>Productos e Inclusión Financiera</v>
      </c>
      <c r="E112" s="376" t="str" cm="1">
        <f t="array" ref="E112">IFERROR(INDEX(Cartera1017[Subgerencia],ROW(A110)),"")</f>
        <v>Banca Personal</v>
      </c>
      <c r="F112" s="376" t="str" cm="1">
        <f t="array" ref="F112">IFERROR(INDEX(Cartera1017[Sección],ROW(A110)),"")</f>
        <v>Préstamo Multired</v>
      </c>
      <c r="G112" s="376" t="str" cm="1">
        <f t="array" ref="G112">IFERROR(INDEX(Cartera1017[Estado TI],ROW(A110)),"")</f>
        <v>10. Paralizado</v>
      </c>
      <c r="H112" s="463" t="str" cm="1">
        <f t="array" ref="H112">IFERROR(
 IF(
   INDEX(Cartera1017[Comienzo Desarrollo],ROW(A110))=0,
   "",
   INDEX(Cartera1017[Comienzo Desarrollo],ROW(A110))
 ),
 ""
)</f>
        <v/>
      </c>
      <c r="I112" s="463" cm="1">
        <f t="array" ref="I112">IFERROR(
 IF(
   INDEX(Cartera1017[Fin Producción],ROW(A110))=0,
   "",
   INDEX(Cartera1017[Fin Producción],ROW(A110))
 ),
 ""
)</f>
        <v>46356</v>
      </c>
    </row>
    <row r="113" spans="1:9">
      <c r="A113" s="376" t="str" cm="1">
        <f t="array" ref="A113">IFERROR(
 IF(
   INDEX(Cartera1017[ID Mantenimiento],ROW(A111))=0,
   "",
   INDEX(Cartera1017[ID Mantenimiento],ROW(A111))
 ),
 ""
)</f>
        <v>2025-M0406</v>
      </c>
      <c r="B113" s="376" t="str" cm="1">
        <f t="array" ref="B113">IFERROR(INDEX(Cartera1017[Nombre del Requerimiento],ROW(A111)),"")</f>
        <v>DESARROLLO DE PROYECTOS DE MIGRACION, OPTIMIZACION Y MANTENIMIENTO DE APLICACIONES : BDUC Y SACH</v>
      </c>
      <c r="C113" s="376" t="str" cm="1">
        <f t="array" aca="1" ref="C113" ca="1">IFERROR(INDEX(Cartera1017[indicador de Avance],ROW(A111)),"")</f>
        <v>EN RIESGO 🟡</v>
      </c>
      <c r="D113" s="376" t="str" cm="1">
        <f t="array" ref="D113">IFERROR(INDEX(Cartera1017[Gerencia],ROW(A111)),"")</f>
        <v>Tecnologías de Información</v>
      </c>
      <c r="E113" s="376" t="str" cm="1">
        <f t="array" ref="E113">IFERROR(INDEX(Cartera1017[Subgerencia],ROW(A111)),"")</f>
        <v>Construcción de Aplicaciones</v>
      </c>
      <c r="F113" s="376" t="str" cm="1">
        <f t="array" ref="F113">IFERROR(INDEX(Cartera1017[Sección],ROW(A111)),"")</f>
        <v>Sistemas Bancarios</v>
      </c>
      <c r="G113" s="376" t="str" cm="1">
        <f t="array" ref="G113">IFERROR(INDEX(Cartera1017[Estado TI],ROW(A111)),"")</f>
        <v>03. En Desarrollo</v>
      </c>
      <c r="H113" s="463" cm="1">
        <f t="array" ref="H113">IFERROR(
 IF(
   INDEX(Cartera1017[Comienzo Desarrollo],ROW(A111))=0,
   "",
   INDEX(Cartera1017[Comienzo Desarrollo],ROW(A111))
 ),
 ""
)</f>
        <v>46083</v>
      </c>
      <c r="I113" s="463" cm="1">
        <f t="array" ref="I113">IFERROR(
 IF(
   INDEX(Cartera1017[Fin Producción],ROW(A111))=0,
   "",
   INDEX(Cartera1017[Fin Producción],ROW(A111))
 ),
 ""
)</f>
        <v>46199</v>
      </c>
    </row>
    <row r="114" spans="1:9">
      <c r="A114" s="376" t="str" cm="1">
        <f t="array" ref="A114">IFERROR(
 IF(
   INDEX(Cartera1017[ID Mantenimiento],ROW(A112))=0,
   "",
   INDEX(Cartera1017[ID Mantenimiento],ROW(A112))
 ),
 ""
)</f>
        <v>2025-M0433</v>
      </c>
      <c r="B114" s="376" t="str" cm="1">
        <f t="array" ref="B114">IFERROR(INDEX(Cartera1017[Nombre del Requerimiento],ROW(A112)),"")</f>
        <v>ME :INCLUSIÓN DE TASAS DE DNI ELECTRÓNICO DE RENIEC Y PASAPORTE BIOMÉTRICO DE MIGRACIONES</v>
      </c>
      <c r="C114" s="376" t="str" cm="1">
        <f t="array" aca="1" ref="C114" ca="1">IFERROR(INDEX(Cartera1017[indicador de Avance],ROW(A112)),"")</f>
        <v>EN RIESGO 🟡</v>
      </c>
      <c r="D114" s="376" t="str" cm="1">
        <f t="array" ref="D114">IFERROR(INDEX(Cartera1017[Gerencia],ROW(A112)),"")</f>
        <v>Banca Digital</v>
      </c>
      <c r="E114" s="376" t="str" cm="1">
        <f t="array" ref="E114">IFERROR(INDEX(Cartera1017[Subgerencia],ROW(A112)),"")</f>
        <v>Canales Alternos</v>
      </c>
      <c r="F114" s="376" t="str" cm="1">
        <f t="array" ref="F114">IFERROR(INDEX(Cartera1017[Sección],ROW(A112)),"")</f>
        <v>Canales Presenciales</v>
      </c>
      <c r="G114" s="376" t="str" cm="1">
        <f t="array" ref="G114">IFERROR(INDEX(Cartera1017[Estado TI],ROW(A112)),"")</f>
        <v>03. En Desarrollo</v>
      </c>
      <c r="H114" s="463" cm="1">
        <f t="array" ref="H114">IFERROR(
 IF(
   INDEX(Cartera1017[Comienzo Desarrollo],ROW(A112))=0,
   "",
   INDEX(Cartera1017[Comienzo Desarrollo],ROW(A112))
 ),
 ""
)</f>
        <v>46083</v>
      </c>
      <c r="I114" s="463" cm="1">
        <f t="array" ref="I114">IFERROR(
 IF(
   INDEX(Cartera1017[Fin Producción],ROW(A112))=0,
   "",
   INDEX(Cartera1017[Fin Producción],ROW(A112))
 ),
 ""
)</f>
        <v>46269</v>
      </c>
    </row>
    <row r="115" spans="1:9">
      <c r="A115" s="376" t="str" cm="1">
        <f t="array" ref="A115">IFERROR(
 IF(
   INDEX(Cartera1017[ID Mantenimiento],ROW(A113))=0,
   "",
   INDEX(Cartera1017[ID Mantenimiento],ROW(A113))
 ),
 ""
)</f>
        <v>2025-M0434</v>
      </c>
      <c r="B115" s="376" t="str" cm="1">
        <f t="array" ref="B115">IFERROR(INDEX(Cartera1017[Nombre del Requerimiento],ROW(A113)),"")</f>
        <v>ACTUALIZACIÓN DE DEPENDENCIAS Y DISTRITOS JUDICIALES PARA EL PAGO DE TASAS DEL PODER JUDICIAL EN EL CANAL AG</v>
      </c>
      <c r="C115" s="376" t="str" cm="1">
        <f t="array" aca="1" ref="C115" ca="1">IFERROR(INDEX(Cartera1017[indicador de Avance],ROW(A113)),"")</f>
        <v>EN RIESGO 🟡</v>
      </c>
      <c r="D115" s="376" t="str" cm="1">
        <f t="array" ref="D115">IFERROR(INDEX(Cartera1017[Gerencia],ROW(A113)),"")</f>
        <v>Banca Digital</v>
      </c>
      <c r="E115" s="376" t="str" cm="1">
        <f t="array" ref="E115">IFERROR(INDEX(Cartera1017[Subgerencia],ROW(A113)),"")</f>
        <v>Canales Alternos</v>
      </c>
      <c r="F115" s="376" t="str" cm="1">
        <f t="array" ref="F115">IFERROR(INDEX(Cartera1017[Sección],ROW(A113)),"")</f>
        <v>Canales Presenciales</v>
      </c>
      <c r="G115" s="376" t="str" cm="1">
        <f t="array" ref="G115">IFERROR(INDEX(Cartera1017[Estado TI],ROW(A113)),"")</f>
        <v>03. En Desarrollo</v>
      </c>
      <c r="H115" s="463" cm="1">
        <f t="array" ref="H115">IFERROR(
 IF(
   INDEX(Cartera1017[Comienzo Desarrollo],ROW(A113))=0,
   "",
   INDEX(Cartera1017[Comienzo Desarrollo],ROW(A113))
 ),
 ""
)</f>
        <v>46083</v>
      </c>
      <c r="I115" s="463" cm="1">
        <f t="array" ref="I115">IFERROR(
 IF(
   INDEX(Cartera1017[Fin Producción],ROW(A113))=0,
   "",
   INDEX(Cartera1017[Fin Producción],ROW(A113))
 ),
 ""
)</f>
        <v>46269</v>
      </c>
    </row>
    <row r="116" spans="1:9">
      <c r="A116" s="376" t="str" cm="1">
        <f t="array" ref="A116">IFERROR(
 IF(
   INDEX(Cartera1017[ID Mantenimiento],ROW(A114))=0,
   "",
   INDEX(Cartera1017[ID Mantenimiento],ROW(A114))
 ),
 ""
)</f>
        <v>2025-M0517</v>
      </c>
      <c r="B116" s="376" t="str" cm="1">
        <f t="array" ref="B116">IFERROR(INDEX(Cartera1017[Nombre del Requerimiento],ROW(A114)),"")</f>
        <v>MEJORA EN LOS PROCESOS EVALUACIÓN DEL SISTEMA SIEP - EVALUACIÓN DE COMPETENCIAS LABORALES</v>
      </c>
      <c r="C116" s="376" t="str" cm="1">
        <f t="array" aca="1" ref="C116" ca="1">IFERROR(INDEX(Cartera1017[indicador de Avance],ROW(A114)),"")</f>
        <v>IMPLEMENTADO 🔵</v>
      </c>
      <c r="D116" s="376" t="str" cm="1">
        <f t="array" ref="D116">IFERROR(INDEX(Cartera1017[Gerencia],ROW(A114)),"")</f>
        <v>Recursos Humanos y Cultura</v>
      </c>
      <c r="E116" s="376" t="str" cm="1">
        <f t="array" ref="E116">IFERROR(INDEX(Cartera1017[Subgerencia],ROW(A114)),"")</f>
        <v>Desarrollo del Talento</v>
      </c>
      <c r="F116" s="376" t="str" cm="1">
        <f t="array" ref="F116">IFERROR(INDEX(Cartera1017[Sección],ROW(A114)),"")</f>
        <v>Desarrollo Profesional</v>
      </c>
      <c r="G116" s="376" t="str" cm="1">
        <f t="array" ref="G116">IFERROR(INDEX(Cartera1017[Estado TI],ROW(A114)),"")</f>
        <v>08. Producción Finalizada</v>
      </c>
      <c r="H116" s="463" cm="1">
        <f t="array" ref="H116">IFERROR(
 IF(
   INDEX(Cartera1017[Comienzo Desarrollo],ROW(A114))=0,
   "",
   INDEX(Cartera1017[Comienzo Desarrollo],ROW(A114))
 ),
 ""
)</f>
        <v>45855</v>
      </c>
      <c r="I116" s="463" cm="1">
        <f t="array" ref="I116">IFERROR(
 IF(
   INDEX(Cartera1017[Fin Producción],ROW(A114))=0,
   "",
   INDEX(Cartera1017[Fin Producción],ROW(A114))
 ),
 ""
)</f>
        <v>46050</v>
      </c>
    </row>
    <row r="117" spans="1:9">
      <c r="A117" s="376" t="str" cm="1">
        <f t="array" ref="A117">IFERROR(
 IF(
   INDEX(Cartera1017[ID Mantenimiento],ROW(A115))=0,
   "",
   INDEX(Cartera1017[ID Mantenimiento],ROW(A115))
 ),
 ""
)</f>
        <v>2025-M0521</v>
      </c>
      <c r="B117" s="376" t="str" cm="1">
        <f t="array" ref="B117">IFERROR(INDEX(Cartera1017[Nombre del Requerimiento],ROW(A115)),"")</f>
        <v>Restricción Abonos Encargos Reversión</v>
      </c>
      <c r="C117" s="376" t="str" cm="1">
        <f t="array" aca="1" ref="C117" ca="1">IFERROR(INDEX(Cartera1017[indicador de Avance],ROW(A115)),"")</f>
        <v>IMPLEMENTADO 🔵</v>
      </c>
      <c r="D117" s="376" t="str" cm="1">
        <f t="array" ref="D117">IFERROR(INDEX(Cartera1017[Gerencia],ROW(A115)),"")</f>
        <v>Operaciones</v>
      </c>
      <c r="E117" s="376" t="str" cm="1">
        <f t="array" ref="E117">IFERROR(INDEX(Cartera1017[Subgerencia],ROW(A115)),"")</f>
        <v>Captaciones y Pagaduría</v>
      </c>
      <c r="F117" s="376" t="str" cm="1">
        <f t="array" ref="F117">IFERROR(INDEX(Cartera1017[Sección],ROW(A115)),"")</f>
        <v>Administración de Cuentas y Pagaduría</v>
      </c>
      <c r="G117" s="376" t="str" cm="1">
        <f t="array" ref="G117">IFERROR(INDEX(Cartera1017[Estado TI],ROW(A115)),"")</f>
        <v>08. Producción Finalizada</v>
      </c>
      <c r="H117" s="463" cm="1">
        <f t="array" ref="H117">IFERROR(
 IF(
   INDEX(Cartera1017[Comienzo Desarrollo],ROW(A115))=0,
   "",
   INDEX(Cartera1017[Comienzo Desarrollo],ROW(A115))
 ),
 ""
)</f>
        <v>45856</v>
      </c>
      <c r="I117" s="463" cm="1">
        <f t="array" ref="I117">IFERROR(
 IF(
   INDEX(Cartera1017[Fin Producción],ROW(A115))=0,
   "",
   INDEX(Cartera1017[Fin Producción],ROW(A115))
 ),
 ""
)</f>
        <v>46072</v>
      </c>
    </row>
    <row r="118" spans="1:9">
      <c r="A118" s="376" t="str" cm="1">
        <f t="array" ref="A118">IFERROR(
 IF(
   INDEX(Cartera1017[ID Mantenimiento],ROW(A116))=0,
   "",
   INDEX(Cartera1017[ID Mantenimiento],ROW(A116))
 ),
 ""
)</f>
        <v>2025-M0494</v>
      </c>
      <c r="B118" s="376" t="str" cm="1">
        <f t="array" ref="B118">IFERROR(INDEX(Cartera1017[Nombre del Requerimiento],ROW(A116)),"")</f>
        <v>Tarjeta de Crédito sin seguro de desgravamen</v>
      </c>
      <c r="C118" s="376" t="str" cm="1">
        <f t="array" aca="1" ref="C118" ca="1">IFERROR(INDEX(Cartera1017[indicador de Avance],ROW(A116)),"")</f>
        <v>IMPLEMENTADO 🔵</v>
      </c>
      <c r="D118" s="376" t="str" cm="1">
        <f t="array" ref="D118">IFERROR(INDEX(Cartera1017[Gerencia],ROW(A116)),"")</f>
        <v>Productos e Inclusión Financiera</v>
      </c>
      <c r="E118" s="376" t="str" cm="1">
        <f t="array" ref="E118">IFERROR(INDEX(Cartera1017[Subgerencia],ROW(A116)),"")</f>
        <v>Banca Personal</v>
      </c>
      <c r="F118" s="376" t="str" cm="1">
        <f t="array" ref="F118">IFERROR(INDEX(Cartera1017[Sección],ROW(A116)),"")</f>
        <v>Tarjeta de Crédito</v>
      </c>
      <c r="G118" s="376" t="str" cm="1">
        <f t="array" ref="G118">IFERROR(INDEX(Cartera1017[Estado TI],ROW(A116)),"")</f>
        <v>08. Producción Finalizada</v>
      </c>
      <c r="H118" s="463" cm="1">
        <f t="array" ref="H118">IFERROR(
 IF(
   INDEX(Cartera1017[Comienzo Desarrollo],ROW(A116))=0,
   "",
   INDEX(Cartera1017[Comienzo Desarrollo],ROW(A116))
 ),
 ""
)</f>
        <v>45845</v>
      </c>
      <c r="I118" s="463" cm="1">
        <f t="array" ref="I118">IFERROR(
 IF(
   INDEX(Cartera1017[Fin Producción],ROW(A116))=0,
   "",
   INDEX(Cartera1017[Fin Producción],ROW(A116))
 ),
 ""
)</f>
        <v>46139</v>
      </c>
    </row>
    <row r="119" spans="1:9">
      <c r="A119" s="376" t="str" cm="1">
        <f t="array" ref="A119">IFERROR(
 IF(
   INDEX(Cartera1017[ID Mantenimiento],ROW(A117))=0,
   "",
   INDEX(Cartera1017[ID Mantenimiento],ROW(A117))
 ),
 ""
)</f>
        <v>2025-M0503</v>
      </c>
      <c r="B119" s="376" t="str" cm="1">
        <f t="array" ref="B119">IFERROR(INDEX(Cartera1017[Nombre del Requerimiento],ROW(A117)),"")</f>
        <v>Pago en Dólares de Servicios Digitales para no Domiciliados</v>
      </c>
      <c r="C119" s="376" t="str" cm="1">
        <f t="array" aca="1" ref="C119" ca="1">IFERROR(INDEX(Cartera1017[indicador de Avance],ROW(A117)),"")</f>
        <v>ATRASADO 🔴</v>
      </c>
      <c r="D119" s="376" t="str" cm="1">
        <f t="array" ref="D119">IFERROR(INDEX(Cartera1017[Gerencia],ROW(A117)),"")</f>
        <v>Operaciones</v>
      </c>
      <c r="E119" s="376" t="str" cm="1">
        <f t="array" ref="E119">IFERROR(INDEX(Cartera1017[Subgerencia],ROW(A117)),"")</f>
        <v>Servicios Bancarios y Recaudación</v>
      </c>
      <c r="F119" s="376" t="str" cm="1">
        <f t="array" ref="F119">IFERROR(INDEX(Cartera1017[Sección],ROW(A117)),"")</f>
        <v>Recaudación y Corresponsalía</v>
      </c>
      <c r="G119" s="376" t="str" cm="1">
        <f t="array" ref="G119">IFERROR(INDEX(Cartera1017[Estado TI],ROW(A117)),"")</f>
        <v>07. En Despliegue</v>
      </c>
      <c r="H119" s="463" cm="1">
        <f t="array" ref="H119">IFERROR(
 IF(
   INDEX(Cartera1017[Comienzo Desarrollo],ROW(A117))=0,
   "",
   INDEX(Cartera1017[Comienzo Desarrollo],ROW(A117))
 ),
 ""
)</f>
        <v>45848</v>
      </c>
    </row>
    <row r="120" spans="1:9">
      <c r="A120" s="376" t="str" cm="1">
        <f t="array" ref="A120">IFERROR(
 IF(
   INDEX(Cartera1017[ID Mantenimiento],ROW(A118))=0,
   "",
   INDEX(Cartera1017[ID Mantenimiento],ROW(A118))
 ),
 ""
)</f>
        <v>2025-M0502</v>
      </c>
      <c r="B120" s="376" t="str" cm="1">
        <f t="array" ref="B120">IFERROR(INDEX(Cartera1017[Nombre del Requerimiento],ROW(A118)),"")</f>
        <v>REQUERIMIENTO DE INFORMACIÓN PARA EL PLAN ESTRATÉGICO DE SEGURIDAD DE INFORMACIÓN</v>
      </c>
      <c r="C120" s="376" t="str" cm="1">
        <f t="array" aca="1" ref="C120" ca="1">IFERROR(INDEX(Cartera1017[indicador de Avance],ROW(A118)),"")</f>
        <v>EN CURSO 🟢</v>
      </c>
      <c r="D120" s="376" t="str" cm="1">
        <f t="array" ref="D120">IFERROR(INDEX(Cartera1017[Gerencia],ROW(A118)),"")</f>
        <v>Operaciones</v>
      </c>
      <c r="E120" s="376" t="str" cm="1">
        <f t="array" ref="E120">IFERROR(INDEX(Cartera1017[Subgerencia],ROW(A118)),"")</f>
        <v>Captaciones y Pagaduría</v>
      </c>
      <c r="F120" s="376" t="str" cm="1">
        <f t="array" ref="F120">IFERROR(INDEX(Cartera1017[Sección],ROW(A118)),"")</f>
        <v>Apertura de Cuentas</v>
      </c>
      <c r="G120" s="376" t="str" cm="1">
        <f t="array" ref="G120">IFERROR(INDEX(Cartera1017[Estado TI],ROW(A118)),"")</f>
        <v>03. En Desarrollo</v>
      </c>
      <c r="H120" s="463" cm="1">
        <f t="array" ref="H120">IFERROR(
 IF(
   INDEX(Cartera1017[Comienzo Desarrollo],ROW(A118))=0,
   "",
   INDEX(Cartera1017[Comienzo Desarrollo],ROW(A118))
 ),
 ""
)</f>
        <v>46266</v>
      </c>
      <c r="I120" s="463" cm="1">
        <f t="array" ref="I120">IFERROR(
 IF(
   INDEX(Cartera1017[Fin Producción],ROW(A118))=0,
   "",
   INDEX(Cartera1017[Fin Producción],ROW(A118))
 ),
 ""
)</f>
        <v>46395</v>
      </c>
    </row>
    <row r="121" spans="1:9">
      <c r="A121" s="376" t="str" cm="1">
        <f t="array" ref="A121">IFERROR(
 IF(
   INDEX(Cartera1017[ID Mantenimiento],ROW(A119))=0,
   "",
   INDEX(Cartera1017[ID Mantenimiento],ROW(A119))
 ),
 ""
)</f>
        <v>2025-M0511</v>
      </c>
      <c r="B121" s="376" t="str" cm="1">
        <f t="array" ref="B121">IFERROR(INDEX(Cartera1017[Nombre del Requerimiento],ROW(A119)),"")</f>
        <v>Mejora de proceso para la generación y validación de la Base de Datos Crediticias</v>
      </c>
      <c r="C121" s="376" t="str" cm="1">
        <f t="array" aca="1" ref="C121" ca="1">IFERROR(INDEX(Cartera1017[indicador de Avance],ROW(A119)),"")</f>
        <v>PARALIZADO ⚪</v>
      </c>
      <c r="D121" s="376" t="str" cm="1">
        <f t="array" ref="D121">IFERROR(INDEX(Cartera1017[Gerencia],ROW(A119)),"")</f>
        <v>Productos e Inclusión Financiera</v>
      </c>
      <c r="E121" s="376" t="str" cm="1">
        <f t="array" ref="E121">IFERROR(INDEX(Cartera1017[Subgerencia],ROW(A119)),"")</f>
        <v>Banca Personal</v>
      </c>
      <c r="F121" s="376" t="str" cm="1">
        <f t="array" ref="F121">IFERROR(INDEX(Cartera1017[Sección],ROW(A119)),"")</f>
        <v>Préstamo Multired</v>
      </c>
      <c r="G121" s="376" t="str" cm="1">
        <f t="array" ref="G121">IFERROR(INDEX(Cartera1017[Estado TI],ROW(A119)),"")</f>
        <v>10. Paralizado</v>
      </c>
      <c r="H121" s="463" t="str" cm="1">
        <f t="array" ref="H121">IFERROR(
 IF(
   INDEX(Cartera1017[Comienzo Desarrollo],ROW(A119))=0,
   "",
   INDEX(Cartera1017[Comienzo Desarrollo],ROW(A119))
 ),
 ""
)</f>
        <v/>
      </c>
      <c r="I121" s="463" cm="1">
        <f t="array" ref="I121">IFERROR(
 IF(
   INDEX(Cartera1017[Fin Producción],ROW(A119))=0,
   "",
   INDEX(Cartera1017[Fin Producción],ROW(A119))
 ),
 ""
)</f>
        <v>46356</v>
      </c>
    </row>
    <row r="122" spans="1:9">
      <c r="A122" s="376" t="str" cm="1">
        <f t="array" ref="A122">IFERROR(
 IF(
   INDEX(Cartera1017[ID Mantenimiento],ROW(A120))=0,
   "",
   INDEX(Cartera1017[ID Mantenimiento],ROW(A120))
 ),
 ""
)</f>
        <v>2025-M0638</v>
      </c>
      <c r="B122" s="376" t="str" cm="1">
        <f t="array" ref="B122">IFERROR(INDEX(Cartera1017[Nombre del Requerimiento],ROW(A120)),"")</f>
        <v>Reporte CDJA solicitado por OCI poder Judicial</v>
      </c>
      <c r="C122" s="376" t="str" cm="1">
        <f t="array" aca="1" ref="C122" ca="1">IFERROR(INDEX(Cartera1017[indicador de Avance],ROW(A120)),"")</f>
        <v>IMPLEMENTADO 🔵</v>
      </c>
      <c r="D122" s="376" t="str" cm="1">
        <f t="array" ref="D122">IFERROR(INDEX(Cartera1017[Gerencia],ROW(A120)),"")</f>
        <v>Operaciones</v>
      </c>
      <c r="E122" s="376" t="str" cm="1">
        <f t="array" ref="E122">IFERROR(INDEX(Cartera1017[Subgerencia],ROW(A120)),"")</f>
        <v>Servicios Bancarios y Recaudación</v>
      </c>
      <c r="F122" s="376" t="str" cm="1">
        <f t="array" ref="F122">IFERROR(INDEX(Cartera1017[Sección],ROW(A120)),"")</f>
        <v>Depósitos Judiciales y Administrativos</v>
      </c>
      <c r="G122" s="376" t="str" cm="1">
        <f t="array" ref="G122">IFERROR(INDEX(Cartera1017[Estado TI],ROW(A120)),"")</f>
        <v>08. Producción Finalizada</v>
      </c>
      <c r="H122" s="463" cm="1">
        <f t="array" ref="H122">IFERROR(
 IF(
   INDEX(Cartera1017[Comienzo Desarrollo],ROW(A120))=0,
   "",
   INDEX(Cartera1017[Comienzo Desarrollo],ROW(A120))
 ),
 ""
)</f>
        <v>45922</v>
      </c>
      <c r="I122" s="463" cm="1">
        <f t="array" ref="I122">IFERROR(
 IF(
   INDEX(Cartera1017[Fin Producción],ROW(A120))=0,
   "",
   INDEX(Cartera1017[Fin Producción],ROW(A120))
 ),
 ""
)</f>
        <v>46136</v>
      </c>
    </row>
    <row r="123" spans="1:9">
      <c r="A123" s="376" t="str" cm="1">
        <f t="array" ref="A123">IFERROR(
 IF(
   INDEX(Cartera1017[ID Mantenimiento],ROW(A121))=0,
   "",
   INDEX(Cartera1017[ID Mantenimiento],ROW(A121))
 ),
 ""
)</f>
        <v>2025-M0483</v>
      </c>
      <c r="B123" s="376" t="str" cm="1">
        <f t="array" ref="B123">IFERROR(INDEX(Cartera1017[Nombre del Requerimiento],ROW(A121)),"")</f>
        <v>Mejoras en los procesos de Tarjetas de Créditos (Personal y Tarjeta Tesoro).</v>
      </c>
      <c r="C123" s="376" t="str" cm="1">
        <f t="array" aca="1" ref="C123" ca="1">IFERROR(INDEX(Cartera1017[indicador de Avance],ROW(A121)),"")</f>
        <v>ATRASADO 🔴</v>
      </c>
      <c r="D123" s="376" t="str" cm="1">
        <f t="array" ref="D123">IFERROR(INDEX(Cartera1017[Gerencia],ROW(A121)),"")</f>
        <v>Tecnologías de Información</v>
      </c>
      <c r="E123" s="376" t="str" cm="1">
        <f t="array" ref="E123">IFERROR(INDEX(Cartera1017[Subgerencia],ROW(A121)),"")</f>
        <v>Construcción de Aplicaciones</v>
      </c>
      <c r="F123" s="376" t="str" cm="1">
        <f t="array" ref="F123">IFERROR(INDEX(Cartera1017[Sección],ROW(A121)),"")</f>
        <v>Sistemas Bancarios</v>
      </c>
      <c r="G123" s="376" t="str" cm="1">
        <f t="array" ref="G123">IFERROR(INDEX(Cartera1017[Estado TI],ROW(A121)),"")</f>
        <v>03. En Desarrollo</v>
      </c>
      <c r="H123" s="463" cm="1">
        <f t="array" ref="H123">IFERROR(
 IF(
   INDEX(Cartera1017[Comienzo Desarrollo],ROW(A121))=0,
   "",
   INDEX(Cartera1017[Comienzo Desarrollo],ROW(A121))
 ),
 ""
)</f>
        <v>46083</v>
      </c>
      <c r="I123" s="463" cm="1">
        <f t="array" ref="I123">IFERROR(
 IF(
   INDEX(Cartera1017[Fin Producción],ROW(A121))=0,
   "",
   INDEX(Cartera1017[Fin Producción],ROW(A121))
 ),
 ""
)</f>
        <v>46147</v>
      </c>
    </row>
    <row r="124" spans="1:9">
      <c r="A124" s="376" t="str" cm="1">
        <f t="array" ref="A124">IFERROR(
 IF(
   INDEX(Cartera1017[ID Mantenimiento],ROW(A122))=0,
   "",
   INDEX(Cartera1017[ID Mantenimiento],ROW(A122))
 ),
 ""
)</f>
        <v>2025-M0491</v>
      </c>
      <c r="B124" s="376" t="str" cm="1">
        <f t="array" ref="B124">IFERROR(INDEX(Cartera1017[Nombre del Requerimiento],ROW(A122)),"")</f>
        <v>PM Sin Seguro de Desgravamen – Factibilidad y Aprobación</v>
      </c>
      <c r="C124" s="376" t="str" cm="1">
        <f t="array" aca="1" ref="C124" ca="1">IFERROR(INDEX(Cartera1017[indicador de Avance],ROW(A122)),"")</f>
        <v>IMPLEMENTADO 🔵</v>
      </c>
      <c r="D124" s="376" t="str" cm="1">
        <f t="array" ref="D124">IFERROR(INDEX(Cartera1017[Gerencia],ROW(A122)),"")</f>
        <v>Productos e Inclusión Financiera</v>
      </c>
      <c r="E124" s="376" t="str" cm="1">
        <f t="array" ref="E124">IFERROR(INDEX(Cartera1017[Subgerencia],ROW(A122)),"")</f>
        <v>Banca Personal</v>
      </c>
      <c r="F124" s="376" t="str" cm="1">
        <f t="array" ref="F124">IFERROR(INDEX(Cartera1017[Sección],ROW(A122)),"")</f>
        <v>Préstamo Multired</v>
      </c>
      <c r="G124" s="376" t="str" cm="1">
        <f t="array" ref="G124">IFERROR(INDEX(Cartera1017[Estado TI],ROW(A122)),"")</f>
        <v>08. Producción Finalizada</v>
      </c>
      <c r="H124" s="463" cm="1">
        <f t="array" ref="H124">IFERROR(
 IF(
   INDEX(Cartera1017[Comienzo Desarrollo],ROW(A122))=0,
   "",
   INDEX(Cartera1017[Comienzo Desarrollo],ROW(A122))
 ),
 ""
)</f>
        <v>45937</v>
      </c>
      <c r="I124" s="463" cm="1">
        <f t="array" ref="I124">IFERROR(
 IF(
   INDEX(Cartera1017[Fin Producción],ROW(A122))=0,
   "",
   INDEX(Cartera1017[Fin Producción],ROW(A122))
 ),
 ""
)</f>
        <v>46043</v>
      </c>
    </row>
    <row r="125" spans="1:9">
      <c r="A125" s="376" t="str" cm="1">
        <f t="array" ref="A125">IFERROR(
 IF(
   INDEX(Cartera1017[ID Mantenimiento],ROW(A123))=0,
   "",
   INDEX(Cartera1017[ID Mantenimiento],ROW(A123))
 ),
 ""
)</f>
        <v>2025-M0036</v>
      </c>
      <c r="B125" s="376" t="str" cm="1">
        <f t="array" ref="B125">IFERROR(INDEX(Cartera1017[Nombre del Requerimiento],ROW(A123)),"")</f>
        <v>Soporte para el Proceso Batch del producto Tarjeta Tesoro MEF</v>
      </c>
      <c r="C125" s="376" t="str" cm="1">
        <f t="array" aca="1" ref="C125" ca="1">IFERROR(INDEX(Cartera1017[indicador de Avance],ROW(A123)),"")</f>
        <v>ATRASADO 🔴</v>
      </c>
      <c r="D125" s="376" t="str" cm="1">
        <f t="array" ref="D125">IFERROR(INDEX(Cartera1017[Gerencia],ROW(A123)),"")</f>
        <v>Tecnologías de Información</v>
      </c>
      <c r="E125" s="376" t="str" cm="1">
        <f t="array" ref="E125">IFERROR(INDEX(Cartera1017[Subgerencia],ROW(A123)),"")</f>
        <v>Construcción de Aplicaciones</v>
      </c>
      <c r="F125" s="376" t="str" cm="1">
        <f t="array" ref="F125">IFERROR(INDEX(Cartera1017[Sección],ROW(A123)),"")</f>
        <v>Sistemas Bancarios</v>
      </c>
      <c r="G125" s="376" t="str" cm="1">
        <f t="array" ref="G125">IFERROR(INDEX(Cartera1017[Estado TI],ROW(A123)),"")</f>
        <v>03. En Desarrollo</v>
      </c>
      <c r="H125" s="463" cm="1">
        <f t="array" ref="H125">IFERROR(
 IF(
   INDEX(Cartera1017[Comienzo Desarrollo],ROW(A123))=0,
   "",
   INDEX(Cartera1017[Comienzo Desarrollo],ROW(A123))
 ),
 ""
)</f>
        <v>46083</v>
      </c>
      <c r="I125" s="463" cm="1">
        <f t="array" ref="I125">IFERROR(
 IF(
   INDEX(Cartera1017[Fin Producción],ROW(A123))=0,
   "",
   INDEX(Cartera1017[Fin Producción],ROW(A123))
 ),
 ""
)</f>
        <v>46147</v>
      </c>
    </row>
    <row r="126" spans="1:9">
      <c r="A126" s="376" t="str" cm="1">
        <f t="array" ref="A126">IFERROR(
 IF(
   INDEX(Cartera1017[ID Mantenimiento],ROW(A124))=0,
   "",
   INDEX(Cartera1017[ID Mantenimiento],ROW(A124))
 ),
 ""
)</f>
        <v>2025-M0079</v>
      </c>
      <c r="B126" s="376" t="str" cm="1">
        <f t="array" ref="B126">IFERROR(INDEX(Cartera1017[Nombre del Requerimiento],ROW(A124)),"")</f>
        <v>INCLUIR EN EL MODULO DE GESTION LA OPCION DE REGISTRO, ACTUALIZACION Y CONSULTA DE LOS ATRIBUTOS DE LA TARJETA DE CREDITO Y TARJETAS DE TESORO.</v>
      </c>
      <c r="C126" s="376" t="str" cm="1">
        <f t="array" aca="1" ref="C126" ca="1">IFERROR(INDEX(Cartera1017[indicador de Avance],ROW(A124)),"")</f>
        <v>IMPLEMENTADO 🔵</v>
      </c>
      <c r="D126" s="376" t="str" cm="1">
        <f t="array" ref="D126">IFERROR(INDEX(Cartera1017[Gerencia],ROW(A124)),"")</f>
        <v>Productos e Inclusión Financiera</v>
      </c>
      <c r="E126" s="376" t="str" cm="1">
        <f t="array" ref="E126">IFERROR(INDEX(Cartera1017[Subgerencia],ROW(A124)),"")</f>
        <v>Banca Personal</v>
      </c>
      <c r="F126" s="376" t="str" cm="1">
        <f t="array" ref="F126">IFERROR(INDEX(Cartera1017[Sección],ROW(A124)),"")</f>
        <v>Tarjeta de Crédito</v>
      </c>
      <c r="G126" s="376" t="str" cm="1">
        <f t="array" ref="G126">IFERROR(INDEX(Cartera1017[Estado TI],ROW(A124)),"")</f>
        <v>08. Producción Finalizada</v>
      </c>
      <c r="H126" s="463" cm="1">
        <f t="array" ref="H126">IFERROR(
 IF(
   INDEX(Cartera1017[Comienzo Desarrollo],ROW(A124))=0,
   "",
   INDEX(Cartera1017[Comienzo Desarrollo],ROW(A124))
 ),
 ""
)</f>
        <v>45688</v>
      </c>
      <c r="I126" s="463" cm="1">
        <f t="array" ref="I126">IFERROR(
 IF(
   INDEX(Cartera1017[Fin Producción],ROW(A124))=0,
   "",
   INDEX(Cartera1017[Fin Producción],ROW(A124))
 ),
 ""
)</f>
        <v>46029</v>
      </c>
    </row>
    <row r="127" spans="1:9">
      <c r="A127" s="376" t="str" cm="1">
        <f t="array" ref="A127">IFERROR(
 IF(
   INDEX(Cartera1017[ID Mantenimiento],ROW(A125))=0,
   "",
   INDEX(Cartera1017[ID Mantenimiento],ROW(A125))
 ),
 ""
)</f>
        <v>2025-M0143</v>
      </c>
      <c r="B127" s="376" t="str" cm="1">
        <f t="array" ref="B127">IFERROR(INDEX(Cartera1017[Nombre del Requerimiento],ROW(A125)),"")</f>
        <v>IMPLEMENTAR PROCESO  AUTOMATICO CONTABLE</v>
      </c>
      <c r="C127" s="376" t="str" cm="1">
        <f t="array" aca="1" ref="C127" ca="1">IFERROR(INDEX(Cartera1017[indicador de Avance],ROW(A125)),"")</f>
        <v>PARALIZADO ⚪</v>
      </c>
      <c r="D127" s="376" t="str" cm="1">
        <f t="array" ref="D127">IFERROR(INDEX(Cartera1017[Gerencia],ROW(A125)),"")</f>
        <v>Banca Digital</v>
      </c>
      <c r="E127" s="376" t="str" cm="1">
        <f t="array" ref="E127">IFERROR(INDEX(Cartera1017[Subgerencia],ROW(A125)),"")</f>
        <v>Canales Alternos</v>
      </c>
      <c r="F127" s="376" t="str" cm="1">
        <f t="array" ref="F127">IFERROR(INDEX(Cartera1017[Sección],ROW(A125)),"")</f>
        <v>Canales Presenciales</v>
      </c>
      <c r="G127" s="376" t="str" cm="1">
        <f t="array" ref="G127">IFERROR(INDEX(Cartera1017[Estado TI],ROW(A125)),"")</f>
        <v>10. Paralizado</v>
      </c>
      <c r="H127" s="463" t="str" cm="1">
        <f t="array" ref="H127">IFERROR(
 IF(
   INDEX(Cartera1017[Comienzo Desarrollo],ROW(A125))=0,
   "",
   INDEX(Cartera1017[Comienzo Desarrollo],ROW(A125))
 ),
 ""
)</f>
        <v/>
      </c>
      <c r="I127" s="463" cm="1">
        <f t="array" ref="I127">IFERROR(
 IF(
   INDEX(Cartera1017[Fin Producción],ROW(A125))=0,
   "",
   INDEX(Cartera1017[Fin Producción],ROW(A125))
 ),
 ""
)</f>
        <v>46477</v>
      </c>
    </row>
    <row r="128" spans="1:9">
      <c r="A128" s="376" t="str" cm="1">
        <f t="array" ref="A128">IFERROR(
 IF(
   INDEX(Cartera1017[ID Mantenimiento],ROW(A126))=0,
   "",
   INDEX(Cartera1017[ID Mantenimiento],ROW(A126))
 ),
 ""
)</f>
        <v>2025-M0574</v>
      </c>
      <c r="B128" s="376" t="str" cm="1">
        <f t="array" ref="B128">IFERROR(INDEX(Cartera1017[Nombre del Requerimiento],ROW(A126)),"")</f>
        <v>SIRE REGISTRO DE VENTAS</v>
      </c>
      <c r="C128" s="376" t="str" cm="1">
        <f t="array" aca="1" ref="C128" ca="1">IFERROR(INDEX(Cartera1017[indicador de Avance],ROW(A126)),"")</f>
        <v>ATRASADO 🔴</v>
      </c>
      <c r="D128" s="376" t="str" cm="1">
        <f t="array" ref="D128">IFERROR(INDEX(Cartera1017[Gerencia],ROW(A126)),"")</f>
        <v>Finanzas y Tesorería</v>
      </c>
      <c r="E128" s="376" t="str" cm="1">
        <f t="array" ref="E128">IFERROR(INDEX(Cartera1017[Subgerencia],ROW(A126)),"")</f>
        <v>Contabilidad</v>
      </c>
      <c r="F128" s="376" t="str" cm="1">
        <f t="array" ref="F128">IFERROR(INDEX(Cartera1017[Sección],ROW(A126)),"")</f>
        <v>Tributación</v>
      </c>
      <c r="G128" s="376" t="str" cm="1">
        <f t="array" ref="G128">IFERROR(INDEX(Cartera1017[Estado TI],ROW(A126)),"")</f>
        <v>05. En Calidad</v>
      </c>
      <c r="H128" s="463" cm="1">
        <f t="array" ref="H128">IFERROR(
 IF(
   INDEX(Cartera1017[Comienzo Desarrollo],ROW(A126))=0,
   "",
   INDEX(Cartera1017[Comienzo Desarrollo],ROW(A126))
 ),
 ""
)</f>
        <v>46083</v>
      </c>
      <c r="I128" s="463" cm="1">
        <f t="array" ref="I128">IFERROR(
 IF(
   INDEX(Cartera1017[Fin Producción],ROW(A126))=0,
   "",
   INDEX(Cartera1017[Fin Producción],ROW(A126))
 ),
 ""
)</f>
        <v>46159</v>
      </c>
    </row>
    <row r="129" spans="1:9">
      <c r="A129" s="376" t="str" cm="1">
        <f t="array" ref="A129">IFERROR(
 IF(
   INDEX(Cartera1017[ID Mantenimiento],ROW(A127))=0,
   "",
   INDEX(Cartera1017[ID Mantenimiento],ROW(A127))
 ),
 ""
)</f>
        <v>2025-M0770</v>
      </c>
      <c r="B129" s="376" t="str" cm="1">
        <f t="array" ref="B129">IFERROR(INDEX(Cartera1017[Nombre del Requerimiento],ROW(A127)),"")</f>
        <v xml:space="preserve">Identificación de riesgos cambiario crediticio para los clientes minoristas </v>
      </c>
      <c r="C129" s="376" t="str" cm="1">
        <f t="array" aca="1" ref="C129" ca="1">IFERROR(INDEX(Cartera1017[indicador de Avance],ROW(A127)),"")</f>
        <v>ATRASADO 🔴</v>
      </c>
      <c r="D129" s="376" t="str" cm="1">
        <f t="array" ref="D129">IFERROR(INDEX(Cartera1017[Gerencia],ROW(A127)),"")</f>
        <v>Riesgos</v>
      </c>
      <c r="E129" s="376" t="str" cm="1">
        <f t="array" ref="E129">IFERROR(INDEX(Cartera1017[Subgerencia],ROW(A127)),"")</f>
        <v>Riesgos Crediticios y Financieros</v>
      </c>
      <c r="F129" s="376" t="str" cm="1">
        <f t="array" ref="F129">IFERROR(INDEX(Cartera1017[Sección],ROW(A127)),"")</f>
        <v>Evaluación de Cartera de Créditos</v>
      </c>
      <c r="G129" s="376" t="str" cm="1">
        <f t="array" ref="G129">IFERROR(INDEX(Cartera1017[Estado TI],ROW(A127)),"")</f>
        <v>05. En Calidad</v>
      </c>
      <c r="H129" s="463" cm="1">
        <f t="array" ref="H129">IFERROR(
 IF(
   INDEX(Cartera1017[Comienzo Desarrollo],ROW(A127))=0,
   "",
   INDEX(Cartera1017[Comienzo Desarrollo],ROW(A127))
 ),
 ""
)</f>
        <v>46083</v>
      </c>
      <c r="I129" s="463" cm="1">
        <f t="array" ref="I129">IFERROR(
 IF(
   INDEX(Cartera1017[Fin Producción],ROW(A127))=0,
   "",
   INDEX(Cartera1017[Fin Producción],ROW(A127))
 ),
 ""
)</f>
        <v>46142</v>
      </c>
    </row>
    <row r="130" spans="1:9">
      <c r="A130" s="376" t="str" cm="1">
        <f t="array" ref="A130">IFERROR(
 IF(
   INDEX(Cartera1017[ID Mantenimiento],ROW(A128))=0,
   "",
   INDEX(Cartera1017[ID Mantenimiento],ROW(A128))
 ),
 ""
)</f>
        <v>2025-M0598</v>
      </c>
      <c r="B130" s="376" t="str" cm="1">
        <f t="array" ref="B130">IFERROR(INDEX(Cartera1017[Nombre del Requerimiento],ROW(A128)),"")</f>
        <v>Cambio Plataforma IZIPAY para el canal Pagalo.pe</v>
      </c>
      <c r="C130" s="376" t="str" cm="1">
        <f t="array" aca="1" ref="C130" ca="1">IFERROR(INDEX(Cartera1017[indicador de Avance],ROW(A128)),"")</f>
        <v>ATRASADO 🔴</v>
      </c>
      <c r="D130" s="376" t="str" cm="1">
        <f t="array" ref="D130">IFERROR(INDEX(Cartera1017[Gerencia],ROW(A128)),"")</f>
        <v>Banca Digital</v>
      </c>
      <c r="E130" s="376" t="str" cm="1">
        <f t="array" ref="E130">IFERROR(INDEX(Cartera1017[Subgerencia],ROW(A128)),"")</f>
        <v>Canales Alternos</v>
      </c>
      <c r="F130" s="376" t="str" cm="1">
        <f t="array" ref="F130">IFERROR(INDEX(Cartera1017[Sección],ROW(A128)),"")</f>
        <v>Canales Virtuales</v>
      </c>
      <c r="G130" s="376" t="str" cm="1">
        <f t="array" ref="G130">IFERROR(INDEX(Cartera1017[Estado TI],ROW(A128)),"")</f>
        <v>07. En Despliegue</v>
      </c>
      <c r="H130" s="463" cm="1">
        <f t="array" ref="H130">IFERROR(
 IF(
   INDEX(Cartera1017[Comienzo Desarrollo],ROW(A128))=0,
   "",
   INDEX(Cartera1017[Comienzo Desarrollo],ROW(A128))
 ),
 ""
)</f>
        <v>45901</v>
      </c>
      <c r="I130" s="463" cm="1">
        <f t="array" ref="I130">IFERROR(
 IF(
   INDEX(Cartera1017[Fin Producción],ROW(A128))=0,
   "",
   INDEX(Cartera1017[Fin Producción],ROW(A128))
 ),
 ""
)</f>
        <v>46142</v>
      </c>
    </row>
    <row r="131" spans="1:9">
      <c r="A131" s="376" t="str" cm="1">
        <f t="array" ref="A131">IFERROR(
 IF(
   INDEX(Cartera1017[ID Mantenimiento],ROW(A129))=0,
   "",
   INDEX(Cartera1017[ID Mantenimiento],ROW(A129))
 ),
 ""
)</f>
        <v>2025-M0556</v>
      </c>
      <c r="B131" s="376" t="str" cm="1">
        <f t="array" ref="B131">IFERROR(INDEX(Cartera1017[Nombre del Requerimiento],ROW(A129)),"")</f>
        <v>Actualización de Factores en las bases de datos de los reportes ARCHNIV_F y REPORTNIV_F</v>
      </c>
      <c r="C131" s="376" t="str" cm="1">
        <f t="array" aca="1" ref="C131" ca="1">IFERROR(INDEX(Cartera1017[indicador de Avance],ROW(A129)),"")</f>
        <v>IMPLEMENTADO 🔵</v>
      </c>
      <c r="D131" s="376" t="str" cm="1">
        <f t="array" ref="D131">IFERROR(INDEX(Cartera1017[Gerencia],ROW(A129)),"")</f>
        <v>Riesgos</v>
      </c>
      <c r="E131" s="376" t="str" cm="1">
        <f t="array" ref="E131">IFERROR(INDEX(Cartera1017[Subgerencia],ROW(A129)),"")</f>
        <v>Riesgos Crediticios y Financieros</v>
      </c>
      <c r="F131" s="376" t="str" cm="1">
        <f t="array" ref="F131">IFERROR(INDEX(Cartera1017[Sección],ROW(A129)),"")</f>
        <v>Evaluación de Cartera de Créditos</v>
      </c>
      <c r="G131" s="376" t="str" cm="1">
        <f t="array" ref="G131">IFERROR(INDEX(Cartera1017[Estado TI],ROW(A129)),"")</f>
        <v>08. Producción Finalizada</v>
      </c>
      <c r="H131" s="463" cm="1">
        <f t="array" ref="H131">IFERROR(
 IF(
   INDEX(Cartera1017[Comienzo Desarrollo],ROW(A129))=0,
   "",
   INDEX(Cartera1017[Comienzo Desarrollo],ROW(A129))
 ),
 ""
)</f>
        <v>45883</v>
      </c>
      <c r="I131" s="463" cm="1">
        <f t="array" ref="I131">IFERROR(
 IF(
   INDEX(Cartera1017[Fin Producción],ROW(A129))=0,
   "",
   INDEX(Cartera1017[Fin Producción],ROW(A129))
 ),
 ""
)</f>
        <v>46057</v>
      </c>
    </row>
    <row r="132" spans="1:9">
      <c r="A132" s="376" t="str" cm="1">
        <f t="array" ref="A132">IFERROR(
 IF(
   INDEX(Cartera1017[ID Mantenimiento],ROW(A130))=0,
   "",
   INDEX(Cartera1017[ID Mantenimiento],ROW(A130))
 ),
 ""
)</f>
        <v>2025-M0575</v>
      </c>
      <c r="B132" s="376" t="str" cm="1">
        <f t="array" ref="B132">IFERROR(INDEX(Cartera1017[Nombre del Requerimiento],ROW(A130)),"")</f>
        <v>Enrolamiento en línea – 2da parte:  Migración bd y reportería</v>
      </c>
      <c r="C132" s="376" t="str" cm="1">
        <f t="array" aca="1" ref="C132" ca="1">IFERROR(INDEX(Cartera1017[indicador de Avance],ROW(A130)),"")</f>
        <v>ATRASADO 🔴</v>
      </c>
      <c r="D132" s="376" t="str" cm="1">
        <f t="array" ref="D132">IFERROR(INDEX(Cartera1017[Gerencia],ROW(A130)),"")</f>
        <v>Banca Digital</v>
      </c>
      <c r="E132" s="376" t="str" cm="1">
        <f t="array" ref="E132">IFERROR(INDEX(Cartera1017[Subgerencia],ROW(A130)),"")</f>
        <v>Canales Alternos</v>
      </c>
      <c r="F132" s="376" t="str" cm="1">
        <f t="array" ref="F132">IFERROR(INDEX(Cartera1017[Sección],ROW(A130)),"")</f>
        <v>Canales Virtuales</v>
      </c>
      <c r="G132" s="376" t="str" cm="1">
        <f t="array" ref="G132">IFERROR(INDEX(Cartera1017[Estado TI],ROW(A130)),"")</f>
        <v>03. En Desarrollo</v>
      </c>
      <c r="H132" s="463" cm="1">
        <f t="array" ref="H132">IFERROR(
 IF(
   INDEX(Cartera1017[Comienzo Desarrollo],ROW(A130))=0,
   "",
   INDEX(Cartera1017[Comienzo Desarrollo],ROW(A130))
 ),
 ""
)</f>
        <v>46083</v>
      </c>
      <c r="I132" s="463" cm="1">
        <f t="array" ref="I132">IFERROR(
 IF(
   INDEX(Cartera1017[Fin Producción],ROW(A130))=0,
   "",
   INDEX(Cartera1017[Fin Producción],ROW(A130))
 ),
 ""
)</f>
        <v>46164</v>
      </c>
    </row>
    <row r="133" spans="1:9">
      <c r="A133" s="376" t="str" cm="1">
        <f t="array" ref="A133">IFERROR(
 IF(
   INDEX(Cartera1017[ID Mantenimiento],ROW(A131))=0,
   "",
   INDEX(Cartera1017[ID Mantenimiento],ROW(A131))
 ),
 ""
)</f>
        <v>2025-M0579</v>
      </c>
      <c r="B133" s="376" t="str" cm="1">
        <f t="array" ref="B133">IFERROR(INDEX(Cartera1017[Nombre del Requerimiento],ROW(A131)),"")</f>
        <v xml:space="preserve">Implementación de API 35 y Gestión de Certificados de Seguridad Cuenta DNI 
</v>
      </c>
      <c r="C133" s="376" t="str" cm="1">
        <f t="array" aca="1" ref="C133" ca="1">IFERROR(INDEX(Cartera1017[indicador de Avance],ROW(A131)),"")</f>
        <v>IMPLEMENTADO 🔵</v>
      </c>
      <c r="D133" s="376" t="str" cm="1">
        <f t="array" ref="D133">IFERROR(INDEX(Cartera1017[Gerencia],ROW(A131)),"")</f>
        <v>Banca Digital</v>
      </c>
      <c r="E133" s="376" t="str" cm="1">
        <f t="array" ref="E133">IFERROR(INDEX(Cartera1017[Subgerencia],ROW(A131)),"")</f>
        <v>Canales Alternos</v>
      </c>
      <c r="F133" s="376" t="str" cm="1">
        <f t="array" ref="F133">IFERROR(INDEX(Cartera1017[Sección],ROW(A131)),"")</f>
        <v>Canales Virtuales</v>
      </c>
      <c r="G133" s="376" t="str" cm="1">
        <f t="array" ref="G133">IFERROR(INDEX(Cartera1017[Estado TI],ROW(A131)),"")</f>
        <v>08. Producción Finalizada</v>
      </c>
      <c r="H133" s="463" cm="1">
        <f t="array" ref="H133">IFERROR(
 IF(
   INDEX(Cartera1017[Comienzo Desarrollo],ROW(A131))=0,
   "",
   INDEX(Cartera1017[Comienzo Desarrollo],ROW(A131))
 ),
 ""
)</f>
        <v>45891</v>
      </c>
      <c r="I133" s="463" cm="1">
        <f t="array" ref="I133">IFERROR(
 IF(
   INDEX(Cartera1017[Fin Producción],ROW(A131))=0,
   "",
   INDEX(Cartera1017[Fin Producción],ROW(A131))
 ),
 ""
)</f>
        <v>46035</v>
      </c>
    </row>
    <row r="134" spans="1:9">
      <c r="A134" s="376" t="str" cm="1">
        <f t="array" ref="A134">IFERROR(
 IF(
   INDEX(Cartera1017[ID Mantenimiento],ROW(A132))=0,
   "",
   INDEX(Cartera1017[ID Mantenimiento],ROW(A132))
 ),
 ""
)</f>
        <v>2026-M0002</v>
      </c>
      <c r="B134" s="376" t="str" cm="1">
        <f t="array" ref="B134">IFERROR(INDEX(Cartera1017[Nombre del Requerimiento],ROW(A132)),"")</f>
        <v>Controles para el proceso de Cobranza Automática de Préstamo Multired</v>
      </c>
      <c r="C134" s="376" t="str" cm="1">
        <f t="array" aca="1" ref="C134" ca="1">IFERROR(INDEX(Cartera1017[indicador de Avance],ROW(A132)),"")</f>
        <v>IMPLEMENTADO 🔵</v>
      </c>
      <c r="D134" s="376" t="str" cm="1">
        <f t="array" ref="D134">IFERROR(INDEX(Cartera1017[Gerencia],ROW(A132)),"")</f>
        <v>Productos e Inclusión Financiera</v>
      </c>
      <c r="E134" s="376" t="str" cm="1">
        <f t="array" ref="E134">IFERROR(INDEX(Cartera1017[Subgerencia],ROW(A132)),"")</f>
        <v>Banca Personal</v>
      </c>
      <c r="F134" s="376" t="str" cm="1">
        <f t="array" ref="F134">IFERROR(INDEX(Cartera1017[Sección],ROW(A132)),"")</f>
        <v>Préstamo Multired</v>
      </c>
      <c r="G134" s="376" t="str" cm="1">
        <f t="array" ref="G134">IFERROR(INDEX(Cartera1017[Estado TI],ROW(A132)),"")</f>
        <v>08. Producción Finalizada</v>
      </c>
      <c r="H134" s="463" cm="1">
        <f t="array" ref="H134">IFERROR(
 IF(
   INDEX(Cartera1017[Comienzo Desarrollo],ROW(A132))=0,
   "",
   INDEX(Cartera1017[Comienzo Desarrollo],ROW(A132))
 ),
 ""
)</f>
        <v>46027</v>
      </c>
      <c r="I134" s="463" cm="1">
        <f t="array" ref="I134">IFERROR(
 IF(
   INDEX(Cartera1017[Fin Producción],ROW(A132))=0,
   "",
   INDEX(Cartera1017[Fin Producción],ROW(A132))
 ),
 ""
)</f>
        <v>46140</v>
      </c>
    </row>
    <row r="135" spans="1:9">
      <c r="A135" s="376" t="str" cm="1">
        <f t="array" ref="A135">IFERROR(
 IF(
   INDEX(Cartera1017[ID Mantenimiento],ROW(A133))=0,
   "",
   INDEX(Cartera1017[ID Mantenimiento],ROW(A133))
 ),
 ""
)</f>
        <v>2025-M0589</v>
      </c>
      <c r="B135" s="376" t="str" cm="1">
        <f t="array" ref="B135">IFERROR(INDEX(Cartera1017[Nombre del Requerimiento],ROW(A133)),"")</f>
        <v>Generación de Base de Datos (Maestro) de Rutas Foráneas e Inclusión de rutas foráneas en secuencias FISA del proceso de Traslado de Fondos a nivel nacional (OPCF)</v>
      </c>
      <c r="C135" s="376" t="str" cm="1">
        <f t="array" aca="1" ref="C135" ca="1">IFERROR(INDEX(Cartera1017[indicador de Avance],ROW(A133)),"")</f>
        <v>IMPLEMENTADO 🔵</v>
      </c>
      <c r="D135" s="376" t="str" cm="1">
        <f t="array" ref="D135">IFERROR(INDEX(Cartera1017[Gerencia],ROW(A133)),"")</f>
        <v>Operaciones</v>
      </c>
      <c r="E135" s="376" t="str" cm="1">
        <f t="array" ref="E135">IFERROR(INDEX(Cartera1017[Subgerencia],ROW(A133)),"")</f>
        <v>Caja y Valores</v>
      </c>
      <c r="F135" s="376" t="str" cm="1">
        <f t="array" ref="F135">IFERROR(INDEX(Cartera1017[Sección],ROW(A133)),"")</f>
        <v>Programación y Distribución de Fondos</v>
      </c>
      <c r="G135" s="376" t="str" cm="1">
        <f t="array" ref="G135">IFERROR(INDEX(Cartera1017[Estado TI],ROW(A133)),"")</f>
        <v>08. Producción Finalizada</v>
      </c>
      <c r="H135" s="463" cm="1">
        <f t="array" ref="H135">IFERROR(
 IF(
   INDEX(Cartera1017[Comienzo Desarrollo],ROW(A133))=0,
   "",
   INDEX(Cartera1017[Comienzo Desarrollo],ROW(A133))
 ),
 ""
)</f>
        <v>45923</v>
      </c>
      <c r="I135" s="463" cm="1">
        <f t="array" ref="I135">IFERROR(
 IF(
   INDEX(Cartera1017[Fin Producción],ROW(A133))=0,
   "",
   INDEX(Cartera1017[Fin Producción],ROW(A133))
 ),
 ""
)</f>
        <v>46037</v>
      </c>
    </row>
    <row r="136" spans="1:9">
      <c r="A136" s="376" t="str" cm="1">
        <f t="array" ref="A136">IFERROR(
 IF(
   INDEX(Cartera1017[ID Mantenimiento],ROW(A134))=0,
   "",
   INDEX(Cartera1017[ID Mantenimiento],ROW(A134))
 ),
 ""
)</f>
        <v>2025-M0540</v>
      </c>
      <c r="B136" s="376" t="str" cm="1">
        <f t="array" ref="B136">IFERROR(INDEX(Cartera1017[Nombre del Requerimiento],ROW(A134)),"")</f>
        <v>MC: Inclusión de nuevo BIN:Tarjeta de crédito</v>
      </c>
      <c r="C136" s="376" t="str" cm="1">
        <f t="array" aca="1" ref="C136" ca="1">IFERROR(INDEX(Cartera1017[indicador de Avance],ROW(A134)),"")</f>
        <v>ATRASADO 🔴</v>
      </c>
      <c r="D136" s="376" t="str" cm="1">
        <f t="array" ref="D136">IFERROR(INDEX(Cartera1017[Gerencia],ROW(A134)),"")</f>
        <v>Tecnologías de Información</v>
      </c>
      <c r="E136" s="376" t="str" cm="1">
        <f t="array" ref="E136">IFERROR(INDEX(Cartera1017[Subgerencia],ROW(A134)),"")</f>
        <v>Construcción de Aplicaciones</v>
      </c>
      <c r="F136" s="376" t="str" cm="1">
        <f t="array" ref="F136">IFERROR(INDEX(Cartera1017[Sección],ROW(A134)),"")</f>
        <v>Sistemas Bancarios</v>
      </c>
      <c r="G136" s="376" t="str" cm="1">
        <f t="array" ref="G136">IFERROR(INDEX(Cartera1017[Estado TI],ROW(A134)),"")</f>
        <v>03. En Desarrollo</v>
      </c>
      <c r="H136" s="463" cm="1">
        <f t="array" ref="H136">IFERROR(
 IF(
   INDEX(Cartera1017[Comienzo Desarrollo],ROW(A134))=0,
   "",
   INDEX(Cartera1017[Comienzo Desarrollo],ROW(A134))
 ),
 ""
)</f>
        <v>46083</v>
      </c>
      <c r="I136" s="463" cm="1">
        <f t="array" ref="I136">IFERROR(
 IF(
   INDEX(Cartera1017[Fin Producción],ROW(A134))=0,
   "",
   INDEX(Cartera1017[Fin Producción],ROW(A134))
 ),
 ""
)</f>
        <v>46129</v>
      </c>
    </row>
    <row r="137" spans="1:9">
      <c r="A137" s="376" t="str" cm="1">
        <f t="array" ref="A137">IFERROR(
 IF(
   INDEX(Cartera1017[ID Mantenimiento],ROW(A135))=0,
   "",
   INDEX(Cartera1017[ID Mantenimiento],ROW(A135))
 ),
 ""
)</f>
        <v>2025-M0535</v>
      </c>
      <c r="B137" s="376" t="str" cm="1">
        <f t="array" ref="B137">IFERROR(INDEX(Cartera1017[Nombre del Requerimiento],ROW(A135)),"")</f>
        <v>Bibloteca -Modulos de Administración y Buscador</v>
      </c>
      <c r="C137" s="376" t="str" cm="1">
        <f t="array" aca="1" ref="C137" ca="1">IFERROR(INDEX(Cartera1017[indicador de Avance],ROW(A135)),"")</f>
        <v>EN CURSO 🟢</v>
      </c>
      <c r="D137" s="376" t="str" cm="1">
        <f t="array" ref="D137">IFERROR(INDEX(Cartera1017[Gerencia],ROW(A135)),"")</f>
        <v>Recursos Humanos y Cultura</v>
      </c>
      <c r="E137" s="376" t="str" cm="1">
        <f t="array" ref="E137">IFERROR(INDEX(Cartera1017[Subgerencia],ROW(A135)),"")</f>
        <v>Desarrollo del Talento</v>
      </c>
      <c r="F137" s="376" t="str" cm="1">
        <f t="array" ref="F137">IFERROR(INDEX(Cartera1017[Sección],ROW(A135)),"")</f>
        <v>Capacitación</v>
      </c>
      <c r="G137" s="376" t="str" cm="1">
        <f t="array" ref="G137">IFERROR(INDEX(Cartera1017[Estado TI],ROW(A135)),"")</f>
        <v>03. En Desarrollo</v>
      </c>
      <c r="H137" s="463" cm="1">
        <f t="array" ref="H137">IFERROR(
 IF(
   INDEX(Cartera1017[Comienzo Desarrollo],ROW(A135))=0,
   "",
   INDEX(Cartera1017[Comienzo Desarrollo],ROW(A135))
 ),
 ""
)</f>
        <v>46174</v>
      </c>
      <c r="I137" s="463" cm="1">
        <f t="array" ref="I137">IFERROR(
 IF(
   INDEX(Cartera1017[Fin Producción],ROW(A135))=0,
   "",
   INDEX(Cartera1017[Fin Producción],ROW(A135))
 ),
 ""
)</f>
        <v>46272</v>
      </c>
    </row>
    <row r="138" spans="1:9">
      <c r="A138" s="376" t="str" cm="1">
        <f t="array" ref="A138">IFERROR(
 IF(
   INDEX(Cartera1017[ID Mantenimiento],ROW(A136))=0,
   "",
   INDEX(Cartera1017[ID Mantenimiento],ROW(A136))
 ),
 ""
)</f>
        <v>2025-M0536</v>
      </c>
      <c r="B138" s="376" t="str" cm="1">
        <f t="array" ref="B138">IFERROR(INDEX(Cartera1017[Nombre del Requerimiento],ROW(A136)),"")</f>
        <v>Optimizacion SARE intranet, reducir errores en el registro y nuevas funcionalidades</v>
      </c>
      <c r="C138" s="376" t="str" cm="1">
        <f t="array" aca="1" ref="C138" ca="1">IFERROR(INDEX(Cartera1017[indicador de Avance],ROW(A136)),"")</f>
        <v>PARALIZADO ⚪</v>
      </c>
      <c r="D138" s="376" t="str" cm="1">
        <f t="array" ref="D138">IFERROR(INDEX(Cartera1017[Gerencia],ROW(A136)),"")</f>
        <v>Gerencia General</v>
      </c>
      <c r="E138" s="376" t="str" cm="1">
        <f t="array" ref="E138">IFERROR(INDEX(Cartera1017[Subgerencia],ROW(A136)),"")</f>
        <v>Experiencia de Cliente y Reclamos</v>
      </c>
      <c r="F138" s="376" t="str" cm="1">
        <f t="array" ref="F138">IFERROR(INDEX(Cartera1017[Sección],ROW(A136)),"")</f>
        <v>Reclamos</v>
      </c>
      <c r="G138" s="376" t="str" cm="1">
        <f t="array" ref="G138">IFERROR(INDEX(Cartera1017[Estado TI],ROW(A136)),"")</f>
        <v>10. Paralizado</v>
      </c>
      <c r="H138" s="463" cm="1">
        <f t="array" ref="H138">IFERROR(
 IF(
   INDEX(Cartera1017[Comienzo Desarrollo],ROW(A136))=0,
   "",
   INDEX(Cartera1017[Comienzo Desarrollo],ROW(A136))
 ),
 ""
)</f>
        <v>46083</v>
      </c>
      <c r="I138" s="463" cm="1">
        <f t="array" ref="I138">IFERROR(
 IF(
   INDEX(Cartera1017[Fin Producción],ROW(A136))=0,
   "",
   INDEX(Cartera1017[Fin Producción],ROW(A136))
 ),
 ""
)</f>
        <v>46374</v>
      </c>
    </row>
    <row r="139" spans="1:9">
      <c r="A139" s="376" t="str" cm="1">
        <f t="array" ref="A139">IFERROR(
 IF(
   INDEX(Cartera1017[ID Mantenimiento],ROW(A137))=0,
   "",
   INDEX(Cartera1017[ID Mantenimiento],ROW(A137))
 ),
 ""
)</f>
        <v>2025-M0584</v>
      </c>
      <c r="B139" s="376" t="str" cm="1">
        <f t="array" ref="B139">IFERROR(INDEX(Cartera1017[Nombre del Requerimiento],ROW(A137)),"")</f>
        <v>MC: Extorno AFT</v>
      </c>
      <c r="C139" s="376" t="str" cm="1">
        <f t="array" aca="1" ref="C139" ca="1">IFERROR(INDEX(Cartera1017[indicador de Avance],ROW(A137)),"")</f>
        <v>ATRASADO 🔴</v>
      </c>
      <c r="D139" s="376" t="str" cm="1">
        <f t="array" ref="D139">IFERROR(INDEX(Cartera1017[Gerencia],ROW(A137)),"")</f>
        <v>Tecnologías de Información</v>
      </c>
      <c r="E139" s="376" t="str" cm="1">
        <f t="array" ref="E139">IFERROR(INDEX(Cartera1017[Subgerencia],ROW(A137)),"")</f>
        <v>Construcción de Aplicaciones</v>
      </c>
      <c r="F139" s="376" t="str" cm="1">
        <f t="array" ref="F139">IFERROR(INDEX(Cartera1017[Sección],ROW(A137)),"")</f>
        <v>Sistemas Bancarios</v>
      </c>
      <c r="G139" s="376" t="str" cm="1">
        <f t="array" ref="G139">IFERROR(INDEX(Cartera1017[Estado TI],ROW(A137)),"")</f>
        <v>03. En Desarrollo</v>
      </c>
      <c r="H139" s="463" cm="1">
        <f t="array" ref="H139">IFERROR(
 IF(
   INDEX(Cartera1017[Comienzo Desarrollo],ROW(A137))=0,
   "",
   INDEX(Cartera1017[Comienzo Desarrollo],ROW(A137))
 ),
 ""
)</f>
        <v>46083</v>
      </c>
      <c r="I139" s="463" cm="1">
        <f t="array" ref="I139">IFERROR(
 IF(
   INDEX(Cartera1017[Fin Producción],ROW(A137))=0,
   "",
   INDEX(Cartera1017[Fin Producción],ROW(A137))
 ),
 ""
)</f>
        <v>46122</v>
      </c>
    </row>
    <row r="140" spans="1:9">
      <c r="A140" s="376" t="str" cm="1">
        <f t="array" ref="A140">IFERROR(
 IF(
   INDEX(Cartera1017[ID Mantenimiento],ROW(A138))=0,
   "",
   INDEX(Cartera1017[ID Mantenimiento],ROW(A138))
 ),
 ""
)</f>
        <v>2025-M0562</v>
      </c>
      <c r="B140" s="376" t="str" cm="1">
        <f t="array" ref="B140">IFERROR(INDEX(Cartera1017[Nombre del Requerimiento],ROW(A138)),"")</f>
        <v>Proceso de envio de información – interfaces nuevo Sistema de Pagaduría MEF</v>
      </c>
      <c r="C140" s="376" t="str" cm="1">
        <f t="array" aca="1" ref="C140" ca="1">IFERROR(INDEX(Cartera1017[indicador de Avance],ROW(A138)),"")</f>
        <v>ATRASADO 🔴</v>
      </c>
      <c r="D140" s="376" t="str" cm="1">
        <f t="array" ref="D140">IFERROR(INDEX(Cartera1017[Gerencia],ROW(A138)),"")</f>
        <v>Tecnologías de Información</v>
      </c>
      <c r="E140" s="376" t="str" cm="1">
        <f t="array" ref="E140">IFERROR(INDEX(Cartera1017[Subgerencia],ROW(A138)),"")</f>
        <v>Construcción de Aplicaciones</v>
      </c>
      <c r="F140" s="376" t="str" cm="1">
        <f t="array" ref="F140">IFERROR(INDEX(Cartera1017[Sección],ROW(A138)),"")</f>
        <v>Sistemas Bancarios</v>
      </c>
      <c r="G140" s="376" t="str" cm="1">
        <f t="array" ref="G140">IFERROR(INDEX(Cartera1017[Estado TI],ROW(A138)),"")</f>
        <v>03. En Desarrollo</v>
      </c>
      <c r="H140" s="463" cm="1">
        <f t="array" ref="H140">IFERROR(
 IF(
   INDEX(Cartera1017[Comienzo Desarrollo],ROW(A138))=0,
   "",
   INDEX(Cartera1017[Comienzo Desarrollo],ROW(A138))
 ),
 ""
)</f>
        <v>46083</v>
      </c>
      <c r="I140" s="463" cm="1">
        <f t="array" ref="I140">IFERROR(
 IF(
   INDEX(Cartera1017[Fin Producción],ROW(A138))=0,
   "",
   INDEX(Cartera1017[Fin Producción],ROW(A138))
 ),
 ""
)</f>
        <v>46127</v>
      </c>
    </row>
    <row r="141" spans="1:9">
      <c r="A141" s="376" t="str" cm="1">
        <f t="array" ref="A141">IFERROR(
 IF(
   INDEX(Cartera1017[ID Mantenimiento],ROW(A139))=0,
   "",
   INDEX(Cartera1017[ID Mantenimiento],ROW(A139))
 ),
 ""
)</f>
        <v>2025-M0563</v>
      </c>
      <c r="B141" s="376" t="str" cm="1">
        <f t="array" ref="B141">IFERROR(INDEX(Cartera1017[Nombre del Requerimiento],ROW(A139)),"")</f>
        <v>Proceso de conciliación contable en nuevo Sistema de Pagaduría MEF</v>
      </c>
      <c r="C141" s="376" t="str" cm="1">
        <f t="array" aca="1" ref="C141" ca="1">IFERROR(INDEX(Cartera1017[indicador de Avance],ROW(A139)),"")</f>
        <v>ATRASADO 🔴</v>
      </c>
      <c r="D141" s="376" t="str" cm="1">
        <f t="array" ref="D141">IFERROR(INDEX(Cartera1017[Gerencia],ROW(A139)),"")</f>
        <v>Tecnologías de Información</v>
      </c>
      <c r="E141" s="376" t="str" cm="1">
        <f t="array" ref="E141">IFERROR(INDEX(Cartera1017[Subgerencia],ROW(A139)),"")</f>
        <v>Construcción de Aplicaciones</v>
      </c>
      <c r="F141" s="376" t="str" cm="1">
        <f t="array" ref="F141">IFERROR(INDEX(Cartera1017[Sección],ROW(A139)),"")</f>
        <v>Sistemas Bancarios</v>
      </c>
      <c r="G141" s="376" t="str" cm="1">
        <f t="array" ref="G141">IFERROR(INDEX(Cartera1017[Estado TI],ROW(A139)),"")</f>
        <v>03. En Desarrollo</v>
      </c>
      <c r="H141" s="463" cm="1">
        <f t="array" ref="H141">IFERROR(
 IF(
   INDEX(Cartera1017[Comienzo Desarrollo],ROW(A139))=0,
   "",
   INDEX(Cartera1017[Comienzo Desarrollo],ROW(A139))
 ),
 ""
)</f>
        <v>46083</v>
      </c>
      <c r="I141" s="463" cm="1">
        <f t="array" ref="I141">IFERROR(
 IF(
   INDEX(Cartera1017[Fin Producción],ROW(A139))=0,
   "",
   INDEX(Cartera1017[Fin Producción],ROW(A139))
 ),
 ""
)</f>
        <v>46127</v>
      </c>
    </row>
    <row r="142" spans="1:9">
      <c r="A142" s="376" t="str" cm="1">
        <f t="array" ref="A142">IFERROR(
 IF(
   INDEX(Cartera1017[ID Mantenimiento],ROW(A140))=0,
   "",
   INDEX(Cartera1017[ID Mantenimiento],ROW(A140))
 ),
 ""
)</f>
        <v>2025-M0596</v>
      </c>
      <c r="B142" s="376" t="str" cm="1">
        <f t="array" ref="B142">IFERROR(INDEX(Cartera1017[Nombre del Requerimiento],ROW(A140)),"")</f>
        <v>Proyecto Hub de Integración - Entidad FINANCIERA CONFIANZA</v>
      </c>
      <c r="C142" s="376" t="str" cm="1">
        <f t="array" aca="1" ref="C142" ca="1">IFERROR(INDEX(Cartera1017[indicador de Avance],ROW(A140)),"")</f>
        <v>ATRASADO 🔴</v>
      </c>
      <c r="D142" s="376" t="str" cm="1">
        <f t="array" ref="D142">IFERROR(INDEX(Cartera1017[Gerencia],ROW(A140)),"")</f>
        <v>Operaciones</v>
      </c>
      <c r="E142" s="376" t="str" cm="1">
        <f t="array" ref="E142">IFERROR(INDEX(Cartera1017[Subgerencia],ROW(A140)),"")</f>
        <v>Servicios Bancarios y Recaudación</v>
      </c>
      <c r="F142" s="376" t="str" cm="1">
        <f t="array" ref="F142">IFERROR(INDEX(Cartera1017[Sección],ROW(A140)),"")</f>
        <v>Recaudación y Corresponsalía</v>
      </c>
      <c r="G142" s="376" t="str" cm="1">
        <f t="array" ref="G142">IFERROR(INDEX(Cartera1017[Estado TI],ROW(A140)),"")</f>
        <v>07. En Despliegue</v>
      </c>
      <c r="H142" s="463" cm="1">
        <f t="array" ref="H142">IFERROR(
 IF(
   INDEX(Cartera1017[Comienzo Desarrollo],ROW(A140))=0,
   "",
   INDEX(Cartera1017[Comienzo Desarrollo],ROW(A140))
 ),
 ""
)</f>
        <v>45901</v>
      </c>
      <c r="I142" s="463" cm="1">
        <f t="array" ref="I142">IFERROR(
 IF(
   INDEX(Cartera1017[Fin Producción],ROW(A140))=0,
   "",
   INDEX(Cartera1017[Fin Producción],ROW(A140))
 ),
 ""
)</f>
        <v>46108</v>
      </c>
    </row>
    <row r="143" spans="1:9">
      <c r="A143" s="376" t="str" cm="1">
        <f t="array" ref="A143">IFERROR(
 IF(
   INDEX(Cartera1017[ID Mantenimiento],ROW(A141))=0,
   "",
   INDEX(Cartera1017[ID Mantenimiento],ROW(A141))
 ),
 ""
)</f>
        <v>2025-M0603</v>
      </c>
      <c r="B143" s="376" t="str" cm="1">
        <f t="array" ref="B143">IFERROR(INDEX(Cartera1017[Nombre del Requerimiento],ROW(A141)),"")</f>
        <v>Opción de Módulo de Impresiones - Tarjeta de Crédito</v>
      </c>
      <c r="C143" s="376" t="str" cm="1">
        <f t="array" aca="1" ref="C143" ca="1">IFERROR(INDEX(Cartera1017[indicador de Avance],ROW(A141)),"")</f>
        <v>ATRASADO 🔴</v>
      </c>
      <c r="D143" s="376" t="str" cm="1">
        <f t="array" ref="D143">IFERROR(INDEX(Cartera1017[Gerencia],ROW(A141)),"")</f>
        <v>Productos e Inclusión Financiera</v>
      </c>
      <c r="E143" s="376" t="str" cm="1">
        <f t="array" ref="E143">IFERROR(INDEX(Cartera1017[Subgerencia],ROW(A141)),"")</f>
        <v>Banca Personal</v>
      </c>
      <c r="F143" s="376" t="str" cm="1">
        <f t="array" ref="F143">IFERROR(INDEX(Cartera1017[Sección],ROW(A141)),"")</f>
        <v>Tarjeta de Crédito</v>
      </c>
      <c r="G143" s="376" t="str" cm="1">
        <f t="array" ref="G143">IFERROR(INDEX(Cartera1017[Estado TI],ROW(A141)),"")</f>
        <v>06. Calidad Finalizado</v>
      </c>
      <c r="H143" s="463" cm="1">
        <f t="array" ref="H143">IFERROR(
 IF(
   INDEX(Cartera1017[Comienzo Desarrollo],ROW(A141))=0,
   "",
   INDEX(Cartera1017[Comienzo Desarrollo],ROW(A141))
 ),
 ""
)</f>
        <v>45904</v>
      </c>
      <c r="I143" s="463" cm="1">
        <f t="array" ref="I143">IFERROR(
 IF(
   INDEX(Cartera1017[Fin Producción],ROW(A141))=0,
   "",
   INDEX(Cartera1017[Fin Producción],ROW(A141))
 ),
 ""
)</f>
        <v>46111</v>
      </c>
    </row>
    <row r="144" spans="1:9">
      <c r="A144" s="376" t="str" cm="1">
        <f t="array" ref="A144">IFERROR(
 IF(
   INDEX(Cartera1017[ID Mantenimiento],ROW(A142))=0,
   "",
   INDEX(Cartera1017[ID Mantenimiento],ROW(A142))
 ),
 ""
)</f>
        <v>2025-M0606</v>
      </c>
      <c r="B144" s="376" t="str" cm="1">
        <f t="array" ref="B144">IFERROR(INDEX(Cartera1017[Nombre del Requerimiento],ROW(A142)),"")</f>
        <v xml:space="preserve">Actualización de nombre para Entidad Financiera 0043: Santander Consumer Bank. Transferencias Interbancarias INMEDIATAS y DIFERIDAS en los canales App Banca Móvil y Multired Virtual </v>
      </c>
      <c r="C144" s="376" t="str" cm="1">
        <f t="array" aca="1" ref="C144" ca="1">IFERROR(INDEX(Cartera1017[indicador de Avance],ROW(A142)),"")</f>
        <v>PARALIZADO ⚪</v>
      </c>
      <c r="D144" s="376" t="str" cm="1">
        <f t="array" ref="D144">IFERROR(INDEX(Cartera1017[Gerencia],ROW(A142)),"")</f>
        <v>Operaciones</v>
      </c>
      <c r="E144" s="376" t="str" cm="1">
        <f t="array" ref="E144">IFERROR(INDEX(Cartera1017[Subgerencia],ROW(A142)),"")</f>
        <v>Captaciones y Pagaduría</v>
      </c>
      <c r="F144" s="376" t="str" cm="1">
        <f t="array" ref="F144">IFERROR(INDEX(Cartera1017[Sección],ROW(A142)),"")</f>
        <v>Sistema de Pagos</v>
      </c>
      <c r="G144" s="376" t="str" cm="1">
        <f t="array" ref="G144">IFERROR(INDEX(Cartera1017[Estado TI],ROW(A142)),"")</f>
        <v>10. Paralizado</v>
      </c>
      <c r="H144" s="463" t="str" cm="1">
        <f t="array" ref="H144">IFERROR(
 IF(
   INDEX(Cartera1017[Comienzo Desarrollo],ROW(A142))=0,
   "",
   INDEX(Cartera1017[Comienzo Desarrollo],ROW(A142))
 ),
 ""
)</f>
        <v/>
      </c>
      <c r="I144" s="463" t="str" cm="1">
        <f t="array" ref="I144">IFERROR(
 IF(
   INDEX(Cartera1017[Fin Producción],ROW(A142))=0,
   "",
   INDEX(Cartera1017[Fin Producción],ROW(A142))
 ),
 ""
)</f>
        <v/>
      </c>
    </row>
    <row r="145" spans="1:9">
      <c r="A145" s="376" t="str" cm="1">
        <f t="array" ref="A145">IFERROR(
 IF(
   INDEX(Cartera1017[ID Mantenimiento],ROW(A143))=0,
   "",
   INDEX(Cartera1017[ID Mantenimiento],ROW(A143))
 ),
 ""
)</f>
        <v>2025-M0616</v>
      </c>
      <c r="B145" s="376" t="str" cm="1">
        <f t="array" ref="B145">IFERROR(INDEX(Cartera1017[Nombre del Requerimiento],ROW(A143)),"")</f>
        <v>Implementación de las nuevas estructuras en los mensajes Swift en el sistema BankTrade (BNKT)</v>
      </c>
      <c r="C145" s="376" t="str" cm="1">
        <f t="array" aca="1" ref="C145" ca="1">IFERROR(INDEX(Cartera1017[indicador de Avance],ROW(A143)),"")</f>
        <v>IMPLEMENTADO 🔵</v>
      </c>
      <c r="D145" s="376" t="str" cm="1">
        <f t="array" ref="D145">IFERROR(INDEX(Cartera1017[Gerencia],ROW(A143)),"")</f>
        <v>Operaciones</v>
      </c>
      <c r="E145" s="376" t="str" cm="1">
        <f t="array" ref="E145">IFERROR(INDEX(Cartera1017[Subgerencia],ROW(A143)),"")</f>
        <v>Internacional</v>
      </c>
      <c r="F145" s="376" t="str" cm="1">
        <f t="array" ref="F145">IFERROR(INDEX(Cartera1017[Sección],ROW(A143)),"")</f>
        <v>Comercio Exterior</v>
      </c>
      <c r="G145" s="376" t="str" cm="1">
        <f t="array" ref="G145">IFERROR(INDEX(Cartera1017[Estado TI],ROW(A143)),"")</f>
        <v>08. Producción Finalizada</v>
      </c>
      <c r="H145" s="463" cm="1">
        <f t="array" ref="H145">IFERROR(
 IF(
   INDEX(Cartera1017[Comienzo Desarrollo],ROW(A143))=0,
   "",
   INDEX(Cartera1017[Comienzo Desarrollo],ROW(A143))
 ),
 ""
)</f>
        <v>45912</v>
      </c>
      <c r="I145" s="463" cm="1">
        <f t="array" ref="I145">IFERROR(
 IF(
   INDEX(Cartera1017[Fin Producción],ROW(A143))=0,
   "",
   INDEX(Cartera1017[Fin Producción],ROW(A143))
 ),
 ""
)</f>
        <v>46038</v>
      </c>
    </row>
    <row r="146" spans="1:9">
      <c r="A146" s="376" t="str" cm="1">
        <f t="array" ref="A146">IFERROR(
 IF(
   INDEX(Cartera1017[ID Mantenimiento],ROW(A144))=0,
   "",
   INDEX(Cartera1017[ID Mantenimiento],ROW(A144))
 ),
 ""
)</f>
        <v>2025-M0614</v>
      </c>
      <c r="B146" s="376" t="str" cm="1">
        <f t="array" ref="B146">IFERROR(INDEX(Cartera1017[Nombre del Requerimiento],ROW(A144)),"")</f>
        <v>Gestion y Adecuacion del trratamiento de operaciones rechazadas con codigo 05 – “Do  Not Honor”</v>
      </c>
      <c r="C146" s="376" t="str" cm="1">
        <f t="array" aca="1" ref="C146" ca="1">IFERROR(INDEX(Cartera1017[indicador de Avance],ROW(A144)),"")</f>
        <v>IMPLEMENTADO 🔵</v>
      </c>
      <c r="D146" s="376" t="str" cm="1">
        <f t="array" ref="D146">IFERROR(INDEX(Cartera1017[Gerencia],ROW(A144)),"")</f>
        <v>Banca Digital</v>
      </c>
      <c r="E146" s="376" t="str" cm="1">
        <f t="array" ref="E146">IFERROR(INDEX(Cartera1017[Subgerencia],ROW(A144)),"")</f>
        <v>Canales Alternos</v>
      </c>
      <c r="F146" s="376" t="str" cm="1">
        <f t="array" ref="F146">IFERROR(INDEX(Cartera1017[Sección],ROW(A144)),"")</f>
        <v>Canales Virtuales</v>
      </c>
      <c r="G146" s="376" t="str" cm="1">
        <f t="array" ref="G146">IFERROR(INDEX(Cartera1017[Estado TI],ROW(A144)),"")</f>
        <v>08. Producción Finalizada</v>
      </c>
      <c r="H146" s="463" cm="1">
        <f t="array" ref="H146">IFERROR(
 IF(
   INDEX(Cartera1017[Comienzo Desarrollo],ROW(A144))=0,
   "",
   INDEX(Cartera1017[Comienzo Desarrollo],ROW(A144))
 ),
 ""
)</f>
        <v>45910</v>
      </c>
      <c r="I146" s="463" cm="1">
        <f t="array" ref="I146">IFERROR(
 IF(
   INDEX(Cartera1017[Fin Producción],ROW(A144))=0,
   "",
   INDEX(Cartera1017[Fin Producción],ROW(A144))
 ),
 ""
)</f>
        <v>46035</v>
      </c>
    </row>
    <row r="147" spans="1:9">
      <c r="A147" s="376" t="str" cm="1">
        <f t="array" ref="A147">IFERROR(
 IF(
   INDEX(Cartera1017[ID Mantenimiento],ROW(A145))=0,
   "",
   INDEX(Cartera1017[ID Mantenimiento],ROW(A145))
 ),
 ""
)</f>
        <v>2025-M0623</v>
      </c>
      <c r="B147" s="376" t="str" cm="1">
        <f t="array" ref="B147">IFERROR(INDEX(Cartera1017[Nombre del Requerimiento],ROW(A145)),"")</f>
        <v xml:space="preserve">Pruebas validación CCI- DNI Pago de Proveedores  </v>
      </c>
      <c r="C147" s="376" t="str" cm="1">
        <f t="array" aca="1" ref="C147" ca="1">IFERROR(INDEX(Cartera1017[indicador de Avance],ROW(A145)),"")</f>
        <v>ATRASADO 🔴</v>
      </c>
      <c r="D147" s="376" t="str" cm="1">
        <f t="array" ref="D147">IFERROR(INDEX(Cartera1017[Gerencia],ROW(A145)),"")</f>
        <v>Operaciones</v>
      </c>
      <c r="E147" s="376" t="str" cm="1">
        <f t="array" ref="E147">IFERROR(INDEX(Cartera1017[Subgerencia],ROW(A145)),"")</f>
        <v>Captaciones y Pagaduría</v>
      </c>
      <c r="F147" s="376" t="str" cm="1">
        <f t="array" ref="F147">IFERROR(INDEX(Cartera1017[Sección],ROW(A145)),"")</f>
        <v>Sistema de Pagos</v>
      </c>
      <c r="G147" s="376" t="str" cm="1">
        <f t="array" ref="G147">IFERROR(INDEX(Cartera1017[Estado TI],ROW(A145)),"")</f>
        <v>06. Calidad Finalizado</v>
      </c>
      <c r="H147" s="463" cm="1">
        <f t="array" ref="H147">IFERROR(
 IF(
   INDEX(Cartera1017[Comienzo Desarrollo],ROW(A145))=0,
   "",
   INDEX(Cartera1017[Comienzo Desarrollo],ROW(A145))
 ),
 ""
)</f>
        <v>45915</v>
      </c>
      <c r="I147" s="463" cm="1">
        <f t="array" ref="I147">IFERROR(
 IF(
   INDEX(Cartera1017[Fin Producción],ROW(A145))=0,
   "",
   INDEX(Cartera1017[Fin Producción],ROW(A145))
 ),
 ""
)</f>
        <v>46108</v>
      </c>
    </row>
    <row r="148" spans="1:9">
      <c r="A148" s="376" t="str" cm="1">
        <f t="array" ref="A148">IFERROR(
 IF(
   INDEX(Cartera1017[ID Mantenimiento],ROW(A146))=0,
   "",
   INDEX(Cartera1017[ID Mantenimiento],ROW(A146))
 ),
 ""
)</f>
        <v>2025-M0626</v>
      </c>
      <c r="B148" s="376" t="str" cm="1">
        <f t="array" ref="B148">IFERROR(INDEX(Cartera1017[Nombre del Requerimiento],ROW(A146)),"")</f>
        <v>Alojamiento recaudación y cobros de comisión Notas de Abono Ministerio de Trabajo</v>
      </c>
      <c r="C148" s="376" t="str" cm="1">
        <f t="array" aca="1" ref="C148" ca="1">IFERROR(INDEX(Cartera1017[indicador de Avance],ROW(A146)),"")</f>
        <v>Sin Cronograma 🔵</v>
      </c>
      <c r="D148" s="376" t="str" cm="1">
        <f t="array" ref="D148">IFERROR(INDEX(Cartera1017[Gerencia],ROW(A146)),"")</f>
        <v>Operaciones</v>
      </c>
      <c r="E148" s="376" t="str" cm="1">
        <f t="array" ref="E148">IFERROR(INDEX(Cartera1017[Subgerencia],ROW(A146)),"")</f>
        <v>Servicios Bancarios y Recaudación</v>
      </c>
      <c r="F148" s="376" t="str" cm="1">
        <f t="array" ref="F148">IFERROR(INDEX(Cartera1017[Sección],ROW(A146)),"")</f>
        <v>Recaudación y Corresponsalía</v>
      </c>
      <c r="G148" s="376" t="str" cm="1">
        <f t="array" ref="G148">IFERROR(INDEX(Cartera1017[Estado TI],ROW(A146)),"")</f>
        <v>09. Descartado</v>
      </c>
      <c r="H148" s="463" t="str" cm="1">
        <f t="array" ref="H148">IFERROR(
 IF(
   INDEX(Cartera1017[Comienzo Desarrollo],ROW(A146))=0,
   "",
   INDEX(Cartera1017[Comienzo Desarrollo],ROW(A146))
 ),
 ""
)</f>
        <v/>
      </c>
      <c r="I148" s="463" t="str" cm="1">
        <f t="array" ref="I148">IFERROR(
 IF(
   INDEX(Cartera1017[Fin Producción],ROW(A146))=0,
   "",
   INDEX(Cartera1017[Fin Producción],ROW(A146))
 ),
 ""
)</f>
        <v/>
      </c>
    </row>
    <row r="149" spans="1:9">
      <c r="A149" s="376" t="str" cm="1">
        <f t="array" ref="A149">IFERROR(
 IF(
   INDEX(Cartera1017[ID Mantenimiento],ROW(A147))=0,
   "",
   INDEX(Cartera1017[ID Mantenimiento],ROW(A147))
 ),
 ""
)</f>
        <v>2025-M0629</v>
      </c>
      <c r="B149" s="376" t="str" cm="1">
        <f t="array" ref="B149">IFERROR(INDEX(Cartera1017[Nombre del Requerimiento],ROW(A147)),"")</f>
        <v>Migración de Jornal histórico de servidores EJM a servidores</v>
      </c>
      <c r="C149" s="376" t="str" cm="1">
        <f t="array" aca="1" ref="C149" ca="1">IFERROR(INDEX(Cartera1017[indicador de Avance],ROW(A147)),"")</f>
        <v>ATRASADO 🔴</v>
      </c>
      <c r="D149" s="376" t="str" cm="1">
        <f t="array" ref="D149">IFERROR(INDEX(Cartera1017[Gerencia],ROW(A147)),"")</f>
        <v>Banca Digital</v>
      </c>
      <c r="E149" s="376" t="str" cm="1">
        <f t="array" ref="E149">IFERROR(INDEX(Cartera1017[Subgerencia],ROW(A147)),"")</f>
        <v>Canales Alternos</v>
      </c>
      <c r="F149" s="376" t="str" cm="1">
        <f t="array" ref="F149">IFERROR(INDEX(Cartera1017[Sección],ROW(A147)),"")</f>
        <v>Canales Presenciales</v>
      </c>
      <c r="G149" s="376" t="str" cm="1">
        <f t="array" ref="G149">IFERROR(INDEX(Cartera1017[Estado TI],ROW(A147)),"")</f>
        <v>03. En Desarrollo</v>
      </c>
      <c r="H149" s="463" cm="1">
        <f t="array" ref="H149">IFERROR(
 IF(
   INDEX(Cartera1017[Comienzo Desarrollo],ROW(A147))=0,
   "",
   INDEX(Cartera1017[Comienzo Desarrollo],ROW(A147))
 ),
 ""
)</f>
        <v>46083</v>
      </c>
      <c r="I149" s="463" cm="1">
        <f t="array" ref="I149">IFERROR(
 IF(
   INDEX(Cartera1017[Fin Producción],ROW(A147))=0,
   "",
   INDEX(Cartera1017[Fin Producción],ROW(A147))
 ),
 ""
)</f>
        <v>46122</v>
      </c>
    </row>
    <row r="150" spans="1:9">
      <c r="A150" s="376" t="str" cm="1">
        <f t="array" ref="A150">IFERROR(
 IF(
   INDEX(Cartera1017[ID Mantenimiento],ROW(A148))=0,
   "",
   INDEX(Cartera1017[ID Mantenimiento],ROW(A148))
 ),
 ""
)</f>
        <v>2025-M0640</v>
      </c>
      <c r="B150" s="376" t="str" cm="1">
        <f t="array" ref="B150">IFERROR(INDEX(Cartera1017[Nombre del Requerimiento],ROW(A148)),"")</f>
        <v>Generación masiva de Estados de Cuenta Alimentista</v>
      </c>
      <c r="C150" s="376" t="str" cm="1">
        <f t="array" aca="1" ref="C150" ca="1">IFERROR(INDEX(Cartera1017[indicador de Avance],ROW(A148)),"")</f>
        <v>Sin Cronograma 🔵</v>
      </c>
      <c r="D150" s="376" t="str" cm="1">
        <f t="array" ref="D150">IFERROR(INDEX(Cartera1017[Gerencia],ROW(A148)),"")</f>
        <v>Operaciones</v>
      </c>
      <c r="E150" s="376" t="str" cm="1">
        <f t="array" ref="E150">IFERROR(INDEX(Cartera1017[Subgerencia],ROW(A148)),"")</f>
        <v>Servicios Bancarios y Recaudación</v>
      </c>
      <c r="F150" s="376" t="str" cm="1">
        <f t="array" ref="F150">IFERROR(INDEX(Cartera1017[Sección],ROW(A148)),"")</f>
        <v>Depósitos Judiciales y Administrativos</v>
      </c>
      <c r="G150" s="376" t="str" cm="1">
        <f t="array" ref="G150">IFERROR(INDEX(Cartera1017[Estado TI],ROW(A148)),"")</f>
        <v>09. Descartado</v>
      </c>
      <c r="H150" s="463" t="str" cm="1">
        <f t="array" ref="H150">IFERROR(
 IF(
   INDEX(Cartera1017[Comienzo Desarrollo],ROW(A148))=0,
   "",
   INDEX(Cartera1017[Comienzo Desarrollo],ROW(A148))
 ),
 ""
)</f>
        <v/>
      </c>
      <c r="I150" s="463" t="str" cm="1">
        <f t="array" ref="I150">IFERROR(
 IF(
   INDEX(Cartera1017[Fin Producción],ROW(A148))=0,
   "",
   INDEX(Cartera1017[Fin Producción],ROW(A148))
 ),
 ""
)</f>
        <v/>
      </c>
    </row>
    <row r="151" spans="1:9">
      <c r="A151" s="376" t="str" cm="1">
        <f t="array" ref="A151">IFERROR(
 IF(
   INDEX(Cartera1017[ID Mantenimiento],ROW(A149))=0,
   "",
   INDEX(Cartera1017[ID Mantenimiento],ROW(A149))
 ),
 ""
)</f>
        <v>2025-M0646</v>
      </c>
      <c r="B151" s="376" t="str" cm="1">
        <f t="array" ref="B151">IFERROR(INDEX(Cartera1017[Nombre del Requerimiento],ROW(A149)),"")</f>
        <v>Elaboración de reportes con información de los aportes privados cuenta recaudadora tipo 54</v>
      </c>
      <c r="C151" s="376" t="str" cm="1">
        <f t="array" aca="1" ref="C151" ca="1">IFERROR(INDEX(Cartera1017[indicador de Avance],ROW(A149)),"")</f>
        <v>IMPLEMENTADO 🔵</v>
      </c>
      <c r="D151" s="376" t="str" cm="1">
        <f t="array" ref="D151">IFERROR(INDEX(Cartera1017[Gerencia],ROW(A149)),"")</f>
        <v>Operaciones</v>
      </c>
      <c r="E151" s="376" t="str" cm="1">
        <f t="array" ref="E151">IFERROR(INDEX(Cartera1017[Subgerencia],ROW(A149)),"")</f>
        <v>Captaciones y Pagaduría</v>
      </c>
      <c r="F151" s="376" t="str" cm="1">
        <f t="array" ref="F151">IFERROR(INDEX(Cartera1017[Sección],ROW(A149)),"")</f>
        <v>Administración de Cuentas y Pagaduría</v>
      </c>
      <c r="G151" s="376" t="str" cm="1">
        <f t="array" ref="G151">IFERROR(INDEX(Cartera1017[Estado TI],ROW(A149)),"")</f>
        <v>08. Producción Finalizada</v>
      </c>
      <c r="H151" s="463" cm="1">
        <f t="array" ref="H151">IFERROR(
 IF(
   INDEX(Cartera1017[Comienzo Desarrollo],ROW(A149))=0,
   "",
   INDEX(Cartera1017[Comienzo Desarrollo],ROW(A149))
 ),
 ""
)</f>
        <v>45926</v>
      </c>
      <c r="I151" s="463" cm="1">
        <f t="array" ref="I151">IFERROR(
 IF(
   INDEX(Cartera1017[Fin Producción],ROW(A149))=0,
   "",
   INDEX(Cartera1017[Fin Producción],ROW(A149))
 ),
 ""
)</f>
        <v>46059</v>
      </c>
    </row>
    <row r="152" spans="1:9">
      <c r="A152" s="376" t="str" cm="1">
        <f t="array" ref="A152">IFERROR(
 IF(
   INDEX(Cartera1017[ID Mantenimiento],ROW(A150))=0,
   "",
   INDEX(Cartera1017[ID Mantenimiento],ROW(A150))
 ),
 ""
)</f>
        <v>2025-M0649</v>
      </c>
      <c r="B152" s="376" t="str" cm="1">
        <f t="array" ref="B152">IFERROR(INDEX(Cartera1017[Nombre del Requerimiento],ROW(A150)),"")</f>
        <v>CODIFICACION DE PROGRAMAS EXTRACTORES POR PEDIDO  ADICIONAL DE OPLAFT</v>
      </c>
      <c r="C152" s="376" t="str" cm="1">
        <f t="array" aca="1" ref="C152" ca="1">IFERROR(INDEX(Cartera1017[indicador de Avance],ROW(A150)),"")</f>
        <v>ATRASADO 🔴</v>
      </c>
      <c r="D152" s="376" t="str" cm="1">
        <f t="array" ref="D152">IFERROR(INDEX(Cartera1017[Gerencia],ROW(A150)),"")</f>
        <v>Tecnologías de Información</v>
      </c>
      <c r="E152" s="376" t="str" cm="1">
        <f t="array" ref="E152">IFERROR(INDEX(Cartera1017[Subgerencia],ROW(A150)),"")</f>
        <v>Construcción de Aplicaciones</v>
      </c>
      <c r="F152" s="376" t="str" cm="1">
        <f t="array" ref="F152">IFERROR(INDEX(Cartera1017[Sección],ROW(A150)),"")</f>
        <v>Sistemas Bancarios</v>
      </c>
      <c r="G152" s="376" t="str" cm="1">
        <f t="array" ref="G152">IFERROR(INDEX(Cartera1017[Estado TI],ROW(A150)),"")</f>
        <v>07. En Despliegue</v>
      </c>
      <c r="H152" s="463" cm="1">
        <f t="array" ref="H152">IFERROR(
 IF(
   INDEX(Cartera1017[Comienzo Desarrollo],ROW(A150))=0,
   "",
   INDEX(Cartera1017[Comienzo Desarrollo],ROW(A150))
 ),
 ""
)</f>
        <v>45929</v>
      </c>
      <c r="I152" s="463" cm="1">
        <f t="array" ref="I152">IFERROR(
 IF(
   INDEX(Cartera1017[Fin Producción],ROW(A150))=0,
   "",
   INDEX(Cartera1017[Fin Producción],ROW(A150))
 ),
 ""
)</f>
        <v>46108</v>
      </c>
    </row>
    <row r="153" spans="1:9">
      <c r="A153" s="376" t="str" cm="1">
        <f t="array" ref="A153">IFERROR(
 IF(
   INDEX(Cartera1017[ID Mantenimiento],ROW(A151))=0,
   "",
   INDEX(Cartera1017[ID Mantenimiento],ROW(A151))
 ),
 ""
)</f>
        <v>2025-M0652</v>
      </c>
      <c r="B153" s="376" t="str" cm="1">
        <f t="array" ref="B153">IFERROR(INDEX(Cartera1017[Nombre del Requerimiento],ROW(A151)),"")</f>
        <v>Facturacion Electronica .- Creacion de una interfase ( constituida por 3 archivos textos) desde el aplicativo de GIROS  hacia el respositorio de comprobantes de pagos -complementario</v>
      </c>
      <c r="C153" s="376" t="str" cm="1">
        <f t="array" aca="1" ref="C153" ca="1">IFERROR(INDEX(Cartera1017[indicador de Avance],ROW(A151)),"")</f>
        <v>IMPLEMENTADO 🔵</v>
      </c>
      <c r="D153" s="376" t="str" cm="1">
        <f t="array" ref="D153">IFERROR(INDEX(Cartera1017[Gerencia],ROW(A151)),"")</f>
        <v>Operaciones</v>
      </c>
      <c r="E153" s="376" t="str" cm="1">
        <f t="array" ref="E153">IFERROR(INDEX(Cartera1017[Subgerencia],ROW(A151)),"")</f>
        <v>Servicios Bancarios y Recaudación</v>
      </c>
      <c r="F153" s="376" t="str" cm="1">
        <f t="array" ref="F153">IFERROR(INDEX(Cartera1017[Sección],ROW(A151)),"")</f>
        <v>Recaudación y Corresponsalía</v>
      </c>
      <c r="G153" s="376" t="str" cm="1">
        <f t="array" ref="G153">IFERROR(INDEX(Cartera1017[Estado TI],ROW(A151)),"")</f>
        <v>08. Producción Finalizada</v>
      </c>
      <c r="H153" s="463" cm="1">
        <f t="array" ref="H153">IFERROR(
 IF(
   INDEX(Cartera1017[Comienzo Desarrollo],ROW(A151))=0,
   "",
   INDEX(Cartera1017[Comienzo Desarrollo],ROW(A151))
 ),
 ""
)</f>
        <v>46037</v>
      </c>
      <c r="I153" s="463" cm="1">
        <f t="array" ref="I153">IFERROR(
 IF(
   INDEX(Cartera1017[Fin Producción],ROW(A151))=0,
   "",
   INDEX(Cartera1017[Fin Producción],ROW(A151))
 ),
 ""
)</f>
        <v>46108</v>
      </c>
    </row>
    <row r="154" spans="1:9">
      <c r="A154" s="376" t="str" cm="1">
        <f t="array" ref="A154">IFERROR(
 IF(
   INDEX(Cartera1017[ID Mantenimiento],ROW(A152))=0,
   "",
   INDEX(Cartera1017[ID Mantenimiento],ROW(A152))
 ),
 ""
)</f>
        <v>2025-M0639</v>
      </c>
      <c r="B154" s="376" t="str" cm="1">
        <f t="array" ref="B154">IFERROR(INDEX(Cartera1017[Nombre del Requerimiento],ROW(A152)),"")</f>
        <v>MC:Factores de Seguridad Banca Empresarial - cambio de clave de 6 dígitos</v>
      </c>
      <c r="C154" s="376" t="str" cm="1">
        <f t="array" aca="1" ref="C154" ca="1">IFERROR(INDEX(Cartera1017[indicador de Avance],ROW(A152)),"")</f>
        <v>EN RIESGO 🟡</v>
      </c>
      <c r="D154" s="376" t="str" cm="1">
        <f t="array" ref="D154">IFERROR(INDEX(Cartera1017[Gerencia],ROW(A152)),"")</f>
        <v>Operaciones</v>
      </c>
      <c r="E154" s="376" t="str" cm="1">
        <f t="array" ref="E154">IFERROR(INDEX(Cartera1017[Subgerencia],ROW(A152)),"")</f>
        <v>Captaciones y Pagaduría</v>
      </c>
      <c r="F154" s="376" t="str" cm="1">
        <f t="array" ref="F154">IFERROR(INDEX(Cartera1017[Sección],ROW(A152)),"")</f>
        <v>Apertura de Cuentas</v>
      </c>
      <c r="G154" s="376" t="str" cm="1">
        <f t="array" ref="G154">IFERROR(INDEX(Cartera1017[Estado TI],ROW(A152)),"")</f>
        <v>03. En Desarrollo</v>
      </c>
      <c r="H154" s="463" cm="1">
        <f t="array" ref="H154">IFERROR(
 IF(
   INDEX(Cartera1017[Comienzo Desarrollo],ROW(A152))=0,
   "",
   INDEX(Cartera1017[Comienzo Desarrollo],ROW(A152))
 ),
 ""
)</f>
        <v>46083</v>
      </c>
      <c r="I154" s="463" cm="1">
        <f t="array" ref="I154">IFERROR(
 IF(
   INDEX(Cartera1017[Fin Producción],ROW(A152))=0,
   "",
   INDEX(Cartera1017[Fin Producción],ROW(A152))
 ),
 ""
)</f>
        <v>46262</v>
      </c>
    </row>
    <row r="155" spans="1:9">
      <c r="A155" s="376" t="str" cm="1">
        <f t="array" ref="A155">IFERROR(
 IF(
   INDEX(Cartera1017[ID Mantenimiento],ROW(A153))=0,
   "",
   INDEX(Cartera1017[ID Mantenimiento],ROW(A153))
 ),
 ""
)</f>
        <v>2025-M0675</v>
      </c>
      <c r="B155" s="376" t="str" cm="1">
        <f t="array" ref="B155">IFERROR(INDEX(Cartera1017[Nombre del Requerimiento],ROW(A153)),"")</f>
        <v>Script para reporte de transacciones por tipo, hora y canal digital App y Multired.</v>
      </c>
      <c r="C155" s="376" t="str" cm="1">
        <f t="array" aca="1" ref="C155" ca="1">IFERROR(INDEX(Cartera1017[indicador de Avance],ROW(A153)),"")</f>
        <v>ATRASADO 🔴</v>
      </c>
      <c r="D155" s="376" t="str" cm="1">
        <f t="array" ref="D155">IFERROR(INDEX(Cartera1017[Gerencia],ROW(A153)),"")</f>
        <v>Banca Digital</v>
      </c>
      <c r="E155" s="376" t="str" cm="1">
        <f t="array" ref="E155">IFERROR(INDEX(Cartera1017[Subgerencia],ROW(A153)),"")</f>
        <v>Canales Alternos</v>
      </c>
      <c r="F155" s="376" t="str" cm="1">
        <f t="array" ref="F155">IFERROR(INDEX(Cartera1017[Sección],ROW(A153)),"")</f>
        <v>Canales Virtuales</v>
      </c>
      <c r="G155" s="376" t="str" cm="1">
        <f t="array" ref="G155">IFERROR(INDEX(Cartera1017[Estado TI],ROW(A153)),"")</f>
        <v>05. En Calidad</v>
      </c>
      <c r="H155" s="463" cm="1">
        <f t="array" ref="H155">IFERROR(
 IF(
   INDEX(Cartera1017[Comienzo Desarrollo],ROW(A153))=0,
   "",
   INDEX(Cartera1017[Comienzo Desarrollo],ROW(A153))
 ),
 ""
)</f>
        <v>46083</v>
      </c>
      <c r="I155" s="463" cm="1">
        <f t="array" ref="I155">IFERROR(
 IF(
   INDEX(Cartera1017[Fin Producción],ROW(A153))=0,
   "",
   INDEX(Cartera1017[Fin Producción],ROW(A153))
 ),
 ""
)</f>
        <v>46169</v>
      </c>
    </row>
    <row r="156" spans="1:9">
      <c r="A156" s="376" t="str" cm="1">
        <f t="array" ref="A156">IFERROR(
 IF(
   INDEX(Cartera1017[ID Mantenimiento],ROW(A154))=0,
   "",
   INDEX(Cartera1017[ID Mantenimiento],ROW(A154))
 ),
 ""
)</f>
        <v>2025-M0660</v>
      </c>
      <c r="B156" s="376" t="str" cm="1">
        <f t="array" ref="B156">IFERROR(INDEX(Cartera1017[Nombre del Requerimiento],ROW(A154)),"")</f>
        <v>Retiro de las transacciones de Telefónica 3270-3280 Saraweb</v>
      </c>
      <c r="C156" s="376" t="str" cm="1">
        <f t="array" aca="1" ref="C156" ca="1">IFERROR(INDEX(Cartera1017[indicador de Avance],ROW(A154)),"")</f>
        <v>EN CURSO 🟢</v>
      </c>
      <c r="D156" s="376" t="str" cm="1">
        <f t="array" ref="D156">IFERROR(INDEX(Cartera1017[Gerencia],ROW(A154)),"")</f>
        <v>Operaciones</v>
      </c>
      <c r="E156" s="376" t="str" cm="1">
        <f t="array" ref="E156">IFERROR(INDEX(Cartera1017[Subgerencia],ROW(A154)),"")</f>
        <v>Servicios Bancarios y Recaudación</v>
      </c>
      <c r="F156" s="376" t="str" cm="1">
        <f t="array" ref="F156">IFERROR(INDEX(Cartera1017[Sección],ROW(A154)),"")</f>
        <v>Recaudación y Corresponsalía</v>
      </c>
      <c r="G156" s="376" t="str" cm="1">
        <f t="array" ref="G156">IFERROR(INDEX(Cartera1017[Estado TI],ROW(A154)),"")</f>
        <v>03. En Desarrollo</v>
      </c>
      <c r="H156" s="463" cm="1">
        <f t="array" ref="H156">IFERROR(
 IF(
   INDEX(Cartera1017[Comienzo Desarrollo],ROW(A154))=0,
   "",
   INDEX(Cartera1017[Comienzo Desarrollo],ROW(A154))
 ),
 ""
)</f>
        <v>46083</v>
      </c>
      <c r="I156" s="463" cm="1">
        <f t="array" ref="I156">IFERROR(
 IF(
   INDEX(Cartera1017[Fin Producción],ROW(A154))=0,
   "",
   INDEX(Cartera1017[Fin Producción],ROW(A154))
 ),
 ""
)</f>
        <v>46206</v>
      </c>
    </row>
    <row r="157" spans="1:9">
      <c r="A157" s="376" t="str" cm="1">
        <f t="array" ref="A157">IFERROR(
 IF(
   INDEX(Cartera1017[ID Mantenimiento],ROW(A155))=0,
   "",
   INDEX(Cartera1017[ID Mantenimiento],ROW(A155))
 ),
 ""
)</f>
        <v>2025-M0650</v>
      </c>
      <c r="B157" s="376" t="str" cm="1">
        <f t="array" ref="B157">IFERROR(INDEX(Cartera1017[Nombre del Requerimiento],ROW(A155)),"")</f>
        <v>Pago dólares Servicios Digitales no Domiciliados – Modulo Web Distribución Entidades Beneficiarias</v>
      </c>
      <c r="C157" s="376" t="str" cm="1">
        <f t="array" aca="1" ref="C157" ca="1">IFERROR(INDEX(Cartera1017[indicador de Avance],ROW(A155)),"")</f>
        <v>IMPLEMENTADO 🔵</v>
      </c>
      <c r="D157" s="376" t="str" cm="1">
        <f t="array" ref="D157">IFERROR(INDEX(Cartera1017[Gerencia],ROW(A155)),"")</f>
        <v>Tecnologías de Información</v>
      </c>
      <c r="E157" s="376" t="str" cm="1">
        <f t="array" ref="E157">IFERROR(INDEX(Cartera1017[Subgerencia],ROW(A155)),"")</f>
        <v>Construcción de Aplicaciones</v>
      </c>
      <c r="F157" s="376" t="str" cm="1">
        <f t="array" ref="F157">IFERROR(INDEX(Cartera1017[Sección],ROW(A155)),"")</f>
        <v>Sistemas Bancarios</v>
      </c>
      <c r="G157" s="376" t="str" cm="1">
        <f t="array" ref="G157">IFERROR(INDEX(Cartera1017[Estado TI],ROW(A155)),"")</f>
        <v>08. Producción Finalizada</v>
      </c>
      <c r="H157" s="463" cm="1">
        <f t="array" ref="H157">IFERROR(
 IF(
   INDEX(Cartera1017[Comienzo Desarrollo],ROW(A155))=0,
   "",
   INDEX(Cartera1017[Comienzo Desarrollo],ROW(A155))
 ),
 ""
)</f>
        <v>45947</v>
      </c>
      <c r="I157" s="463" cm="1">
        <f t="array" ref="I157">IFERROR(
 IF(
   INDEX(Cartera1017[Fin Producción],ROW(A155))=0,
   "",
   INDEX(Cartera1017[Fin Producción],ROW(A155))
 ),
 ""
)</f>
        <v>46108</v>
      </c>
    </row>
    <row r="158" spans="1:9">
      <c r="A158" s="376" t="str" cm="1">
        <f t="array" ref="A158">IFERROR(
 IF(
   INDEX(Cartera1017[ID Mantenimiento],ROW(A156))=0,
   "",
   INDEX(Cartera1017[ID Mantenimiento],ROW(A156))
 ),
 ""
)</f>
        <v>2025-M0651</v>
      </c>
      <c r="B158" s="376" t="str" cm="1">
        <f t="array" ref="B158">IFERROR(INDEX(Cartera1017[Nombre del Requerimiento],ROW(A156)),"")</f>
        <v>Pago dólares Servicios Digitales no Domiciliados – Afectación a Ctas.Ctes. ME Entidades Beneficiarias</v>
      </c>
      <c r="C158" s="376" t="str" cm="1">
        <f t="array" aca="1" ref="C158" ca="1">IFERROR(INDEX(Cartera1017[indicador de Avance],ROW(A156)),"")</f>
        <v>PARALIZADO ⚪</v>
      </c>
      <c r="D158" s="376" t="str" cm="1">
        <f t="array" ref="D158">IFERROR(INDEX(Cartera1017[Gerencia],ROW(A156)),"")</f>
        <v>Tecnologías de Información</v>
      </c>
      <c r="E158" s="376" t="str" cm="1">
        <f t="array" ref="E158">IFERROR(INDEX(Cartera1017[Subgerencia],ROW(A156)),"")</f>
        <v>Construcción de Aplicaciones</v>
      </c>
      <c r="F158" s="376" t="str" cm="1">
        <f t="array" ref="F158">IFERROR(INDEX(Cartera1017[Sección],ROW(A156)),"")</f>
        <v>Sistemas Bancarios</v>
      </c>
      <c r="G158" s="376" t="str" cm="1">
        <f t="array" ref="G158">IFERROR(INDEX(Cartera1017[Estado TI],ROW(A156)),"")</f>
        <v>10. Paralizado</v>
      </c>
      <c r="H158" s="463" t="str" cm="1">
        <f t="array" ref="H158">IFERROR(
 IF(
   INDEX(Cartera1017[Comienzo Desarrollo],ROW(A156))=0,
   "",
   INDEX(Cartera1017[Comienzo Desarrollo],ROW(A156))
 ),
 ""
)</f>
        <v/>
      </c>
      <c r="I158" s="463" cm="1">
        <f t="array" ref="I158">IFERROR(
 IF(
   INDEX(Cartera1017[Fin Producción],ROW(A156))=0,
   "",
   INDEX(Cartera1017[Fin Producción],ROW(A156))
 ),
 ""
)</f>
        <v>46173</v>
      </c>
    </row>
    <row r="159" spans="1:9">
      <c r="A159" s="376" t="str" cm="1">
        <f t="array" ref="A159">IFERROR(
 IF(
   INDEX(Cartera1017[ID Mantenimiento],ROW(A157))=0,
   "",
   INDEX(Cartera1017[ID Mantenimiento],ROW(A157))
 ),
 ""
)</f>
        <v>2025-M0680</v>
      </c>
      <c r="B159" s="376" t="str" cm="1">
        <f t="array" ref="B159">IFERROR(INDEX(Cartera1017[Nombre del Requerimiento],ROW(A157)),"")</f>
        <v>Emision diaria de los reportes CRPP 4601, CRPP 4602 y CRPP 4604</v>
      </c>
      <c r="C159" s="376" t="str" cm="1">
        <f t="array" aca="1" ref="C159" ca="1">IFERROR(INDEX(Cartera1017[indicador de Avance],ROW(A157)),"")</f>
        <v>IMPLEMENTADO 🔵</v>
      </c>
      <c r="D159" s="376" t="str" cm="1">
        <f t="array" ref="D159">IFERROR(INDEX(Cartera1017[Gerencia],ROW(A157)),"")</f>
        <v>Productos e Inclusión Financiera</v>
      </c>
      <c r="E159" s="376" t="str" cm="1">
        <f t="array" ref="E159">IFERROR(INDEX(Cartera1017[Subgerencia],ROW(A157)),"")</f>
        <v>Banca Institucional</v>
      </c>
      <c r="F159" s="376" t="str" cm="1">
        <f t="array" ref="F159">IFERROR(INDEX(Cartera1017[Sección],ROW(A157)),"")</f>
        <v>Banca de Gobierno Subnacional</v>
      </c>
      <c r="G159" s="376" t="str" cm="1">
        <f t="array" ref="G159">IFERROR(INDEX(Cartera1017[Estado TI],ROW(A157)),"")</f>
        <v>08. Producción Finalizada</v>
      </c>
      <c r="H159" s="463" cm="1">
        <f t="array" ref="H159">IFERROR(
 IF(
   INDEX(Cartera1017[Comienzo Desarrollo],ROW(A157))=0,
   "",
   INDEX(Cartera1017[Comienzo Desarrollo],ROW(A157))
 ),
 ""
)</f>
        <v>45947</v>
      </c>
      <c r="I159" s="463" cm="1">
        <f t="array" ref="I159">IFERROR(
 IF(
   INDEX(Cartera1017[Fin Producción],ROW(A157))=0,
   "",
   INDEX(Cartera1017[Fin Producción],ROW(A157))
 ),
 ""
)</f>
        <v>46076</v>
      </c>
    </row>
    <row r="160" spans="1:9">
      <c r="A160" s="376" t="str" cm="1">
        <f t="array" ref="A160">IFERROR(
 IF(
   INDEX(Cartera1017[ID Mantenimiento],ROW(A158))=0,
   "",
   INDEX(Cartera1017[ID Mantenimiento],ROW(A158))
 ),
 ""
)</f>
        <v>2025-M0698</v>
      </c>
      <c r="B160" s="376" t="str" cm="1">
        <f t="array" ref="B160">IFERROR(INDEX(Cartera1017[Nombre del Requerimiento],ROW(A158)),"")</f>
        <v>Migracion de journal historico de servidores EJM DIEBOLD a servidores ATMCentre</v>
      </c>
      <c r="C160" s="376" t="str" cm="1">
        <f t="array" aca="1" ref="C160" ca="1">IFERROR(INDEX(Cartera1017[indicador de Avance],ROW(A158)),"")</f>
        <v>ATRASADO 🔴</v>
      </c>
      <c r="D160" s="376" t="str" cm="1">
        <f t="array" ref="D160">IFERROR(INDEX(Cartera1017[Gerencia],ROW(A158)),"")</f>
        <v>Banca Digital</v>
      </c>
      <c r="E160" s="376" t="str" cm="1">
        <f t="array" ref="E160">IFERROR(INDEX(Cartera1017[Subgerencia],ROW(A158)),"")</f>
        <v>Canales Alternos</v>
      </c>
      <c r="F160" s="376" t="str" cm="1">
        <f t="array" ref="F160">IFERROR(INDEX(Cartera1017[Sección],ROW(A158)),"")</f>
        <v>Canales Presenciales</v>
      </c>
      <c r="G160" s="376" t="str" cm="1">
        <f t="array" ref="G160">IFERROR(INDEX(Cartera1017[Estado TI],ROW(A158)),"")</f>
        <v>03. En Desarrollo</v>
      </c>
      <c r="H160" s="463" cm="1">
        <f t="array" ref="H160">IFERROR(
 IF(
   INDEX(Cartera1017[Comienzo Desarrollo],ROW(A158))=0,
   "",
   INDEX(Cartera1017[Comienzo Desarrollo],ROW(A158))
 ),
 ""
)</f>
        <v>46083</v>
      </c>
      <c r="I160" s="463" cm="1">
        <f t="array" ref="I160">IFERROR(
 IF(
   INDEX(Cartera1017[Fin Producción],ROW(A158))=0,
   "",
   INDEX(Cartera1017[Fin Producción],ROW(A158))
 ),
 ""
)</f>
        <v>46122</v>
      </c>
    </row>
    <row r="161" spans="1:9">
      <c r="A161" s="376" t="str" cm="1">
        <f t="array" ref="A161">IFERROR(
 IF(
   INDEX(Cartera1017[ID Mantenimiento],ROW(A159))=0,
   "",
   INDEX(Cartera1017[ID Mantenimiento],ROW(A159))
 ),
 ""
)</f>
        <v>2025-M0709</v>
      </c>
      <c r="B161" s="376" t="str" cm="1">
        <f t="array" ref="B161">IFERROR(INDEX(Cartera1017[Nombre del Requerimiento],ROW(A159)),"")</f>
        <v>Implementacion de mejoras en la comercializacion del Seguro Sepelio</v>
      </c>
      <c r="C161" s="376" t="str" cm="1">
        <f t="array" aca="1" ref="C161" ca="1">IFERROR(INDEX(Cartera1017[indicador de Avance],ROW(A159)),"")</f>
        <v>ATRASADO 🔴</v>
      </c>
      <c r="D161" s="376" t="str" cm="1">
        <f t="array" ref="D161">IFERROR(INDEX(Cartera1017[Gerencia],ROW(A159)),"")</f>
        <v>Productos e Inclusión Financiera</v>
      </c>
      <c r="E161" s="376" t="str" cm="1">
        <f t="array" ref="E161">IFERROR(INDEX(Cartera1017[Subgerencia],ROW(A159)),"")</f>
        <v>Banca Personal</v>
      </c>
      <c r="F161" s="376" t="str" cm="1">
        <f t="array" ref="F161">IFERROR(INDEX(Cartera1017[Sección],ROW(A159)),"")</f>
        <v>Banca Seguros</v>
      </c>
      <c r="G161" s="376" t="str" cm="1">
        <f t="array" ref="G161">IFERROR(INDEX(Cartera1017[Estado TI],ROW(A159)),"")</f>
        <v>06. Calidad Finalizado</v>
      </c>
      <c r="H161" s="463" cm="1">
        <f t="array" ref="H161">IFERROR(
 IF(
   INDEX(Cartera1017[Comienzo Desarrollo],ROW(A159))=0,
   "",
   INDEX(Cartera1017[Comienzo Desarrollo],ROW(A159))
 ),
 ""
)</f>
        <v>45967</v>
      </c>
      <c r="I161" s="463" cm="1">
        <f t="array" ref="I161">IFERROR(
 IF(
   INDEX(Cartera1017[Fin Producción],ROW(A159))=0,
   "",
   INDEX(Cartera1017[Fin Producción],ROW(A159))
 ),
 ""
)</f>
        <v>46108</v>
      </c>
    </row>
    <row r="162" spans="1:9">
      <c r="A162" s="376" t="str" cm="1">
        <f t="array" ref="A162">IFERROR(
 IF(
   INDEX(Cartera1017[ID Mantenimiento],ROW(A160))=0,
   "",
   INDEX(Cartera1017[ID Mantenimiento],ROW(A160))
 ),
 ""
)</f>
        <v>2025-M0714</v>
      </c>
      <c r="B162" s="376" t="str" cm="1">
        <f t="array" ref="B162">IFERROR(INDEX(Cartera1017[Nombre del Requerimiento],ROW(A160)),"")</f>
        <v>AMPLIACIÓN AL ANEXO 2 TARJETA DE CREDITO CLÁSICA SIN SEGURO DE DESGRAVAMEN</v>
      </c>
      <c r="C162" s="376" t="str" cm="1">
        <f t="array" aca="1" ref="C162" ca="1">IFERROR(INDEX(Cartera1017[indicador de Avance],ROW(A160)),"")</f>
        <v>PARALIZADO ⚪</v>
      </c>
      <c r="D162" s="376" t="str" cm="1">
        <f t="array" ref="D162">IFERROR(INDEX(Cartera1017[Gerencia],ROW(A160)),"")</f>
        <v>Productos e Inclusión Financiera</v>
      </c>
      <c r="E162" s="376" t="str" cm="1">
        <f t="array" ref="E162">IFERROR(INDEX(Cartera1017[Subgerencia],ROW(A160)),"")</f>
        <v>Banca Personal</v>
      </c>
      <c r="F162" s="376" t="str" cm="1">
        <f t="array" ref="F162">IFERROR(INDEX(Cartera1017[Sección],ROW(A160)),"")</f>
        <v>Tarjeta de Crédito</v>
      </c>
      <c r="G162" s="376" t="str" cm="1">
        <f t="array" ref="G162">IFERROR(INDEX(Cartera1017[Estado TI],ROW(A160)),"")</f>
        <v>10. Paralizado</v>
      </c>
      <c r="H162" s="463" t="str" cm="1">
        <f t="array" ref="H162">IFERROR(
 IF(
   INDEX(Cartera1017[Comienzo Desarrollo],ROW(A160))=0,
   "",
   INDEX(Cartera1017[Comienzo Desarrollo],ROW(A160))
 ),
 ""
)</f>
        <v/>
      </c>
      <c r="I162" s="463" cm="1">
        <f t="array" ref="I162">IFERROR(
 IF(
   INDEX(Cartera1017[Fin Producción],ROW(A160))=0,
   "",
   INDEX(Cartera1017[Fin Producción],ROW(A160))
 ),
 ""
)</f>
        <v>46356</v>
      </c>
    </row>
    <row r="163" spans="1:9">
      <c r="A163" s="376" t="str" cm="1">
        <f t="array" ref="A163">IFERROR(
 IF(
   INDEX(Cartera1017[ID Mantenimiento],ROW(A161))=0,
   "",
   INDEX(Cartera1017[ID Mantenimiento],ROW(A161))
 ),
 ""
)</f>
        <v>2025-M0691</v>
      </c>
      <c r="B163" s="376" t="str" cm="1">
        <f t="array" ref="B163">IFERROR(INDEX(Cartera1017[Nombre del Requerimiento],ROW(A161)),"")</f>
        <v>Solución Vulnerabilidades Factibilidad WEB</v>
      </c>
      <c r="C163" s="376" t="str" cm="1">
        <f t="array" aca="1" ref="C163" ca="1">IFERROR(INDEX(Cartera1017[indicador de Avance],ROW(A161)),"")</f>
        <v>ATRASADO 🔴</v>
      </c>
      <c r="D163" s="376" t="str" cm="1">
        <f t="array" ref="D163">IFERROR(INDEX(Cartera1017[Gerencia],ROW(A161)),"")</f>
        <v>Productos e Inclusión Financiera</v>
      </c>
      <c r="E163" s="376" t="str" cm="1">
        <f t="array" ref="E163">IFERROR(INDEX(Cartera1017[Subgerencia],ROW(A161)),"")</f>
        <v>Banca Personal</v>
      </c>
      <c r="F163" s="376" t="str" cm="1">
        <f t="array" ref="F163">IFERROR(INDEX(Cartera1017[Sección],ROW(A161)),"")</f>
        <v>Préstamo Multired</v>
      </c>
      <c r="G163" s="376" t="str" cm="1">
        <f t="array" ref="G163">IFERROR(INDEX(Cartera1017[Estado TI],ROW(A161)),"")</f>
        <v>06. Calidad Finalizado</v>
      </c>
      <c r="H163" s="463" cm="1">
        <f t="array" ref="H163">IFERROR(
 IF(
   INDEX(Cartera1017[Comienzo Desarrollo],ROW(A161))=0,
   "",
   INDEX(Cartera1017[Comienzo Desarrollo],ROW(A161))
 ),
 ""
)</f>
        <v>45957</v>
      </c>
      <c r="I163" s="463" cm="1">
        <f t="array" ref="I163">IFERROR(
 IF(
   INDEX(Cartera1017[Fin Producción],ROW(A161))=0,
   "",
   INDEX(Cartera1017[Fin Producción],ROW(A161))
 ),
 ""
)</f>
        <v>46108</v>
      </c>
    </row>
    <row r="164" spans="1:9">
      <c r="A164" s="376" t="str" cm="1">
        <f t="array" ref="A164">IFERROR(
 IF(
   INDEX(Cartera1017[ID Mantenimiento],ROW(A162))=0,
   "",
   INDEX(Cartera1017[ID Mantenimiento],ROW(A162))
 ),
 ""
)</f>
        <v>2025-M0665</v>
      </c>
      <c r="B164" s="376" t="str" cm="1">
        <f t="array" ref="B164">IFERROR(INDEX(Cartera1017[Nombre del Requerimiento],ROW(A162)),"")</f>
        <v>CODIFICACION DE PROGRAMAS EXTRACTORES POR NUEVO PEDIDO ADICIONAL DE   OPLAFT</v>
      </c>
      <c r="C164" s="376" t="str" cm="1">
        <f t="array" aca="1" ref="C164" ca="1">IFERROR(INDEX(Cartera1017[indicador de Avance],ROW(A162)),"")</f>
        <v>ATRASADO 🔴</v>
      </c>
      <c r="D164" s="376" t="str" cm="1">
        <f t="array" ref="D164">IFERROR(INDEX(Cartera1017[Gerencia],ROW(A162)),"")</f>
        <v>Tecnologías de Información</v>
      </c>
      <c r="E164" s="376" t="str" cm="1">
        <f t="array" ref="E164">IFERROR(INDEX(Cartera1017[Subgerencia],ROW(A162)),"")</f>
        <v>Construcción de Aplicaciones</v>
      </c>
      <c r="F164" s="376" t="str" cm="1">
        <f t="array" ref="F164">IFERROR(INDEX(Cartera1017[Sección],ROW(A162)),"")</f>
        <v>Sistemas Bancarios</v>
      </c>
      <c r="G164" s="376" t="str" cm="1">
        <f t="array" ref="G164">IFERROR(INDEX(Cartera1017[Estado TI],ROW(A162)),"")</f>
        <v>03. En Desarrollo</v>
      </c>
      <c r="H164" s="463" cm="1">
        <f t="array" ref="H164">IFERROR(
 IF(
   INDEX(Cartera1017[Comienzo Desarrollo],ROW(A162))=0,
   "",
   INDEX(Cartera1017[Comienzo Desarrollo],ROW(A162))
 ),
 ""
)</f>
        <v>46083</v>
      </c>
      <c r="I164" s="463" cm="1">
        <f t="array" ref="I164">IFERROR(
 IF(
   INDEX(Cartera1017[Fin Producción],ROW(A162))=0,
   "",
   INDEX(Cartera1017[Fin Producción],ROW(A162))
 ),
 ""
)</f>
        <v>46136</v>
      </c>
    </row>
    <row r="165" spans="1:9">
      <c r="A165" s="376" t="str" cm="1">
        <f t="array" ref="A165">IFERROR(
 IF(
   INDEX(Cartera1017[ID Mantenimiento],ROW(A163))=0,
   "",
   INDEX(Cartera1017[ID Mantenimiento],ROW(A163))
 ),
 ""
)</f>
        <v>2025-M0672</v>
      </c>
      <c r="B165" s="376" t="str" cm="1">
        <f t="array" ref="B165">IFERROR(INDEX(Cartera1017[Nombre del Requerimiento],ROW(A163)),"")</f>
        <v>CULMINAR CON LAS CONTABILIZACION DE LA COMISION Y EL SEGURO DE DESGRAVAMEN EN LAS CUENTAS CONTABLES.</v>
      </c>
      <c r="C165" s="376" t="str" cm="1">
        <f t="array" aca="1" ref="C165" ca="1">IFERROR(INDEX(Cartera1017[indicador de Avance],ROW(A163)),"")</f>
        <v>ATRASADO 🔴</v>
      </c>
      <c r="D165" s="376" t="str" cm="1">
        <f t="array" ref="D165">IFERROR(INDEX(Cartera1017[Gerencia],ROW(A163)),"")</f>
        <v>Productos e Inclusión Financiera</v>
      </c>
      <c r="E165" s="376" t="str" cm="1">
        <f t="array" ref="E165">IFERROR(INDEX(Cartera1017[Subgerencia],ROW(A163)),"")</f>
        <v>Banca Personal</v>
      </c>
      <c r="F165" s="376" t="str" cm="1">
        <f t="array" ref="F165">IFERROR(INDEX(Cartera1017[Sección],ROW(A163)),"")</f>
        <v>Tarjeta de Crédito</v>
      </c>
      <c r="G165" s="376" t="str" cm="1">
        <f t="array" ref="G165">IFERROR(INDEX(Cartera1017[Estado TI],ROW(A163)),"")</f>
        <v>03. En Desarrollo</v>
      </c>
      <c r="H165" s="463" cm="1">
        <f t="array" ref="H165">IFERROR(
 IF(
   INDEX(Cartera1017[Comienzo Desarrollo],ROW(A163))=0,
   "",
   INDEX(Cartera1017[Comienzo Desarrollo],ROW(A163))
 ),
 ""
)</f>
        <v>46083</v>
      </c>
      <c r="I165" s="463" cm="1">
        <f t="array" ref="I165">IFERROR(
 IF(
   INDEX(Cartera1017[Fin Producción],ROW(A163))=0,
   "",
   INDEX(Cartera1017[Fin Producción],ROW(A163))
 ),
 ""
)</f>
        <v>46129</v>
      </c>
    </row>
    <row r="166" spans="1:9">
      <c r="A166" s="376" t="str" cm="1">
        <f t="array" ref="A166">IFERROR(
 IF(
   INDEX(Cartera1017[ID Mantenimiento],ROW(A164))=0,
   "",
   INDEX(Cartera1017[ID Mantenimiento],ROW(A164))
 ),
 ""
)</f>
        <v>2025-M0673</v>
      </c>
      <c r="B166" s="376" t="str" cm="1">
        <f t="array" ref="B166">IFERROR(INDEX(Cartera1017[Nombre del Requerimiento],ROW(A164)),"")</f>
        <v>Truncamiento Datos PAN Tarjeta – CICS y Archivos</v>
      </c>
      <c r="C166" s="376" t="str" cm="1">
        <f t="array" aca="1" ref="C166" ca="1">IFERROR(INDEX(Cartera1017[indicador de Avance],ROW(A164)),"")</f>
        <v>IMPLEMENTADO 🔵</v>
      </c>
      <c r="D166" s="376" t="str" cm="1">
        <f t="array" ref="D166">IFERROR(INDEX(Cartera1017[Gerencia],ROW(A164)),"")</f>
        <v>Tecnologías de Información</v>
      </c>
      <c r="E166" s="376" t="str" cm="1">
        <f t="array" ref="E166">IFERROR(INDEX(Cartera1017[Subgerencia],ROW(A164)),"")</f>
        <v>Construcción de Aplicaciones</v>
      </c>
      <c r="F166" s="376" t="str" cm="1">
        <f t="array" ref="F166">IFERROR(INDEX(Cartera1017[Sección],ROW(A164)),"")</f>
        <v>Sistemas Bancarios</v>
      </c>
      <c r="G166" s="376" t="str" cm="1">
        <f t="array" ref="G166">IFERROR(INDEX(Cartera1017[Estado TI],ROW(A164)),"")</f>
        <v>08. Producción Finalizada</v>
      </c>
      <c r="H166" s="463" cm="1">
        <f t="array" ref="H166">IFERROR(
 IF(
   INDEX(Cartera1017[Comienzo Desarrollo],ROW(A164))=0,
   "",
   INDEX(Cartera1017[Comienzo Desarrollo],ROW(A164))
 ),
 ""
)</f>
        <v>45944</v>
      </c>
      <c r="I166" s="463" cm="1">
        <f t="array" ref="I166">IFERROR(
 IF(
   INDEX(Cartera1017[Fin Producción],ROW(A164))=0,
   "",
   INDEX(Cartera1017[Fin Producción],ROW(A164))
 ),
 ""
)</f>
        <v>46051</v>
      </c>
    </row>
    <row r="167" spans="1:9">
      <c r="A167" s="376" t="str" cm="1">
        <f t="array" ref="A167">IFERROR(
 IF(
   INDEX(Cartera1017[ID Mantenimiento],ROW(A165))=0,
   "",
   INDEX(Cartera1017[ID Mantenimiento],ROW(A165))
 ),
 ""
)</f>
        <v>2025-M0692</v>
      </c>
      <c r="B167" s="376" t="str" cm="1">
        <f t="array" ref="B167">IFERROR(INDEX(Cartera1017[Nombre del Requerimiento],ROW(A165)),"")</f>
        <v>Solucion de Vulnerabilidades Constancia no Adeudo</v>
      </c>
      <c r="C167" s="376" t="str" cm="1">
        <f t="array" aca="1" ref="C167" ca="1">IFERROR(INDEX(Cartera1017[indicador de Avance],ROW(A165)),"")</f>
        <v>IMPLEMENTADO 🔵</v>
      </c>
      <c r="D167" s="376" t="str" cm="1">
        <f t="array" ref="D167">IFERROR(INDEX(Cartera1017[Gerencia],ROW(A165)),"")</f>
        <v>Productos e Inclusión Financiera</v>
      </c>
      <c r="E167" s="376" t="str" cm="1">
        <f t="array" ref="E167">IFERROR(INDEX(Cartera1017[Subgerencia],ROW(A165)),"")</f>
        <v>Banca Personal</v>
      </c>
      <c r="F167" s="376" t="str" cm="1">
        <f t="array" ref="F167">IFERROR(INDEX(Cartera1017[Sección],ROW(A165)),"")</f>
        <v>Préstamo Multired</v>
      </c>
      <c r="G167" s="376" t="str" cm="1">
        <f t="array" ref="G167">IFERROR(INDEX(Cartera1017[Estado TI],ROW(A165)),"")</f>
        <v>08. Producción Finalizada</v>
      </c>
      <c r="H167" s="463" cm="1">
        <f t="array" ref="H167">IFERROR(
 IF(
   INDEX(Cartera1017[Comienzo Desarrollo],ROW(A165))=0,
   "",
   INDEX(Cartera1017[Comienzo Desarrollo],ROW(A165))
 ),
 ""
)</f>
        <v>45957</v>
      </c>
      <c r="I167" s="463" cm="1">
        <f t="array" ref="I167">IFERROR(
 IF(
   INDEX(Cartera1017[Fin Producción],ROW(A165))=0,
   "",
   INDEX(Cartera1017[Fin Producción],ROW(A165))
 ),
 ""
)</f>
        <v>46108</v>
      </c>
    </row>
    <row r="168" spans="1:9">
      <c r="A168" s="376" t="str" cm="1">
        <f t="array" ref="A168">IFERROR(
 IF(
   INDEX(Cartera1017[ID Mantenimiento],ROW(A166))=0,
   "",
   INDEX(Cartera1017[ID Mantenimiento],ROW(A166))
 ),
 ""
)</f>
        <v>2025-M0742</v>
      </c>
      <c r="B168" s="376" t="str" cm="1">
        <f t="array" ref="B168">IFERROR(INDEX(Cartera1017[Nombre del Requerimiento],ROW(A166)),"")</f>
        <v>Integración del servicio Mobile Attestation para IOS, además de la personalización de las pantallas de bloqueon y captcha (servicio Antibot) para la aplicación banca móvil del BN</v>
      </c>
      <c r="C168" s="376" t="str" cm="1">
        <f t="array" aca="1" ref="C168" ca="1">IFERROR(INDEX(Cartera1017[indicador de Avance],ROW(A166)),"")</f>
        <v>ATRASADO 🔴</v>
      </c>
      <c r="D168" s="376" t="str" cm="1">
        <f t="array" ref="D168">IFERROR(INDEX(Cartera1017[Gerencia],ROW(A166)),"")</f>
        <v>Tecnologías de Información</v>
      </c>
      <c r="E168" s="376" t="str" cm="1">
        <f t="array" ref="E168">IFERROR(INDEX(Cartera1017[Subgerencia],ROW(A166)),"")</f>
        <v>Seguridad Informática</v>
      </c>
      <c r="F168" s="376" t="str" cm="1">
        <f t="array" ref="F168">IFERROR(INDEX(Cartera1017[Sección],ROW(A166)),"")</f>
        <v>Control de Operaciones de Seguridad</v>
      </c>
      <c r="G168" s="376" t="str" cm="1">
        <f t="array" ref="G168">IFERROR(INDEX(Cartera1017[Estado TI],ROW(A166)),"")</f>
        <v>03. En Desarrollo</v>
      </c>
      <c r="H168" s="463" cm="1">
        <f t="array" ref="H168">IFERROR(
 IF(
   INDEX(Cartera1017[Comienzo Desarrollo],ROW(A166))=0,
   "",
   INDEX(Cartera1017[Comienzo Desarrollo],ROW(A166))
 ),
 ""
)</f>
        <v>46083</v>
      </c>
      <c r="I168" s="463" cm="1">
        <f t="array" ref="I168">IFERROR(
 IF(
   INDEX(Cartera1017[Fin Producción],ROW(A166))=0,
   "",
   INDEX(Cartera1017[Fin Producción],ROW(A166))
 ),
 ""
)</f>
        <v>46118</v>
      </c>
    </row>
    <row r="169" spans="1:9">
      <c r="A169" s="376" t="str" cm="1">
        <f t="array" ref="A169">IFERROR(
 IF(
   INDEX(Cartera1017[ID Mantenimiento],ROW(A167))=0,
   "",
   INDEX(Cartera1017[ID Mantenimiento],ROW(A167))
 ),
 ""
)</f>
        <v>2025-M0738</v>
      </c>
      <c r="B169" s="376" t="str" cm="1">
        <f t="array" ref="B169">IFERROR(INDEX(Cartera1017[Nombre del Requerimiento],ROW(A167)),"")</f>
        <v>Generación de Base de datos de Rutas Foráneas en secuencia FISA</v>
      </c>
      <c r="C169" s="376" t="str" cm="1">
        <f t="array" aca="1" ref="C169" ca="1">IFERROR(INDEX(Cartera1017[indicador de Avance],ROW(A167)),"")</f>
        <v>IMPLEMENTADO 🔵</v>
      </c>
      <c r="D169" s="376" t="str" cm="1">
        <f t="array" ref="D169">IFERROR(INDEX(Cartera1017[Gerencia],ROW(A167)),"")</f>
        <v>Operaciones</v>
      </c>
      <c r="E169" s="376" t="str" cm="1">
        <f t="array" ref="E169">IFERROR(INDEX(Cartera1017[Subgerencia],ROW(A167)),"")</f>
        <v>Caja y Valores</v>
      </c>
      <c r="F169" s="376" t="str" cm="1">
        <f t="array" ref="F169">IFERROR(INDEX(Cartera1017[Sección],ROW(A167)),"")</f>
        <v>Programación y Distribución de Fondos</v>
      </c>
      <c r="G169" s="376" t="str" cm="1">
        <f t="array" ref="G169">IFERROR(INDEX(Cartera1017[Estado TI],ROW(A167)),"")</f>
        <v>08. Producción Finalizada</v>
      </c>
      <c r="H169" s="463" cm="1">
        <f t="array" ref="H169">IFERROR(
 IF(
   INDEX(Cartera1017[Comienzo Desarrollo],ROW(A167))=0,
   "",
   INDEX(Cartera1017[Comienzo Desarrollo],ROW(A167))
 ),
 ""
)</f>
        <v>46002</v>
      </c>
      <c r="I169" s="463" cm="1">
        <f t="array" ref="I169">IFERROR(
 IF(
   INDEX(Cartera1017[Fin Producción],ROW(A167))=0,
   "",
   INDEX(Cartera1017[Fin Producción],ROW(A167))
 ),
 ""
)</f>
        <v>46087</v>
      </c>
    </row>
    <row r="170" spans="1:9">
      <c r="A170" s="376" t="str" cm="1">
        <f t="array" ref="A170">IFERROR(
 IF(
   INDEX(Cartera1017[ID Mantenimiento],ROW(A168))=0,
   "",
   INDEX(Cartera1017[ID Mantenimiento],ROW(A168))
 ),
 ""
)</f>
        <v>2025-M0743</v>
      </c>
      <c r="B170" s="376" t="str" cm="1">
        <f t="array" ref="B170">IFERROR(INDEX(Cartera1017[Nombre del Requerimiento],ROW(A168)),"")</f>
        <v>Integración del servicio Mobile Attestation para ANDROID, además de la personalización de las pantallas de bloqueon y captcha (servicio Antibot) para la aplicación banca móvil del BN</v>
      </c>
      <c r="C170" s="376" t="str" cm="1">
        <f t="array" aca="1" ref="C170" ca="1">IFERROR(INDEX(Cartera1017[indicador de Avance],ROW(A168)),"")</f>
        <v>ATRASADO 🔴</v>
      </c>
      <c r="D170" s="376" t="str" cm="1">
        <f t="array" ref="D170">IFERROR(INDEX(Cartera1017[Gerencia],ROW(A168)),"")</f>
        <v>Tecnologías de Información</v>
      </c>
      <c r="E170" s="376" t="str" cm="1">
        <f t="array" ref="E170">IFERROR(INDEX(Cartera1017[Subgerencia],ROW(A168)),"")</f>
        <v>Seguridad Informática</v>
      </c>
      <c r="F170" s="376" t="str" cm="1">
        <f t="array" ref="F170">IFERROR(INDEX(Cartera1017[Sección],ROW(A168)),"")</f>
        <v>Control de Operaciones de Seguridad</v>
      </c>
      <c r="G170" s="376" t="str" cm="1">
        <f t="array" ref="G170">IFERROR(INDEX(Cartera1017[Estado TI],ROW(A168)),"")</f>
        <v>03. En Desarrollo</v>
      </c>
      <c r="H170" s="463" cm="1">
        <f t="array" ref="H170">IFERROR(
 IF(
   INDEX(Cartera1017[Comienzo Desarrollo],ROW(A168))=0,
   "",
   INDEX(Cartera1017[Comienzo Desarrollo],ROW(A168))
 ),
 ""
)</f>
        <v>46083</v>
      </c>
      <c r="I170" s="463" cm="1">
        <f t="array" ref="I170">IFERROR(
 IF(
   INDEX(Cartera1017[Fin Producción],ROW(A168))=0,
   "",
   INDEX(Cartera1017[Fin Producción],ROW(A168))
 ),
 ""
)</f>
        <v>46118</v>
      </c>
    </row>
    <row r="171" spans="1:9">
      <c r="A171" s="376" t="str" cm="1">
        <f t="array" ref="A171">IFERROR(
 IF(
   INDEX(Cartera1017[ID Mantenimiento],ROW(A169))=0,
   "",
   INDEX(Cartera1017[ID Mantenimiento],ROW(A169))
 ),
 ""
)</f>
        <v>2025-M0736</v>
      </c>
      <c r="B171" s="376" t="str" cm="1">
        <f t="array" ref="B171">IFERROR(INDEX(Cartera1017[Nombre del Requerimiento],ROW(A169)),"")</f>
        <v>SIRE REGISTRO DE COMPRAS</v>
      </c>
      <c r="C171" s="376" t="str" cm="1">
        <f t="array" aca="1" ref="C171" ca="1">IFERROR(INDEX(Cartera1017[indicador de Avance],ROW(A169)),"")</f>
        <v>ATRASADO 🔴</v>
      </c>
      <c r="D171" s="376" t="str" cm="1">
        <f t="array" ref="D171">IFERROR(INDEX(Cartera1017[Gerencia],ROW(A169)),"")</f>
        <v>Finanzas y Tesorería</v>
      </c>
      <c r="E171" s="376" t="str" cm="1">
        <f t="array" ref="E171">IFERROR(INDEX(Cartera1017[Subgerencia],ROW(A169)),"")</f>
        <v>Contabilidad</v>
      </c>
      <c r="F171" s="376" t="str" cm="1">
        <f t="array" ref="F171">IFERROR(INDEX(Cartera1017[Sección],ROW(A169)),"")</f>
        <v>Tributación</v>
      </c>
      <c r="G171" s="376" t="str" cm="1">
        <f t="array" ref="G171">IFERROR(INDEX(Cartera1017[Estado TI],ROW(A169)),"")</f>
        <v>05. En Calidad</v>
      </c>
      <c r="H171" s="463" cm="1">
        <f t="array" ref="H171">IFERROR(
 IF(
   INDEX(Cartera1017[Comienzo Desarrollo],ROW(A169))=0,
   "",
   INDEX(Cartera1017[Comienzo Desarrollo],ROW(A169))
 ),
 ""
)</f>
        <v>46027</v>
      </c>
      <c r="I171" s="463" cm="1">
        <f t="array" ref="I171">IFERROR(
 IF(
   INDEX(Cartera1017[Fin Producción],ROW(A169))=0,
   "",
   INDEX(Cartera1017[Fin Producción],ROW(A169))
 ),
 ""
)</f>
        <v>46176</v>
      </c>
    </row>
    <row r="172" spans="1:9">
      <c r="A172" s="376" t="str" cm="1">
        <f t="array" ref="A172">IFERROR(
 IF(
   INDEX(Cartera1017[ID Mantenimiento],ROW(A170))=0,
   "",
   INDEX(Cartera1017[ID Mantenimiento],ROW(A170))
 ),
 ""
)</f>
        <v>2025-M0751</v>
      </c>
      <c r="B172" s="376" t="str" cm="1">
        <f t="array" ref="B172">IFERROR(INDEX(Cartera1017[Nombre del Requerimiento],ROW(A170)),"")</f>
        <v>Adecuaciones adicionales en el Sistema de Facturación Electrónica para las operaciones de Transferencias Interbancarias Diferidas</v>
      </c>
      <c r="C172" s="376" t="str" cm="1">
        <f t="array" aca="1" ref="C172" ca="1">IFERROR(INDEX(Cartera1017[indicador de Avance],ROW(A170)),"")</f>
        <v>PARALIZADO ⚪</v>
      </c>
      <c r="D172" s="376" t="str" cm="1">
        <f t="array" ref="D172">IFERROR(INDEX(Cartera1017[Gerencia],ROW(A170)),"")</f>
        <v>Operaciones</v>
      </c>
      <c r="E172" s="376" t="str" cm="1">
        <f t="array" ref="E172">IFERROR(INDEX(Cartera1017[Subgerencia],ROW(A170)),"")</f>
        <v>Captaciones y Pagaduría</v>
      </c>
      <c r="F172" s="376" t="str" cm="1">
        <f t="array" ref="F172">IFERROR(INDEX(Cartera1017[Sección],ROW(A170)),"")</f>
        <v>Sistema de Pagos</v>
      </c>
      <c r="G172" s="376" t="str" cm="1">
        <f t="array" ref="G172">IFERROR(INDEX(Cartera1017[Estado TI],ROW(A170)),"")</f>
        <v>10. Paralizado</v>
      </c>
      <c r="H172" s="463" cm="1">
        <f t="array" ref="H172">IFERROR(
 IF(
   INDEX(Cartera1017[Comienzo Desarrollo],ROW(A170))=0,
   "",
   INDEX(Cartera1017[Comienzo Desarrollo],ROW(A170))
 ),
 ""
)</f>
        <v>45992</v>
      </c>
      <c r="I172" s="463" cm="1">
        <f t="array" ref="I172">IFERROR(
 IF(
   INDEX(Cartera1017[Fin Producción],ROW(A170))=0,
   "",
   INDEX(Cartera1017[Fin Producción],ROW(A170))
 ),
 ""
)</f>
        <v>46129</v>
      </c>
    </row>
    <row r="173" spans="1:9">
      <c r="A173" s="376" t="str" cm="1">
        <f t="array" ref="A173">IFERROR(
 IF(
   INDEX(Cartera1017[ID Mantenimiento],ROW(A171))=0,
   "",
   INDEX(Cartera1017[ID Mantenimiento],ROW(A171))
 ),
 ""
)</f>
        <v>2025-M0722</v>
      </c>
      <c r="B173" s="376" t="str" cm="1">
        <f t="array" ref="B173">IFERROR(INDEX(Cartera1017[Nombre del Requerimiento],ROW(A171)),"")</f>
        <v>ME: DESARROLLO DE UNA APLICACION (MVP) PARA EL PRODUCTO FACTORING BN - FASE II</v>
      </c>
      <c r="C173" s="376" t="str" cm="1">
        <f t="array" aca="1" ref="C173" ca="1">IFERROR(INDEX(Cartera1017[indicador de Avance],ROW(A171)),"")</f>
        <v>ATRASADO 🔴</v>
      </c>
      <c r="D173" s="376" t="str" cm="1">
        <f t="array" ref="D173">IFERROR(INDEX(Cartera1017[Gerencia],ROW(A171)),"")</f>
        <v>Productos e Inclusión Financiera</v>
      </c>
      <c r="E173" s="376" t="str" cm="1">
        <f t="array" ref="E173">IFERROR(INDEX(Cartera1017[Subgerencia],ROW(A171)),"")</f>
        <v>Desarrollo Comercial y Proyectos</v>
      </c>
      <c r="F173" s="376" t="str" cm="1">
        <f t="array" ref="F173">IFERROR(INDEX(Cartera1017[Sección],ROW(A171)),"")</f>
        <v>Desarrollo Comercial y Proyectos</v>
      </c>
      <c r="G173" s="376" t="str" cm="1">
        <f t="array" ref="G173">IFERROR(INDEX(Cartera1017[Estado TI],ROW(A171)),"")</f>
        <v>05. En Calidad</v>
      </c>
      <c r="H173" s="463" cm="1">
        <f t="array" ref="H173">IFERROR(
 IF(
   INDEX(Cartera1017[Comienzo Desarrollo],ROW(A171))=0,
   "",
   INDEX(Cartera1017[Comienzo Desarrollo],ROW(A171))
 ),
 ""
)</f>
        <v>46049</v>
      </c>
      <c r="I173" s="463" cm="1">
        <f t="array" ref="I173">IFERROR(
 IF(
   INDEX(Cartera1017[Fin Producción],ROW(A171))=0,
   "",
   INDEX(Cartera1017[Fin Producción],ROW(A171))
 ),
 ""
)</f>
        <v>46175</v>
      </c>
    </row>
    <row r="174" spans="1:9">
      <c r="A174" s="376" t="str" cm="1">
        <f t="array" ref="A174">IFERROR(
 IF(
   INDEX(Cartera1017[ID Mantenimiento],ROW(A172))=0,
   "",
   INDEX(Cartera1017[ID Mantenimiento],ROW(A172))
 ),
 ""
)</f>
        <v>2025-M0715</v>
      </c>
      <c r="B174" s="376" t="str" cm="1">
        <f t="array" ref="B174">IFERROR(INDEX(Cartera1017[Nombre del Requerimiento],ROW(A172)),"")</f>
        <v>ME: BDUC: Complementarios al requerimiento de OPLAFT (PEP).</v>
      </c>
      <c r="C174" s="376" t="str" cm="1">
        <f t="array" aca="1" ref="C174" ca="1">IFERROR(INDEX(Cartera1017[indicador de Avance],ROW(A172)),"")</f>
        <v>ATRASADO 🔴</v>
      </c>
      <c r="D174" s="376" t="str" cm="1">
        <f t="array" ref="D174">IFERROR(INDEX(Cartera1017[Gerencia],ROW(A172)),"")</f>
        <v>Oficialía de PLAFT</v>
      </c>
      <c r="E174" s="376" t="str" cm="1">
        <f t="array" ref="E174">IFERROR(INDEX(Cartera1017[Subgerencia],ROW(A172)),"")</f>
        <v>Prevención</v>
      </c>
      <c r="F174" s="376" t="str" cm="1">
        <f t="array" ref="F174">IFERROR(INDEX(Cartera1017[Sección],ROW(A172)),"")</f>
        <v>Prevención</v>
      </c>
      <c r="G174" s="376" t="str" cm="1">
        <f t="array" ref="G174">IFERROR(INDEX(Cartera1017[Estado TI],ROW(A172)),"")</f>
        <v>06. Calidad Finalizado</v>
      </c>
      <c r="H174" s="463" cm="1">
        <f t="array" ref="H174">IFERROR(
 IF(
   INDEX(Cartera1017[Comienzo Desarrollo],ROW(A172))=0,
   "",
   INDEX(Cartera1017[Comienzo Desarrollo],ROW(A172))
 ),
 ""
)</f>
        <v>45972</v>
      </c>
      <c r="I174" s="463" cm="1">
        <f t="array" ref="I174">IFERROR(
 IF(
   INDEX(Cartera1017[Fin Producción],ROW(A172))=0,
   "",
   INDEX(Cartera1017[Fin Producción],ROW(A172))
 ),
 ""
)</f>
        <v>46160</v>
      </c>
    </row>
    <row r="175" spans="1:9">
      <c r="A175" s="376" t="str" cm="1">
        <f t="array" ref="A175">IFERROR(
 IF(
   INDEX(Cartera1017[ID Mantenimiento],ROW(A173))=0,
   "",
   INDEX(Cartera1017[ID Mantenimiento],ROW(A173))
 ),
 ""
)</f>
        <v>2025-M0739</v>
      </c>
      <c r="B175" s="376" t="str" cm="1">
        <f t="array" ref="B175">IFERROR(INDEX(Cartera1017[Nombre del Requerimiento],ROW(A173)),"")</f>
        <v>CGMN - GENERAR ORDEN PARA EXTRAER INFORMACION DE CHEQUES DE GERENCIA MN PARA UN RANGO DE TIEMPO DETERMINADO</v>
      </c>
      <c r="C175" s="376" t="str" cm="1">
        <f t="array" aca="1" ref="C175" ca="1">IFERROR(INDEX(Cartera1017[indicador de Avance],ROW(A173)),"")</f>
        <v>IMPLEMENTADO 🔵</v>
      </c>
      <c r="D175" s="376" t="str" cm="1">
        <f t="array" ref="D175">IFERROR(INDEX(Cartera1017[Gerencia],ROW(A173)),"")</f>
        <v>Operaciones</v>
      </c>
      <c r="E175" s="376" t="str" cm="1">
        <f t="array" ref="E175">IFERROR(INDEX(Cartera1017[Subgerencia],ROW(A173)),"")</f>
        <v>Servicios Bancarios y Recaudación</v>
      </c>
      <c r="F175" s="376" t="str" cm="1">
        <f t="array" ref="F175">IFERROR(INDEX(Cartera1017[Sección],ROW(A173)),"")</f>
        <v>Soporte Servicios Financieros</v>
      </c>
      <c r="G175" s="376" t="str" cm="1">
        <f t="array" ref="G175">IFERROR(INDEX(Cartera1017[Estado TI],ROW(A173)),"")</f>
        <v>08. Producción Finalizada</v>
      </c>
      <c r="H175" s="463" cm="1">
        <f t="array" ref="H175">IFERROR(
 IF(
   INDEX(Cartera1017[Comienzo Desarrollo],ROW(A173))=0,
   "",
   INDEX(Cartera1017[Comienzo Desarrollo],ROW(A173))
 ),
 ""
)</f>
        <v>45988</v>
      </c>
      <c r="I175" s="463" cm="1">
        <f t="array" ref="I175">IFERROR(
 IF(
   INDEX(Cartera1017[Fin Producción],ROW(A173))=0,
   "",
   INDEX(Cartera1017[Fin Producción],ROW(A173))
 ),
 ""
)</f>
        <v>46087</v>
      </c>
    </row>
    <row r="176" spans="1:9">
      <c r="A176" s="376" t="str" cm="1">
        <f t="array" ref="A176">IFERROR(
 IF(
   INDEX(Cartera1017[ID Mantenimiento],ROW(A174))=0,
   "",
   INDEX(Cartera1017[ID Mantenimiento],ROW(A174))
 ),
 ""
)</f>
        <v>2025-M0740</v>
      </c>
      <c r="B176" s="376" t="str" cm="1">
        <f t="array" ref="B176">IFERROR(INDEX(Cartera1017[Nombre del Requerimiento],ROW(A174)),"")</f>
        <v>CGME - GENERAR ORDEN PARA EXTRAER INFORMACION DE CHEQUES DE GERENCIA M.E. PARA UN RANGO DE TIEMPO DETERMINADO</v>
      </c>
      <c r="C176" s="376" t="str" cm="1">
        <f t="array" aca="1" ref="C176" ca="1">IFERROR(INDEX(Cartera1017[indicador de Avance],ROW(A174)),"")</f>
        <v>IMPLEMENTADO 🔵</v>
      </c>
      <c r="D176" s="376" t="str" cm="1">
        <f t="array" ref="D176">IFERROR(INDEX(Cartera1017[Gerencia],ROW(A174)),"")</f>
        <v>Operaciones</v>
      </c>
      <c r="E176" s="376" t="str" cm="1">
        <f t="array" ref="E176">IFERROR(INDEX(Cartera1017[Subgerencia],ROW(A174)),"")</f>
        <v>Servicios Bancarios y Recaudación</v>
      </c>
      <c r="F176" s="376" t="str" cm="1">
        <f t="array" ref="F176">IFERROR(INDEX(Cartera1017[Sección],ROW(A174)),"")</f>
        <v>Soporte Servicios Financieros</v>
      </c>
      <c r="G176" s="376" t="str" cm="1">
        <f t="array" ref="G176">IFERROR(INDEX(Cartera1017[Estado TI],ROW(A174)),"")</f>
        <v>08. Producción Finalizada</v>
      </c>
      <c r="H176" s="463" cm="1">
        <f t="array" ref="H176">IFERROR(
 IF(
   INDEX(Cartera1017[Comienzo Desarrollo],ROW(A174))=0,
   "",
   INDEX(Cartera1017[Comienzo Desarrollo],ROW(A174))
 ),
 ""
)</f>
        <v>45988</v>
      </c>
      <c r="I176" s="463" cm="1">
        <f t="array" ref="I176">IFERROR(
 IF(
   INDEX(Cartera1017[Fin Producción],ROW(A174))=0,
   "",
   INDEX(Cartera1017[Fin Producción],ROW(A174))
 ),
 ""
)</f>
        <v>46087</v>
      </c>
    </row>
    <row r="177" spans="1:9">
      <c r="A177" s="376" t="str" cm="1">
        <f t="array" ref="A177">IFERROR(
 IF(
   INDEX(Cartera1017[ID Mantenimiento],ROW(A175))=0,
   "",
   INDEX(Cartera1017[ID Mantenimiento],ROW(A175))
 ),
 ""
)</f>
        <v>2025-M0759</v>
      </c>
      <c r="B177" s="376" t="str" cm="1">
        <f t="array" ref="B177">IFERROR(INDEX(Cartera1017[Nombre del Requerimiento],ROW(A175)),"")</f>
        <v>Alta Disponibilidad Sistema SCIT</v>
      </c>
      <c r="C177" s="376" t="str" cm="1">
        <f t="array" aca="1" ref="C177" ca="1">IFERROR(INDEX(Cartera1017[indicador de Avance],ROW(A175)),"")</f>
        <v>IMPLEMENTADO 🔵</v>
      </c>
      <c r="D177" s="376" t="str" cm="1">
        <f t="array" ref="D177">IFERROR(INDEX(Cartera1017[Gerencia],ROW(A175)),"")</f>
        <v>Operaciones</v>
      </c>
      <c r="E177" s="376" t="str" cm="1">
        <f t="array" ref="E177">IFERROR(INDEX(Cartera1017[Subgerencia],ROW(A175)),"")</f>
        <v>Caja y Valores</v>
      </c>
      <c r="F177" s="376" t="str" cm="1">
        <f t="array" ref="F177">IFERROR(INDEX(Cartera1017[Sección],ROW(A175)),"")</f>
        <v>Soporte Mesa de Dinero</v>
      </c>
      <c r="G177" s="376" t="str" cm="1">
        <f t="array" ref="G177">IFERROR(INDEX(Cartera1017[Estado TI],ROW(A175)),"")</f>
        <v>08. Producción Finalizada</v>
      </c>
      <c r="H177" s="463" cm="1">
        <f t="array" ref="H177">IFERROR(
 IF(
   INDEX(Cartera1017[Comienzo Desarrollo],ROW(A175))=0,
   "",
   INDEX(Cartera1017[Comienzo Desarrollo],ROW(A175))
 ),
 ""
)</f>
        <v>45995</v>
      </c>
      <c r="I177" s="463" cm="1">
        <f t="array" ref="I177">IFERROR(
 IF(
   INDEX(Cartera1017[Fin Producción],ROW(A175))=0,
   "",
   INDEX(Cartera1017[Fin Producción],ROW(A175))
 ),
 ""
)</f>
        <v>46037</v>
      </c>
    </row>
    <row r="178" spans="1:9">
      <c r="A178" s="376" t="str" cm="1">
        <f t="array" ref="A178">IFERROR(
 IF(
   INDEX(Cartera1017[ID Mantenimiento],ROW(A176))=0,
   "",
   INDEX(Cartera1017[ID Mantenimiento],ROW(A176))
 ),
 ""
)</f>
        <v>2025-M0764</v>
      </c>
      <c r="B178" s="376" t="str" cm="1">
        <f t="array" ref="B178">IFERROR(INDEX(Cartera1017[Nombre del Requerimiento],ROW(A176)),"")</f>
        <v>Implementacion de la Casilla Unica Peru (Ex Casilla unica electronica CUE) en elSTD</v>
      </c>
      <c r="C178" s="376" t="str" cm="1">
        <f t="array" aca="1" ref="C178" ca="1">IFERROR(INDEX(Cartera1017[indicador de Avance],ROW(A176)),"")</f>
        <v>ATRASADO 🔴</v>
      </c>
      <c r="D178" s="376" t="str" cm="1">
        <f t="array" ref="D178">IFERROR(INDEX(Cartera1017[Gerencia],ROW(A176)),"")</f>
        <v>Administración y Logística</v>
      </c>
      <c r="E178" s="376" t="str" cm="1">
        <f t="array" ref="E178">IFERROR(INDEX(Cartera1017[Subgerencia],ROW(A176)),"")</f>
        <v>Servicios</v>
      </c>
      <c r="F178" s="376" t="str" cm="1">
        <f t="array" ref="F178">IFERROR(INDEX(Cartera1017[Sección],ROW(A176)),"")</f>
        <v>Tramité Documentario</v>
      </c>
      <c r="G178" s="376" t="str" cm="1">
        <f t="array" ref="G178">IFERROR(INDEX(Cartera1017[Estado TI],ROW(A176)),"")</f>
        <v>03. En Desarrollo</v>
      </c>
      <c r="H178" s="463" cm="1">
        <f t="array" ref="H178">IFERROR(
 IF(
   INDEX(Cartera1017[Comienzo Desarrollo],ROW(A176))=0,
   "",
   INDEX(Cartera1017[Comienzo Desarrollo],ROW(A176))
 ),
 ""
)</f>
        <v>46083</v>
      </c>
      <c r="I178" s="463" cm="1">
        <f t="array" ref="I178">IFERROR(
 IF(
   INDEX(Cartera1017[Fin Producción],ROW(A176))=0,
   "",
   INDEX(Cartera1017[Fin Producción],ROW(A176))
 ),
 ""
)</f>
        <v>46248</v>
      </c>
    </row>
    <row r="179" spans="1:9">
      <c r="A179" s="376" t="str" cm="1">
        <f t="array" ref="A179">IFERROR(
 IF(
   INDEX(Cartera1017[ID Mantenimiento],ROW(A177))=0,
   "",
   INDEX(Cartera1017[ID Mantenimiento],ROW(A177))
 ),
 ""
)</f>
        <v>2025-M0731</v>
      </c>
      <c r="B179" s="376" t="str" cm="1">
        <f t="array" ref="B179">IFERROR(INDEX(Cartera1017[Nombre del Requerimiento],ROW(A177)),"")</f>
        <v>Actualización por aplicación de nuevo certificado de seguridad para el dominio bancamovil.bn.com.pe (Plataforma Android)</v>
      </c>
      <c r="C179" s="376" t="str" cm="1">
        <f t="array" aca="1" ref="C179" ca="1">IFERROR(INDEX(Cartera1017[indicador de Avance],ROW(A177)),"")</f>
        <v>IMPLEMENTADO 🔵</v>
      </c>
      <c r="D179" s="376" t="str" cm="1">
        <f t="array" ref="D179">IFERROR(INDEX(Cartera1017[Gerencia],ROW(A177)),"")</f>
        <v>Tecnologías de Información</v>
      </c>
      <c r="E179" s="376" t="str" cm="1">
        <f t="array" ref="E179">IFERROR(INDEX(Cartera1017[Subgerencia],ROW(A177)),"")</f>
        <v>Seguridad Informática</v>
      </c>
      <c r="F179" s="376" t="str" cm="1">
        <f t="array" ref="F179">IFERROR(INDEX(Cartera1017[Sección],ROW(A177)),"")</f>
        <v>Control de Operaciones de Seguridad</v>
      </c>
      <c r="G179" s="376" t="str" cm="1">
        <f t="array" ref="G179">IFERROR(INDEX(Cartera1017[Estado TI],ROW(A177)),"")</f>
        <v>08. Producción Finalizada</v>
      </c>
      <c r="H179" s="463" cm="1">
        <f t="array" ref="H179">IFERROR(
 IF(
   INDEX(Cartera1017[Comienzo Desarrollo],ROW(A177))=0,
   "",
   INDEX(Cartera1017[Comienzo Desarrollo],ROW(A177))
 ),
 ""
)</f>
        <v>45985</v>
      </c>
      <c r="I179" s="463" cm="1">
        <f t="array" ref="I179">IFERROR(
 IF(
   INDEX(Cartera1017[Fin Producción],ROW(A177))=0,
   "",
   INDEX(Cartera1017[Fin Producción],ROW(A177))
 ),
 ""
)</f>
        <v>46030</v>
      </c>
    </row>
    <row r="180" spans="1:9">
      <c r="A180" s="376" t="str" cm="1">
        <f t="array" ref="A180">IFERROR(
 IF(
   INDEX(Cartera1017[ID Mantenimiento],ROW(A178))=0,
   "",
   INDEX(Cartera1017[ID Mantenimiento],ROW(A178))
 ),
 ""
)</f>
        <v>2025-M0747</v>
      </c>
      <c r="B180" s="376" t="str" cm="1">
        <f t="array" ref="B180">IFERROR(INDEX(Cartera1017[Nombre del Requerimiento],ROW(A178)),"")</f>
        <v>OCTAVO MANTENIMIENTO PREVENTIVO EN SISTEMA DE TRÁMITE DOCUMENTARIO STD</v>
      </c>
      <c r="C180" s="376" t="str" cm="1">
        <f t="array" aca="1" ref="C180" ca="1">IFERROR(INDEX(Cartera1017[indicador de Avance],ROW(A178)),"")</f>
        <v>IMPLEMENTADO 🔵</v>
      </c>
      <c r="D180" s="376" t="str" cm="1">
        <f t="array" ref="D180">IFERROR(INDEX(Cartera1017[Gerencia],ROW(A178)),"")</f>
        <v>Administración y Logística</v>
      </c>
      <c r="E180" s="376" t="str" cm="1">
        <f t="array" ref="E180">IFERROR(INDEX(Cartera1017[Subgerencia],ROW(A178)),"")</f>
        <v>Servicios</v>
      </c>
      <c r="F180" s="376" t="str" cm="1">
        <f t="array" ref="F180">IFERROR(INDEX(Cartera1017[Sección],ROW(A178)),"")</f>
        <v>Tramité Documentario</v>
      </c>
      <c r="G180" s="376" t="str" cm="1">
        <f t="array" ref="G180">IFERROR(INDEX(Cartera1017[Estado TI],ROW(A178)),"")</f>
        <v>08. Producción Finalizada</v>
      </c>
      <c r="H180" s="463" cm="1">
        <f t="array" ref="H180">IFERROR(
 IF(
   INDEX(Cartera1017[Comienzo Desarrollo],ROW(A178))=0,
   "",
   INDEX(Cartera1017[Comienzo Desarrollo],ROW(A178))
 ),
 ""
)</f>
        <v>45989</v>
      </c>
      <c r="I180" s="463" cm="1">
        <f t="array" ref="I180">IFERROR(
 IF(
   INDEX(Cartera1017[Fin Producción],ROW(A178))=0,
   "",
   INDEX(Cartera1017[Fin Producción],ROW(A178))
 ),
 ""
)</f>
        <v>46030</v>
      </c>
    </row>
    <row r="181" spans="1:9">
      <c r="A181" s="376" t="str" cm="1">
        <f t="array" ref="A181">IFERROR(
 IF(
   INDEX(Cartera1017[ID Mantenimiento],ROW(A179))=0,
   "",
   INDEX(Cartera1017[ID Mantenimiento],ROW(A179))
 ),
 ""
)</f>
        <v>2023-M0546</v>
      </c>
      <c r="B181" s="376" t="str" cm="1">
        <f t="array" ref="B181">IFERROR(INDEX(Cartera1017[Nombre del Requerimiento],ROW(A179)),"")</f>
        <v>Journal Diebold</v>
      </c>
      <c r="C181" s="376" t="str" cm="1">
        <f t="array" aca="1" ref="C181" ca="1">IFERROR(INDEX(Cartera1017[indicador de Avance],ROW(A179)),"")</f>
        <v>ATRASADO 🔴</v>
      </c>
      <c r="D181" s="376" t="str" cm="1">
        <f t="array" ref="D181">IFERROR(INDEX(Cartera1017[Gerencia],ROW(A179)),"")</f>
        <v>Banca Digital</v>
      </c>
      <c r="E181" s="376" t="str" cm="1">
        <f t="array" ref="E181">IFERROR(INDEX(Cartera1017[Subgerencia],ROW(A179)),"")</f>
        <v>Canales Alternos</v>
      </c>
      <c r="F181" s="376" t="str" cm="1">
        <f t="array" ref="F181">IFERROR(INDEX(Cartera1017[Sección],ROW(A179)),"")</f>
        <v>Canales Presenciales</v>
      </c>
      <c r="G181" s="376" t="str" cm="1">
        <f t="array" ref="G181">IFERROR(INDEX(Cartera1017[Estado TI],ROW(A179)),"")</f>
        <v>03. En Desarrollo</v>
      </c>
      <c r="H181" s="463" cm="1">
        <f t="array" ref="H181">IFERROR(
 IF(
   INDEX(Cartera1017[Comienzo Desarrollo],ROW(A179))=0,
   "",
   INDEX(Cartera1017[Comienzo Desarrollo],ROW(A179))
 ),
 ""
)</f>
        <v>46072</v>
      </c>
      <c r="I181" s="463" cm="1">
        <f t="array" ref="I181">IFERROR(
 IF(
   INDEX(Cartera1017[Fin Producción],ROW(A179))=0,
   "",
   INDEX(Cartera1017[Fin Producción],ROW(A179))
 ),
 ""
)</f>
        <v>46127</v>
      </c>
    </row>
    <row r="182" spans="1:9">
      <c r="A182" s="376" t="str" cm="1">
        <f t="array" ref="A182">IFERROR(
 IF(
   INDEX(Cartera1017[ID Mantenimiento],ROW(A180))=0,
   "",
   INDEX(Cartera1017[ID Mantenimiento],ROW(A180))
 ),
 ""
)</f>
        <v>2025-M0688</v>
      </c>
      <c r="B182" s="376" t="str" cm="1">
        <f t="array" ref="B182">IFERROR(INDEX(Cartera1017[Nombre del Requerimiento],ROW(A180)),"")</f>
        <v>Servicio de Pagaduría SBS FSD Cooperativas (renombrar código 0087)</v>
      </c>
      <c r="C182" s="376" t="str" cm="1">
        <f t="array" aca="1" ref="C182" ca="1">IFERROR(INDEX(Cartera1017[indicador de Avance],ROW(A180)),"")</f>
        <v>IMPLEMENTADO 🔵</v>
      </c>
      <c r="D182" s="376" t="str" cm="1">
        <f t="array" ref="D182">IFERROR(INDEX(Cartera1017[Gerencia],ROW(A180)),"")</f>
        <v>Operaciones</v>
      </c>
      <c r="E182" s="376" t="str" cm="1">
        <f t="array" ref="E182">IFERROR(INDEX(Cartera1017[Subgerencia],ROW(A180)),"")</f>
        <v>Servicios Bancarios y Recaudación</v>
      </c>
      <c r="F182" s="376" t="str" cm="1">
        <f t="array" ref="F182">IFERROR(INDEX(Cartera1017[Sección],ROW(A180)),"")</f>
        <v>Recaudación y Corresponsalía</v>
      </c>
      <c r="G182" s="376" t="str" cm="1">
        <f t="array" ref="G182">IFERROR(INDEX(Cartera1017[Estado TI],ROW(A180)),"")</f>
        <v>08. Producción Finalizada</v>
      </c>
      <c r="H182" s="463" t="str" cm="1">
        <f t="array" ref="H182">IFERROR(
 IF(
   INDEX(Cartera1017[Comienzo Desarrollo],ROW(A180))=0,
   "",
   INDEX(Cartera1017[Comienzo Desarrollo],ROW(A180))
 ),
 ""
)</f>
        <v/>
      </c>
      <c r="I182" s="463" t="str" cm="1">
        <f t="array" ref="I182">IFERROR(
 IF(
   INDEX(Cartera1017[Fin Producción],ROW(A180))=0,
   "",
   INDEX(Cartera1017[Fin Producción],ROW(A180))
 ),
 ""
)</f>
        <v/>
      </c>
    </row>
    <row r="183" spans="1:9">
      <c r="A183" s="376" t="str" cm="1">
        <f t="array" ref="A183">IFERROR(
 IF(
   INDEX(Cartera1017[ID Mantenimiento],ROW(A181))=0,
   "",
   INDEX(Cartera1017[ID Mantenimiento],ROW(A181))
 ),
 ""
)</f>
        <v>2026-M0150</v>
      </c>
      <c r="B183" s="376" t="str" cm="1">
        <f t="array" ref="B183">IFERROR(INDEX(Cartera1017[Nombre del Requerimiento],ROW(A181)),"")</f>
        <v>Implementación API REST - Migración de Pago de Servicios</v>
      </c>
      <c r="C183" s="376" t="str" cm="1">
        <f t="array" aca="1" ref="C183" ca="1">IFERROR(INDEX(Cartera1017[indicador de Avance],ROW(A181)),"")</f>
        <v>ATRASADO 🔴</v>
      </c>
      <c r="D183" s="376" t="str" cm="1">
        <f t="array" ref="D183">IFERROR(INDEX(Cartera1017[Gerencia],ROW(A181)),"")</f>
        <v>Tecnologías de Información</v>
      </c>
      <c r="E183" s="376" t="str" cm="1">
        <f t="array" ref="E183">IFERROR(INDEX(Cartera1017[Subgerencia],ROW(A181)),"")</f>
        <v>Producción</v>
      </c>
      <c r="F183" s="376" t="str" cm="1">
        <f t="array" ref="F183">IFERROR(INDEX(Cartera1017[Sección],ROW(A181)),"")</f>
        <v>Operaciones de la Infraestructura Tecnológica</v>
      </c>
      <c r="G183" s="376" t="str" cm="1">
        <f t="array" ref="G183">IFERROR(INDEX(Cartera1017[Estado TI],ROW(A181)),"")</f>
        <v>03. En Desarrollo</v>
      </c>
      <c r="H183" s="463" cm="1">
        <f t="array" ref="H183">IFERROR(
 IF(
   INDEX(Cartera1017[Comienzo Desarrollo],ROW(A181))=0,
   "",
   INDEX(Cartera1017[Comienzo Desarrollo],ROW(A181))
 ),
 ""
)</f>
        <v>46118</v>
      </c>
      <c r="I183" s="463" cm="1">
        <f t="array" ref="I183">IFERROR(
 IF(
   INDEX(Cartera1017[Fin Producción],ROW(A181))=0,
   "",
   INDEX(Cartera1017[Fin Producción],ROW(A181))
 ),
 ""
)</f>
        <v>46213</v>
      </c>
    </row>
    <row r="184" spans="1:9">
      <c r="A184" s="376" t="str" cm="1">
        <f t="array" ref="A184">IFERROR(
 IF(
   INDEX(Cartera1017[ID Mantenimiento],ROW(A182))=0,
   "",
   INDEX(Cartera1017[ID Mantenimiento],ROW(A182))
 ),
 ""
)</f>
        <v>2025-M0767</v>
      </c>
      <c r="B184" s="376" t="str" cm="1">
        <f t="array" ref="B184">IFERROR(INDEX(Cartera1017[Nombre del Requerimiento],ROW(A182)),"")</f>
        <v>Cambios de mandatorios de mensajes Swift</v>
      </c>
      <c r="C184" s="376" t="str" cm="1">
        <f t="array" aca="1" ref="C184" ca="1">IFERROR(INDEX(Cartera1017[indicador de Avance],ROW(A182)),"")</f>
        <v>IMPLEMENTADO 🔵</v>
      </c>
      <c r="D184" s="376" t="str" cm="1">
        <f t="array" ref="D184">IFERROR(INDEX(Cartera1017[Gerencia],ROW(A182)),"")</f>
        <v>Operaciones</v>
      </c>
      <c r="E184" s="376" t="str" cm="1">
        <f t="array" ref="E184">IFERROR(INDEX(Cartera1017[Subgerencia],ROW(A182)),"")</f>
        <v>Caja y Valores</v>
      </c>
      <c r="F184" s="376" t="str" cm="1">
        <f t="array" ref="F184">IFERROR(INDEX(Cartera1017[Sección],ROW(A182)),"")</f>
        <v>Soporte Mesa de Dinero</v>
      </c>
      <c r="G184" s="376" t="str" cm="1">
        <f t="array" ref="G184">IFERROR(INDEX(Cartera1017[Estado TI],ROW(A182)),"")</f>
        <v>08. Producción Finalizada</v>
      </c>
      <c r="H184" s="463" t="str" cm="1">
        <f t="array" ref="H184">IFERROR(
 IF(
   INDEX(Cartera1017[Comienzo Desarrollo],ROW(A182))=0,
   "",
   INDEX(Cartera1017[Comienzo Desarrollo],ROW(A182))
 ),
 ""
)</f>
        <v/>
      </c>
      <c r="I184" s="463" t="str" cm="1">
        <f t="array" ref="I184">IFERROR(
 IF(
   INDEX(Cartera1017[Fin Producción],ROW(A182))=0,
   "",
   INDEX(Cartera1017[Fin Producción],ROW(A182))
 ),
 ""
)</f>
        <v/>
      </c>
    </row>
    <row r="185" spans="1:9">
      <c r="A185" s="376" t="str" cm="1">
        <f t="array" ref="A185">IFERROR(
 IF(
   INDEX(Cartera1017[ID Mantenimiento],ROW(A183))=0,
   "",
   INDEX(Cartera1017[ID Mantenimiento],ROW(A183))
 ),
 ""
)</f>
        <v>2025-M0768</v>
      </c>
      <c r="B185" s="376" t="str" cm="1">
        <f t="array" ref="B185">IFERROR(INDEX(Cartera1017[Nombre del Requerimiento],ROW(A183)),"")</f>
        <v>Extraccion periodica de la informacion del sistema SYGNUS que se encuentra en el entorno de Open Distribuido</v>
      </c>
      <c r="C185" s="376" t="str" cm="1">
        <f t="array" aca="1" ref="C185" ca="1">IFERROR(INDEX(Cartera1017[indicador de Avance],ROW(A183)),"")</f>
        <v>IMPLEMENTADO 🔵</v>
      </c>
      <c r="D185" s="376" t="str" cm="1">
        <f t="array" ref="D185">IFERROR(INDEX(Cartera1017[Gerencia],ROW(A183)),"")</f>
        <v>Recursos Humanos y Cultura</v>
      </c>
      <c r="E185" s="376" t="str" cm="1">
        <f t="array" ref="E185">IFERROR(INDEX(Cartera1017[Subgerencia],ROW(A183)),"")</f>
        <v>Administración de Personal</v>
      </c>
      <c r="F185" s="376" t="str" cm="1">
        <f t="array" ref="F185">IFERROR(INDEX(Cartera1017[Sección],ROW(A183)),"")</f>
        <v>Registro de Personal</v>
      </c>
      <c r="G185" s="376" t="str" cm="1">
        <f t="array" ref="G185">IFERROR(INDEX(Cartera1017[Estado TI],ROW(A183)),"")</f>
        <v>08. Producción Finalizada</v>
      </c>
      <c r="H185" s="463" t="str" cm="1">
        <f t="array" ref="H185">IFERROR(
 IF(
   INDEX(Cartera1017[Comienzo Desarrollo],ROW(A183))=0,
   "",
   INDEX(Cartera1017[Comienzo Desarrollo],ROW(A183))
 ),
 ""
)</f>
        <v/>
      </c>
      <c r="I185" s="463" t="str" cm="1">
        <f t="array" ref="I185">IFERROR(
 IF(
   INDEX(Cartera1017[Fin Producción],ROW(A183))=0,
   "",
   INDEX(Cartera1017[Fin Producción],ROW(A183))
 ),
 ""
)</f>
        <v/>
      </c>
    </row>
    <row r="186" spans="1:9">
      <c r="A186" s="376" t="str" cm="1">
        <f t="array" ref="A186">IFERROR(
 IF(
   INDEX(Cartera1017[ID Mantenimiento],ROW(A184))=0,
   "",
   INDEX(Cartera1017[ID Mantenimiento],ROW(A184))
 ),
 ""
)</f>
        <v/>
      </c>
      <c r="B186" s="376" t="str" cm="1">
        <f t="array" ref="B186">IFERROR(INDEX(Cartera1017[Nombre del Requerimiento],ROW(A184)),"")</f>
        <v>Inscripción de Códigos UNP</v>
      </c>
      <c r="C186" s="376" t="str" cm="1">
        <f t="array" aca="1" ref="C186" ca="1">IFERROR(INDEX(Cartera1017[indicador de Avance],ROW(A184)),"")</f>
        <v>Sin Cronograma 🔵</v>
      </c>
      <c r="D186" s="376" t="str" cm="1">
        <f t="array" ref="D186">IFERROR(INDEX(Cartera1017[Gerencia],ROW(A184)),"")</f>
        <v>Operaciones</v>
      </c>
      <c r="E186" s="376" t="str" cm="1">
        <f t="array" ref="E186">IFERROR(INDEX(Cartera1017[Subgerencia],ROW(A184)),"")</f>
        <v>Servicios Bancarios y Recaudación</v>
      </c>
      <c r="F186" s="376" t="str" cm="1">
        <f t="array" ref="F186">IFERROR(INDEX(Cartera1017[Sección],ROW(A184)),"")</f>
        <v>Recaudación y Corresponsalía</v>
      </c>
      <c r="G186" s="376" t="str" cm="1">
        <f t="array" ref="G186">IFERROR(INDEX(Cartera1017[Estado TI],ROW(A184)),"")</f>
        <v>02. En Planificación</v>
      </c>
      <c r="H186" s="463" t="str" cm="1">
        <f t="array" ref="H186">IFERROR(
 IF(
   INDEX(Cartera1017[Comienzo Desarrollo],ROW(A184))=0,
   "",
   INDEX(Cartera1017[Comienzo Desarrollo],ROW(A184))
 ),
 ""
)</f>
        <v/>
      </c>
      <c r="I186" s="463" t="str" cm="1">
        <f t="array" ref="I186">IFERROR(
 IF(
   INDEX(Cartera1017[Fin Producción],ROW(A184))=0,
   "",
   INDEX(Cartera1017[Fin Producción],ROW(A184))
 ),
 ""
)</f>
        <v/>
      </c>
    </row>
    <row r="187" spans="1:9">
      <c r="A187" s="376" t="str" cm="1">
        <f t="array" ref="A187">IFERROR(
 IF(
   INDEX(Cartera1017[ID Mantenimiento],ROW(A185))=0,
   "",
   INDEX(Cartera1017[ID Mantenimiento],ROW(A185))
 ),
 ""
)</f>
        <v/>
      </c>
      <c r="B187" s="376" t="str" cm="1">
        <f t="array" ref="B187">IFERROR(INDEX(Cartera1017[Nombre del Requerimiento],ROW(A185)),"")</f>
        <v>Incorporación de Códigos UNE_UNPRG_UNAJ</v>
      </c>
      <c r="C187" s="376" t="str" cm="1">
        <f t="array" aca="1" ref="C187" ca="1">IFERROR(INDEX(Cartera1017[indicador de Avance],ROW(A185)),"")</f>
        <v>Sin Cronograma 🔵</v>
      </c>
      <c r="D187" s="376" t="str" cm="1">
        <f t="array" ref="D187">IFERROR(INDEX(Cartera1017[Gerencia],ROW(A185)),"")</f>
        <v>Operaciones</v>
      </c>
      <c r="E187" s="376" t="str" cm="1">
        <f t="array" ref="E187">IFERROR(INDEX(Cartera1017[Subgerencia],ROW(A185)),"")</f>
        <v>Servicios Bancarios y Recaudación</v>
      </c>
      <c r="F187" s="376" t="str" cm="1">
        <f t="array" ref="F187">IFERROR(INDEX(Cartera1017[Sección],ROW(A185)),"")</f>
        <v>Recaudación y Corresponsalía</v>
      </c>
      <c r="G187" s="376" t="str" cm="1">
        <f t="array" ref="G187">IFERROR(INDEX(Cartera1017[Estado TI],ROW(A185)),"")</f>
        <v>02. En Planificación</v>
      </c>
      <c r="H187" s="463" t="str" cm="1">
        <f t="array" ref="H187">IFERROR(
 IF(
   INDEX(Cartera1017[Comienzo Desarrollo],ROW(A185))=0,
   "",
   INDEX(Cartera1017[Comienzo Desarrollo],ROW(A185))
 ),
 ""
)</f>
        <v/>
      </c>
      <c r="I187" s="463" t="str" cm="1">
        <f t="array" ref="I187">IFERROR(
 IF(
   INDEX(Cartera1017[Fin Producción],ROW(A185))=0,
   "",
   INDEX(Cartera1017[Fin Producción],ROW(A185))
 ),
 ""
)</f>
        <v/>
      </c>
    </row>
    <row r="188" spans="1:9">
      <c r="A188" s="376" t="str" cm="1">
        <f t="array" ref="A188">IFERROR(
 IF(
   INDEX(Cartera1017[ID Mantenimiento],ROW(A186))=0,
   "",
   INDEX(Cartera1017[ID Mantenimiento],ROW(A186))
 ),
 ""
)</f>
        <v>2025-M0770</v>
      </c>
      <c r="B188" s="376" t="str" cm="1">
        <f t="array" ref="B188">IFERROR(INDEX(Cartera1017[Nombre del Requerimiento],ROW(A186)),"")</f>
        <v>Identificación de riesgos cambiario crediticio para los clientes minoristas</v>
      </c>
      <c r="C188" s="376" t="str" cm="1">
        <f t="array" aca="1" ref="C188" ca="1">IFERROR(INDEX(Cartera1017[indicador de Avance],ROW(A186)),"")</f>
        <v>EN CURSO 🟢</v>
      </c>
      <c r="D188" s="376" t="str" cm="1">
        <f t="array" ref="D188">IFERROR(INDEX(Cartera1017[Gerencia],ROW(A186)),"")</f>
        <v>Riesgos</v>
      </c>
      <c r="E188" s="376" t="str" cm="1">
        <f t="array" ref="E188">IFERROR(INDEX(Cartera1017[Subgerencia],ROW(A186)),"")</f>
        <v>Riesgos Crediticios y Financieros</v>
      </c>
      <c r="F188" s="376" t="str" cm="1">
        <f t="array" ref="F188">IFERROR(INDEX(Cartera1017[Sección],ROW(A186)),"")</f>
        <v>Evaluación de Cartera de Créditos</v>
      </c>
      <c r="G188" s="376" t="str" cm="1">
        <f t="array" ref="G188">IFERROR(INDEX(Cartera1017[Estado TI],ROW(A186)),"")</f>
        <v>05. En Calidad</v>
      </c>
      <c r="H188" s="463" cm="1">
        <f t="array" ref="H188">IFERROR(
 IF(
   INDEX(Cartera1017[Comienzo Desarrollo],ROW(A186))=0,
   "",
   INDEX(Cartera1017[Comienzo Desarrollo],ROW(A186))
 ),
 ""
)</f>
        <v>46099</v>
      </c>
      <c r="I188" s="463" cm="1">
        <f t="array" ref="I188">IFERROR(
 IF(
   INDEX(Cartera1017[Fin Producción],ROW(A186))=0,
   "",
   INDEX(Cartera1017[Fin Producción],ROW(A186))
 ),
 ""
)</f>
        <v>46188</v>
      </c>
    </row>
    <row r="189" spans="1:9">
      <c r="A189" s="376" t="str" cm="1">
        <f t="array" ref="A189">IFERROR(
 IF(
   INDEX(Cartera1017[ID Mantenimiento],ROW(A187))=0,
   "",
   INDEX(Cartera1017[ID Mantenimiento],ROW(A187))
 ),
 ""
)</f>
        <v>2025-M0773</v>
      </c>
      <c r="B189" s="376" t="str" cm="1">
        <f t="array" ref="B189">IFERROR(INDEX(Cartera1017[Nombre del Requerimiento],ROW(A187)),"")</f>
        <v xml:space="preserve">Creación de Base de Datos de Clientes No Minoristas Expuestos a Riesgo Cambiario Crediticio
</v>
      </c>
      <c r="C189" s="376" t="str" cm="1">
        <f t="array" aca="1" ref="C189" ca="1">IFERROR(INDEX(Cartera1017[indicador de Avance],ROW(A187)),"")</f>
        <v>EN CURSO 🟢</v>
      </c>
      <c r="D189" s="376" t="str" cm="1">
        <f t="array" ref="D189">IFERROR(INDEX(Cartera1017[Gerencia],ROW(A187)),"")</f>
        <v>Riesgos</v>
      </c>
      <c r="E189" s="376" t="str" cm="1">
        <f t="array" ref="E189">IFERROR(INDEX(Cartera1017[Subgerencia],ROW(A187)),"")</f>
        <v>Riesgos Crediticios y Financieros</v>
      </c>
      <c r="F189" s="376" t="str" cm="1">
        <f t="array" ref="F189">IFERROR(INDEX(Cartera1017[Sección],ROW(A187)),"")</f>
        <v>Evaluación de Cartera de Créditos</v>
      </c>
      <c r="G189" s="376" t="str" cm="1">
        <f t="array" ref="G189">IFERROR(INDEX(Cartera1017[Estado TI],ROW(A187)),"")</f>
        <v>05. En Calidad</v>
      </c>
      <c r="H189" s="463" cm="1">
        <f t="array" ref="H189">IFERROR(
 IF(
   INDEX(Cartera1017[Comienzo Desarrollo],ROW(A187))=0,
   "",
   INDEX(Cartera1017[Comienzo Desarrollo],ROW(A187))
 ),
 ""
)</f>
        <v>46080</v>
      </c>
      <c r="I189" s="463" cm="1">
        <f t="array" ref="I189">IFERROR(
 IF(
   INDEX(Cartera1017[Fin Producción],ROW(A187))=0,
   "",
   INDEX(Cartera1017[Fin Producción],ROW(A187))
 ),
 ""
)</f>
        <v>46188</v>
      </c>
    </row>
    <row r="190" spans="1:9">
      <c r="A190" s="376" t="str" cm="1">
        <f t="array" ref="A190">IFERROR(
 IF(
   INDEX(Cartera1017[ID Mantenimiento],ROW(A188))=0,
   "",
   INDEX(Cartera1017[ID Mantenimiento],ROW(A188))
 ),
 ""
)</f>
        <v/>
      </c>
      <c r="B190" s="376" t="str" cm="1">
        <f t="array" ref="B190">IFERROR(INDEX(Cartera1017[Nombre del Requerimiento],ROW(A188)),"")</f>
        <v>Pago Electrónico Embargos Sunat</v>
      </c>
      <c r="C190" s="376" t="str" cm="1">
        <f t="array" aca="1" ref="C190" ca="1">IFERROR(INDEX(Cartera1017[indicador de Avance],ROW(A188)),"")</f>
        <v>Sin Cronograma 🔵</v>
      </c>
      <c r="D190" s="376" t="str" cm="1">
        <f t="array" ref="D190">IFERROR(INDEX(Cartera1017[Gerencia],ROW(A188)),"")</f>
        <v>Operaciones</v>
      </c>
      <c r="E190" s="376" t="str" cm="1">
        <f t="array" ref="E190">IFERROR(INDEX(Cartera1017[Subgerencia],ROW(A188)),"")</f>
        <v>Servicios Bancarios y Recaudación</v>
      </c>
      <c r="F190" s="376" t="str" cm="1">
        <f t="array" ref="F190">IFERROR(INDEX(Cartera1017[Sección],ROW(A188)),"")</f>
        <v>Recaudación y Corresponsalía</v>
      </c>
      <c r="G190" s="376" t="str" cm="1">
        <f t="array" ref="G190">IFERROR(INDEX(Cartera1017[Estado TI],ROW(A188)),"")</f>
        <v>02. En Planificación</v>
      </c>
      <c r="H190" s="463" t="str" cm="1">
        <f t="array" ref="H190">IFERROR(
 IF(
   INDEX(Cartera1017[Comienzo Desarrollo],ROW(A188))=0,
   "",
   INDEX(Cartera1017[Comienzo Desarrollo],ROW(A188))
 ),
 ""
)</f>
        <v/>
      </c>
      <c r="I190" s="463" t="str" cm="1">
        <f t="array" ref="I190">IFERROR(
 IF(
   INDEX(Cartera1017[Fin Producción],ROW(A188))=0,
   "",
   INDEX(Cartera1017[Fin Producción],ROW(A188))
 ),
 ""
)</f>
        <v/>
      </c>
    </row>
    <row r="191" spans="1:9">
      <c r="A191" s="376" t="str" cm="1">
        <f t="array" ref="A191">IFERROR(
 IF(
   INDEX(Cartera1017[ID Mantenimiento],ROW(A189))=0,
   "",
   INDEX(Cartera1017[ID Mantenimiento],ROW(A189))
 ),
 ""
)</f>
        <v>2026-M0004</v>
      </c>
      <c r="B191" s="376" t="str" cm="1">
        <f t="array" ref="B191">IFERROR(INDEX(Cartera1017[Nombre del Requerimiento],ROW(A189)),"")</f>
        <v>Actualización de tabla de Aranceles Indecopi</v>
      </c>
      <c r="C191" s="376" t="str" cm="1">
        <f t="array" aca="1" ref="C191" ca="1">IFERROR(INDEX(Cartera1017[indicador de Avance],ROW(A189)),"")</f>
        <v>IMPLEMENTADO 🔵</v>
      </c>
      <c r="D191" s="376" t="str" cm="1">
        <f t="array" ref="D191">IFERROR(INDEX(Cartera1017[Gerencia],ROW(A189)),"")</f>
        <v>Operaciones</v>
      </c>
      <c r="E191" s="376" t="str" cm="1">
        <f t="array" ref="E191">IFERROR(INDEX(Cartera1017[Subgerencia],ROW(A189)),"")</f>
        <v>Servicios Bancarios y Recaudación</v>
      </c>
      <c r="F191" s="376" t="str" cm="1">
        <f t="array" ref="F191">IFERROR(INDEX(Cartera1017[Sección],ROW(A189)),"")</f>
        <v>Recaudación y Corresponsalía</v>
      </c>
      <c r="G191" s="376" t="str" cm="1">
        <f t="array" ref="G191">IFERROR(INDEX(Cartera1017[Estado TI],ROW(A189)),"")</f>
        <v>08. Producción Finalizada</v>
      </c>
      <c r="H191" s="463" t="str" cm="1">
        <f t="array" ref="H191">IFERROR(
 IF(
   INDEX(Cartera1017[Comienzo Desarrollo],ROW(A189))=0,
   "",
   INDEX(Cartera1017[Comienzo Desarrollo],ROW(A189))
 ),
 ""
)</f>
        <v/>
      </c>
      <c r="I191" s="463" t="str" cm="1">
        <f t="array" ref="I191">IFERROR(
 IF(
   INDEX(Cartera1017[Fin Producción],ROW(A189))=0,
   "",
   INDEX(Cartera1017[Fin Producción],ROW(A189))
 ),
 ""
)</f>
        <v/>
      </c>
    </row>
    <row r="192" spans="1:9">
      <c r="A192" s="376" t="str" cm="1">
        <f t="array" ref="A192">IFERROR(
 IF(
   INDEX(Cartera1017[ID Mantenimiento],ROW(A190))=0,
   "",
   INDEX(Cartera1017[ID Mantenimiento],ROW(A190))
 ),
 ""
)</f>
        <v/>
      </c>
      <c r="B192" s="376" t="str" cm="1">
        <f t="array" ref="B192">IFERROR(INDEX(Cartera1017[Nombre del Requerimiento],ROW(A190)),"")</f>
        <v xml:space="preserve">Incorporar 2 tipos de documento en la transacción 9120 Indecopi  </v>
      </c>
      <c r="C192" s="376" t="str" cm="1">
        <f t="array" aca="1" ref="C192" ca="1">IFERROR(INDEX(Cartera1017[indicador de Avance],ROW(A190)),"")</f>
        <v>Sin Cronograma 🔵</v>
      </c>
      <c r="D192" s="376" t="str" cm="1">
        <f t="array" ref="D192">IFERROR(INDEX(Cartera1017[Gerencia],ROW(A190)),"")</f>
        <v>Operaciones</v>
      </c>
      <c r="E192" s="376" t="str" cm="1">
        <f t="array" ref="E192">IFERROR(INDEX(Cartera1017[Subgerencia],ROW(A190)),"")</f>
        <v>Servicios Bancarios y Recaudación</v>
      </c>
      <c r="F192" s="376" t="str" cm="1">
        <f t="array" ref="F192">IFERROR(INDEX(Cartera1017[Sección],ROW(A190)),"")</f>
        <v>Recaudación y Corresponsalía</v>
      </c>
      <c r="G192" s="376" t="str" cm="1">
        <f t="array" ref="G192">IFERROR(INDEX(Cartera1017[Estado TI],ROW(A190)),"")</f>
        <v>02. En Planificación</v>
      </c>
      <c r="H192" s="463" t="str" cm="1">
        <f t="array" ref="H192">IFERROR(
 IF(
   INDEX(Cartera1017[Comienzo Desarrollo],ROW(A190))=0,
   "",
   INDEX(Cartera1017[Comienzo Desarrollo],ROW(A190))
 ),
 ""
)</f>
        <v/>
      </c>
      <c r="I192" s="463" t="str" cm="1">
        <f t="array" ref="I192">IFERROR(
 IF(
   INDEX(Cartera1017[Fin Producción],ROW(A190))=0,
   "",
   INDEX(Cartera1017[Fin Producción],ROW(A190))
 ),
 ""
)</f>
        <v/>
      </c>
    </row>
    <row r="193" spans="1:9">
      <c r="A193" s="376" t="str" cm="1">
        <f t="array" ref="A193">IFERROR(
 IF(
   INDEX(Cartera1017[ID Mantenimiento],ROW(A191))=0,
   "",
   INDEX(Cartera1017[ID Mantenimiento],ROW(A191))
 ),
 ""
)</f>
        <v>2026-M0005</v>
      </c>
      <c r="B193" s="376" t="str" cm="1">
        <f t="array" ref="B193">IFERROR(INDEX(Cartera1017[Nombre del Requerimiento],ROW(A191)),"")</f>
        <v>Reportes de Ahorros</v>
      </c>
      <c r="C193" s="376" t="str" cm="1">
        <f t="array" aca="1" ref="C193" ca="1">IFERROR(INDEX(Cartera1017[indicador de Avance],ROW(A191)),"")</f>
        <v>IMPLEMENTADO 🔵</v>
      </c>
      <c r="D193" s="376" t="str" cm="1">
        <f t="array" ref="D193">IFERROR(INDEX(Cartera1017[Gerencia],ROW(A191)),"")</f>
        <v>Operaciones</v>
      </c>
      <c r="E193" s="376" t="str" cm="1">
        <f t="array" ref="E193">IFERROR(INDEX(Cartera1017[Subgerencia],ROW(A191)),"")</f>
        <v>Captaciones y Pagaduría</v>
      </c>
      <c r="F193" s="376" t="str" cm="1">
        <f t="array" ref="F193">IFERROR(INDEX(Cartera1017[Sección],ROW(A191)),"")</f>
        <v>Administración de Cuentas y Pagaduría</v>
      </c>
      <c r="G193" s="376" t="str" cm="1">
        <f t="array" ref="G193">IFERROR(INDEX(Cartera1017[Estado TI],ROW(A191)),"")</f>
        <v>08. Producción Finalizada</v>
      </c>
      <c r="H193" s="463" t="str" cm="1">
        <f t="array" ref="H193">IFERROR(
 IF(
   INDEX(Cartera1017[Comienzo Desarrollo],ROW(A191))=0,
   "",
   INDEX(Cartera1017[Comienzo Desarrollo],ROW(A191))
 ),
 ""
)</f>
        <v/>
      </c>
      <c r="I193" s="463" t="str" cm="1">
        <f t="array" ref="I193">IFERROR(
 IF(
   INDEX(Cartera1017[Fin Producción],ROW(A191))=0,
   "",
   INDEX(Cartera1017[Fin Producción],ROW(A191))
 ),
 ""
)</f>
        <v/>
      </c>
    </row>
    <row r="194" spans="1:9">
      <c r="A194" s="376" t="str" cm="1">
        <f t="array" ref="A194">IFERROR(
 IF(
   INDEX(Cartera1017[ID Mantenimiento],ROW(A192))=0,
   "",
   INDEX(Cartera1017[ID Mantenimiento],ROW(A192))
 ),
 ""
)</f>
        <v>2026-M0009</v>
      </c>
      <c r="B194" s="376" t="str" cm="1">
        <f t="array" ref="B194">IFERROR(INDEX(Cartera1017[Nombre del Requerimiento],ROW(A192)),"")</f>
        <v>Funcionabilidad de la Transacción Sara web 1470</v>
      </c>
      <c r="C194" s="376" t="str" cm="1">
        <f t="array" aca="1" ref="C194" ca="1">IFERROR(INDEX(Cartera1017[indicador de Avance],ROW(A192)),"")</f>
        <v>Sin Cronograma 🔵</v>
      </c>
      <c r="D194" s="376" t="str" cm="1">
        <f t="array" ref="D194">IFERROR(INDEX(Cartera1017[Gerencia],ROW(A192)),"")</f>
        <v>Operaciones</v>
      </c>
      <c r="E194" s="376" t="str" cm="1">
        <f t="array" ref="E194">IFERROR(INDEX(Cartera1017[Subgerencia],ROW(A192)),"")</f>
        <v>Captaciones y Pagaduría</v>
      </c>
      <c r="F194" s="376" t="str" cm="1">
        <f t="array" ref="F194">IFERROR(INDEX(Cartera1017[Sección],ROW(A192)),"")</f>
        <v>Apertura de Cuentas</v>
      </c>
      <c r="G194" s="376" t="str" cm="1">
        <f t="array" ref="G194">IFERROR(INDEX(Cartera1017[Estado TI],ROW(A192)),"")</f>
        <v>03. En Desarrollo</v>
      </c>
      <c r="H194" s="463" t="str" cm="1">
        <f t="array" ref="H194">IFERROR(
 IF(
   INDEX(Cartera1017[Comienzo Desarrollo],ROW(A192))=0,
   "",
   INDEX(Cartera1017[Comienzo Desarrollo],ROW(A192))
 ),
 ""
)</f>
        <v/>
      </c>
      <c r="I194" s="463" t="str" cm="1">
        <f t="array" ref="I194">IFERROR(
 IF(
   INDEX(Cartera1017[Fin Producción],ROW(A192))=0,
   "",
   INDEX(Cartera1017[Fin Producción],ROW(A192))
 ),
 ""
)</f>
        <v/>
      </c>
    </row>
    <row r="195" spans="1:9">
      <c r="A195" s="376" t="str" cm="1">
        <f t="array" ref="A195">IFERROR(
 IF(
   INDEX(Cartera1017[ID Mantenimiento],ROW(A193))=0,
   "",
   INDEX(Cartera1017[ID Mantenimiento],ROW(A193))
 ),
 ""
)</f>
        <v>2026-M0012</v>
      </c>
      <c r="B195" s="376" t="str" cm="1">
        <f t="array" ref="B195">IFERROR(INDEX(Cartera1017[Nombre del Requerimiento],ROW(A193)),"")</f>
        <v xml:space="preserve">Generación diaria de Archivo Plano de Tasas  </v>
      </c>
      <c r="C195" s="376" t="str" cm="1">
        <f t="array" aca="1" ref="C195" ca="1">IFERROR(INDEX(Cartera1017[indicador de Avance],ROW(A193)),"")</f>
        <v>IMPLEMENTADO 🔵</v>
      </c>
      <c r="D195" s="376" t="str" cm="1">
        <f t="array" ref="D195">IFERROR(INDEX(Cartera1017[Gerencia],ROW(A193)),"")</f>
        <v>Operaciones</v>
      </c>
      <c r="E195" s="376" t="str" cm="1">
        <f t="array" ref="E195">IFERROR(INDEX(Cartera1017[Subgerencia],ROW(A193)),"")</f>
        <v>Servicios Bancarios y Recaudación</v>
      </c>
      <c r="F195" s="376" t="str" cm="1">
        <f t="array" ref="F195">IFERROR(INDEX(Cartera1017[Sección],ROW(A193)),"")</f>
        <v>Recaudación y Corresponsalía</v>
      </c>
      <c r="G195" s="376" t="str" cm="1">
        <f t="array" ref="G195">IFERROR(INDEX(Cartera1017[Estado TI],ROW(A193)),"")</f>
        <v>08. Producción Finalizada</v>
      </c>
      <c r="H195" s="463" t="str" cm="1">
        <f t="array" ref="H195">IFERROR(
 IF(
   INDEX(Cartera1017[Comienzo Desarrollo],ROW(A193))=0,
   "",
   INDEX(Cartera1017[Comienzo Desarrollo],ROW(A193))
 ),
 ""
)</f>
        <v/>
      </c>
      <c r="I195" s="463" t="str" cm="1">
        <f t="array" ref="I195">IFERROR(
 IF(
   INDEX(Cartera1017[Fin Producción],ROW(A193))=0,
   "",
   INDEX(Cartera1017[Fin Producción],ROW(A193))
 ),
 ""
)</f>
        <v/>
      </c>
    </row>
    <row r="196" spans="1:9">
      <c r="A196" s="376" t="str" cm="1">
        <f t="array" ref="A196">IFERROR(
 IF(
   INDEX(Cartera1017[ID Mantenimiento],ROW(A194))=0,
   "",
   INDEX(Cartera1017[ID Mantenimiento],ROW(A194))
 ),
 ""
)</f>
        <v>2026-M0025</v>
      </c>
      <c r="B196" s="376" t="str" cm="1">
        <f t="array" ref="B196">IFERROR(INDEX(Cartera1017[Nombre del Requerimiento],ROW(A194)),"")</f>
        <v xml:space="preserve">Nueva Escala - SAI-Oracle </v>
      </c>
      <c r="C196" s="376" t="str" cm="1">
        <f t="array" aca="1" ref="C196" ca="1">IFERROR(INDEX(Cartera1017[indicador de Avance],ROW(A194)),"")</f>
        <v>IMPLEMENTADO 🔵</v>
      </c>
      <c r="D196" s="376" t="str" cm="1">
        <f t="array" ref="D196">IFERROR(INDEX(Cartera1017[Gerencia],ROW(A194)),"")</f>
        <v>Recursos Humanos y Cultura</v>
      </c>
      <c r="E196" s="376" t="str" cm="1">
        <f t="array" ref="E196">IFERROR(INDEX(Cartera1017[Subgerencia],ROW(A194)),"")</f>
        <v>Administración de Personal</v>
      </c>
      <c r="F196" s="376" t="str" cm="1">
        <f t="array" ref="F196">IFERROR(INDEX(Cartera1017[Sección],ROW(A194)),"")</f>
        <v>Selección de Personal</v>
      </c>
      <c r="G196" s="376" t="str" cm="1">
        <f t="array" ref="G196">IFERROR(INDEX(Cartera1017[Estado TI],ROW(A194)),"")</f>
        <v>08. Producción Finalizada</v>
      </c>
      <c r="H196" s="463" t="str" cm="1">
        <f t="array" ref="H196">IFERROR(
 IF(
   INDEX(Cartera1017[Comienzo Desarrollo],ROW(A194))=0,
   "",
   INDEX(Cartera1017[Comienzo Desarrollo],ROW(A194))
 ),
 ""
)</f>
        <v/>
      </c>
      <c r="I196" s="463" t="str" cm="1">
        <f t="array" ref="I196">IFERROR(
 IF(
   INDEX(Cartera1017[Fin Producción],ROW(A194))=0,
   "",
   INDEX(Cartera1017[Fin Producción],ROW(A194))
 ),
 ""
)</f>
        <v/>
      </c>
    </row>
    <row r="197" spans="1:9">
      <c r="A197" s="376" t="str" cm="1">
        <f t="array" ref="A197">IFERROR(
 IF(
   INDEX(Cartera1017[ID Mantenimiento],ROW(A195))=0,
   "",
   INDEX(Cartera1017[ID Mantenimiento],ROW(A195))
 ),
 ""
)</f>
        <v>2025-M0774</v>
      </c>
      <c r="B197" s="376" t="str" cm="1">
        <f t="array" ref="B197">IFERROR(INDEX(Cartera1017[Nombre del Requerimiento],ROW(A195)),"")</f>
        <v>Independización de opciones en el sistema de claves del aplicativo RSIP_RHSC Registro de Personal_Compensaciones</v>
      </c>
      <c r="C197" s="376" t="str" cm="1">
        <f t="array" aca="1" ref="C197" ca="1">IFERROR(INDEX(Cartera1017[indicador de Avance],ROW(A195)),"")</f>
        <v>IMPLEMENTADO 🔵</v>
      </c>
      <c r="D197" s="376" t="str" cm="1">
        <f t="array" ref="D197">IFERROR(INDEX(Cartera1017[Gerencia],ROW(A195)),"")</f>
        <v>Recursos Humanos y Cultura</v>
      </c>
      <c r="E197" s="376" t="str" cm="1">
        <f t="array" ref="E197">IFERROR(INDEX(Cartera1017[Subgerencia],ROW(A195)),"")</f>
        <v>Administración de Personal</v>
      </c>
      <c r="F197" s="376" t="str" cm="1">
        <f t="array" ref="F197">IFERROR(INDEX(Cartera1017[Sección],ROW(A195)),"")</f>
        <v>Registro de Personal</v>
      </c>
      <c r="G197" s="376" t="str" cm="1">
        <f t="array" ref="G197">IFERROR(INDEX(Cartera1017[Estado TI],ROW(A195)),"")</f>
        <v>08. Producción Finalizada</v>
      </c>
      <c r="H197" s="463" t="str" cm="1">
        <f t="array" ref="H197">IFERROR(
 IF(
   INDEX(Cartera1017[Comienzo Desarrollo],ROW(A195))=0,
   "",
   INDEX(Cartera1017[Comienzo Desarrollo],ROW(A195))
 ),
 ""
)</f>
        <v/>
      </c>
      <c r="I197" s="463" t="str" cm="1">
        <f t="array" ref="I197">IFERROR(
 IF(
   INDEX(Cartera1017[Fin Producción],ROW(A195))=0,
   "",
   INDEX(Cartera1017[Fin Producción],ROW(A195))
 ),
 ""
)</f>
        <v/>
      </c>
    </row>
    <row r="198" spans="1:9">
      <c r="A198" s="376" t="str" cm="1">
        <f t="array" ref="A198">IFERROR(
 IF(
   INDEX(Cartera1017[ID Mantenimiento],ROW(A196))=0,
   "",
   INDEX(Cartera1017[ID Mantenimiento],ROW(A196))
 ),
 ""
)</f>
        <v>2026-M0061</v>
      </c>
      <c r="B198" s="376" t="str" cm="1">
        <f t="array" ref="B198">IFERROR(INDEX(Cartera1017[Nombre del Requerimiento],ROW(A196)),"")</f>
        <v>CONSULTA DE AHORROS MN, AHORROS ME, CTAS CTES MN Y CTAS CTES ME EN PLATAFORMA DE BIGDATA</v>
      </c>
      <c r="C198" s="376" t="str" cm="1">
        <f t="array" aca="1" ref="C198" ca="1">IFERROR(INDEX(Cartera1017[indicador de Avance],ROW(A196)),"")</f>
        <v>Sin Cronograma 🔵</v>
      </c>
      <c r="D198" s="376" t="str" cm="1">
        <f t="array" ref="D198">IFERROR(INDEX(Cartera1017[Gerencia],ROW(A196)),"")</f>
        <v>Operaciones</v>
      </c>
      <c r="E198" s="376" t="str" cm="1">
        <f t="array" ref="E198">IFERROR(INDEX(Cartera1017[Subgerencia],ROW(A196)),"")</f>
        <v>Captaciones y Pagaduría</v>
      </c>
      <c r="F198" s="376" t="str" cm="1">
        <f t="array" ref="F198">IFERROR(INDEX(Cartera1017[Sección],ROW(A196)),"")</f>
        <v>Administración de Cuentas y Pagaduría</v>
      </c>
      <c r="G198" s="376" t="str" cm="1">
        <f t="array" ref="G198">IFERROR(INDEX(Cartera1017[Estado TI],ROW(A196)),"")</f>
        <v>03. En Desarrollo</v>
      </c>
      <c r="H198" s="463" t="str" cm="1">
        <f t="array" ref="H198">IFERROR(
 IF(
   INDEX(Cartera1017[Comienzo Desarrollo],ROW(A196))=0,
   "",
   INDEX(Cartera1017[Comienzo Desarrollo],ROW(A196))
 ),
 ""
)</f>
        <v/>
      </c>
      <c r="I198" s="463" t="str" cm="1">
        <f t="array" ref="I198">IFERROR(
 IF(
   INDEX(Cartera1017[Fin Producción],ROW(A196))=0,
   "",
   INDEX(Cartera1017[Fin Producción],ROW(A196))
 ),
 ""
)</f>
        <v/>
      </c>
    </row>
    <row r="199" spans="1:9">
      <c r="A199" s="376" t="str" cm="1">
        <f t="array" ref="A199">IFERROR(
 IF(
   INDEX(Cartera1017[ID Mantenimiento],ROW(A197))=0,
   "",
   INDEX(Cartera1017[ID Mantenimiento],ROW(A197))
 ),
 ""
)</f>
        <v>2026-M0008</v>
      </c>
      <c r="B199" s="376" t="str" cm="1">
        <f t="array" ref="B199">IFERROR(INDEX(Cartera1017[Nombre del Requerimiento],ROW(A197)),"")</f>
        <v>Actualización de tabla de Aranceles Indecopi Servicio Osinergmin</v>
      </c>
      <c r="C199" s="376" t="str" cm="1">
        <f t="array" aca="1" ref="C199" ca="1">IFERROR(INDEX(Cartera1017[indicador de Avance],ROW(A197)),"")</f>
        <v>Sin Cronograma 🔵</v>
      </c>
      <c r="D199" s="376" t="str" cm="1">
        <f t="array" ref="D199">IFERROR(INDEX(Cartera1017[Gerencia],ROW(A197)),"")</f>
        <v>Operaciones</v>
      </c>
      <c r="E199" s="376" t="str" cm="1">
        <f t="array" ref="E199">IFERROR(INDEX(Cartera1017[Subgerencia],ROW(A197)),"")</f>
        <v>Servicios Bancarios y Recaudación</v>
      </c>
      <c r="F199" s="376" t="str" cm="1">
        <f t="array" ref="F199">IFERROR(INDEX(Cartera1017[Sección],ROW(A197)),"")</f>
        <v>Recaudación y Corresponsalía</v>
      </c>
      <c r="G199" s="376" t="str" cm="1">
        <f t="array" ref="G199">IFERROR(INDEX(Cartera1017[Estado TI],ROW(A197)),"")</f>
        <v>03. En Desarrollo</v>
      </c>
      <c r="H199" s="463" t="str" cm="1">
        <f t="array" ref="H199">IFERROR(
 IF(
   INDEX(Cartera1017[Comienzo Desarrollo],ROW(A197))=0,
   "",
   INDEX(Cartera1017[Comienzo Desarrollo],ROW(A197))
 ),
 ""
)</f>
        <v/>
      </c>
      <c r="I199" s="463" t="str" cm="1">
        <f t="array" ref="I199">IFERROR(
 IF(
   INDEX(Cartera1017[Fin Producción],ROW(A197))=0,
   "",
   INDEX(Cartera1017[Fin Producción],ROW(A197))
 ),
 ""
)</f>
        <v/>
      </c>
    </row>
    <row r="200" spans="1:9">
      <c r="A200" s="376" t="str" cm="1">
        <f t="array" ref="A200">IFERROR(
 IF(
   INDEX(Cartera1017[ID Mantenimiento],ROW(A198))=0,
   "",
   INDEX(Cartera1017[ID Mantenimiento],ROW(A198))
 ),
 ""
)</f>
        <v>2026-M0013</v>
      </c>
      <c r="B200" s="376" t="str" cm="1">
        <f t="array" ref="B200">IFERROR(INDEX(Cartera1017[Nombre del Requerimiento],ROW(A198)),"")</f>
        <v>Eliminar Papeletas de Convalidación Cuerpo Banco - 2026</v>
      </c>
      <c r="C200" s="376" t="str" cm="1">
        <f t="array" aca="1" ref="C200" ca="1">IFERROR(INDEX(Cartera1017[indicador de Avance],ROW(A198)),"")</f>
        <v>Sin Cronograma 🔵</v>
      </c>
      <c r="D200" s="376" t="str" cm="1">
        <f t="array" ref="D200">IFERROR(INDEX(Cartera1017[Gerencia],ROW(A198)),"")</f>
        <v>Operaciones</v>
      </c>
      <c r="E200" s="376" t="str" cm="1">
        <f t="array" ref="E200">IFERROR(INDEX(Cartera1017[Subgerencia],ROW(A198)),"")</f>
        <v>Captaciones y Pagaduría</v>
      </c>
      <c r="F200" s="376" t="str" cm="1">
        <f t="array" ref="F200">IFERROR(INDEX(Cartera1017[Sección],ROW(A198)),"")</f>
        <v>Administración de Cuentas y Pagaduría</v>
      </c>
      <c r="G200" s="376" t="str" cm="1">
        <f t="array" ref="G200">IFERROR(INDEX(Cartera1017[Estado TI],ROW(A198)),"")</f>
        <v>06. Calidad Finalizado</v>
      </c>
      <c r="H200" s="463" t="str" cm="1">
        <f t="array" ref="H200">IFERROR(
 IF(
   INDEX(Cartera1017[Comienzo Desarrollo],ROW(A198))=0,
   "",
   INDEX(Cartera1017[Comienzo Desarrollo],ROW(A198))
 ),
 ""
)</f>
        <v/>
      </c>
      <c r="I200" s="463" t="str" cm="1">
        <f t="array" ref="I200">IFERROR(
 IF(
   INDEX(Cartera1017[Fin Producción],ROW(A198))=0,
   "",
   INDEX(Cartera1017[Fin Producción],ROW(A198))
 ),
 ""
)</f>
        <v/>
      </c>
    </row>
    <row r="201" spans="1:9">
      <c r="A201" s="376" t="str" cm="1">
        <f t="array" ref="A201">IFERROR(
 IF(
   INDEX(Cartera1017[ID Mantenimiento],ROW(A199))=0,
   "",
   INDEX(Cartera1017[ID Mantenimiento],ROW(A199))
 ),
 ""
)</f>
        <v>2026-M0015</v>
      </c>
      <c r="B201" s="376" t="str" cm="1">
        <f t="array" ref="B201">IFERROR(INDEX(Cartera1017[Nombre del Requerimiento],ROW(A199)),"")</f>
        <v>MN: Extracción de Datos Adquirencia VISA Prevención de Fraude (Servidor Data Lake)</v>
      </c>
      <c r="C201" s="376" t="str" cm="1">
        <f t="array" aca="1" ref="C201" ca="1">IFERROR(INDEX(Cartera1017[indicador de Avance],ROW(A199)),"")</f>
        <v>EN CURSO 🟢</v>
      </c>
      <c r="D201" s="376" t="str" cm="1">
        <f t="array" ref="D201">IFERROR(INDEX(Cartera1017[Gerencia],ROW(A199)),"")</f>
        <v>Riesgos</v>
      </c>
      <c r="E201" s="376" t="str" cm="1">
        <f t="array" ref="E201">IFERROR(INDEX(Cartera1017[Subgerencia],ROW(A199)),"")</f>
        <v>Prevención del Fraude</v>
      </c>
      <c r="F201" s="376" t="str" cm="1">
        <f t="array" ref="F201">IFERROR(INDEX(Cartera1017[Sección],ROW(A199)),"")</f>
        <v>Monitoreo y Respuesta del Fraude</v>
      </c>
      <c r="G201" s="376" t="str" cm="1">
        <f t="array" ref="G201">IFERROR(INDEX(Cartera1017[Estado TI],ROW(A199)),"")</f>
        <v>03. En Desarrollo</v>
      </c>
      <c r="H201" s="463" cm="1">
        <f t="array" ref="H201">IFERROR(
 IF(
   INDEX(Cartera1017[Comienzo Desarrollo],ROW(A199))=0,
   "",
   INDEX(Cartera1017[Comienzo Desarrollo],ROW(A199))
 ),
 ""
)</f>
        <v>46188</v>
      </c>
      <c r="I201" s="463" cm="1">
        <f t="array" ref="I201">IFERROR(
 IF(
   INDEX(Cartera1017[Fin Producción],ROW(A199))=0,
   "",
   INDEX(Cartera1017[Fin Producción],ROW(A199))
 ),
 ""
)</f>
        <v>46311</v>
      </c>
    </row>
    <row r="202" spans="1:9">
      <c r="A202" s="376" t="str" cm="1">
        <f t="array" ref="A202">IFERROR(
 IF(
   INDEX(Cartera1017[ID Mantenimiento],ROW(A200))=0,
   "",
   INDEX(Cartera1017[ID Mantenimiento],ROW(A200))
 ),
 ""
)</f>
        <v>2026-M0018</v>
      </c>
      <c r="B202" s="376" t="str" cm="1">
        <f t="array" ref="B202">IFERROR(INDEX(Cartera1017[Nombre del Requerimiento],ROW(A200)),"")</f>
        <v>Gestión y adecuación proceso de contabilización para las operaciones en los cajeros automaticos depositarios</v>
      </c>
      <c r="C202" s="376" t="str" cm="1">
        <f t="array" aca="1" ref="C202" ca="1">IFERROR(INDEX(Cartera1017[indicador de Avance],ROW(A200)),"")</f>
        <v>Sin Cronograma 🔵</v>
      </c>
      <c r="D202" s="376" t="str" cm="1">
        <f t="array" ref="D202">IFERROR(INDEX(Cartera1017[Gerencia],ROW(A200)),"")</f>
        <v>Banca Digital</v>
      </c>
      <c r="E202" s="376" t="str" cm="1">
        <f t="array" ref="E202">IFERROR(INDEX(Cartera1017[Subgerencia],ROW(A200)),"")</f>
        <v>Innovación Digital</v>
      </c>
      <c r="F202" s="376" cm="1">
        <f t="array" ref="F202">IFERROR(INDEX(Cartera1017[Sección],ROW(A200)),"")</f>
        <v>0</v>
      </c>
      <c r="G202" s="376" t="str" cm="1">
        <f t="array" ref="G202">IFERROR(INDEX(Cartera1017[Estado TI],ROW(A200)),"")</f>
        <v>03. En Desarrollo</v>
      </c>
      <c r="H202" s="463" t="str" cm="1">
        <f t="array" ref="H202">IFERROR(
 IF(
   INDEX(Cartera1017[Comienzo Desarrollo],ROW(A200))=0,
   "",
   INDEX(Cartera1017[Comienzo Desarrollo],ROW(A200))
 ),
 ""
)</f>
        <v/>
      </c>
      <c r="I202" s="463" t="str" cm="1">
        <f t="array" ref="I202">IFERROR(
 IF(
   INDEX(Cartera1017[Fin Producción],ROW(A200))=0,
   "",
   INDEX(Cartera1017[Fin Producción],ROW(A200))
 ),
 ""
)</f>
        <v/>
      </c>
    </row>
    <row r="203" spans="1:9">
      <c r="A203" s="376" t="str" cm="1">
        <f t="array" ref="A203">IFERROR(
 IF(
   INDEX(Cartera1017[ID Mantenimiento],ROW(A201))=0,
   "",
   INDEX(Cartera1017[ID Mantenimiento],ROW(A201))
 ),
 ""
)</f>
        <v>2026-M0024</v>
      </c>
      <c r="B203" s="376" t="str" cm="1">
        <f t="array" ref="B203">IFERROR(INDEX(Cartera1017[Nombre del Requerimiento],ROW(A201)),"")</f>
        <v>Automatización del proceso de otorgamiento de uniforme 2026</v>
      </c>
      <c r="C203" s="376" t="str" cm="1">
        <f t="array" aca="1" ref="C203" ca="1">IFERROR(INDEX(Cartera1017[indicador de Avance],ROW(A201)),"")</f>
        <v>IMPLEMENTADO 🔵</v>
      </c>
      <c r="D203" s="376" t="str" cm="1">
        <f t="array" ref="D203">IFERROR(INDEX(Cartera1017[Gerencia],ROW(A201)),"")</f>
        <v>Recursos Humanos y Cultura</v>
      </c>
      <c r="E203" s="376" cm="1">
        <f t="array" ref="E203">IFERROR(INDEX(Cartera1017[Subgerencia],ROW(A201)),"")</f>
        <v>0</v>
      </c>
      <c r="F203" s="376" cm="1">
        <f t="array" ref="F203">IFERROR(INDEX(Cartera1017[Sección],ROW(A201)),"")</f>
        <v>0</v>
      </c>
      <c r="G203" s="376" t="str" cm="1">
        <f t="array" ref="G203">IFERROR(INDEX(Cartera1017[Estado TI],ROW(A201)),"")</f>
        <v>08. Producción Finalizada</v>
      </c>
      <c r="H203" s="463" cm="1">
        <f t="array" ref="H203">IFERROR(
 IF(
   INDEX(Cartera1017[Comienzo Desarrollo],ROW(A201))=0,
   "",
   INDEX(Cartera1017[Comienzo Desarrollo],ROW(A201))
 ),
 ""
)</f>
        <v>46024</v>
      </c>
      <c r="I203" s="463" cm="1">
        <f t="array" ref="I203">IFERROR(
 IF(
   INDEX(Cartera1017[Fin Producción],ROW(A201))=0,
   "",
   INDEX(Cartera1017[Fin Producción],ROW(A201))
 ),
 ""
)</f>
        <v>46065</v>
      </c>
    </row>
    <row r="204" spans="1:9">
      <c r="A204" s="376" t="str" cm="1">
        <f t="array" ref="A204">IFERROR(
 IF(
   INDEX(Cartera1017[ID Mantenimiento],ROW(A202))=0,
   "",
   INDEX(Cartera1017[ID Mantenimiento],ROW(A202))
 ),
 ""
)</f>
        <v>2026-M0026</v>
      </c>
      <c r="B204" s="376" t="str" cm="1">
        <f t="array" ref="B204">IFERROR(INDEX(Cartera1017[Nombre del Requerimiento],ROW(A202)),"")</f>
        <v>IMPLEMENTACIÓN DE ESCALA SALARIAL EN LOS SISTEMAS DE RECURSOS HUMANOS EN ENTORNO HOST Y ORACLE</v>
      </c>
      <c r="C204" s="376" t="str" cm="1">
        <f t="array" aca="1" ref="C204" ca="1">IFERROR(INDEX(Cartera1017[indicador de Avance],ROW(A202)),"")</f>
        <v>EN RIESGO 🟡</v>
      </c>
      <c r="D204" s="376" t="str" cm="1">
        <f t="array" ref="D204">IFERROR(INDEX(Cartera1017[Gerencia],ROW(A202)),"")</f>
        <v>Recursos Humanos y Cultura</v>
      </c>
      <c r="E204" s="376" t="str" cm="1">
        <f t="array" ref="E204">IFERROR(INDEX(Cartera1017[Subgerencia],ROW(A202)),"")</f>
        <v>Administración de Personal</v>
      </c>
      <c r="F204" s="376" t="str" cm="1">
        <f t="array" ref="F204">IFERROR(INDEX(Cartera1017[Sección],ROW(A202)),"")</f>
        <v>Registro de Personal</v>
      </c>
      <c r="G204" s="376" t="str" cm="1">
        <f t="array" ref="G204">IFERROR(INDEX(Cartera1017[Estado TI],ROW(A202)),"")</f>
        <v>05. En Calidad</v>
      </c>
      <c r="H204" s="463" cm="1">
        <f t="array" ref="H204">IFERROR(
 IF(
   INDEX(Cartera1017[Comienzo Desarrollo],ROW(A202))=0,
   "",
   INDEX(Cartera1017[Comienzo Desarrollo],ROW(A202))
 ),
 ""
)</f>
        <v>46063</v>
      </c>
      <c r="I204" s="463" cm="1">
        <f t="array" ref="I204">IFERROR(
 IF(
   INDEX(Cartera1017[Fin Producción],ROW(A202))=0,
   "",
   INDEX(Cartera1017[Fin Producción],ROW(A202))
 ),
 ""
)</f>
        <v>46188</v>
      </c>
    </row>
    <row r="205" spans="1:9">
      <c r="A205" s="376" t="str" cm="1">
        <f t="array" ref="A205">IFERROR(
 IF(
   INDEX(Cartera1017[ID Mantenimiento],ROW(A203))=0,
   "",
   INDEX(Cartera1017[ID Mantenimiento],ROW(A203))
 ),
 ""
)</f>
        <v/>
      </c>
      <c r="B205" s="376" t="str" cm="1">
        <f t="array" ref="B205">IFERROR(INDEX(Cartera1017[Nombre del Requerimiento],ROW(A203)),"")</f>
        <v>Reportes Host para Cajeros Depositarios</v>
      </c>
      <c r="C205" s="376" t="str" cm="1">
        <f t="array" aca="1" ref="C205" ca="1">IFERROR(INDEX(Cartera1017[indicador de Avance],ROW(A203)),"")</f>
        <v>Sin Cronograma 🔵</v>
      </c>
      <c r="D205" s="376" t="str" cm="1">
        <f t="array" ref="D205">IFERROR(INDEX(Cartera1017[Gerencia],ROW(A203)),"")</f>
        <v>Banca Digital</v>
      </c>
      <c r="E205" s="376" t="str" cm="1">
        <f t="array" ref="E205">IFERROR(INDEX(Cartera1017[Subgerencia],ROW(A203)),"")</f>
        <v>Innovación Digital</v>
      </c>
      <c r="F205" s="376" cm="1">
        <f t="array" ref="F205">IFERROR(INDEX(Cartera1017[Sección],ROW(A203)),"")</f>
        <v>0</v>
      </c>
      <c r="G205" s="376" t="str" cm="1">
        <f t="array" ref="G205">IFERROR(INDEX(Cartera1017[Estado TI],ROW(A203)),"")</f>
        <v>02. En Planificación</v>
      </c>
      <c r="H205" s="463" t="str" cm="1">
        <f t="array" ref="H205">IFERROR(
 IF(
   INDEX(Cartera1017[Comienzo Desarrollo],ROW(A203))=0,
   "",
   INDEX(Cartera1017[Comienzo Desarrollo],ROW(A203))
 ),
 ""
)</f>
        <v/>
      </c>
      <c r="I205" s="463" t="str" cm="1">
        <f t="array" ref="I205">IFERROR(
 IF(
   INDEX(Cartera1017[Fin Producción],ROW(A203))=0,
   "",
   INDEX(Cartera1017[Fin Producción],ROW(A203))
 ),
 ""
)</f>
        <v/>
      </c>
    </row>
    <row r="206" spans="1:9">
      <c r="A206" s="376" t="str" cm="1">
        <f t="array" ref="A206">IFERROR(
 IF(
   INDEX(Cartera1017[ID Mantenimiento],ROW(A204))=0,
   "",
   INDEX(Cartera1017[ID Mantenimiento],ROW(A204))
 ),
 ""
)</f>
        <v>2026-M0033</v>
      </c>
      <c r="B206" s="376" t="str" cm="1">
        <f t="array" ref="B206">IFERROR(INDEX(Cartera1017[Nombre del Requerimiento],ROW(A204)),"")</f>
        <v>CAMBIO DE NOMBRES DE REPORTES DE CONTROL DE MANTENIMIENTO 2024-M0380 REPOSICION TOKEN</v>
      </c>
      <c r="C206" s="376" t="str" cm="1">
        <f t="array" aca="1" ref="C206" ca="1">IFERROR(INDEX(Cartera1017[indicador de Avance],ROW(A204)),"")</f>
        <v>Sin Cronograma 🔵</v>
      </c>
      <c r="D206" s="376" t="str" cm="1">
        <f t="array" ref="D206">IFERROR(INDEX(Cartera1017[Gerencia],ROW(A204)),"")</f>
        <v>Finanzas y Tesorería</v>
      </c>
      <c r="E206" s="376" t="str" cm="1">
        <f t="array" ref="E206">IFERROR(INDEX(Cartera1017[Subgerencia],ROW(A204)),"")</f>
        <v>Contabilidad</v>
      </c>
      <c r="F206" s="376" t="str" cm="1">
        <f t="array" ref="F206">IFERROR(INDEX(Cartera1017[Sección],ROW(A204)),"")</f>
        <v>Centralización y Procesamiento Contable</v>
      </c>
      <c r="G206" s="376" t="str" cm="1">
        <f t="array" ref="G206">IFERROR(INDEX(Cartera1017[Estado TI],ROW(A204)),"")</f>
        <v>07. En Despliegue</v>
      </c>
      <c r="H206" s="463" t="str" cm="1">
        <f t="array" ref="H206">IFERROR(
 IF(
   INDEX(Cartera1017[Comienzo Desarrollo],ROW(A204))=0,
   "",
   INDEX(Cartera1017[Comienzo Desarrollo],ROW(A204))
 ),
 ""
)</f>
        <v/>
      </c>
      <c r="I206" s="463" t="str" cm="1">
        <f t="array" ref="I206">IFERROR(
 IF(
   INDEX(Cartera1017[Fin Producción],ROW(A204))=0,
   "",
   INDEX(Cartera1017[Fin Producción],ROW(A204))
 ),
 ""
)</f>
        <v/>
      </c>
    </row>
    <row r="207" spans="1:9">
      <c r="A207" s="376" t="str" cm="1">
        <f t="array" ref="A207">IFERROR(
 IF(
   INDEX(Cartera1017[ID Mantenimiento],ROW(A205))=0,
   "",
   INDEX(Cartera1017[ID Mantenimiento],ROW(A205))
 ),
 ""
)</f>
        <v>2026-M0037</v>
      </c>
      <c r="B207" s="376" t="str" cm="1">
        <f t="array" ref="B207">IFERROR(INDEX(Cartera1017[Nombre del Requerimiento],ROW(A205)),"")</f>
        <v>Adecuación de Boleta de Pago a Nueva Escala Salarial Vigente desde Mayo de 2026</v>
      </c>
      <c r="C207" s="376" t="str" cm="1">
        <f t="array" aca="1" ref="C207" ca="1">IFERROR(INDEX(Cartera1017[indicador de Avance],ROW(A205)),"")</f>
        <v>EN CURSO 🟢</v>
      </c>
      <c r="D207" s="376" t="str" cm="1">
        <f t="array" ref="D207">IFERROR(INDEX(Cartera1017[Gerencia],ROW(A205)),"")</f>
        <v>Recursos Humanos y Cultura</v>
      </c>
      <c r="E207" s="376" t="str" cm="1">
        <f t="array" ref="E207">IFERROR(INDEX(Cartera1017[Subgerencia],ROW(A205)),"")</f>
        <v>Compensaciones</v>
      </c>
      <c r="F207" s="376" t="str" cm="1">
        <f t="array" ref="F207">IFERROR(INDEX(Cartera1017[Sección],ROW(A205)),"")</f>
        <v>Remuneraciones Pensiones y Subsidios</v>
      </c>
      <c r="G207" s="376" t="str" cm="1">
        <f t="array" ref="G207">IFERROR(INDEX(Cartera1017[Estado TI],ROW(A205)),"")</f>
        <v>03. En Desarrollo</v>
      </c>
      <c r="H207" s="463" cm="1">
        <f t="array" ref="H207">IFERROR(
 IF(
   INDEX(Cartera1017[Comienzo Desarrollo],ROW(A205))=0,
   "",
   INDEX(Cartera1017[Comienzo Desarrollo],ROW(A205))
 ),
 ""
)</f>
        <v>46204</v>
      </c>
      <c r="I207" s="463" cm="1">
        <f t="array" ref="I207">IFERROR(
 IF(
   INDEX(Cartera1017[Fin Producción],ROW(A205))=0,
   "",
   INDEX(Cartera1017[Fin Producción],ROW(A205))
 ),
 ""
)</f>
        <v>46485</v>
      </c>
    </row>
    <row r="208" spans="1:9">
      <c r="A208" s="376" t="str" cm="1">
        <f t="array" ref="A208">IFERROR(
 IF(
   INDEX(Cartera1017[ID Mantenimiento],ROW(A206))=0,
   "",
   INDEX(Cartera1017[ID Mantenimiento],ROW(A206))
 ),
 ""
)</f>
        <v>2026-M0046</v>
      </c>
      <c r="B208" s="376" t="str" cm="1">
        <f t="array" ref="B208">IFERROR(INDEX(Cartera1017[Nombre del Requerimiento],ROW(A206)),"")</f>
        <v>2024-T0023 Enrolamiento en línea comercio electrónico - SARA</v>
      </c>
      <c r="C208" s="376" t="str" cm="1">
        <f t="array" aca="1" ref="C208" ca="1">IFERROR(INDEX(Cartera1017[indicador de Avance],ROW(A206)),"")</f>
        <v>Sin Cronograma 🔵</v>
      </c>
      <c r="D208" s="376" t="str" cm="1">
        <f t="array" ref="D208">IFERROR(INDEX(Cartera1017[Gerencia],ROW(A206)),"")</f>
        <v>Banca Digital</v>
      </c>
      <c r="E208" s="376" t="str" cm="1">
        <f t="array" ref="E208">IFERROR(INDEX(Cartera1017[Subgerencia],ROW(A206)),"")</f>
        <v>Canales Alternos</v>
      </c>
      <c r="F208" s="376" t="str" cm="1">
        <f t="array" ref="F208">IFERROR(INDEX(Cartera1017[Sección],ROW(A206)),"")</f>
        <v>Canales Virtuales</v>
      </c>
      <c r="G208" s="376" t="str" cm="1">
        <f t="array" ref="G208">IFERROR(INDEX(Cartera1017[Estado TI],ROW(A206)),"")</f>
        <v>03. En Desarrollo</v>
      </c>
      <c r="H208" s="463" t="str" cm="1">
        <f t="array" ref="H208">IFERROR(
 IF(
   INDEX(Cartera1017[Comienzo Desarrollo],ROW(A206))=0,
   "",
   INDEX(Cartera1017[Comienzo Desarrollo],ROW(A206))
 ),
 ""
)</f>
        <v/>
      </c>
      <c r="I208" s="463" t="str" cm="1">
        <f t="array" ref="I208">IFERROR(
 IF(
   INDEX(Cartera1017[Fin Producción],ROW(A206))=0,
   "",
   INDEX(Cartera1017[Fin Producción],ROW(A206))
 ),
 ""
)</f>
        <v/>
      </c>
    </row>
    <row r="209" spans="1:9">
      <c r="A209" s="376" t="str" cm="1">
        <f t="array" ref="A209">IFERROR(
 IF(
   INDEX(Cartera1017[ID Mantenimiento],ROW(A207))=0,
   "",
   INDEX(Cartera1017[ID Mantenimiento],ROW(A207))
 ),
 ""
)</f>
        <v>2026-M0045</v>
      </c>
      <c r="B209" s="376" t="str" cm="1">
        <f t="array" ref="B209">IFERROR(INDEX(Cartera1017[Nombre del Requerimiento],ROW(A207)),"")</f>
        <v xml:space="preserve">Adecuación Mensajes Swift  </v>
      </c>
      <c r="C209" s="376" t="str" cm="1">
        <f t="array" aca="1" ref="C209" ca="1">IFERROR(INDEX(Cartera1017[indicador de Avance],ROW(A207)),"")</f>
        <v>IMPLEMENTADO 🔵</v>
      </c>
      <c r="D209" s="376" t="str" cm="1">
        <f t="array" ref="D209">IFERROR(INDEX(Cartera1017[Gerencia],ROW(A207)),"")</f>
        <v>Operaciones</v>
      </c>
      <c r="E209" s="376" t="str" cm="1">
        <f t="array" ref="E209">IFERROR(INDEX(Cartera1017[Subgerencia],ROW(A207)),"")</f>
        <v>Caja y Valores</v>
      </c>
      <c r="F209" s="376" t="str" cm="1">
        <f t="array" ref="F209">IFERROR(INDEX(Cartera1017[Sección],ROW(A207)),"")</f>
        <v>Soporte Mesa de Dinero</v>
      </c>
      <c r="G209" s="376" t="str" cm="1">
        <f t="array" ref="G209">IFERROR(INDEX(Cartera1017[Estado TI],ROW(A207)),"")</f>
        <v>08. Producción Finalizada</v>
      </c>
      <c r="H209" s="463" t="str" cm="1">
        <f t="array" ref="H209">IFERROR(
 IF(
   INDEX(Cartera1017[Comienzo Desarrollo],ROW(A207))=0,
   "",
   INDEX(Cartera1017[Comienzo Desarrollo],ROW(A207))
 ),
 ""
)</f>
        <v/>
      </c>
      <c r="I209" s="463" t="str" cm="1">
        <f t="array" ref="I209">IFERROR(
 IF(
   INDEX(Cartera1017[Fin Producción],ROW(A207))=0,
   "",
   INDEX(Cartera1017[Fin Producción],ROW(A207))
 ),
 ""
)</f>
        <v/>
      </c>
    </row>
    <row r="210" spans="1:9">
      <c r="A210" s="376" t="str" cm="1">
        <f t="array" ref="A210">IFERROR(
 IF(
   INDEX(Cartera1017[ID Mantenimiento],ROW(A208))=0,
   "",
   INDEX(Cartera1017[ID Mantenimiento],ROW(A208))
 ),
 ""
)</f>
        <v>2026-M0059</v>
      </c>
      <c r="B210" s="376" t="str" cm="1">
        <f t="array" ref="B210">IFERROR(INDEX(Cartera1017[Nombre del Requerimiento],ROW(A208)),"")</f>
        <v>Transferencia de información de crédito hipotecario al repositorio BigData</v>
      </c>
      <c r="C210" s="376" t="str" cm="1">
        <f t="array" aca="1" ref="C210" ca="1">IFERROR(INDEX(Cartera1017[indicador de Avance],ROW(A208)),"")</f>
        <v>IMPLEMENTADO 🔵</v>
      </c>
      <c r="D210" s="376" t="str" cm="1">
        <f t="array" ref="D210">IFERROR(INDEX(Cartera1017[Gerencia],ROW(A208)),"")</f>
        <v>Riesgos</v>
      </c>
      <c r="E210" s="376" t="str" cm="1">
        <f t="array" ref="E210">IFERROR(INDEX(Cartera1017[Subgerencia],ROW(A208)),"")</f>
        <v>Riesgos Crediticios y Financieros</v>
      </c>
      <c r="F210" s="376" t="str" cm="1">
        <f t="array" ref="F210">IFERROR(INDEX(Cartera1017[Sección],ROW(A208)),"")</f>
        <v>Riesgos Crediticios</v>
      </c>
      <c r="G210" s="376" t="str" cm="1">
        <f t="array" ref="G210">IFERROR(INDEX(Cartera1017[Estado TI],ROW(A208)),"")</f>
        <v>08. Producción Finalizada</v>
      </c>
      <c r="H210" s="463" t="str" cm="1">
        <f t="array" ref="H210">IFERROR(
 IF(
   INDEX(Cartera1017[Comienzo Desarrollo],ROW(A208))=0,
   "",
   INDEX(Cartera1017[Comienzo Desarrollo],ROW(A208))
 ),
 ""
)</f>
        <v/>
      </c>
      <c r="I210" s="463" t="str" cm="1">
        <f t="array" ref="I210">IFERROR(
 IF(
   INDEX(Cartera1017[Fin Producción],ROW(A208))=0,
   "",
   INDEX(Cartera1017[Fin Producción],ROW(A208))
 ),
 ""
)</f>
        <v/>
      </c>
    </row>
    <row r="211" spans="1:9">
      <c r="A211" s="376" t="str" cm="1">
        <f t="array" ref="A211">IFERROR(
 IF(
   INDEX(Cartera1017[ID Mantenimiento],ROW(A209))=0,
   "",
   INDEX(Cartera1017[ID Mantenimiento],ROW(A209))
 ),
 ""
)</f>
        <v>2026-M0060</v>
      </c>
      <c r="B211" s="376" t="str" cm="1">
        <f t="array" ref="B211">IFERROR(INDEX(Cartera1017[Nombre del Requerimiento],ROW(A209)),"")</f>
        <v>Transferencia de información del COBD al repositorio BigData</v>
      </c>
      <c r="C211" s="376" t="str" cm="1">
        <f t="array" aca="1" ref="C211" ca="1">IFERROR(INDEX(Cartera1017[indicador de Avance],ROW(A209)),"")</f>
        <v>IMPLEMENTADO 🔵</v>
      </c>
      <c r="D211" s="376" t="str" cm="1">
        <f t="array" ref="D211">IFERROR(INDEX(Cartera1017[Gerencia],ROW(A209)),"")</f>
        <v>Riesgos</v>
      </c>
      <c r="E211" s="376" t="str" cm="1">
        <f t="array" ref="E211">IFERROR(INDEX(Cartera1017[Subgerencia],ROW(A209)),"")</f>
        <v>Riesgos Crediticios y Financieros</v>
      </c>
      <c r="F211" s="376" t="str" cm="1">
        <f t="array" ref="F211">IFERROR(INDEX(Cartera1017[Sección],ROW(A209)),"")</f>
        <v>Riesgos Crediticios</v>
      </c>
      <c r="G211" s="376" t="str" cm="1">
        <f t="array" ref="G211">IFERROR(INDEX(Cartera1017[Estado TI],ROW(A209)),"")</f>
        <v>08. Producción Finalizada</v>
      </c>
      <c r="H211" s="463" t="str" cm="1">
        <f t="array" ref="H211">IFERROR(
 IF(
   INDEX(Cartera1017[Comienzo Desarrollo],ROW(A209))=0,
   "",
   INDEX(Cartera1017[Comienzo Desarrollo],ROW(A209))
 ),
 ""
)</f>
        <v/>
      </c>
      <c r="I211" s="463" t="str" cm="1">
        <f t="array" ref="I211">IFERROR(
 IF(
   INDEX(Cartera1017[Fin Producción],ROW(A209))=0,
   "",
   INDEX(Cartera1017[Fin Producción],ROW(A209))
 ),
 ""
)</f>
        <v/>
      </c>
    </row>
    <row r="212" spans="1:9">
      <c r="A212" s="376" t="str" cm="1">
        <f t="array" ref="A212">IFERROR(
 IF(
   INDEX(Cartera1017[ID Mantenimiento],ROW(A210))=0,
   "",
   INDEX(Cartera1017[ID Mantenimiento],ROW(A210))
 ),
 ""
)</f>
        <v>2026-M0055</v>
      </c>
      <c r="B212" s="376" t="str" cm="1">
        <f t="array" ref="B212">IFERROR(INDEX(Cartera1017[Nombre del Requerimiento],ROW(A210)),"")</f>
        <v>Modificación Tasa de Interés Compra de Deuda</v>
      </c>
      <c r="C212" s="376" t="str" cm="1">
        <f t="array" aca="1" ref="C212" ca="1">IFERROR(INDEX(Cartera1017[indicador de Avance],ROW(A210)),"")</f>
        <v>IMPLEMENTADO 🔵</v>
      </c>
      <c r="D212" s="376" t="str" cm="1">
        <f t="array" ref="D212">IFERROR(INDEX(Cartera1017[Gerencia],ROW(A210)),"")</f>
        <v>Productos e Inclusión Financiera</v>
      </c>
      <c r="E212" s="376" t="str" cm="1">
        <f t="array" ref="E212">IFERROR(INDEX(Cartera1017[Subgerencia],ROW(A210)),"")</f>
        <v>Banca Personal</v>
      </c>
      <c r="F212" s="376" t="str" cm="1">
        <f t="array" ref="F212">IFERROR(INDEX(Cartera1017[Sección],ROW(A210)),"")</f>
        <v>Préstamo Multired</v>
      </c>
      <c r="G212" s="376" t="str" cm="1">
        <f t="array" ref="G212">IFERROR(INDEX(Cartera1017[Estado TI],ROW(A210)),"")</f>
        <v>08. Producción Finalizada</v>
      </c>
      <c r="H212" s="463" t="str" cm="1">
        <f t="array" ref="H212">IFERROR(
 IF(
   INDEX(Cartera1017[Comienzo Desarrollo],ROW(A210))=0,
   "",
   INDEX(Cartera1017[Comienzo Desarrollo],ROW(A210))
 ),
 ""
)</f>
        <v/>
      </c>
      <c r="I212" s="463" t="str" cm="1">
        <f t="array" ref="I212">IFERROR(
 IF(
   INDEX(Cartera1017[Fin Producción],ROW(A210))=0,
   "",
   INDEX(Cartera1017[Fin Producción],ROW(A210))
 ),
 ""
)</f>
        <v/>
      </c>
    </row>
    <row r="213" spans="1:9">
      <c r="A213" s="376" t="str" cm="1">
        <f t="array" ref="A213">IFERROR(
 IF(
   INDEX(Cartera1017[ID Mantenimiento],ROW(A211))=0,
   "",
   INDEX(Cartera1017[ID Mantenimiento],ROW(A211))
 ),
 ""
)</f>
        <v>2026-M0056</v>
      </c>
      <c r="B213" s="376" t="str" cm="1">
        <f t="array" ref="B213">IFERROR(INDEX(Cartera1017[Nombre del Requerimiento],ROW(A211)),"")</f>
        <v>Validación nombre del Tarjeta Habiente en transacción ANI</v>
      </c>
      <c r="C213" s="376" t="str" cm="1">
        <f t="array" aca="1" ref="C213" ca="1">IFERROR(INDEX(Cartera1017[indicador de Avance],ROW(A211)),"")</f>
        <v>Sin Cronograma 🔵</v>
      </c>
      <c r="D213" s="376" t="str" cm="1">
        <f t="array" ref="D213">IFERROR(INDEX(Cartera1017[Gerencia],ROW(A211)),"")</f>
        <v>Banca Digital</v>
      </c>
      <c r="E213" s="376" t="str" cm="1">
        <f t="array" ref="E213">IFERROR(INDEX(Cartera1017[Subgerencia],ROW(A211)),"")</f>
        <v>Canales Alternos</v>
      </c>
      <c r="F213" s="376" t="str" cm="1">
        <f t="array" ref="F213">IFERROR(INDEX(Cartera1017[Sección],ROW(A211)),"")</f>
        <v>Canales Virtuales</v>
      </c>
      <c r="G213" s="376" t="str" cm="1">
        <f t="array" ref="G213">IFERROR(INDEX(Cartera1017[Estado TI],ROW(A211)),"")</f>
        <v>03. En Desarrollo</v>
      </c>
      <c r="H213" s="463" t="str" cm="1">
        <f t="array" ref="H213">IFERROR(
 IF(
   INDEX(Cartera1017[Comienzo Desarrollo],ROW(A211))=0,
   "",
   INDEX(Cartera1017[Comienzo Desarrollo],ROW(A211))
 ),
 ""
)</f>
        <v/>
      </c>
      <c r="I213" s="463" t="str" cm="1">
        <f t="array" ref="I213">IFERROR(
 IF(
   INDEX(Cartera1017[Fin Producción],ROW(A211))=0,
   "",
   INDEX(Cartera1017[Fin Producción],ROW(A211))
 ),
 ""
)</f>
        <v/>
      </c>
    </row>
    <row r="214" spans="1:9">
      <c r="A214" s="376" t="str" cm="1">
        <f t="array" ref="A214">IFERROR(
 IF(
   INDEX(Cartera1017[ID Mantenimiento],ROW(A212))=0,
   "",
   INDEX(Cartera1017[ID Mantenimiento],ROW(A212))
 ),
 ""
)</f>
        <v>2026-M0078</v>
      </c>
      <c r="B214" s="376" t="str" cm="1">
        <f t="array" ref="B214">IFERROR(INDEX(Cartera1017[Nombre del Requerimiento],ROW(A212)),"")</f>
        <v>Requerimiento Proyecto y Optimización de la aplicación SACH</v>
      </c>
      <c r="C214" s="376" t="str" cm="1">
        <f t="array" aca="1" ref="C214" ca="1">IFERROR(INDEX(Cartera1017[indicador de Avance],ROW(A212)),"")</f>
        <v>EN CURSO 🟢</v>
      </c>
      <c r="D214" s="376" t="str" cm="1">
        <f t="array" ref="D214">IFERROR(INDEX(Cartera1017[Gerencia],ROW(A212)),"")</f>
        <v>Tecnologías de Información</v>
      </c>
      <c r="E214" s="376" t="str" cm="1">
        <f t="array" ref="E214">IFERROR(INDEX(Cartera1017[Subgerencia],ROW(A212)),"")</f>
        <v>Construcción de Aplicaciones</v>
      </c>
      <c r="F214" s="376" t="str" cm="1">
        <f t="array" ref="F214">IFERROR(INDEX(Cartera1017[Sección],ROW(A212)),"")</f>
        <v>Sistemas Bancarios</v>
      </c>
      <c r="G214" s="376" t="str" cm="1">
        <f t="array" ref="G214">IFERROR(INDEX(Cartera1017[Estado TI],ROW(A212)),"")</f>
        <v>03. En Desarrollo</v>
      </c>
      <c r="H214" s="463" cm="1">
        <f t="array" ref="H214">IFERROR(
 IF(
   INDEX(Cartera1017[Comienzo Desarrollo],ROW(A212))=0,
   "",
   INDEX(Cartera1017[Comienzo Desarrollo],ROW(A212))
 ),
 ""
)</f>
        <v>46209</v>
      </c>
      <c r="I214" s="463" cm="1">
        <f t="array" ref="I214">IFERROR(
 IF(
   INDEX(Cartera1017[Fin Producción],ROW(A212))=0,
   "",
   INDEX(Cartera1017[Fin Producción],ROW(A212))
 ),
 ""
)</f>
        <v>46374</v>
      </c>
    </row>
    <row r="215" spans="1:9">
      <c r="A215" s="376" t="str" cm="1">
        <f t="array" ref="A215">IFERROR(
 IF(
   INDEX(Cartera1017[ID Mantenimiento],ROW(A213))=0,
   "",
   INDEX(Cartera1017[ID Mantenimiento],ROW(A213))
 ),
 ""
)</f>
        <v>2026-M0079</v>
      </c>
      <c r="B215" s="376" t="str" cm="1">
        <f t="array" ref="B215">IFERROR(INDEX(Cartera1017[Nombre del Requerimiento],ROW(A213)),"")</f>
        <v>Proyecto Migración y Optimización de la Aplicación BDUC</v>
      </c>
      <c r="C215" s="376" t="str" cm="1">
        <f t="array" aca="1" ref="C215" ca="1">IFERROR(INDEX(Cartera1017[indicador de Avance],ROW(A213)),"")</f>
        <v>EN CURSO 🟢</v>
      </c>
      <c r="D215" s="376" t="str" cm="1">
        <f t="array" ref="D215">IFERROR(INDEX(Cartera1017[Gerencia],ROW(A213)),"")</f>
        <v>Tecnologías de Información</v>
      </c>
      <c r="E215" s="376" t="str" cm="1">
        <f t="array" ref="E215">IFERROR(INDEX(Cartera1017[Subgerencia],ROW(A213)),"")</f>
        <v>Construcción de Aplicaciones</v>
      </c>
      <c r="F215" s="376" t="str" cm="1">
        <f t="array" ref="F215">IFERROR(INDEX(Cartera1017[Sección],ROW(A213)),"")</f>
        <v>Sistemas Bancarios</v>
      </c>
      <c r="G215" s="376" t="str" cm="1">
        <f t="array" ref="G215">IFERROR(INDEX(Cartera1017[Estado TI],ROW(A213)),"")</f>
        <v>03. En Desarrollo</v>
      </c>
      <c r="H215" s="463" cm="1">
        <f t="array" ref="H215">IFERROR(
 IF(
   INDEX(Cartera1017[Comienzo Desarrollo],ROW(A213))=0,
   "",
   INDEX(Cartera1017[Comienzo Desarrollo],ROW(A213))
 ),
 ""
)</f>
        <v>46209</v>
      </c>
      <c r="I215" s="463" cm="1">
        <f t="array" ref="I215">IFERROR(
 IF(
   INDEX(Cartera1017[Fin Producción],ROW(A213))=0,
   "",
   INDEX(Cartera1017[Fin Producción],ROW(A213))
 ),
 ""
)</f>
        <v>46374</v>
      </c>
    </row>
    <row r="216" spans="1:9">
      <c r="A216" s="376" t="str" cm="1">
        <f t="array" ref="A216">IFERROR(
 IF(
   INDEX(Cartera1017[ID Mantenimiento],ROW(A214))=0,
   "",
   INDEX(Cartera1017[ID Mantenimiento],ROW(A214))
 ),
 ""
)</f>
        <v>2026-M0058</v>
      </c>
      <c r="B216" s="376" t="str" cm="1">
        <f t="array" ref="B216">IFERROR(INDEX(Cartera1017[Nombre del Requerimiento],ROW(A214)),"")</f>
        <v>Transferencia de Información del GRF10 y tipo de cambio al repositorio BIGDATA</v>
      </c>
      <c r="C216" s="376" t="str" cm="1">
        <f t="array" aca="1" ref="C216" ca="1">IFERROR(INDEX(Cartera1017[indicador de Avance],ROW(A214)),"")</f>
        <v>EN CURSO 🟢</v>
      </c>
      <c r="D216" s="376" t="str" cm="1">
        <f t="array" ref="D216">IFERROR(INDEX(Cartera1017[Gerencia],ROW(A214)),"")</f>
        <v>Riesgos</v>
      </c>
      <c r="E216" s="376" t="str" cm="1">
        <f t="array" ref="E216">IFERROR(INDEX(Cartera1017[Subgerencia],ROW(A214)),"")</f>
        <v>Riesgos Crediticios y Financieros</v>
      </c>
      <c r="F216" s="376" t="str" cm="1">
        <f t="array" ref="F216">IFERROR(INDEX(Cartera1017[Sección],ROW(A214)),"")</f>
        <v>Riesgos Crediticios</v>
      </c>
      <c r="G216" s="376" t="str" cm="1">
        <f t="array" ref="G216">IFERROR(INDEX(Cartera1017[Estado TI],ROW(A214)),"")</f>
        <v>03. En Desarrollo</v>
      </c>
      <c r="H216" s="463" cm="1">
        <f t="array" ref="H216">IFERROR(
 IF(
   INDEX(Cartera1017[Comienzo Desarrollo],ROW(A214))=0,
   "",
   INDEX(Cartera1017[Comienzo Desarrollo],ROW(A214))
 ),
 ""
)</f>
        <v>46057</v>
      </c>
      <c r="I216" s="463" cm="1">
        <f t="array" ref="I216">IFERROR(
 IF(
   INDEX(Cartera1017[Fin Producción],ROW(A214))=0,
   "",
   INDEX(Cartera1017[Fin Producción],ROW(A214))
 ),
 ""
)</f>
        <v>46203</v>
      </c>
    </row>
    <row r="217" spans="1:9">
      <c r="A217" s="376" t="str" cm="1">
        <f t="array" ref="A217">IFERROR(
 IF(
   INDEX(Cartera1017[ID Mantenimiento],ROW(A215))=0,
   "",
   INDEX(Cartera1017[ID Mantenimiento],ROW(A215))
 ),
 ""
)</f>
        <v>2026-M0067</v>
      </c>
      <c r="B217" s="376" t="str" cm="1">
        <f t="array" ref="B217">IFERROR(INDEX(Cartera1017[Nombre del Requerimiento],ROW(A215)),"")</f>
        <v>Reporte Depósitos Judiciales Administrativos Pendientes de Cancelación</v>
      </c>
      <c r="C217" s="376" t="str" cm="1">
        <f t="array" aca="1" ref="C217" ca="1">IFERROR(INDEX(Cartera1017[indicador de Avance],ROW(A215)),"")</f>
        <v>IMPLEMENTADO 🔵</v>
      </c>
      <c r="D217" s="376" t="str" cm="1">
        <f t="array" ref="D217">IFERROR(INDEX(Cartera1017[Gerencia],ROW(A215)),"")</f>
        <v>Operaciones</v>
      </c>
      <c r="E217" s="376" t="str" cm="1">
        <f t="array" ref="E217">IFERROR(INDEX(Cartera1017[Subgerencia],ROW(A215)),"")</f>
        <v>Servicios Bancarios y Recaudación</v>
      </c>
      <c r="F217" s="376" t="str" cm="1">
        <f t="array" ref="F217">IFERROR(INDEX(Cartera1017[Sección],ROW(A215)),"")</f>
        <v>Depósitos Judiciales y Administrativos</v>
      </c>
      <c r="G217" s="376" t="str" cm="1">
        <f t="array" ref="G217">IFERROR(INDEX(Cartera1017[Estado TI],ROW(A215)),"")</f>
        <v>08. Producción Finalizada</v>
      </c>
      <c r="H217" s="463" t="str" cm="1">
        <f t="array" ref="H217">IFERROR(
 IF(
   INDEX(Cartera1017[Comienzo Desarrollo],ROW(A215))=0,
   "",
   INDEX(Cartera1017[Comienzo Desarrollo],ROW(A215))
 ),
 ""
)</f>
        <v/>
      </c>
      <c r="I217" s="463" t="str" cm="1">
        <f t="array" ref="I217">IFERROR(
 IF(
   INDEX(Cartera1017[Fin Producción],ROW(A215))=0,
   "",
   INDEX(Cartera1017[Fin Producción],ROW(A215))
 ),
 ""
)</f>
        <v/>
      </c>
    </row>
    <row r="218" spans="1:9">
      <c r="A218" s="376" t="str" cm="1">
        <f t="array" ref="A218">IFERROR(
 IF(
   INDEX(Cartera1017[ID Mantenimiento],ROW(A216))=0,
   "",
   INDEX(Cartera1017[ID Mantenimiento],ROW(A216))
 ),
 ""
)</f>
        <v>2026-M0064</v>
      </c>
      <c r="B218" s="376" t="str" cm="1">
        <f t="array" ref="B218">IFERROR(INDEX(Cartera1017[Nombre del Requerimiento],ROW(A216)),"")</f>
        <v>INCA: Mandatorio VISA Habilitación del servicio Account FundsTransfer (AFT) para el procesamiento de transferencias en tiempo real.</v>
      </c>
      <c r="C218" s="376" t="str" cm="1">
        <f t="array" aca="1" ref="C218" ca="1">IFERROR(INDEX(Cartera1017[indicador de Avance],ROW(A216)),"")</f>
        <v>Sin Cronograma 🔵</v>
      </c>
      <c r="D218" s="376" t="str" cm="1">
        <f t="array" ref="D218">IFERROR(INDEX(Cartera1017[Gerencia],ROW(A216)),"")</f>
        <v>Banca Digital</v>
      </c>
      <c r="E218" s="376" t="str" cm="1">
        <f t="array" ref="E218">IFERROR(INDEX(Cartera1017[Subgerencia],ROW(A216)),"")</f>
        <v>Canales Alternos</v>
      </c>
      <c r="F218" s="376" t="str" cm="1">
        <f t="array" ref="F218">IFERROR(INDEX(Cartera1017[Sección],ROW(A216)),"")</f>
        <v>Canales Virtuales</v>
      </c>
      <c r="G218" s="376" t="str" cm="1">
        <f t="array" ref="G218">IFERROR(INDEX(Cartera1017[Estado TI],ROW(A216)),"")</f>
        <v>03. En Desarrollo</v>
      </c>
      <c r="H218" s="463" t="str" cm="1">
        <f t="array" ref="H218">IFERROR(
 IF(
   INDEX(Cartera1017[Comienzo Desarrollo],ROW(A216))=0,
   "",
   INDEX(Cartera1017[Comienzo Desarrollo],ROW(A216))
 ),
 ""
)</f>
        <v/>
      </c>
      <c r="I218" s="463" t="str" cm="1">
        <f t="array" ref="I218">IFERROR(
 IF(
   INDEX(Cartera1017[Fin Producción],ROW(A216))=0,
   "",
   INDEX(Cartera1017[Fin Producción],ROW(A216))
 ),
 ""
)</f>
        <v/>
      </c>
    </row>
    <row r="219" spans="1:9">
      <c r="A219" s="376" t="str" cm="1">
        <f t="array" ref="A219">IFERROR(
 IF(
   INDEX(Cartera1017[ID Mantenimiento],ROW(A217))=0,
   "",
   INDEX(Cartera1017[ID Mantenimiento],ROW(A217))
 ),
 ""
)</f>
        <v>2026-M0069</v>
      </c>
      <c r="B219" s="376" t="str" cm="1">
        <f t="array" ref="B219">IFERROR(INDEX(Cartera1017[Nombre del Requerimiento],ROW(A217)),"")</f>
        <v>MN: Decimo Mantenimiento Preventivo/Correctivo del Sistema Tramite Documentario</v>
      </c>
      <c r="C219" s="376" t="str" cm="1">
        <f t="array" aca="1" ref="C219" ca="1">IFERROR(INDEX(Cartera1017[indicador de Avance],ROW(A217)),"")</f>
        <v>IMPLEMENTADO 🔵</v>
      </c>
      <c r="D219" s="376" t="str" cm="1">
        <f t="array" ref="D219">IFERROR(INDEX(Cartera1017[Gerencia],ROW(A217)),"")</f>
        <v>Administración y Logística</v>
      </c>
      <c r="E219" s="376" t="str" cm="1">
        <f t="array" ref="E219">IFERROR(INDEX(Cartera1017[Subgerencia],ROW(A217)),"")</f>
        <v>Servicios</v>
      </c>
      <c r="F219" s="376" t="str" cm="1">
        <f t="array" ref="F219">IFERROR(INDEX(Cartera1017[Sección],ROW(A217)),"")</f>
        <v>Tramité Documentario</v>
      </c>
      <c r="G219" s="376" t="str" cm="1">
        <f t="array" ref="G219">IFERROR(INDEX(Cartera1017[Estado TI],ROW(A217)),"")</f>
        <v>08. Producción Finalizada</v>
      </c>
      <c r="H219" s="463" t="str" cm="1">
        <f t="array" ref="H219">IFERROR(
 IF(
   INDEX(Cartera1017[Comienzo Desarrollo],ROW(A217))=0,
   "",
   INDEX(Cartera1017[Comienzo Desarrollo],ROW(A217))
 ),
 ""
)</f>
        <v/>
      </c>
      <c r="I219" s="463" t="str" cm="1">
        <f t="array" ref="I219">IFERROR(
 IF(
   INDEX(Cartera1017[Fin Producción],ROW(A217))=0,
   "",
   INDEX(Cartera1017[Fin Producción],ROW(A217))
 ),
 ""
)</f>
        <v/>
      </c>
    </row>
    <row r="220" spans="1:9">
      <c r="A220" s="376" t="str" cm="1">
        <f t="array" ref="A220">IFERROR(
 IF(
   INDEX(Cartera1017[ID Mantenimiento],ROW(A218))=0,
   "",
   INDEX(Cartera1017[ID Mantenimiento],ROW(A218))
 ),
 ""
)</f>
        <v>2026-M0071</v>
      </c>
      <c r="B220" s="376" t="str" cm="1">
        <f t="array" ref="B220">IFERROR(INDEX(Cartera1017[Nombre del Requerimiento],ROW(A218)),"")</f>
        <v>Tarjeta de Crédito sin Seguro de Desgravamen (Ampliación)</v>
      </c>
      <c r="C220" s="376" t="str" cm="1">
        <f t="array" aca="1" ref="C220" ca="1">IFERROR(INDEX(Cartera1017[indicador de Avance],ROW(A218)),"")</f>
        <v>Sin Cronograma 🔵</v>
      </c>
      <c r="D220" s="376" t="str" cm="1">
        <f t="array" ref="D220">IFERROR(INDEX(Cartera1017[Gerencia],ROW(A218)),"")</f>
        <v>Productos e Inclusión Financiera</v>
      </c>
      <c r="E220" s="376" t="str" cm="1">
        <f t="array" ref="E220">IFERROR(INDEX(Cartera1017[Subgerencia],ROW(A218)),"")</f>
        <v>Banca Personal</v>
      </c>
      <c r="F220" s="376" t="str" cm="1">
        <f t="array" ref="F220">IFERROR(INDEX(Cartera1017[Sección],ROW(A218)),"")</f>
        <v>Tarjeta de Crédito</v>
      </c>
      <c r="G220" s="376" t="str" cm="1">
        <f t="array" ref="G220">IFERROR(INDEX(Cartera1017[Estado TI],ROW(A218)),"")</f>
        <v>03. En Desarrollo</v>
      </c>
      <c r="H220" s="463" t="str" cm="1">
        <f t="array" ref="H220">IFERROR(
 IF(
   INDEX(Cartera1017[Comienzo Desarrollo],ROW(A218))=0,
   "",
   INDEX(Cartera1017[Comienzo Desarrollo],ROW(A218))
 ),
 ""
)</f>
        <v/>
      </c>
      <c r="I220" s="463" t="str" cm="1">
        <f t="array" ref="I220">IFERROR(
 IF(
   INDEX(Cartera1017[Fin Producción],ROW(A218))=0,
   "",
   INDEX(Cartera1017[Fin Producción],ROW(A218))
 ),
 ""
)</f>
        <v/>
      </c>
    </row>
    <row r="221" spans="1:9">
      <c r="A221" s="376" t="str" cm="1">
        <f t="array" ref="A221">IFERROR(
 IF(
   INDEX(Cartera1017[ID Mantenimiento],ROW(A219))=0,
   "",
   INDEX(Cartera1017[ID Mantenimiento],ROW(A219))
 ),
 ""
)</f>
        <v>2026-M0077</v>
      </c>
      <c r="B221" s="376" t="str" cm="1">
        <f t="array" ref="B221">IFERROR(INDEX(Cartera1017[Nombre del Requerimiento],ROW(A219)),"")</f>
        <v>Renombrar, Reporte y Comisiones Códigos Transacción de Desembolso</v>
      </c>
      <c r="C221" s="376" t="str" cm="1">
        <f t="array" aca="1" ref="C221" ca="1">IFERROR(INDEX(Cartera1017[indicador de Avance],ROW(A219)),"")</f>
        <v>Sin Cronograma 🔵</v>
      </c>
      <c r="D221" s="376" t="str" cm="1">
        <f t="array" ref="D221">IFERROR(INDEX(Cartera1017[Gerencia],ROW(A219)),"")</f>
        <v>Operaciones</v>
      </c>
      <c r="E221" s="376" t="str" cm="1">
        <f t="array" ref="E221">IFERROR(INDEX(Cartera1017[Subgerencia],ROW(A219)),"")</f>
        <v>Servicios Bancarios y Recaudación</v>
      </c>
      <c r="F221" s="376" t="str" cm="1">
        <f t="array" ref="F221">IFERROR(INDEX(Cartera1017[Sección],ROW(A219)),"")</f>
        <v>Recaudación y Corresponsalía</v>
      </c>
      <c r="G221" s="376" t="str" cm="1">
        <f t="array" ref="G221">IFERROR(INDEX(Cartera1017[Estado TI],ROW(A219)),"")</f>
        <v>09. Descartado</v>
      </c>
      <c r="H221" s="463" t="str" cm="1">
        <f t="array" ref="H221">IFERROR(
 IF(
   INDEX(Cartera1017[Comienzo Desarrollo],ROW(A219))=0,
   "",
   INDEX(Cartera1017[Comienzo Desarrollo],ROW(A219))
 ),
 ""
)</f>
        <v/>
      </c>
      <c r="I221" s="463" t="str" cm="1">
        <f t="array" ref="I221">IFERROR(
 IF(
   INDEX(Cartera1017[Fin Producción],ROW(A219))=0,
   "",
   INDEX(Cartera1017[Fin Producción],ROW(A219))
 ),
 ""
)</f>
        <v/>
      </c>
    </row>
    <row r="222" spans="1:9">
      <c r="A222" s="376" t="str" cm="1">
        <f t="array" ref="A222">IFERROR(
 IF(
   INDEX(Cartera1017[ID Mantenimiento],ROW(A220))=0,
   "",
   INDEX(Cartera1017[ID Mantenimiento],ROW(A220))
 ),
 ""
)</f>
        <v>2026-M0076</v>
      </c>
      <c r="B222" s="376" t="str" cm="1">
        <f t="array" ref="B222">IFERROR(INDEX(Cartera1017[Nombre del Requerimiento],ROW(A220)),"")</f>
        <v>Catalogados Scotiabank</v>
      </c>
      <c r="C222" s="376" t="str" cm="1">
        <f t="array" aca="1" ref="C222" ca="1">IFERROR(INDEX(Cartera1017[indicador de Avance],ROW(A220)),"")</f>
        <v>IMPLEMENTADO 🔵</v>
      </c>
      <c r="D222" s="376" t="str" cm="1">
        <f t="array" ref="D222">IFERROR(INDEX(Cartera1017[Gerencia],ROW(A220)),"")</f>
        <v>Operaciones</v>
      </c>
      <c r="E222" s="376" t="str" cm="1">
        <f t="array" ref="E222">IFERROR(INDEX(Cartera1017[Subgerencia],ROW(A220)),"")</f>
        <v>Servicios Bancarios y Recaudación</v>
      </c>
      <c r="F222" s="376" t="str" cm="1">
        <f t="array" ref="F222">IFERROR(INDEX(Cartera1017[Sección],ROW(A220)),"")</f>
        <v>Recaudación y Corresponsalía</v>
      </c>
      <c r="G222" s="376" t="str" cm="1">
        <f t="array" ref="G222">IFERROR(INDEX(Cartera1017[Estado TI],ROW(A220)),"")</f>
        <v>08. Producción Finalizada</v>
      </c>
      <c r="H222" s="463" t="str" cm="1">
        <f t="array" ref="H222">IFERROR(
 IF(
   INDEX(Cartera1017[Comienzo Desarrollo],ROW(A220))=0,
   "",
   INDEX(Cartera1017[Comienzo Desarrollo],ROW(A220))
 ),
 ""
)</f>
        <v/>
      </c>
      <c r="I222" s="463" t="str" cm="1">
        <f t="array" ref="I222">IFERROR(
 IF(
   INDEX(Cartera1017[Fin Producción],ROW(A220))=0,
   "",
   INDEX(Cartera1017[Fin Producción],ROW(A220))
 ),
 ""
)</f>
        <v/>
      </c>
    </row>
    <row r="223" spans="1:9">
      <c r="A223" s="376" t="str" cm="1">
        <f t="array" ref="A223">IFERROR(
 IF(
   INDEX(Cartera1017[ID Mantenimiento],ROW(A221))=0,
   "",
   INDEX(Cartera1017[ID Mantenimiento],ROW(A221))
 ),
 ""
)</f>
        <v>2026-M0089</v>
      </c>
      <c r="B223" s="376" t="str" cm="1">
        <f t="array" ref="B223">IFERROR(INDEX(Cartera1017[Nombre del Requerimiento],ROW(A221)),"")</f>
        <v>Información CDJS por número de expediente</v>
      </c>
      <c r="C223" s="376" t="str" cm="1">
        <f t="array" aca="1" ref="C223" ca="1">IFERROR(INDEX(Cartera1017[indicador de Avance],ROW(A221)),"")</f>
        <v>IMPLEMENTADO 🔵</v>
      </c>
      <c r="D223" s="376" t="str" cm="1">
        <f t="array" ref="D223">IFERROR(INDEX(Cartera1017[Gerencia],ROW(A221)),"")</f>
        <v>Operaciones</v>
      </c>
      <c r="E223" s="376" t="str" cm="1">
        <f t="array" ref="E223">IFERROR(INDEX(Cartera1017[Subgerencia],ROW(A221)),"")</f>
        <v>Servicios Bancarios y Recaudación</v>
      </c>
      <c r="F223" s="376" t="str" cm="1">
        <f t="array" ref="F223">IFERROR(INDEX(Cartera1017[Sección],ROW(A221)),"")</f>
        <v>Depósitos Judiciales y Administrativos</v>
      </c>
      <c r="G223" s="376" t="str" cm="1">
        <f t="array" ref="G223">IFERROR(INDEX(Cartera1017[Estado TI],ROW(A221)),"")</f>
        <v>08. Producción Finalizada</v>
      </c>
      <c r="H223" s="463" t="str" cm="1">
        <f t="array" ref="H223">IFERROR(
 IF(
   INDEX(Cartera1017[Comienzo Desarrollo],ROW(A221))=0,
   "",
   INDEX(Cartera1017[Comienzo Desarrollo],ROW(A221))
 ),
 ""
)</f>
        <v/>
      </c>
      <c r="I223" s="463" t="str" cm="1">
        <f t="array" ref="I223">IFERROR(
 IF(
   INDEX(Cartera1017[Fin Producción],ROW(A221))=0,
   "",
   INDEX(Cartera1017[Fin Producción],ROW(A221))
 ),
 ""
)</f>
        <v/>
      </c>
    </row>
    <row r="224" spans="1:9">
      <c r="A224" s="376" t="str" cm="1">
        <f t="array" ref="A224">IFERROR(
 IF(
   INDEX(Cartera1017[ID Mantenimiento],ROW(A222))=0,
   "",
   INDEX(Cartera1017[ID Mantenimiento],ROW(A222))
 ),
 ""
)</f>
        <v/>
      </c>
      <c r="B224" s="376" t="str" cm="1">
        <f t="array" ref="B224">IFERROR(INDEX(Cartera1017[Nombre del Requerimiento],ROW(A222)),"")</f>
        <v>Trasferencias Interbancarias Inmediatas CCE - Proyecto Masivas y Antifraude CCE</v>
      </c>
      <c r="C224" s="376" t="str" cm="1">
        <f t="array" aca="1" ref="C224" ca="1">IFERROR(INDEX(Cartera1017[indicador de Avance],ROW(A222)),"")</f>
        <v>Sin Cronograma 🔵</v>
      </c>
      <c r="D224" s="376" t="str" cm="1">
        <f t="array" ref="D224">IFERROR(INDEX(Cartera1017[Gerencia],ROW(A222)),"")</f>
        <v>Operaciones</v>
      </c>
      <c r="E224" s="376" t="str" cm="1">
        <f t="array" ref="E224">IFERROR(INDEX(Cartera1017[Subgerencia],ROW(A222)),"")</f>
        <v>Captaciones y Pagaduría</v>
      </c>
      <c r="F224" s="376" t="str" cm="1">
        <f t="array" ref="F224">IFERROR(INDEX(Cartera1017[Sección],ROW(A222)),"")</f>
        <v>Sistema de Pagos</v>
      </c>
      <c r="G224" s="376" t="str" cm="1">
        <f t="array" ref="G224">IFERROR(INDEX(Cartera1017[Estado TI],ROW(A222)),"")</f>
        <v>02. En Planificación</v>
      </c>
      <c r="H224" s="463" t="str" cm="1">
        <f t="array" ref="H224">IFERROR(
 IF(
   INDEX(Cartera1017[Comienzo Desarrollo],ROW(A222))=0,
   "",
   INDEX(Cartera1017[Comienzo Desarrollo],ROW(A222))
 ),
 ""
)</f>
        <v/>
      </c>
      <c r="I224" s="463" t="str" cm="1">
        <f t="array" ref="I224">IFERROR(
 IF(
   INDEX(Cartera1017[Fin Producción],ROW(A222))=0,
   "",
   INDEX(Cartera1017[Fin Producción],ROW(A222))
 ),
 ""
)</f>
        <v/>
      </c>
    </row>
    <row r="225" spans="1:9">
      <c r="A225" s="376" t="str" cm="1">
        <f t="array" ref="A225">IFERROR(
 IF(
   INDEX(Cartera1017[ID Mantenimiento],ROW(A223))=0,
   "",
   INDEX(Cartera1017[ID Mantenimiento],ROW(A223))
 ),
 ""
)</f>
        <v>2026-M0090</v>
      </c>
      <c r="B225" s="376" t="str" cm="1">
        <f t="array" ref="B225">IFERROR(INDEX(Cartera1017[Nombre del Requerimiento],ROW(A223)),"")</f>
        <v>Creación de RPA - Embargos Judiciales</v>
      </c>
      <c r="C225" s="376" t="str" cm="1">
        <f t="array" aca="1" ref="C225" ca="1">IFERROR(INDEX(Cartera1017[indicador de Avance],ROW(A223)),"")</f>
        <v>Sin Cronograma 🔵</v>
      </c>
      <c r="D225" s="376" t="str" cm="1">
        <f t="array" ref="D225">IFERROR(INDEX(Cartera1017[Gerencia],ROW(A223)),"")</f>
        <v>Operaciones</v>
      </c>
      <c r="E225" s="376" t="str" cm="1">
        <f t="array" ref="E225">IFERROR(INDEX(Cartera1017[Subgerencia],ROW(A223)),"")</f>
        <v>Servicios Bancarios y Recaudación</v>
      </c>
      <c r="F225" s="376" t="str" cm="1">
        <f t="array" ref="F225">IFERROR(INDEX(Cartera1017[Sección],ROW(A223)),"")</f>
        <v>Depósitos Judiciales y Administrativos</v>
      </c>
      <c r="G225" s="376" t="str" cm="1">
        <f t="array" ref="G225">IFERROR(INDEX(Cartera1017[Estado TI],ROW(A223)),"")</f>
        <v>05. En Calidad</v>
      </c>
      <c r="H225" s="463" t="str" cm="1">
        <f t="array" ref="H225">IFERROR(
 IF(
   INDEX(Cartera1017[Comienzo Desarrollo],ROW(A223))=0,
   "",
   INDEX(Cartera1017[Comienzo Desarrollo],ROW(A223))
 ),
 ""
)</f>
        <v/>
      </c>
      <c r="I225" s="463" t="str" cm="1">
        <f t="array" ref="I225">IFERROR(
 IF(
   INDEX(Cartera1017[Fin Producción],ROW(A223))=0,
   "",
   INDEX(Cartera1017[Fin Producción],ROW(A223))
 ),
 ""
)</f>
        <v/>
      </c>
    </row>
    <row r="226" spans="1:9">
      <c r="A226" s="376" t="str" cm="1">
        <f t="array" ref="A226">IFERROR(
 IF(
   INDEX(Cartera1017[ID Mantenimiento],ROW(A224))=0,
   "",
   INDEX(Cartera1017[ID Mantenimiento],ROW(A224))
 ),
 ""
)</f>
        <v/>
      </c>
      <c r="B226" s="376" t="str" cm="1">
        <f t="array" ref="B226">IFERROR(INDEX(Cartera1017[Nombre del Requerimiento],ROW(A224)),"")</f>
        <v>REPORTE DE PLANTA DE PENSIONISTAS</v>
      </c>
      <c r="C226" s="376" t="str" cm="1">
        <f t="array" aca="1" ref="C226" ca="1">IFERROR(INDEX(Cartera1017[indicador de Avance],ROW(A224)),"")</f>
        <v>Sin Cronograma 🔵</v>
      </c>
      <c r="D226" s="376" t="str" cm="1">
        <f t="array" ref="D226">IFERROR(INDEX(Cartera1017[Gerencia],ROW(A224)),"")</f>
        <v>Recursos Humanos y Cultura</v>
      </c>
      <c r="E226" s="376" t="str" cm="1">
        <f t="array" ref="E226">IFERROR(INDEX(Cartera1017[Subgerencia],ROW(A224)),"")</f>
        <v>Administración de Personal</v>
      </c>
      <c r="F226" s="376" t="str" cm="1">
        <f t="array" ref="F226">IFERROR(INDEX(Cartera1017[Sección],ROW(A224)),"")</f>
        <v>Administración de Relaciones Laborales y Previsionales</v>
      </c>
      <c r="G226" s="376" t="str" cm="1">
        <f t="array" ref="G226">IFERROR(INDEX(Cartera1017[Estado TI],ROW(A224)),"")</f>
        <v>09. Descartado</v>
      </c>
      <c r="H226" s="463" t="str" cm="1">
        <f t="array" ref="H226">IFERROR(
 IF(
   INDEX(Cartera1017[Comienzo Desarrollo],ROW(A224))=0,
   "",
   INDEX(Cartera1017[Comienzo Desarrollo],ROW(A224))
 ),
 ""
)</f>
        <v/>
      </c>
      <c r="I226" s="463" t="str" cm="1">
        <f t="array" ref="I226">IFERROR(
 IF(
   INDEX(Cartera1017[Fin Producción],ROW(A224))=0,
   "",
   INDEX(Cartera1017[Fin Producción],ROW(A224))
 ),
 ""
)</f>
        <v/>
      </c>
    </row>
    <row r="227" spans="1:9">
      <c r="A227" s="376" t="str" cm="1">
        <f t="array" ref="A227">IFERROR(
 IF(
   INDEX(Cartera1017[ID Mantenimiento],ROW(A225))=0,
   "",
   INDEX(Cartera1017[ID Mantenimiento],ROW(A225))
 ),
 ""
)</f>
        <v>2026-M0097</v>
      </c>
      <c r="B227" s="376" t="str" cm="1">
        <f t="array" ref="B227">IFERROR(INDEX(Cartera1017[Nombre del Requerimiento],ROW(A225)),"")</f>
        <v>Onceavo Mantenimiento Preventivo/Correctivo del Sistema Tramite Documentario</v>
      </c>
      <c r="C227" s="376" t="str" cm="1">
        <f t="array" aca="1" ref="C227" ca="1">IFERROR(INDEX(Cartera1017[indicador de Avance],ROW(A225)),"")</f>
        <v>IMPLEMENTADO 🔵</v>
      </c>
      <c r="D227" s="376" t="str" cm="1">
        <f t="array" ref="D227">IFERROR(INDEX(Cartera1017[Gerencia],ROW(A225)),"")</f>
        <v>Administración y Logística</v>
      </c>
      <c r="E227" s="376" t="str" cm="1">
        <f t="array" ref="E227">IFERROR(INDEX(Cartera1017[Subgerencia],ROW(A225)),"")</f>
        <v>Servicios</v>
      </c>
      <c r="F227" s="376" t="str" cm="1">
        <f t="array" ref="F227">IFERROR(INDEX(Cartera1017[Sección],ROW(A225)),"")</f>
        <v>Tramité Documentario</v>
      </c>
      <c r="G227" s="376" t="str" cm="1">
        <f t="array" ref="G227">IFERROR(INDEX(Cartera1017[Estado TI],ROW(A225)),"")</f>
        <v>08. Producción Finalizada</v>
      </c>
      <c r="H227" s="463" t="str" cm="1">
        <f t="array" ref="H227">IFERROR(
 IF(
   INDEX(Cartera1017[Comienzo Desarrollo],ROW(A225))=0,
   "",
   INDEX(Cartera1017[Comienzo Desarrollo],ROW(A225))
 ),
 ""
)</f>
        <v/>
      </c>
      <c r="I227" s="463" t="str" cm="1">
        <f t="array" ref="I227">IFERROR(
 IF(
   INDEX(Cartera1017[Fin Producción],ROW(A225))=0,
   "",
   INDEX(Cartera1017[Fin Producción],ROW(A225))
 ),
 ""
)</f>
        <v/>
      </c>
    </row>
    <row r="228" spans="1:9">
      <c r="A228" s="376" t="str" cm="1">
        <f t="array" ref="A228">IFERROR(
 IF(
   INDEX(Cartera1017[ID Mantenimiento],ROW(A226))=0,
   "",
   INDEX(Cartera1017[ID Mantenimiento],ROW(A226))
 ),
 ""
)</f>
        <v>2026-M0100</v>
      </c>
      <c r="B228" s="376" t="str" cm="1">
        <f t="array" ref="B228">IFERROR(INDEX(Cartera1017[Nombre del Requerimiento],ROW(A226)),"")</f>
        <v>Actualizar el monto minimo de costo a S/1.00 en el canal Págalo.pe (App y Web)</v>
      </c>
      <c r="C228" s="376" t="str" cm="1">
        <f t="array" aca="1" ref="C228" ca="1">IFERROR(INDEX(Cartera1017[indicador de Avance],ROW(A226)),"")</f>
        <v>Sin Cronograma 🔵</v>
      </c>
      <c r="D228" s="376" t="str" cm="1">
        <f t="array" ref="D228">IFERROR(INDEX(Cartera1017[Gerencia],ROW(A226)),"")</f>
        <v>Banca Digital</v>
      </c>
      <c r="E228" s="376" t="str" cm="1">
        <f t="array" ref="E228">IFERROR(INDEX(Cartera1017[Subgerencia],ROW(A226)),"")</f>
        <v>Canales Alternos</v>
      </c>
      <c r="F228" s="376" t="str" cm="1">
        <f t="array" ref="F228">IFERROR(INDEX(Cartera1017[Sección],ROW(A226)),"")</f>
        <v>Canales Presenciales</v>
      </c>
      <c r="G228" s="376" t="str" cm="1">
        <f t="array" ref="G228">IFERROR(INDEX(Cartera1017[Estado TI],ROW(A226)),"")</f>
        <v>02. En Planificación</v>
      </c>
      <c r="H228" s="463" t="str" cm="1">
        <f t="array" ref="H228">IFERROR(
 IF(
   INDEX(Cartera1017[Comienzo Desarrollo],ROW(A226))=0,
   "",
   INDEX(Cartera1017[Comienzo Desarrollo],ROW(A226))
 ),
 ""
)</f>
        <v/>
      </c>
      <c r="I228" s="463" t="str" cm="1">
        <f t="array" ref="I228">IFERROR(
 IF(
   INDEX(Cartera1017[Fin Producción],ROW(A226))=0,
   "",
   INDEX(Cartera1017[Fin Producción],ROW(A226))
 ),
 ""
)</f>
        <v/>
      </c>
    </row>
    <row r="229" spans="1:9">
      <c r="A229" s="376" t="str" cm="1">
        <f t="array" ref="A229">IFERROR(
 IF(
   INDEX(Cartera1017[ID Mantenimiento],ROW(A227))=0,
   "",
   INDEX(Cartera1017[ID Mantenimiento],ROW(A227))
 ),
 ""
)</f>
        <v>2026-M0102</v>
      </c>
      <c r="B229" s="376" t="str" cm="1">
        <f t="array" ref="B229">IFERROR(INDEX(Cartera1017[Nombre del Requerimiento],ROW(A227)),"")</f>
        <v xml:space="preserve">Cámara de Compensación
Electrónica (CCE) - Proyecto LUMEN
</v>
      </c>
      <c r="C229" s="376" t="str" cm="1">
        <f t="array" aca="1" ref="C229" ca="1">IFERROR(INDEX(Cartera1017[indicador de Avance],ROW(A227)),"")</f>
        <v>IMPLEMENTADO 🔵</v>
      </c>
      <c r="D229" s="376" t="str" cm="1">
        <f t="array" ref="D229">IFERROR(INDEX(Cartera1017[Gerencia],ROW(A227)),"")</f>
        <v>Operaciones</v>
      </c>
      <c r="E229" s="376" t="str" cm="1">
        <f t="array" ref="E229">IFERROR(INDEX(Cartera1017[Subgerencia],ROW(A227)),"")</f>
        <v>Captaciones y Pagaduría</v>
      </c>
      <c r="F229" s="376" t="str" cm="1">
        <f t="array" ref="F229">IFERROR(INDEX(Cartera1017[Sección],ROW(A227)),"")</f>
        <v>Sistema de Pagos</v>
      </c>
      <c r="G229" s="376" t="str" cm="1">
        <f t="array" ref="G229">IFERROR(INDEX(Cartera1017[Estado TI],ROW(A227)),"")</f>
        <v>08. Producción Finalizada</v>
      </c>
      <c r="H229" s="463" t="str" cm="1">
        <f t="array" ref="H229">IFERROR(
 IF(
   INDEX(Cartera1017[Comienzo Desarrollo],ROW(A227))=0,
   "",
   INDEX(Cartera1017[Comienzo Desarrollo],ROW(A227))
 ),
 ""
)</f>
        <v/>
      </c>
      <c r="I229" s="463" t="str" cm="1">
        <f t="array" ref="I229">IFERROR(
 IF(
   INDEX(Cartera1017[Fin Producción],ROW(A227))=0,
   "",
   INDEX(Cartera1017[Fin Producción],ROW(A227))
 ),
 ""
)</f>
        <v/>
      </c>
    </row>
    <row r="230" spans="1:9">
      <c r="A230" s="376" t="str" cm="1">
        <f t="array" ref="A230">IFERROR(
 IF(
   INDEX(Cartera1017[ID Mantenimiento],ROW(A228))=0,
   "",
   INDEX(Cartera1017[ID Mantenimiento],ROW(A228))
 ),
 ""
)</f>
        <v>2026-M0103</v>
      </c>
      <c r="B230" s="376" t="str" cm="1">
        <f t="array" ref="B230">IFERROR(INDEX(Cartera1017[Nombre del Requerimiento],ROW(A228)),"")</f>
        <v>PARÁMETROS PARA EL OTORGAMIENTO DE PRÉSTAMOS MULTIRED A 72 MESES</v>
      </c>
      <c r="C230" s="376" t="str" cm="1">
        <f t="array" aca="1" ref="C230" ca="1">IFERROR(INDEX(Cartera1017[indicador de Avance],ROW(A228)),"")</f>
        <v>IMPLEMENTADO 🔵</v>
      </c>
      <c r="D230" s="376" t="str" cm="1">
        <f t="array" ref="D230">IFERROR(INDEX(Cartera1017[Gerencia],ROW(A228)),"")</f>
        <v>Productos e Inclusión Financiera</v>
      </c>
      <c r="E230" s="376" t="str" cm="1">
        <f t="array" ref="E230">IFERROR(INDEX(Cartera1017[Subgerencia],ROW(A228)),"")</f>
        <v>Banca Personal</v>
      </c>
      <c r="F230" s="376" t="str" cm="1">
        <f t="array" ref="F230">IFERROR(INDEX(Cartera1017[Sección],ROW(A228)),"")</f>
        <v>Préstamo Multired</v>
      </c>
      <c r="G230" s="376" t="str" cm="1">
        <f t="array" ref="G230">IFERROR(INDEX(Cartera1017[Estado TI],ROW(A228)),"")</f>
        <v>08. Producción Finalizada</v>
      </c>
      <c r="H230" s="463" t="str" cm="1">
        <f t="array" ref="H230">IFERROR(
 IF(
   INDEX(Cartera1017[Comienzo Desarrollo],ROW(A228))=0,
   "",
   INDEX(Cartera1017[Comienzo Desarrollo],ROW(A228))
 ),
 ""
)</f>
        <v/>
      </c>
      <c r="I230" s="463" t="str" cm="1">
        <f t="array" ref="I230">IFERROR(
 IF(
   INDEX(Cartera1017[Fin Producción],ROW(A228))=0,
   "",
   INDEX(Cartera1017[Fin Producción],ROW(A228))
 ),
 ""
)</f>
        <v/>
      </c>
    </row>
    <row r="231" spans="1:9">
      <c r="A231" s="376" t="str" cm="1">
        <f t="array" ref="A231">IFERROR(
 IF(
   INDEX(Cartera1017[ID Mantenimiento],ROW(A229))=0,
   "",
   INDEX(Cartera1017[ID Mantenimiento],ROW(A229))
 ),
 ""
)</f>
        <v>2026-M0114</v>
      </c>
      <c r="B231" s="376" t="str" cm="1">
        <f t="array" ref="B231">IFERROR(INDEX(Cartera1017[Nombre del Requerimiento],ROW(A229)),"")</f>
        <v>MENSAJE PROMOCIONAL POR LA SEMANA MUNDIAL DEL AHORRO, DÉCIMA EDICIÓN</v>
      </c>
      <c r="C231" s="376" t="str" cm="1">
        <f t="array" aca="1" ref="C231" ca="1">IFERROR(INDEX(Cartera1017[indicador de Avance],ROW(A229)),"")</f>
        <v>Sin Cronograma 🔵</v>
      </c>
      <c r="D231" s="376" t="str" cm="1">
        <f t="array" ref="D231">IFERROR(INDEX(Cartera1017[Gerencia],ROW(A229)),"")</f>
        <v>Productos e Inclusión Financiera</v>
      </c>
      <c r="E231" s="376" t="str" cm="1">
        <f t="array" ref="E231">IFERROR(INDEX(Cartera1017[Subgerencia],ROW(A229)),"")</f>
        <v>Inclusión Financiera</v>
      </c>
      <c r="F231" s="376" t="str" cm="1">
        <f t="array" ref="F231">IFERROR(INDEX(Cartera1017[Sección],ROW(A229)),"")</f>
        <v>Desarrollo y Seguimiento</v>
      </c>
      <c r="G231" s="376" t="str" cm="1">
        <f t="array" ref="G231">IFERROR(INDEX(Cartera1017[Estado TI],ROW(A229)),"")</f>
        <v>03. En Desarrollo</v>
      </c>
      <c r="H231" s="463" t="str" cm="1">
        <f t="array" ref="H231">IFERROR(
 IF(
   INDEX(Cartera1017[Comienzo Desarrollo],ROW(A229))=0,
   "",
   INDEX(Cartera1017[Comienzo Desarrollo],ROW(A229))
 ),
 ""
)</f>
        <v/>
      </c>
      <c r="I231" s="463" t="str" cm="1">
        <f t="array" ref="I231">IFERROR(
 IF(
   INDEX(Cartera1017[Fin Producción],ROW(A229))=0,
   "",
   INDEX(Cartera1017[Fin Producción],ROW(A229))
 ),
 ""
)</f>
        <v/>
      </c>
    </row>
    <row r="232" spans="1:9">
      <c r="A232" s="376" t="str" cm="1">
        <f t="array" ref="A232">IFERROR(
 IF(
   INDEX(Cartera1017[ID Mantenimiento],ROW(A230))=0,
   "",
   INDEX(Cartera1017[ID Mantenimiento],ROW(A230))
 ),
 ""
)</f>
        <v>2026-M0121</v>
      </c>
      <c r="B232" s="376" t="str" cm="1">
        <f t="array" ref="B232">IFERROR(INDEX(Cartera1017[Nombre del Requerimiento],ROW(A230)),"")</f>
        <v>MENSAJE PROMOCIONAL POR LA SEMANA MUNDIAL DEL AHORRO, X EDICIÓN</v>
      </c>
      <c r="C232" s="376" t="str" cm="1">
        <f t="array" aca="1" ref="C232" ca="1">IFERROR(INDEX(Cartera1017[indicador de Avance],ROW(A230)),"")</f>
        <v>Sin Cronograma 🔵</v>
      </c>
      <c r="D232" s="376" t="str" cm="1">
        <f t="array" ref="D232">IFERROR(INDEX(Cartera1017[Gerencia],ROW(A230)),"")</f>
        <v>Productos e Inclusión Financiera</v>
      </c>
      <c r="E232" s="376" t="str" cm="1">
        <f t="array" ref="E232">IFERROR(INDEX(Cartera1017[Subgerencia],ROW(A230)),"")</f>
        <v>Inclusión Financiera</v>
      </c>
      <c r="F232" s="376" t="str" cm="1">
        <f t="array" ref="F232">IFERROR(INDEX(Cartera1017[Sección],ROW(A230)),"")</f>
        <v>Desarrollo y Seguimiento</v>
      </c>
      <c r="G232" s="376" t="str" cm="1">
        <f t="array" ref="G232">IFERROR(INDEX(Cartera1017[Estado TI],ROW(A230)),"")</f>
        <v>05. En Calidad</v>
      </c>
      <c r="H232" s="463" t="str" cm="1">
        <f t="array" ref="H232">IFERROR(
 IF(
   INDEX(Cartera1017[Comienzo Desarrollo],ROW(A230))=0,
   "",
   INDEX(Cartera1017[Comienzo Desarrollo],ROW(A230))
 ),
 ""
)</f>
        <v/>
      </c>
      <c r="I232" s="463" t="str" cm="1">
        <f t="array" ref="I232">IFERROR(
 IF(
   INDEX(Cartera1017[Fin Producción],ROW(A230))=0,
   "",
   INDEX(Cartera1017[Fin Producción],ROW(A230))
 ),
 ""
)</f>
        <v/>
      </c>
    </row>
    <row r="233" spans="1:9">
      <c r="A233" s="376" t="str" cm="1">
        <f t="array" ref="A233">IFERROR(
 IF(
   INDEX(Cartera1017[ID Mantenimiento],ROW(A231))=0,
   "",
   INDEX(Cartera1017[ID Mantenimiento],ROW(A231))
 ),
 ""
)</f>
        <v>2026-M0106</v>
      </c>
      <c r="B233" s="376" t="str" cm="1">
        <f t="array" ref="B233">IFERROR(INDEX(Cartera1017[Nombre del Requerimiento],ROW(A231)),"")</f>
        <v>Cargos Recurrente_Tarjetas Vencidas</v>
      </c>
      <c r="C233" s="376" t="str" cm="1">
        <f t="array" aca="1" ref="C233" ca="1">IFERROR(INDEX(Cartera1017[indicador de Avance],ROW(A231)),"")</f>
        <v>Sin Cronograma 🔵</v>
      </c>
      <c r="D233" s="376" t="str" cm="1">
        <f t="array" ref="D233">IFERROR(INDEX(Cartera1017[Gerencia],ROW(A231)),"")</f>
        <v>Banca Digital</v>
      </c>
      <c r="E233" s="376" t="str" cm="1">
        <f t="array" ref="E233">IFERROR(INDEX(Cartera1017[Subgerencia],ROW(A231)),"")</f>
        <v>Canales Alternos</v>
      </c>
      <c r="F233" s="376" t="str" cm="1">
        <f t="array" ref="F233">IFERROR(INDEX(Cartera1017[Sección],ROW(A231)),"")</f>
        <v>Canales Virtuales</v>
      </c>
      <c r="G233" s="376" t="str" cm="1">
        <f t="array" ref="G233">IFERROR(INDEX(Cartera1017[Estado TI],ROW(A231)),"")</f>
        <v>03. En Desarrollo</v>
      </c>
      <c r="H233" s="463" t="str" cm="1">
        <f t="array" ref="H233">IFERROR(
 IF(
   INDEX(Cartera1017[Comienzo Desarrollo],ROW(A231))=0,
   "",
   INDEX(Cartera1017[Comienzo Desarrollo],ROW(A231))
 ),
 ""
)</f>
        <v/>
      </c>
      <c r="I233" s="463" t="str" cm="1">
        <f t="array" ref="I233">IFERROR(
 IF(
   INDEX(Cartera1017[Fin Producción],ROW(A231))=0,
   "",
   INDEX(Cartera1017[Fin Producción],ROW(A231))
 ),
 ""
)</f>
        <v/>
      </c>
    </row>
    <row r="234" spans="1:9">
      <c r="A234" s="376" t="str" cm="1">
        <f t="array" ref="A234">IFERROR(
 IF(
   INDEX(Cartera1017[ID Mantenimiento],ROW(A232))=0,
   "",
   INDEX(Cartera1017[ID Mantenimiento],ROW(A232))
 ),
 ""
)</f>
        <v>2026-M0110</v>
      </c>
      <c r="B234" s="376" t="str" cm="1">
        <f t="array" ref="B234">IFERROR(INDEX(Cartera1017[Nombre del Requerimiento],ROW(A232)),"")</f>
        <v>MN: Doceavo Mantenimiento Preventivo/Correctivo del Sistema Tramite Documentario</v>
      </c>
      <c r="C234" s="376" t="str" cm="1">
        <f t="array" aca="1" ref="C234" ca="1">IFERROR(INDEX(Cartera1017[indicador de Avance],ROW(A232)),"")</f>
        <v>IMPLEMENTADO 🔵</v>
      </c>
      <c r="D234" s="376" t="str" cm="1">
        <f t="array" ref="D234">IFERROR(INDEX(Cartera1017[Gerencia],ROW(A232)),"")</f>
        <v>Administración y Logística</v>
      </c>
      <c r="E234" s="376" t="str" cm="1">
        <f t="array" ref="E234">IFERROR(INDEX(Cartera1017[Subgerencia],ROW(A232)),"")</f>
        <v>Servicios</v>
      </c>
      <c r="F234" s="376" t="str" cm="1">
        <f t="array" ref="F234">IFERROR(INDEX(Cartera1017[Sección],ROW(A232)),"")</f>
        <v>Tramité Documentario</v>
      </c>
      <c r="G234" s="376" t="str" cm="1">
        <f t="array" ref="G234">IFERROR(INDEX(Cartera1017[Estado TI],ROW(A232)),"")</f>
        <v>08. Producción Finalizada</v>
      </c>
      <c r="H234" s="463" t="str" cm="1">
        <f t="array" ref="H234">IFERROR(
 IF(
   INDEX(Cartera1017[Comienzo Desarrollo],ROW(A232))=0,
   "",
   INDEX(Cartera1017[Comienzo Desarrollo],ROW(A232))
 ),
 ""
)</f>
        <v/>
      </c>
      <c r="I234" s="463" t="str" cm="1">
        <f t="array" ref="I234">IFERROR(
 IF(
   INDEX(Cartera1017[Fin Producción],ROW(A232))=0,
   "",
   INDEX(Cartera1017[Fin Producción],ROW(A232))
 ),
 ""
)</f>
        <v/>
      </c>
    </row>
    <row r="235" spans="1:9">
      <c r="A235" s="376" t="str" cm="1">
        <f t="array" ref="A235">IFERROR(
 IF(
   INDEX(Cartera1017[ID Mantenimiento],ROW(A233))=0,
   "",
   INDEX(Cartera1017[ID Mantenimiento],ROW(A233))
 ),
 ""
)</f>
        <v>2026-M0122</v>
      </c>
      <c r="B235" s="376" t="str" cm="1">
        <f t="array" ref="B235">IFERROR(INDEX(Cartera1017[Nombre del Requerimiento],ROW(A233)),"")</f>
        <v>Actualización de campos en el caso de 9611 en el módulo BICOC: Modificación de Resultado de Investigación, Fechas y Hora ROS (OC) y Correlativos ROS y ROI</v>
      </c>
      <c r="C235" s="376" t="str" cm="1">
        <f t="array" aca="1" ref="C235" ca="1">IFERROR(INDEX(Cartera1017[indicador de Avance],ROW(A233)),"")</f>
        <v>IMPLEMENTADO 🔵</v>
      </c>
      <c r="D235" s="376" t="str" cm="1">
        <f t="array" ref="D235">IFERROR(INDEX(Cartera1017[Gerencia],ROW(A233)),"")</f>
        <v>Oficialía de PLAFT</v>
      </c>
      <c r="E235" s="376" cm="1">
        <f t="array" ref="E235">IFERROR(INDEX(Cartera1017[Subgerencia],ROW(A233)),"")</f>
        <v>0</v>
      </c>
      <c r="F235" s="376" cm="1">
        <f t="array" ref="F235">IFERROR(INDEX(Cartera1017[Sección],ROW(A233)),"")</f>
        <v>0</v>
      </c>
      <c r="G235" s="376" t="str" cm="1">
        <f t="array" ref="G235">IFERROR(INDEX(Cartera1017[Estado TI],ROW(A233)),"")</f>
        <v>08. Producción Finalizada</v>
      </c>
      <c r="H235" s="463" t="str" cm="1">
        <f t="array" ref="H235">IFERROR(
 IF(
   INDEX(Cartera1017[Comienzo Desarrollo],ROW(A233))=0,
   "",
   INDEX(Cartera1017[Comienzo Desarrollo],ROW(A233))
 ),
 ""
)</f>
        <v/>
      </c>
      <c r="I235" s="463" t="str" cm="1">
        <f t="array" ref="I235">IFERROR(
 IF(
   INDEX(Cartera1017[Fin Producción],ROW(A233))=0,
   "",
   INDEX(Cartera1017[Fin Producción],ROW(A233))
 ),
 ""
)</f>
        <v/>
      </c>
    </row>
    <row r="236" spans="1:9">
      <c r="A236" s="376" t="str" cm="1">
        <f t="array" ref="A236">IFERROR(
 IF(
   INDEX(Cartera1017[ID Mantenimiento],ROW(A234))=0,
   "",
   INDEX(Cartera1017[ID Mantenimiento],ROW(A234))
 ),
 ""
)</f>
        <v>2026-M0120</v>
      </c>
      <c r="B236" s="376" t="str" cm="1">
        <f t="array" ref="B236">IFERROR(INDEX(Cartera1017[Nombre del Requerimiento],ROW(A234)),"")</f>
        <v>Enlace o botón de libro de reclamaciones digital en Págalo.pe</v>
      </c>
      <c r="C236" s="376" t="str" cm="1">
        <f t="array" aca="1" ref="C236" ca="1">IFERROR(INDEX(Cartera1017[indicador de Avance],ROW(A234)),"")</f>
        <v>IMPLEMENTADO 🔵</v>
      </c>
      <c r="D236" s="376" t="str" cm="1">
        <f t="array" ref="D236">IFERROR(INDEX(Cartera1017[Gerencia],ROW(A234)),"")</f>
        <v>Banca Digital</v>
      </c>
      <c r="E236" s="376" t="str" cm="1">
        <f t="array" ref="E236">IFERROR(INDEX(Cartera1017[Subgerencia],ROW(A234)),"")</f>
        <v>Canales Alternos</v>
      </c>
      <c r="F236" s="376" t="str" cm="1">
        <f t="array" ref="F236">IFERROR(INDEX(Cartera1017[Sección],ROW(A234)),"")</f>
        <v>Canales Virtuales</v>
      </c>
      <c r="G236" s="376" t="str" cm="1">
        <f t="array" ref="G236">IFERROR(INDEX(Cartera1017[Estado TI],ROW(A234)),"")</f>
        <v>08. Producción Finalizada</v>
      </c>
      <c r="H236" s="463" t="str" cm="1">
        <f t="array" ref="H236">IFERROR(
 IF(
   INDEX(Cartera1017[Comienzo Desarrollo],ROW(A234))=0,
   "",
   INDEX(Cartera1017[Comienzo Desarrollo],ROW(A234))
 ),
 ""
)</f>
        <v/>
      </c>
      <c r="I236" s="463" t="str" cm="1">
        <f t="array" ref="I236">IFERROR(
 IF(
   INDEX(Cartera1017[Fin Producción],ROW(A234))=0,
   "",
   INDEX(Cartera1017[Fin Producción],ROW(A234))
 ),
 ""
)</f>
        <v/>
      </c>
    </row>
    <row r="237" spans="1:9">
      <c r="A237" s="376" t="str" cm="1">
        <f t="array" ref="A237">IFERROR(
 IF(
   INDEX(Cartera1017[ID Mantenimiento],ROW(A235))=0,
   "",
   INDEX(Cartera1017[ID Mantenimiento],ROW(A235))
 ),
 ""
)</f>
        <v/>
      </c>
      <c r="B237" s="376" t="str" cm="1">
        <f t="array" ref="B237">IFERROR(INDEX(Cartera1017[Nombre del Requerimiento],ROW(A235)),"")</f>
        <v>Plan de creación de Cuenta DNI en Core BN</v>
      </c>
      <c r="C237" s="376" t="str" cm="1">
        <f t="array" aca="1" ref="C237" ca="1">IFERROR(INDEX(Cartera1017[indicador de Avance],ROW(A235)),"")</f>
        <v>Sin Cronograma 🔵</v>
      </c>
      <c r="D237" s="376" t="str" cm="1">
        <f t="array" ref="D237">IFERROR(INDEX(Cartera1017[Gerencia],ROW(A235)),"")</f>
        <v>Operaciones</v>
      </c>
      <c r="E237" s="376" t="str" cm="1">
        <f t="array" ref="E237">IFERROR(INDEX(Cartera1017[Subgerencia],ROW(A235)),"")</f>
        <v>Captaciones y Pagaduría</v>
      </c>
      <c r="F237" s="376" t="str" cm="1">
        <f t="array" ref="F237">IFERROR(INDEX(Cartera1017[Sección],ROW(A235)),"")</f>
        <v>Apertura de Cuentas</v>
      </c>
      <c r="G237" s="376" t="str" cm="1">
        <f t="array" ref="G237">IFERROR(INDEX(Cartera1017[Estado TI],ROW(A235)),"")</f>
        <v>02. En Planificación</v>
      </c>
      <c r="H237" s="463" t="str" cm="1">
        <f t="array" ref="H237">IFERROR(
 IF(
   INDEX(Cartera1017[Comienzo Desarrollo],ROW(A235))=0,
   "",
   INDEX(Cartera1017[Comienzo Desarrollo],ROW(A235))
 ),
 ""
)</f>
        <v/>
      </c>
      <c r="I237" s="463" t="str" cm="1">
        <f t="array" ref="I237">IFERROR(
 IF(
   INDEX(Cartera1017[Fin Producción],ROW(A235))=0,
   "",
   INDEX(Cartera1017[Fin Producción],ROW(A235))
 ),
 ""
)</f>
        <v/>
      </c>
    </row>
    <row r="238" spans="1:9">
      <c r="A238" s="376" t="str" cm="1">
        <f t="array" ref="A238">IFERROR(
 IF(
   INDEX(Cartera1017[ID Mantenimiento],ROW(A236))=0,
   "",
   INDEX(Cartera1017[ID Mantenimiento],ROW(A236))
 ),
 ""
)</f>
        <v>2026-M0136</v>
      </c>
      <c r="B238" s="376" t="str" cm="1">
        <f t="array" ref="B238">IFERROR(INDEX(Cartera1017[Nombre del Requerimiento],ROW(A236)),"")</f>
        <v>AUTOMATIZACIÓN DEL PROCESO DE OTORGAMIENTO DE TARJETAS DE PRESTACIÓN ALIMENTARIA</v>
      </c>
      <c r="C238" s="376" t="str" cm="1">
        <f t="array" aca="1" ref="C238" ca="1">IFERROR(INDEX(Cartera1017[indicador de Avance],ROW(A236)),"")</f>
        <v>ATRASADO 🔴</v>
      </c>
      <c r="D238" s="376" t="str" cm="1">
        <f t="array" ref="D238">IFERROR(INDEX(Cartera1017[Gerencia],ROW(A236)),"")</f>
        <v>Recursos Humanos y Cultura</v>
      </c>
      <c r="E238" s="376" t="str" cm="1">
        <f t="array" ref="E238">IFERROR(INDEX(Cartera1017[Subgerencia],ROW(A236)),"")</f>
        <v>Desarrollo del Talento</v>
      </c>
      <c r="F238" s="376" t="str" cm="1">
        <f t="array" ref="F238">IFERROR(INDEX(Cartera1017[Sección],ROW(A236)),"")</f>
        <v>Asistencia y Bienestar</v>
      </c>
      <c r="G238" s="376" t="str" cm="1">
        <f t="array" ref="G238">IFERROR(INDEX(Cartera1017[Estado TI],ROW(A236)),"")</f>
        <v>07. En Despliegue</v>
      </c>
      <c r="H238" s="463" cm="1">
        <f t="array" ref="H238">IFERROR(
 IF(
   INDEX(Cartera1017[Comienzo Desarrollo],ROW(A236))=0,
   "",
   INDEX(Cartera1017[Comienzo Desarrollo],ROW(A236))
 ),
 ""
)</f>
        <v>46096</v>
      </c>
      <c r="I238" s="463" cm="1">
        <f t="array" ref="I238">IFERROR(
 IF(
   INDEX(Cartera1017[Fin Producción],ROW(A236))=0,
   "",
   INDEX(Cartera1017[Fin Producción],ROW(A236))
 ),
 ""
)</f>
        <v>46157</v>
      </c>
    </row>
    <row r="239" spans="1:9">
      <c r="A239" s="376" t="str" cm="1">
        <f t="array" ref="A239">IFERROR(
 IF(
   INDEX(Cartera1017[ID Mantenimiento],ROW(A237))=0,
   "",
   INDEX(Cartera1017[ID Mantenimiento],ROW(A237))
 ),
 ""
)</f>
        <v>2026-M0134</v>
      </c>
      <c r="B239" s="376" t="str" cm="1">
        <f t="array" ref="B239">IFERROR(INDEX(Cartera1017[Nombre del Requerimiento],ROW(A237)),"")</f>
        <v>Operatividad en Cuentas de Organizaciones Políticas</v>
      </c>
      <c r="C239" s="376" t="str" cm="1">
        <f t="array" aca="1" ref="C239" ca="1">IFERROR(INDEX(Cartera1017[indicador de Avance],ROW(A237)),"")</f>
        <v>Sin Cronograma 🔵</v>
      </c>
      <c r="D239" s="376" t="str" cm="1">
        <f t="array" ref="D239">IFERROR(INDEX(Cartera1017[Gerencia],ROW(A237)),"")</f>
        <v>Operaciones</v>
      </c>
      <c r="E239" s="376" t="str" cm="1">
        <f t="array" ref="E239">IFERROR(INDEX(Cartera1017[Subgerencia],ROW(A237)),"")</f>
        <v>Captaciones y Pagaduría</v>
      </c>
      <c r="F239" s="376" t="str" cm="1">
        <f t="array" ref="F239">IFERROR(INDEX(Cartera1017[Sección],ROW(A237)),"")</f>
        <v>Administración de Cuentas y Pagaduría</v>
      </c>
      <c r="G239" s="376" t="str" cm="1">
        <f t="array" ref="G239">IFERROR(INDEX(Cartera1017[Estado TI],ROW(A237)),"")</f>
        <v>05. En Calidad</v>
      </c>
      <c r="H239" s="463" t="str" cm="1">
        <f t="array" ref="H239">IFERROR(
 IF(
   INDEX(Cartera1017[Comienzo Desarrollo],ROW(A237))=0,
   "",
   INDEX(Cartera1017[Comienzo Desarrollo],ROW(A237))
 ),
 ""
)</f>
        <v/>
      </c>
      <c r="I239" s="463" t="str" cm="1">
        <f t="array" ref="I239">IFERROR(
 IF(
   INDEX(Cartera1017[Fin Producción],ROW(A237))=0,
   "",
   INDEX(Cartera1017[Fin Producción],ROW(A237))
 ),
 ""
)</f>
        <v/>
      </c>
    </row>
    <row r="240" spans="1:9">
      <c r="A240" s="376" t="str" cm="1">
        <f t="array" ref="A240">IFERROR(
 IF(
   INDEX(Cartera1017[ID Mantenimiento],ROW(A238))=0,
   "",
   INDEX(Cartera1017[ID Mantenimiento],ROW(A238))
 ),
 ""
)</f>
        <v/>
      </c>
      <c r="B240" s="376" t="str" cm="1">
        <f t="array" ref="B240">IFERROR(INDEX(Cartera1017[Nombre del Requerimiento],ROW(A238)),"")</f>
        <v>Requerimiento de Almacenamiento y consulta del Log de Auditoria de BDUC</v>
      </c>
      <c r="C240" s="376" t="str" cm="1">
        <f t="array" aca="1" ref="C240" ca="1">IFERROR(INDEX(Cartera1017[indicador de Avance],ROW(A238)),"")</f>
        <v>Sin Cronograma 🔵</v>
      </c>
      <c r="D240" s="376" t="str" cm="1">
        <f t="array" ref="D240">IFERROR(INDEX(Cartera1017[Gerencia],ROW(A238)),"")</f>
        <v>Operaciones</v>
      </c>
      <c r="E240" s="376" t="str" cm="1">
        <f t="array" ref="E240">IFERROR(INDEX(Cartera1017[Subgerencia],ROW(A238)),"")</f>
        <v>Captaciones y Pagaduría</v>
      </c>
      <c r="F240" s="376" t="str" cm="1">
        <f t="array" ref="F240">IFERROR(INDEX(Cartera1017[Sección],ROW(A238)),"")</f>
        <v>Apertura de Cuentas</v>
      </c>
      <c r="G240" s="376" t="str" cm="1">
        <f t="array" ref="G240">IFERROR(INDEX(Cartera1017[Estado TI],ROW(A238)),"")</f>
        <v>02. En Planificación</v>
      </c>
      <c r="H240" s="463" t="str" cm="1">
        <f t="array" ref="H240">IFERROR(
 IF(
   INDEX(Cartera1017[Comienzo Desarrollo],ROW(A238))=0,
   "",
   INDEX(Cartera1017[Comienzo Desarrollo],ROW(A238))
 ),
 ""
)</f>
        <v/>
      </c>
      <c r="I240" s="463" t="str" cm="1">
        <f t="array" ref="I240">IFERROR(
 IF(
   INDEX(Cartera1017[Fin Producción],ROW(A238))=0,
   "",
   INDEX(Cartera1017[Fin Producción],ROW(A238))
 ),
 ""
)</f>
        <v/>
      </c>
    </row>
    <row r="241" spans="1:9">
      <c r="A241" s="376" t="str" cm="1">
        <f t="array" ref="A241">IFERROR(
 IF(
   INDEX(Cartera1017[ID Mantenimiento],ROW(A239))=0,
   "",
   INDEX(Cartera1017[ID Mantenimiento],ROW(A239))
 ),
 ""
)</f>
        <v/>
      </c>
      <c r="B241" s="376" t="str" cm="1">
        <f t="array" ref="B241">IFERROR(INDEX(Cartera1017[Nombre del Requerimiento],ROW(A239)),"")</f>
        <v>Implementación del RADI en su FASE II para la integración de los sistemas del banco para la comercialización de seguros optativos.</v>
      </c>
      <c r="C241" s="376" t="str" cm="1">
        <f t="array" aca="1" ref="C241" ca="1">IFERROR(INDEX(Cartera1017[indicador de Avance],ROW(A239)),"")</f>
        <v>Sin Cronograma 🔵</v>
      </c>
      <c r="D241" s="376" t="str" cm="1">
        <f t="array" ref="D241">IFERROR(INDEX(Cartera1017[Gerencia],ROW(A239)),"")</f>
        <v>Productos e Inclusión Financiera</v>
      </c>
      <c r="E241" s="376" cm="1">
        <f t="array" ref="E241">IFERROR(INDEX(Cartera1017[Subgerencia],ROW(A239)),"")</f>
        <v>0</v>
      </c>
      <c r="F241" s="376" cm="1">
        <f t="array" ref="F241">IFERROR(INDEX(Cartera1017[Sección],ROW(A239)),"")</f>
        <v>0</v>
      </c>
      <c r="G241" s="376" t="str" cm="1">
        <f t="array" ref="G241">IFERROR(INDEX(Cartera1017[Estado TI],ROW(A239)),"")</f>
        <v>02. En Planificación</v>
      </c>
      <c r="H241" s="463" t="str" cm="1">
        <f t="array" ref="H241">IFERROR(
 IF(
   INDEX(Cartera1017[Comienzo Desarrollo],ROW(A239))=0,
   "",
   INDEX(Cartera1017[Comienzo Desarrollo],ROW(A239))
 ),
 ""
)</f>
        <v/>
      </c>
      <c r="I241" s="463" t="str" cm="1">
        <f t="array" ref="I241">IFERROR(
 IF(
   INDEX(Cartera1017[Fin Producción],ROW(A239))=0,
   "",
   INDEX(Cartera1017[Fin Producción],ROW(A239))
 ),
 ""
)</f>
        <v/>
      </c>
    </row>
    <row r="242" spans="1:9">
      <c r="A242" s="376" t="str" cm="1">
        <f t="array" ref="A242">IFERROR(
 IF(
   INDEX(Cartera1017[ID Mantenimiento],ROW(A240))=0,
   "",
   INDEX(Cartera1017[ID Mantenimiento],ROW(A240))
 ),
 ""
)</f>
        <v>2026-M0142</v>
      </c>
      <c r="B242" s="376" t="str" cm="1">
        <f t="array" ref="B242">IFERROR(INDEX(Cartera1017[Nombre del Requerimiento],ROW(A240)),"")</f>
        <v>Limites Operativos en las Cuentas de Partidos Políticos</v>
      </c>
      <c r="C242" s="376" t="str" cm="1">
        <f t="array" aca="1" ref="C242" ca="1">IFERROR(INDEX(Cartera1017[indicador de Avance],ROW(A240)),"")</f>
        <v>EN RIESGO 🟡</v>
      </c>
      <c r="D242" s="376" t="str" cm="1">
        <f t="array" ref="D242">IFERROR(INDEX(Cartera1017[Gerencia],ROW(A240)),"")</f>
        <v>Operaciones</v>
      </c>
      <c r="E242" s="376" t="str" cm="1">
        <f t="array" ref="E242">IFERROR(INDEX(Cartera1017[Subgerencia],ROW(A240)),"")</f>
        <v>Captaciones y Pagaduría</v>
      </c>
      <c r="F242" s="376" t="str" cm="1">
        <f t="array" ref="F242">IFERROR(INDEX(Cartera1017[Sección],ROW(A240)),"")</f>
        <v>Administración de Cuentas y Pagaduría</v>
      </c>
      <c r="G242" s="376" t="str" cm="1">
        <f t="array" ref="G242">IFERROR(INDEX(Cartera1017[Estado TI],ROW(A240)),"")</f>
        <v>02. En Planificación</v>
      </c>
      <c r="H242" s="463" cm="1">
        <f t="array" ref="H242">IFERROR(
 IF(
   INDEX(Cartera1017[Comienzo Desarrollo],ROW(A240))=0,
   "",
   INDEX(Cartera1017[Comienzo Desarrollo],ROW(A240))
 ),
 ""
)</f>
        <v>46146</v>
      </c>
      <c r="I242" s="463" cm="1">
        <f t="array" ref="I242">IFERROR(
 IF(
   INDEX(Cartera1017[Fin Producción],ROW(A240))=0,
   "",
   INDEX(Cartera1017[Fin Producción],ROW(A240))
 ),
 ""
)</f>
        <v>46307</v>
      </c>
    </row>
    <row r="243" spans="1:9">
      <c r="A243" s="376" t="str" cm="1">
        <f t="array" ref="A243">IFERROR(
 IF(
   INDEX(Cartera1017[ID Mantenimiento],ROW(A241))=0,
   "",
   INDEX(Cartera1017[ID Mantenimiento],ROW(A241))
 ),
 ""
)</f>
        <v>2026-M0156</v>
      </c>
      <c r="B243" s="376" t="str" cm="1">
        <f t="array" ref="B243">IFERROR(INDEX(Cartera1017[Nombre del Requerimiento],ROW(A241)),"")</f>
        <v>ACTUALIZACIÓN DE FORMATO ACCIÓN DESPLAZAMIENTO DE PERSONA</v>
      </c>
      <c r="C243" s="376" t="str" cm="1">
        <f t="array" aca="1" ref="C243" ca="1">IFERROR(INDEX(Cartera1017[indicador de Avance],ROW(A241)),"")</f>
        <v>EN CURSO 🟢</v>
      </c>
      <c r="D243" s="376" t="str" cm="1">
        <f t="array" ref="D243">IFERROR(INDEX(Cartera1017[Gerencia],ROW(A241)),"")</f>
        <v>Recursos Humanos y Cultura</v>
      </c>
      <c r="E243" s="376" t="str" cm="1">
        <f t="array" ref="E243">IFERROR(INDEX(Cartera1017[Subgerencia],ROW(A241)),"")</f>
        <v>Administración de Personal</v>
      </c>
      <c r="F243" s="376" t="str" cm="1">
        <f t="array" ref="F243">IFERROR(INDEX(Cartera1017[Sección],ROW(A241)),"")</f>
        <v>Selección de Personal</v>
      </c>
      <c r="G243" s="376" t="str" cm="1">
        <f t="array" ref="G243">IFERROR(INDEX(Cartera1017[Estado TI],ROW(A241)),"")</f>
        <v>03. En Desarrollo</v>
      </c>
      <c r="H243" s="463" cm="1">
        <f t="array" ref="H243">IFERROR(
 IF(
   INDEX(Cartera1017[Comienzo Desarrollo],ROW(A241))=0,
   "",
   INDEX(Cartera1017[Comienzo Desarrollo],ROW(A241))
 ),
 ""
)</f>
        <v>46154</v>
      </c>
      <c r="I243" s="463" cm="1">
        <f t="array" ref="I243">IFERROR(
 IF(
   INDEX(Cartera1017[Fin Producción],ROW(A241))=0,
   "",
   INDEX(Cartera1017[Fin Producción],ROW(A241))
 ),
 ""
)</f>
        <v>46221</v>
      </c>
    </row>
    <row r="244" spans="1:9">
      <c r="A244" s="376" t="str" cm="1">
        <f t="array" ref="A244">IFERROR(
 IF(
   INDEX(Cartera1017[ID Mantenimiento],ROW(A242))=0,
   "",
   INDEX(Cartera1017[ID Mantenimiento],ROW(A242))
 ),
 ""
)</f>
        <v>2026-M0157</v>
      </c>
      <c r="B244" s="376" t="str" cm="1">
        <f t="array" ref="B244">IFERROR(INDEX(Cartera1017[Nombre del Requerimiento],ROW(A242)),"")</f>
        <v>Actualizar Datos primarios de Trabajadores que ingresaron con nueva escala</v>
      </c>
      <c r="C244" s="376" t="str" cm="1">
        <f t="array" aca="1" ref="C244" ca="1">IFERROR(INDEX(Cartera1017[indicador de Avance],ROW(A242)),"")</f>
        <v>EN CURSO 🟢</v>
      </c>
      <c r="D244" s="376" t="str" cm="1">
        <f t="array" ref="D244">IFERROR(INDEX(Cartera1017[Gerencia],ROW(A242)),"")</f>
        <v>Recursos Humanos y Cultura</v>
      </c>
      <c r="E244" s="376" t="str" cm="1">
        <f t="array" ref="E244">IFERROR(INDEX(Cartera1017[Subgerencia],ROW(A242)),"")</f>
        <v>Administración de Personal</v>
      </c>
      <c r="F244" s="376" t="str" cm="1">
        <f t="array" ref="F244">IFERROR(INDEX(Cartera1017[Sección],ROW(A242)),"")</f>
        <v>Selección de Personal</v>
      </c>
      <c r="G244" s="376" t="str" cm="1">
        <f t="array" ref="G244">IFERROR(INDEX(Cartera1017[Estado TI],ROW(A242)),"")</f>
        <v>03. En Desarrollo</v>
      </c>
      <c r="H244" s="463" cm="1">
        <f t="array" ref="H244">IFERROR(
 IF(
   INDEX(Cartera1017[Comienzo Desarrollo],ROW(A242))=0,
   "",
   INDEX(Cartera1017[Comienzo Desarrollo],ROW(A242))
 ),
 ""
)</f>
        <v>46169</v>
      </c>
      <c r="I244" s="463" cm="1">
        <f t="array" ref="I244">IFERROR(
 IF(
   INDEX(Cartera1017[Fin Producción],ROW(A242))=0,
   "",
   INDEX(Cartera1017[Fin Producción],ROW(A242))
 ),
 ""
)</f>
        <v>46237</v>
      </c>
    </row>
    <row r="245" spans="1:9">
      <c r="A245" s="376" t="str" cm="1">
        <f t="array" ref="A245">IFERROR(
 IF(
   INDEX(Cartera1017[ID Mantenimiento],ROW(A243))=0,
   "",
   INDEX(Cartera1017[ID Mantenimiento],ROW(A243))
 ),
 ""
)</f>
        <v>2026-M0158</v>
      </c>
      <c r="B245" s="376" t="str" cm="1">
        <f t="array" ref="B245">IFERROR(INDEX(Cartera1017[Nombre del Requerimiento],ROW(A243)),"")</f>
        <v>Restablecer Grilla en Oracle (ADP)</v>
      </c>
      <c r="C245" s="376" t="str" cm="1">
        <f t="array" aca="1" ref="C245" ca="1">IFERROR(INDEX(Cartera1017[indicador de Avance],ROW(A243)),"")</f>
        <v>EN CURSO 🟢</v>
      </c>
      <c r="D245" s="376" t="str" cm="1">
        <f t="array" ref="D245">IFERROR(INDEX(Cartera1017[Gerencia],ROW(A243)),"")</f>
        <v>Recursos Humanos y Cultura</v>
      </c>
      <c r="E245" s="376" t="str" cm="1">
        <f t="array" ref="E245">IFERROR(INDEX(Cartera1017[Subgerencia],ROW(A243)),"")</f>
        <v>Administración de Personal</v>
      </c>
      <c r="F245" s="376" t="str" cm="1">
        <f t="array" ref="F245">IFERROR(INDEX(Cartera1017[Sección],ROW(A243)),"")</f>
        <v>Selección de Personal</v>
      </c>
      <c r="G245" s="376" t="str" cm="1">
        <f t="array" ref="G245">IFERROR(INDEX(Cartera1017[Estado TI],ROW(A243)),"")</f>
        <v>05. En Calidad</v>
      </c>
      <c r="H245" s="463" cm="1">
        <f t="array" ref="H245">IFERROR(
 IF(
   INDEX(Cartera1017[Comienzo Desarrollo],ROW(A243))=0,
   "",
   INDEX(Cartera1017[Comienzo Desarrollo],ROW(A243))
 ),
 ""
)</f>
        <v>46139</v>
      </c>
      <c r="I245" s="463" cm="1">
        <f t="array" ref="I245">IFERROR(
 IF(
   INDEX(Cartera1017[Fin Producción],ROW(A243))=0,
   "",
   INDEX(Cartera1017[Fin Producción],ROW(A243))
 ),
 ""
)</f>
        <v>46211</v>
      </c>
    </row>
    <row r="246" spans="1:9">
      <c r="A246" s="376" t="str" cm="1">
        <f t="array" ref="A246">IFERROR(
 IF(
   INDEX(Cartera1017[ID Mantenimiento],ROW(A244))=0,
   "",
   INDEX(Cartera1017[ID Mantenimiento],ROW(A244))
 ),
 ""
)</f>
        <v>2026-M0140</v>
      </c>
      <c r="B246" s="376" t="str" cm="1">
        <f t="array" ref="B246">IFERROR(INDEX(Cartera1017[Nombre del Requerimiento],ROW(A244)),"")</f>
        <v>Migración de Datos Hacia Big Data-Hito 1 Productos pasivos</v>
      </c>
      <c r="C246" s="376" t="str" cm="1">
        <f t="array" aca="1" ref="C246" ca="1">IFERROR(INDEX(Cartera1017[indicador de Avance],ROW(A244)),"")</f>
        <v>ATRASADO 🔴</v>
      </c>
      <c r="D246" s="376" t="str" cm="1">
        <f t="array" ref="D246">IFERROR(INDEX(Cartera1017[Gerencia],ROW(A244)),"")</f>
        <v>Innovación y Transformación Digital</v>
      </c>
      <c r="E246" s="376" t="str" cm="1">
        <f t="array" ref="E246">IFERROR(INDEX(Cartera1017[Subgerencia],ROW(A244)),"")</f>
        <v>Datos y Analítica Avanzada</v>
      </c>
      <c r="F246" s="376" cm="1">
        <f t="array" ref="F246">IFERROR(INDEX(Cartera1017[Sección],ROW(A244)),"")</f>
        <v>0</v>
      </c>
      <c r="G246" s="376" t="str" cm="1">
        <f t="array" ref="G246">IFERROR(INDEX(Cartera1017[Estado TI],ROW(A244)),"")</f>
        <v>05. En Calidad</v>
      </c>
      <c r="H246" s="463" cm="1">
        <f t="array" ref="H246">IFERROR(
 IF(
   INDEX(Cartera1017[Comienzo Desarrollo],ROW(A244))=0,
   "",
   INDEX(Cartera1017[Comienzo Desarrollo],ROW(A244))
 ),
 ""
)</f>
        <v>46083</v>
      </c>
      <c r="I246" s="463" cm="1">
        <f t="array" ref="I246">IFERROR(
 IF(
   INDEX(Cartera1017[Fin Producción],ROW(A244))=0,
   "",
   INDEX(Cartera1017[Fin Producción],ROW(A244))
 ),
 ""
)</f>
        <v>46157</v>
      </c>
    </row>
    <row r="247" spans="1:9">
      <c r="A247" s="376" t="str" cm="1">
        <f t="array" ref="A247">IFERROR(
 IF(
   INDEX(Cartera1017[ID Mantenimiento],ROW(A245))=0,
   "",
   INDEX(Cartera1017[ID Mantenimiento],ROW(A245))
 ),
 ""
)</f>
        <v>2024-M0268</v>
      </c>
      <c r="B247" s="376" t="str" cm="1">
        <f t="array" ref="B247">IFERROR(INDEX(Cartera1017[Nombre del Requerimiento],ROW(A245)),"")</f>
        <v>MN:Generación de Reporte Crediticio Deudor y Anexos SBS, meses Mayo, Junio, Julio y Agosto 2024</v>
      </c>
      <c r="C247" s="376" t="str" cm="1">
        <f t="array" aca="1" ref="C247" ca="1">IFERROR(INDEX(Cartera1017[indicador de Avance],ROW(A245)),"")</f>
        <v>Sin Cronograma 🔵</v>
      </c>
      <c r="D247" s="376" t="str" cm="1">
        <f t="array" ref="D247">IFERROR(INDEX(Cartera1017[Gerencia],ROW(A245)),"")</f>
        <v>Tecnologías de Información</v>
      </c>
      <c r="E247" s="376" t="str" cm="1">
        <f t="array" ref="E247">IFERROR(INDEX(Cartera1017[Subgerencia],ROW(A245)),"")</f>
        <v>Construcción de Aplicaciones</v>
      </c>
      <c r="F247" s="376" t="str" cm="1">
        <f t="array" ref="F247">IFERROR(INDEX(Cartera1017[Sección],ROW(A245)),"")</f>
        <v>Sistemas Bancarios</v>
      </c>
      <c r="G247" s="376" t="str" cm="1">
        <f t="array" ref="G247">IFERROR(INDEX(Cartera1017[Estado TI],ROW(A245)),"")</f>
        <v>09. Descartado</v>
      </c>
      <c r="H247" s="463" cm="1">
        <f t="array" ref="H247">IFERROR(
 IF(
   INDEX(Cartera1017[Comienzo Desarrollo],ROW(A245))=0,
   "",
   INDEX(Cartera1017[Comienzo Desarrollo],ROW(A245))
 ),
 ""
)</f>
        <v>46055</v>
      </c>
      <c r="I247" s="463" cm="1">
        <f t="array" ref="I247">IFERROR(
 IF(
   INDEX(Cartera1017[Fin Producción],ROW(A245))=0,
   "",
   INDEX(Cartera1017[Fin Producción],ROW(A245))
 ),
 ""
)</f>
        <v>46167</v>
      </c>
    </row>
    <row r="248" spans="1:9">
      <c r="A248" s="376" t="str" cm="1">
        <f t="array" ref="A248">IFERROR(
 IF(
   INDEX(Cartera1017[ID Mantenimiento],ROW(A246))=0,
   "",
   INDEX(Cartera1017[ID Mantenimiento],ROW(A246))
 ),
 ""
)</f>
        <v>2026-M0167</v>
      </c>
      <c r="B248" s="376" t="str" cm="1">
        <f t="array" ref="B248">IFERROR(INDEX(Cartera1017[Nombre del Requerimiento],ROW(A246)),"")</f>
        <v>Desarrollo de Vulnerabilidades de  SARE  INTERNET</v>
      </c>
      <c r="C248" s="376" t="str" cm="1">
        <f t="array" aca="1" ref="C248" ca="1">IFERROR(INDEX(Cartera1017[indicador de Avance],ROW(A246)),"")</f>
        <v>Sin Cronograma 🔵</v>
      </c>
      <c r="D248" s="376" t="str" cm="1">
        <f t="array" ref="D248">IFERROR(INDEX(Cartera1017[Gerencia],ROW(A246)),"")</f>
        <v>Innovación y Transformación Digital</v>
      </c>
      <c r="E248" s="376" cm="1">
        <f t="array" ref="E248">IFERROR(INDEX(Cartera1017[Subgerencia],ROW(A246)),"")</f>
        <v>0</v>
      </c>
      <c r="F248" s="376" cm="1">
        <f t="array" ref="F248">IFERROR(INDEX(Cartera1017[Sección],ROW(A246)),"")</f>
        <v>0</v>
      </c>
      <c r="G248" s="376" t="str" cm="1">
        <f t="array" ref="G248">IFERROR(INDEX(Cartera1017[Estado TI],ROW(A246)),"")</f>
        <v>03. En Desarrollo</v>
      </c>
      <c r="H248" s="463" t="str" cm="1">
        <f t="array" ref="H248">IFERROR(
 IF(
   INDEX(Cartera1017[Comienzo Desarrollo],ROW(A246))=0,
   "",
   INDEX(Cartera1017[Comienzo Desarrollo],ROW(A246))
 ),
 ""
)</f>
        <v/>
      </c>
      <c r="I248" s="463" t="str" cm="1">
        <f t="array" ref="I248">IFERROR(
 IF(
   INDEX(Cartera1017[Fin Producción],ROW(A246))=0,
   "",
   INDEX(Cartera1017[Fin Producción],ROW(A246))
 ),
 ""
)</f>
        <v/>
      </c>
    </row>
    <row r="249" spans="1:9">
      <c r="A249" s="376" t="str" cm="1">
        <f t="array" ref="A249">IFERROR(
 IF(
   INDEX(Cartera1017[ID Mantenimiento],ROW(A247))=0,
   "",
   INDEX(Cartera1017[ID Mantenimiento],ROW(A247))
 ),
 ""
)</f>
        <v>2026-M0168</v>
      </c>
      <c r="B249" s="376" t="str" cm="1">
        <f t="array" ref="B249">IFERROR(INDEX(Cartera1017[Nombre del Requerimiento],ROW(A247)),"")</f>
        <v>Agregar especificaciones normativas en el SARE y actualizaciones  (Libro de Reclamaciones)</v>
      </c>
      <c r="C249" s="376" t="str" cm="1">
        <f t="array" aca="1" ref="C249" ca="1">IFERROR(INDEX(Cartera1017[indicador de Avance],ROW(A247)),"")</f>
        <v>Sin Cronograma 🔵</v>
      </c>
      <c r="D249" s="376" t="str" cm="1">
        <f t="array" ref="D249">IFERROR(INDEX(Cartera1017[Gerencia],ROW(A247)),"")</f>
        <v>Innovación y Transformación Digital</v>
      </c>
      <c r="E249" s="376" cm="1">
        <f t="array" ref="E249">IFERROR(INDEX(Cartera1017[Subgerencia],ROW(A247)),"")</f>
        <v>0</v>
      </c>
      <c r="F249" s="376" cm="1">
        <f t="array" ref="F249">IFERROR(INDEX(Cartera1017[Sección],ROW(A247)),"")</f>
        <v>0</v>
      </c>
      <c r="G249" s="376" t="str" cm="1">
        <f t="array" ref="G249">IFERROR(INDEX(Cartera1017[Estado TI],ROW(A247)),"")</f>
        <v>03. En Desarrollo</v>
      </c>
      <c r="H249" s="463" t="str" cm="1">
        <f t="array" ref="H249">IFERROR(
 IF(
   INDEX(Cartera1017[Comienzo Desarrollo],ROW(A247))=0,
   "",
   INDEX(Cartera1017[Comienzo Desarrollo],ROW(A247))
 ),
 ""
)</f>
        <v/>
      </c>
      <c r="I249" s="463" t="str" cm="1">
        <f t="array" ref="I249">IFERROR(
 IF(
   INDEX(Cartera1017[Fin Producción],ROW(A247))=0,
   "",
   INDEX(Cartera1017[Fin Producción],ROW(A247))
 ),
 ""
)</f>
        <v/>
      </c>
    </row>
    <row r="250" spans="1:9">
      <c r="A250" s="376" t="str" cm="1">
        <f t="array" ref="A250">IFERROR(
 IF(
   INDEX(Cartera1017[ID Mantenimiento],ROW(A248))=0,
   "",
   INDEX(Cartera1017[ID Mantenimiento],ROW(A248))
 ),
 ""
)</f>
        <v>2026-M0165</v>
      </c>
      <c r="B250" s="376" t="str" cm="1">
        <f t="array" ref="B250">IFERROR(INDEX(Cartera1017[Nombre del Requerimiento],ROW(A248)),"")</f>
        <v>Mensajería Swift MT940 y MT950</v>
      </c>
      <c r="C250" s="376" t="str" cm="1">
        <f t="array" aca="1" ref="C250" ca="1">IFERROR(INDEX(Cartera1017[indicador de Avance],ROW(A248)),"")</f>
        <v>Sin Cronograma 🔵</v>
      </c>
      <c r="D250" s="376" t="str" cm="1">
        <f t="array" ref="D250">IFERROR(INDEX(Cartera1017[Gerencia],ROW(A248)),"")</f>
        <v>Operaciones</v>
      </c>
      <c r="E250" s="376" t="str" cm="1">
        <f t="array" ref="E250">IFERROR(INDEX(Cartera1017[Subgerencia],ROW(A248)),"")</f>
        <v>Caja y Valores</v>
      </c>
      <c r="F250" s="376" t="str" cm="1">
        <f t="array" ref="F250">IFERROR(INDEX(Cartera1017[Sección],ROW(A248)),"")</f>
        <v>Soporte Mesa de Dinero</v>
      </c>
      <c r="G250" s="376" t="str" cm="1">
        <f t="array" ref="G250">IFERROR(INDEX(Cartera1017[Estado TI],ROW(A248)),"")</f>
        <v>05. En Calidad</v>
      </c>
      <c r="H250" s="463" t="str" cm="1">
        <f t="array" ref="H250">IFERROR(
 IF(
   INDEX(Cartera1017[Comienzo Desarrollo],ROW(A248))=0,
   "",
   INDEX(Cartera1017[Comienzo Desarrollo],ROW(A248))
 ),
 ""
)</f>
        <v/>
      </c>
      <c r="I250" s="463" t="str" cm="1">
        <f t="array" ref="I250">IFERROR(
 IF(
   INDEX(Cartera1017[Fin Producción],ROW(A248))=0,
   "",
   INDEX(Cartera1017[Fin Producción],ROW(A248))
 ),
 ""
)</f>
        <v/>
      </c>
    </row>
    <row r="251" spans="1:9">
      <c r="A251" s="376" t="str" cm="1">
        <f t="array" ref="A251">IFERROR(
 IF(
   INDEX(Cartera1017[ID Mantenimiento],ROW(A249))=0,
   "",
   INDEX(Cartera1017[ID Mantenimiento],ROW(A249))
 ),
 ""
)</f>
        <v/>
      </c>
      <c r="B251" s="376" t="str" cm="1">
        <f t="array" ref="B251">IFERROR(INDEX(Cartera1017[Nombre del Requerimiento],ROW(A249)),"")</f>
        <v>DNI (ANVERSO Y REVERSO) EN APLICATIVO FACTORING BN</v>
      </c>
      <c r="C251" s="376" t="str" cm="1">
        <f t="array" aca="1" ref="C251" ca="1">IFERROR(INDEX(Cartera1017[indicador de Avance],ROW(A249)),"")</f>
        <v>Sin Cronograma 🔵</v>
      </c>
      <c r="D251" s="376" t="str" cm="1">
        <f t="array" ref="D251">IFERROR(INDEX(Cartera1017[Gerencia],ROW(A249)),"")</f>
        <v>Productos e Inclusión Financiera</v>
      </c>
      <c r="E251" s="376" t="str" cm="1">
        <f t="array" ref="E251">IFERROR(INDEX(Cartera1017[Subgerencia],ROW(A249)),"")</f>
        <v>Desarrollo Comercial y Proyectos</v>
      </c>
      <c r="F251" s="376" cm="1">
        <f t="array" ref="F251">IFERROR(INDEX(Cartera1017[Sección],ROW(A249)),"")</f>
        <v>0</v>
      </c>
      <c r="G251" s="376" t="str" cm="1">
        <f t="array" ref="G251">IFERROR(INDEX(Cartera1017[Estado TI],ROW(A249)),"")</f>
        <v>02. En Planificación</v>
      </c>
      <c r="H251" s="463" t="str" cm="1">
        <f t="array" ref="H251">IFERROR(
 IF(
   INDEX(Cartera1017[Comienzo Desarrollo],ROW(A249))=0,
   "",
   INDEX(Cartera1017[Comienzo Desarrollo],ROW(A249))
 ),
 ""
)</f>
        <v/>
      </c>
      <c r="I251" s="463" t="str" cm="1">
        <f t="array" ref="I251">IFERROR(
 IF(
   INDEX(Cartera1017[Fin Producción],ROW(A249))=0,
   "",
   INDEX(Cartera1017[Fin Producción],ROW(A249))
 ),
 ""
)</f>
        <v/>
      </c>
    </row>
    <row r="252" spans="1:9">
      <c r="A252" s="376" t="str" cm="1">
        <f t="array" ref="A252">IFERROR(
 IF(
   INDEX(Cartera1017[ID Mantenimiento],ROW(A250))=0,
   "",
   INDEX(Cartera1017[ID Mantenimiento],ROW(A250))
 ),
 ""
)</f>
        <v>2026-M0011</v>
      </c>
      <c r="B252" s="376" t="str" cm="1">
        <f t="array" ref="B252">IFERROR(INDEX(Cartera1017[Nombre del Requerimiento],ROW(A250)),"")</f>
        <v>ANEXO_2_IN_PROCESOBATCH</v>
      </c>
      <c r="C252" s="376" t="str" cm="1">
        <f t="array" aca="1" ref="C252" ca="1">IFERROR(INDEX(Cartera1017[indicador de Avance],ROW(A250)),"")</f>
        <v>Sin Cronograma 🔵</v>
      </c>
      <c r="D252" s="376" t="str" cm="1">
        <f t="array" ref="D252">IFERROR(INDEX(Cartera1017[Gerencia],ROW(A250)),"")</f>
        <v>Tecnologías de Información</v>
      </c>
      <c r="E252" s="376" t="str" cm="1">
        <f t="array" ref="E252">IFERROR(INDEX(Cartera1017[Subgerencia],ROW(A250)),"")</f>
        <v>Construcción de Aplicaciones</v>
      </c>
      <c r="F252" s="376" t="str" cm="1">
        <f t="array" ref="F252">IFERROR(INDEX(Cartera1017[Sección],ROW(A250)),"")</f>
        <v>Soluciones Digitales</v>
      </c>
      <c r="G252" s="376" t="str" cm="1">
        <f t="array" ref="G252">IFERROR(INDEX(Cartera1017[Estado TI],ROW(A250)),"")</f>
        <v>05. En Calidad</v>
      </c>
      <c r="H252" s="463" t="str" cm="1">
        <f t="array" ref="H252">IFERROR(
 IF(
   INDEX(Cartera1017[Comienzo Desarrollo],ROW(A250))=0,
   "",
   INDEX(Cartera1017[Comienzo Desarrollo],ROW(A250))
 ),
 ""
)</f>
        <v/>
      </c>
      <c r="I252" s="463" t="str" cm="1">
        <f t="array" ref="I252">IFERROR(
 IF(
   INDEX(Cartera1017[Fin Producción],ROW(A250))=0,
   "",
   INDEX(Cartera1017[Fin Producción],ROW(A250))
 ),
 ""
)</f>
        <v/>
      </c>
    </row>
    <row r="253" spans="1:9">
      <c r="A253" s="376" t="str" cm="1">
        <f t="array" ref="A253">IFERROR(
 IF(
   INDEX(Cartera1017[ID Mantenimiento],ROW(A251))=0,
   "",
   INDEX(Cartera1017[ID Mantenimiento],ROW(A251))
 ),
 ""
)</f>
        <v>2026-M0052</v>
      </c>
      <c r="B253" s="376" t="str" cm="1">
        <f t="array" ref="B253">IFERROR(INDEX(Cartera1017[Nombre del Requerimiento],ROW(A251)),"")</f>
        <v>ME: IMPLEMENTACIÓN DE NUEVA ESCALA SALARIAL EN LOS SISTEMAS DE RECURSOS HUMANOS - ENTORNO HOST - ADP</v>
      </c>
      <c r="C253" s="376" t="str" cm="1">
        <f t="array" aca="1" ref="C253" ca="1">IFERROR(INDEX(Cartera1017[indicador de Avance],ROW(A251)),"")</f>
        <v>IMPLEMENTADO 🔵</v>
      </c>
      <c r="D253" s="376" t="str" cm="1">
        <f t="array" ref="D253">IFERROR(INDEX(Cartera1017[Gerencia],ROW(A251)),"")</f>
        <v>Recursos Humanos y Cultura</v>
      </c>
      <c r="E253" s="376" t="str" cm="1">
        <f t="array" ref="E253">IFERROR(INDEX(Cartera1017[Subgerencia],ROW(A251)),"")</f>
        <v>Administración de Personal</v>
      </c>
      <c r="F253" s="376" t="str" cm="1">
        <f t="array" ref="F253">IFERROR(INDEX(Cartera1017[Sección],ROW(A251)),"")</f>
        <v>Registro de Personal</v>
      </c>
      <c r="G253" s="376" t="str" cm="1">
        <f t="array" ref="G253">IFERROR(INDEX(Cartera1017[Estado TI],ROW(A251)),"")</f>
        <v>08. Producción Finalizada</v>
      </c>
      <c r="H253" s="463" t="str" cm="1">
        <f t="array" ref="H253">IFERROR(
 IF(
   INDEX(Cartera1017[Comienzo Desarrollo],ROW(A251))=0,
   "",
   INDEX(Cartera1017[Comienzo Desarrollo],ROW(A251))
 ),
 ""
)</f>
        <v/>
      </c>
      <c r="I253" s="463" t="str" cm="1">
        <f t="array" ref="I253">IFERROR(
 IF(
   INDEX(Cartera1017[Fin Producción],ROW(A251))=0,
   "",
   INDEX(Cartera1017[Fin Producción],ROW(A251))
 ),
 ""
)</f>
        <v/>
      </c>
    </row>
    <row r="254" spans="1:9">
      <c r="A254" s="376" t="str" cm="1">
        <f t="array" ref="A254">IFERROR(
 IF(
   INDEX(Cartera1017[ID Mantenimiento],ROW(A252))=0,
   "",
   INDEX(Cartera1017[ID Mantenimiento],ROW(A252))
 ),
 ""
)</f>
        <v>2026-M0072</v>
      </c>
      <c r="B254" s="376" t="str" cm="1">
        <f t="array" ref="B254">IFERROR(INDEX(Cartera1017[Nombre del Requerimiento],ROW(A252)),"")</f>
        <v>ME: CONTROLES PARA EL PROCESO DE COBRANZA AUTOMÁTICA DE PRÉSTAMO MULTIRED - AHORROS</v>
      </c>
      <c r="C254" s="376" t="str" cm="1">
        <f t="array" aca="1" ref="C254" ca="1">IFERROR(INDEX(Cartera1017[indicador de Avance],ROW(A252)),"")</f>
        <v>Sin Cronograma 🔵</v>
      </c>
      <c r="D254" s="376" t="str" cm="1">
        <f t="array" ref="D254">IFERROR(INDEX(Cartera1017[Gerencia],ROW(A252)),"")</f>
        <v>Productos e Inclusión Financiera</v>
      </c>
      <c r="E254" s="376" t="str" cm="1">
        <f t="array" ref="E254">IFERROR(INDEX(Cartera1017[Subgerencia],ROW(A252)),"")</f>
        <v>Banca Personal</v>
      </c>
      <c r="F254" s="376" t="str" cm="1">
        <f t="array" ref="F254">IFERROR(INDEX(Cartera1017[Sección],ROW(A252)),"")</f>
        <v>Préstamo Multired</v>
      </c>
      <c r="G254" s="376" t="str" cm="1">
        <f t="array" ref="G254">IFERROR(INDEX(Cartera1017[Estado TI],ROW(A252)),"")</f>
        <v>03. En Desarrollo</v>
      </c>
      <c r="H254" s="463" t="str" cm="1">
        <f t="array" ref="H254">IFERROR(
 IF(
   INDEX(Cartera1017[Comienzo Desarrollo],ROW(A252))=0,
   "",
   INDEX(Cartera1017[Comienzo Desarrollo],ROW(A252))
 ),
 ""
)</f>
        <v/>
      </c>
      <c r="I254" s="463" t="str" cm="1">
        <f t="array" ref="I254">IFERROR(
 IF(
   INDEX(Cartera1017[Fin Producción],ROW(A252))=0,
   "",
   INDEX(Cartera1017[Fin Producción],ROW(A252))
 ),
 ""
)</f>
        <v/>
      </c>
    </row>
    <row r="255" spans="1:9">
      <c r="A255" s="376" t="str" cm="1">
        <f t="array" ref="A255">IFERROR(
 IF(
   INDEX(Cartera1017[ID Mantenimiento],ROW(A253))=0,
   "",
   INDEX(Cartera1017[ID Mantenimiento],ROW(A253))
 ),
 ""
)</f>
        <v>2025-M0755</v>
      </c>
      <c r="B255" s="376" t="str" cm="1">
        <f t="array" ref="B255">IFERROR(INDEX(Cartera1017[Nombre del Requerimiento],ROW(A253)),"")</f>
        <v>SOPORTE PARA LA INTEGRACION DE LOS CAJEROS MULTIFUNCIONALES Y REPORTES DE CONCILIACION VISA</v>
      </c>
      <c r="C255" s="376" t="str" cm="1">
        <f t="array" aca="1" ref="C255" ca="1">IFERROR(INDEX(Cartera1017[indicador de Avance],ROW(A253)),"")</f>
        <v>Sin Cronograma 🔵</v>
      </c>
      <c r="D255" s="376" t="str" cm="1">
        <f t="array" ref="D255">IFERROR(INDEX(Cartera1017[Gerencia],ROW(A253)),"")</f>
        <v>Tecnologías de Información</v>
      </c>
      <c r="E255" s="376" t="str" cm="1">
        <f t="array" ref="E255">IFERROR(INDEX(Cartera1017[Subgerencia],ROW(A253)),"")</f>
        <v>Construcción de Aplicaciones</v>
      </c>
      <c r="F255" s="376" t="str" cm="1">
        <f t="array" ref="F255">IFERROR(INDEX(Cartera1017[Sección],ROW(A253)),"")</f>
        <v>Sistemas Bancarios</v>
      </c>
      <c r="G255" s="376" t="str" cm="1">
        <f t="array" ref="G255">IFERROR(INDEX(Cartera1017[Estado TI],ROW(A253)),"")</f>
        <v>03. En Desarrollo</v>
      </c>
      <c r="H255" s="463" t="str" cm="1">
        <f t="array" ref="H255">IFERROR(
 IF(
   INDEX(Cartera1017[Comienzo Desarrollo],ROW(A253))=0,
   "",
   INDEX(Cartera1017[Comienzo Desarrollo],ROW(A253))
 ),
 ""
)</f>
        <v/>
      </c>
      <c r="I255" s="463" t="str" cm="1">
        <f t="array" ref="I255">IFERROR(
 IF(
   INDEX(Cartera1017[Fin Producción],ROW(A253))=0,
   "",
   INDEX(Cartera1017[Fin Producción],ROW(A253))
 ),
 ""
)</f>
        <v/>
      </c>
    </row>
    <row r="256" spans="1:9">
      <c r="A256" s="376" t="str" cm="1">
        <f t="array" ref="A256">IFERROR(
 IF(
   INDEX(Cartera1017[ID Mantenimiento],ROW(A254))=0,
   "",
   INDEX(Cartera1017[ID Mantenimiento],ROW(A254))
 ),
 ""
)</f>
        <v>2026-M0054</v>
      </c>
      <c r="B256" s="376" t="str" cm="1">
        <f t="array" ref="B256">IFERROR(INDEX(Cartera1017[Nombre del Requerimiento],ROW(A254)),"")</f>
        <v>MODIFICAR EL MODULO DE ORACLE RH PARA PERMITIR LA CONVIVENCIA DE MOVIMIENTOS HORIZONTALES DE ADPS EN EL FORMATO ANTERIOR DE CARGO, CATEGORIA Y LOS MOVIMIENTOS HORIZONTALES DE ADPS EN EL FORMATO ACTUAL</v>
      </c>
      <c r="C256" s="376" t="str" cm="1">
        <f t="array" aca="1" ref="C256" ca="1">IFERROR(INDEX(Cartera1017[indicador de Avance],ROW(A254)),"")</f>
        <v>IMPLEMENTADO 🔵</v>
      </c>
      <c r="D256" s="376" t="str" cm="1">
        <f t="array" ref="D256">IFERROR(INDEX(Cartera1017[Gerencia],ROW(A254)),"")</f>
        <v>Recursos Humanos y Cultura</v>
      </c>
      <c r="E256" s="376" t="str" cm="1">
        <f t="array" ref="E256">IFERROR(INDEX(Cartera1017[Subgerencia],ROW(A254)),"")</f>
        <v>Administración de Personal</v>
      </c>
      <c r="F256" s="376" cm="1">
        <f t="array" ref="F256">IFERROR(INDEX(Cartera1017[Sección],ROW(A254)),"")</f>
        <v>0</v>
      </c>
      <c r="G256" s="376" t="str" cm="1">
        <f t="array" ref="G256">IFERROR(INDEX(Cartera1017[Estado TI],ROW(A254)),"")</f>
        <v>08. Producción Finalizada</v>
      </c>
      <c r="H256" s="463" t="str" cm="1">
        <f t="array" ref="H256">IFERROR(
 IF(
   INDEX(Cartera1017[Comienzo Desarrollo],ROW(A254))=0,
   "",
   INDEX(Cartera1017[Comienzo Desarrollo],ROW(A254))
 ),
 ""
)</f>
        <v/>
      </c>
      <c r="I256" s="463" t="str" cm="1">
        <f t="array" ref="I256">IFERROR(
 IF(
   INDEX(Cartera1017[Fin Producción],ROW(A254))=0,
   "",
   INDEX(Cartera1017[Fin Producción],ROW(A254))
 ),
 ""
)</f>
        <v/>
      </c>
    </row>
    <row r="257" spans="1:9">
      <c r="A257" s="376" t="str" cm="1">
        <f t="array" ref="A257">IFERROR(
 IF(
   INDEX(Cartera1017[ID Mantenimiento],ROW(A255))=0,
   "",
   INDEX(Cartera1017[ID Mantenimiento],ROW(A255))
 ),
 ""
)</f>
        <v>2025-M0756</v>
      </c>
      <c r="B257" s="376" t="str" cm="1">
        <f t="array" ref="B257">IFERROR(INDEX(Cartera1017[Nombre del Requerimiento],ROW(A255)),"")</f>
        <v>PROYECTO APERTURA DE CUENTAS DE PARTIDOS POLITICOS</v>
      </c>
      <c r="C257" s="376" t="str" cm="1">
        <f t="array" aca="1" ref="C257" ca="1">IFERROR(INDEX(Cartera1017[indicador de Avance],ROW(A255)),"")</f>
        <v>Sin Cronograma 🔵</v>
      </c>
      <c r="D257" s="376" t="str" cm="1">
        <f t="array" ref="D257">IFERROR(INDEX(Cartera1017[Gerencia],ROW(A255)),"")</f>
        <v>Tecnologías de Información</v>
      </c>
      <c r="E257" s="376" t="str" cm="1">
        <f t="array" ref="E257">IFERROR(INDEX(Cartera1017[Subgerencia],ROW(A255)),"")</f>
        <v>Construcción de Aplicaciones</v>
      </c>
      <c r="F257" s="376" t="str" cm="1">
        <f t="array" ref="F257">IFERROR(INDEX(Cartera1017[Sección],ROW(A255)),"")</f>
        <v>Sistemas Bancarios</v>
      </c>
      <c r="G257" s="376" t="str" cm="1">
        <f t="array" ref="G257">IFERROR(INDEX(Cartera1017[Estado TI],ROW(A255)),"")</f>
        <v>03. En Desarrollo</v>
      </c>
      <c r="H257" s="463" t="str" cm="1">
        <f t="array" ref="H257">IFERROR(
 IF(
   INDEX(Cartera1017[Comienzo Desarrollo],ROW(A255))=0,
   "",
   INDEX(Cartera1017[Comienzo Desarrollo],ROW(A255))
 ),
 ""
)</f>
        <v/>
      </c>
      <c r="I257" s="463" t="str" cm="1">
        <f t="array" ref="I257">IFERROR(
 IF(
   INDEX(Cartera1017[Fin Producción],ROW(A255))=0,
   "",
   INDEX(Cartera1017[Fin Producción],ROW(A255))
 ),
 ""
)</f>
        <v/>
      </c>
    </row>
    <row r="258" spans="1:9">
      <c r="A258" s="376" t="str" cm="1">
        <f t="array" ref="A258">IFERROR(
 IF(
   INDEX(Cartera1017[ID Mantenimiento],ROW(A256))=0,
   "",
   INDEX(Cartera1017[ID Mantenimiento],ROW(A256))
 ),
 ""
)</f>
        <v>2025-M0760</v>
      </c>
      <c r="B258" s="376" t="str" cm="1">
        <f t="array" ref="B258">IFERROR(INDEX(Cartera1017[Nombre del Requerimiento],ROW(A256)),"")</f>
        <v>ME:  LEVANTAR VULNERABILIDADES OWASP  LOS TICKET DE ATENCION 2024-M0252 Y 2025-M0535</v>
      </c>
      <c r="C258" s="376" t="str" cm="1">
        <f t="array" aca="1" ref="C258" ca="1">IFERROR(INDEX(Cartera1017[indicador de Avance],ROW(A256)),"")</f>
        <v>Sin Cronograma 🔵</v>
      </c>
      <c r="D258" s="376" t="str" cm="1">
        <f t="array" ref="D258">IFERROR(INDEX(Cartera1017[Gerencia],ROW(A256)),"")</f>
        <v>Tecnologías de Información</v>
      </c>
      <c r="E258" s="376" t="str" cm="1">
        <f t="array" ref="E258">IFERROR(INDEX(Cartera1017[Subgerencia],ROW(A256)),"")</f>
        <v>Construcción de Aplicaciones</v>
      </c>
      <c r="F258" s="376" t="str" cm="1">
        <f t="array" ref="F258">IFERROR(INDEX(Cartera1017[Sección],ROW(A256)),"")</f>
        <v>Sistemas Administrativos</v>
      </c>
      <c r="G258" s="376" t="str" cm="1">
        <f t="array" ref="G258">IFERROR(INDEX(Cartera1017[Estado TI],ROW(A256)),"")</f>
        <v>02. En Planificación</v>
      </c>
      <c r="H258" s="463" t="str" cm="1">
        <f t="array" ref="H258">IFERROR(
 IF(
   INDEX(Cartera1017[Comienzo Desarrollo],ROW(A256))=0,
   "",
   INDEX(Cartera1017[Comienzo Desarrollo],ROW(A256))
 ),
 ""
)</f>
        <v/>
      </c>
      <c r="I258" s="463" t="str" cm="1">
        <f t="array" ref="I258">IFERROR(
 IF(
   INDEX(Cartera1017[Fin Producción],ROW(A256))=0,
   "",
   INDEX(Cartera1017[Fin Producción],ROW(A256))
 ),
 ""
)</f>
        <v/>
      </c>
    </row>
    <row r="259" spans="1:9">
      <c r="A259" s="376" t="str" cm="1">
        <f t="array" ref="A259">IFERROR(
 IF(
   INDEX(Cartera1017[ID Mantenimiento],ROW(A257))=0,
   "",
   INDEX(Cartera1017[ID Mantenimiento],ROW(A257))
 ),
 ""
)</f>
        <v>2025-M0753</v>
      </c>
      <c r="B259" s="376" t="str" cm="1">
        <f t="array" ref="B259">IFERROR(INDEX(Cartera1017[Nombre del Requerimiento],ROW(A257)),"")</f>
        <v>MEJORA EN LOS PROCESOS MENSUALES- NO INCLUIR COMPROBANTES CONTABLES DE FIN DE MES LA INFORMACION DE LAS CUENTAS DE  TC. CASTIGADAS</v>
      </c>
      <c r="C259" s="376" t="str" cm="1">
        <f t="array" aca="1" ref="C259" ca="1">IFERROR(INDEX(Cartera1017[indicador de Avance],ROW(A257)),"")</f>
        <v>Sin Cronograma 🔵</v>
      </c>
      <c r="D259" s="376" t="str" cm="1">
        <f t="array" ref="D259">IFERROR(INDEX(Cartera1017[Gerencia],ROW(A257)),"")</f>
        <v>Productos e Inclusión Financiera</v>
      </c>
      <c r="E259" s="376" t="str" cm="1">
        <f t="array" ref="E259">IFERROR(INDEX(Cartera1017[Subgerencia],ROW(A257)),"")</f>
        <v>Banca Personal</v>
      </c>
      <c r="F259" s="376" t="str" cm="1">
        <f t="array" ref="F259">IFERROR(INDEX(Cartera1017[Sección],ROW(A257)),"")</f>
        <v>Tarjeta de Crédito</v>
      </c>
      <c r="G259" s="376" t="str" cm="1">
        <f t="array" ref="G259">IFERROR(INDEX(Cartera1017[Estado TI],ROW(A257)),"")</f>
        <v>05. En Calidad</v>
      </c>
      <c r="H259" s="463" t="str" cm="1">
        <f t="array" ref="H259">IFERROR(
 IF(
   INDEX(Cartera1017[Comienzo Desarrollo],ROW(A257))=0,
   "",
   INDEX(Cartera1017[Comienzo Desarrollo],ROW(A257))
 ),
 ""
)</f>
        <v/>
      </c>
      <c r="I259" s="463" t="str" cm="1">
        <f t="array" ref="I259">IFERROR(
 IF(
   INDEX(Cartera1017[Fin Producción],ROW(A257))=0,
   "",
   INDEX(Cartera1017[Fin Producción],ROW(A257))
 ),
 ""
)</f>
        <v/>
      </c>
    </row>
    <row r="260" spans="1:9">
      <c r="A260" s="376" t="str" cm="1">
        <f t="array" ref="A260">IFERROR(
 IF(
   INDEX(Cartera1017[ID Mantenimiento],ROW(A258))=0,
   "",
   INDEX(Cartera1017[ID Mantenimiento],ROW(A258))
 ),
 ""
)</f>
        <v>2026-M0057</v>
      </c>
      <c r="B260" s="376" t="str" cm="1">
        <f t="array" ref="B260">IFERROR(INDEX(Cartera1017[Nombre del Requerimiento],ROW(A258)),"")</f>
        <v>MC:TABULACIÓN DEL RCD</v>
      </c>
      <c r="C260" s="376" t="str" cm="1">
        <f t="array" aca="1" ref="C260" ca="1">IFERROR(INDEX(Cartera1017[indicador de Avance],ROW(A258)),"")</f>
        <v>IMPLEMENTADO 🔵</v>
      </c>
      <c r="D260" s="376" t="str" cm="1">
        <f t="array" ref="D260">IFERROR(INDEX(Cartera1017[Gerencia],ROW(A258)),"")</f>
        <v>Riesgos</v>
      </c>
      <c r="E260" s="376" t="str" cm="1">
        <f t="array" ref="E260">IFERROR(INDEX(Cartera1017[Subgerencia],ROW(A258)),"")</f>
        <v>Riesgos Crediticios y Financieros</v>
      </c>
      <c r="F260" s="376" t="str" cm="1">
        <f t="array" ref="F260">IFERROR(INDEX(Cartera1017[Sección],ROW(A258)),"")</f>
        <v>Evaluación de Cartera de Créditos</v>
      </c>
      <c r="G260" s="376" t="str" cm="1">
        <f t="array" ref="G260">IFERROR(INDEX(Cartera1017[Estado TI],ROW(A258)),"")</f>
        <v>08. Producción Finalizada</v>
      </c>
      <c r="H260" s="463" t="str" cm="1">
        <f t="array" ref="H260">IFERROR(
 IF(
   INDEX(Cartera1017[Comienzo Desarrollo],ROW(A258))=0,
   "",
   INDEX(Cartera1017[Comienzo Desarrollo],ROW(A258))
 ),
 ""
)</f>
        <v/>
      </c>
      <c r="I260" s="463" t="str" cm="1">
        <f t="array" ref="I260">IFERROR(
 IF(
   INDEX(Cartera1017[Fin Producción],ROW(A258))=0,
   "",
   INDEX(Cartera1017[Fin Producción],ROW(A258))
 ),
 ""
)</f>
        <v/>
      </c>
    </row>
    <row r="261" spans="1:9">
      <c r="A261" s="376" t="str" cm="1">
        <f t="array" ref="A261">IFERROR(
 IF(
   INDEX(Cartera1017[ID Mantenimiento],ROW(A259))=0,
   "",
   INDEX(Cartera1017[ID Mantenimiento],ROW(A259))
 ),
 ""
)</f>
        <v>2025-M0746</v>
      </c>
      <c r="B261" s="376" t="str" cm="1">
        <f t="array" ref="B261">IFERROR(INDEX(Cartera1017[Nombre del Requerimiento],ROW(A259)),"")</f>
        <v>EL PODER JUDICIAL NECESITA ACTUALIZAR SU TUPA PARA EL PERIODO 2025 DEBIENDO CAMBIAR LA GLOSA DE LOS CONCEPTOS Y LOS IMPORTES.</v>
      </c>
      <c r="C261" s="376" t="str" cm="1">
        <f t="array" aca="1" ref="C261" ca="1">IFERROR(INDEX(Cartera1017[indicador de Avance],ROW(A259)),"")</f>
        <v>IMPLEMENTADO 🔵</v>
      </c>
      <c r="D261" s="376" t="str" cm="1">
        <f t="array" ref="D261">IFERROR(INDEX(Cartera1017[Gerencia],ROW(A259)),"")</f>
        <v>Operaciones</v>
      </c>
      <c r="E261" s="376" t="str" cm="1">
        <f t="array" ref="E261">IFERROR(INDEX(Cartera1017[Subgerencia],ROW(A259)),"")</f>
        <v>Servicios Bancarios y Recaudación</v>
      </c>
      <c r="F261" s="376" t="str" cm="1">
        <f t="array" ref="F261">IFERROR(INDEX(Cartera1017[Sección],ROW(A259)),"")</f>
        <v>Recaudación y Corresponsalía</v>
      </c>
      <c r="G261" s="376" t="str" cm="1">
        <f t="array" ref="G261">IFERROR(INDEX(Cartera1017[Estado TI],ROW(A259)),"")</f>
        <v>08. Producción Finalizada</v>
      </c>
      <c r="H261" s="463" t="str" cm="1">
        <f t="array" ref="H261">IFERROR(
 IF(
   INDEX(Cartera1017[Comienzo Desarrollo],ROW(A259))=0,
   "",
   INDEX(Cartera1017[Comienzo Desarrollo],ROW(A259))
 ),
 ""
)</f>
        <v/>
      </c>
      <c r="I261" s="463" t="str" cm="1">
        <f t="array" ref="I261">IFERROR(
 IF(
   INDEX(Cartera1017[Fin Producción],ROW(A259))=0,
   "",
   INDEX(Cartera1017[Fin Producción],ROW(A259))
 ),
 ""
)</f>
        <v/>
      </c>
    </row>
    <row r="262" spans="1:9">
      <c r="A262" s="376" t="str" cm="1">
        <f t="array" ref="A262">IFERROR(
 IF(
   INDEX(Cartera1017[ID Mantenimiento],ROW(A260))=0,
   "",
   INDEX(Cartera1017[ID Mantenimiento],ROW(A260))
 ),
 ""
)</f>
        <v>2025-M0754</v>
      </c>
      <c r="B262" s="376" t="str" cm="1">
        <f t="array" ref="B262">IFERROR(INDEX(Cartera1017[Nombre del Requerimiento],ROW(A260)),"")</f>
        <v>SOPORTE PARA LA ATENCION DE INCIDENCIAS VISA Y CAMBIOS MANDATARIOS</v>
      </c>
      <c r="C262" s="376" t="str" cm="1">
        <f t="array" aca="1" ref="C262" ca="1">IFERROR(INDEX(Cartera1017[indicador de Avance],ROW(A260)),"")</f>
        <v>Sin Cronograma 🔵</v>
      </c>
      <c r="D262" s="376" t="str" cm="1">
        <f t="array" ref="D262">IFERROR(INDEX(Cartera1017[Gerencia],ROW(A260)),"")</f>
        <v>Tecnologías de Información</v>
      </c>
      <c r="E262" s="376" t="str" cm="1">
        <f t="array" ref="E262">IFERROR(INDEX(Cartera1017[Subgerencia],ROW(A260)),"")</f>
        <v>Construcción de Aplicaciones</v>
      </c>
      <c r="F262" s="376" t="str" cm="1">
        <f t="array" ref="F262">IFERROR(INDEX(Cartera1017[Sección],ROW(A260)),"")</f>
        <v>Sistemas Bancarios</v>
      </c>
      <c r="G262" s="376" t="str" cm="1">
        <f t="array" ref="G262">IFERROR(INDEX(Cartera1017[Estado TI],ROW(A260)),"")</f>
        <v>03. En Desarrollo</v>
      </c>
      <c r="H262" s="463" t="str" cm="1">
        <f t="array" ref="H262">IFERROR(
 IF(
   INDEX(Cartera1017[Comienzo Desarrollo],ROW(A260))=0,
   "",
   INDEX(Cartera1017[Comienzo Desarrollo],ROW(A260))
 ),
 ""
)</f>
        <v/>
      </c>
      <c r="I262" s="463" t="str" cm="1">
        <f t="array" ref="I262">IFERROR(
 IF(
   INDEX(Cartera1017[Fin Producción],ROW(A260))=0,
   "",
   INDEX(Cartera1017[Fin Producción],ROW(A260))
 ),
 ""
)</f>
        <v/>
      </c>
    </row>
    <row r="263" spans="1:9">
      <c r="A263" s="376" t="str" cm="1">
        <f t="array" ref="A263">IFERROR(
 IF(
   INDEX(Cartera1017[ID Mantenimiento],ROW(A261))=0,
   "",
   INDEX(Cartera1017[ID Mantenimiento],ROW(A261))
 ),
 ""
)</f>
        <v>2025-M0744</v>
      </c>
      <c r="B263" s="376" t="str" cm="1">
        <f t="array" ref="B263">IFERROR(INDEX(Cartera1017[Nombre del Requerimiento],ROW(A261)),"")</f>
        <v>ACTUALIZACION DE COMPONENTES DE LLAVE ZEK TARJETA TESORO</v>
      </c>
      <c r="C263" s="376" t="str" cm="1">
        <f t="array" aca="1" ref="C263" ca="1">IFERROR(INDEX(Cartera1017[indicador de Avance],ROW(A261)),"")</f>
        <v>Sin Cronograma 🔵</v>
      </c>
      <c r="D263" s="376" t="str" cm="1">
        <f t="array" ref="D263">IFERROR(INDEX(Cartera1017[Gerencia],ROW(A261)),"")</f>
        <v>Productos e Inclusión Financiera</v>
      </c>
      <c r="E263" s="376" t="str" cm="1">
        <f t="array" ref="E263">IFERROR(INDEX(Cartera1017[Subgerencia],ROW(A261)),"")</f>
        <v>Banca Personal</v>
      </c>
      <c r="F263" s="376" t="str" cm="1">
        <f t="array" ref="F263">IFERROR(INDEX(Cartera1017[Sección],ROW(A261)),"")</f>
        <v>Tarjeta de Crédito</v>
      </c>
      <c r="G263" s="376" t="str" cm="1">
        <f t="array" ref="G263">IFERROR(INDEX(Cartera1017[Estado TI],ROW(A261)),"")</f>
        <v>03. En Desarrollo</v>
      </c>
      <c r="H263" s="463" t="str" cm="1">
        <f t="array" ref="H263">IFERROR(
 IF(
   INDEX(Cartera1017[Comienzo Desarrollo],ROW(A261))=0,
   "",
   INDEX(Cartera1017[Comienzo Desarrollo],ROW(A261))
 ),
 ""
)</f>
        <v/>
      </c>
      <c r="I263" s="463" t="str" cm="1">
        <f t="array" ref="I263">IFERROR(
 IF(
   INDEX(Cartera1017[Fin Producción],ROW(A261))=0,
   "",
   INDEX(Cartera1017[Fin Producción],ROW(A261))
 ),
 ""
)</f>
        <v/>
      </c>
    </row>
    <row r="264" spans="1:9">
      <c r="A264" s="376" t="str" cm="1">
        <f t="array" ref="A264">IFERROR(
 IF(
   INDEX(Cartera1017[ID Mantenimiento],ROW(A262))=0,
   "",
   INDEX(Cartera1017[ID Mantenimiento],ROW(A262))
 ),
 ""
)</f>
        <v>2025-M0748</v>
      </c>
      <c r="B264" s="376" t="str" cm="1">
        <f t="array" ref="B264">IFERROR(INDEX(Cartera1017[Nombre del Requerimiento],ROW(A262)),"")</f>
        <v>MODIFICACION DE TABLAS LOG DE LAS TABLAS INTERMEDIAS ORACLE</v>
      </c>
      <c r="C264" s="376" t="str" cm="1">
        <f t="array" aca="1" ref="C264" ca="1">IFERROR(INDEX(Cartera1017[indicador de Avance],ROW(A262)),"")</f>
        <v>IMPLEMENTADO 🔵</v>
      </c>
      <c r="D264" s="376" t="str" cm="1">
        <f t="array" ref="D264">IFERROR(INDEX(Cartera1017[Gerencia],ROW(A262)),"")</f>
        <v>Tecnologías de Información</v>
      </c>
      <c r="E264" s="376" t="str" cm="1">
        <f t="array" ref="E264">IFERROR(INDEX(Cartera1017[Subgerencia],ROW(A262)),"")</f>
        <v>Construcción de Aplicaciones</v>
      </c>
      <c r="F264" s="376" t="str" cm="1">
        <f t="array" ref="F264">IFERROR(INDEX(Cartera1017[Sección],ROW(A262)),"")</f>
        <v>Sistemas Bancarios</v>
      </c>
      <c r="G264" s="376" t="str" cm="1">
        <f t="array" ref="G264">IFERROR(INDEX(Cartera1017[Estado TI],ROW(A262)),"")</f>
        <v>08. Producción Finalizada</v>
      </c>
      <c r="H264" s="463" t="str" cm="1">
        <f t="array" ref="H264">IFERROR(
 IF(
   INDEX(Cartera1017[Comienzo Desarrollo],ROW(A262))=0,
   "",
   INDEX(Cartera1017[Comienzo Desarrollo],ROW(A262))
 ),
 ""
)</f>
        <v/>
      </c>
      <c r="I264" s="463" t="str" cm="1">
        <f t="array" ref="I264">IFERROR(
 IF(
   INDEX(Cartera1017[Fin Producción],ROW(A262))=0,
   "",
   INDEX(Cartera1017[Fin Producción],ROW(A262))
 ),
 ""
)</f>
        <v/>
      </c>
    </row>
    <row r="265" spans="1:9">
      <c r="A265" s="376" t="str" cm="1">
        <f t="array" ref="A265">IFERROR(
 IF(
   INDEX(Cartera1017[ID Mantenimiento],ROW(A263))=0,
   "",
   INDEX(Cartera1017[ID Mantenimiento],ROW(A263))
 ),
 ""
)</f>
        <v/>
      </c>
      <c r="B265" s="376" t="str" cm="1">
        <f t="array" ref="B265">IFERROR(INDEX(Cartera1017[Nombre del Requerimiento],ROW(A263)),"")</f>
        <v/>
      </c>
      <c r="C265" s="376" t="str" cm="1">
        <f t="array" ref="C265">IFERROR(INDEX(Cartera1017[indicador de Avance],ROW(A263)),"")</f>
        <v/>
      </c>
      <c r="D265" s="376" t="str" cm="1">
        <f t="array" ref="D265">IFERROR(INDEX(Cartera1017[Gerencia],ROW(A263)),"")</f>
        <v/>
      </c>
      <c r="E265" s="376" t="str" cm="1">
        <f t="array" ref="E265">IFERROR(INDEX(Cartera1017[Subgerencia],ROW(A263)),"")</f>
        <v/>
      </c>
      <c r="F265" s="376" t="str" cm="1">
        <f t="array" ref="F265">IFERROR(INDEX(Cartera1017[Sección],ROW(A263)),"")</f>
        <v/>
      </c>
      <c r="G265" s="376" t="str" cm="1">
        <f t="array" ref="G265">IFERROR(INDEX(Cartera1017[Estado TI],ROW(A263)),"")</f>
        <v/>
      </c>
      <c r="H265" s="463" t="str" cm="1">
        <f t="array" ref="H265">IFERROR(
 IF(
   INDEX(Cartera1017[Comienzo Desarrollo],ROW(A263))=0,
   "",
   INDEX(Cartera1017[Comienzo Desarrollo],ROW(A263))
 ),
 ""
)</f>
        <v/>
      </c>
      <c r="I265" s="463" t="str" cm="1">
        <f t="array" ref="I265">IFERROR(
 IF(
   INDEX(Cartera1017[Fin Producción],ROW(A263))=0,
   "",
   INDEX(Cartera1017[Fin Producción],ROW(A263))
 ),
 ""
)</f>
        <v/>
      </c>
    </row>
    <row r="266" spans="1:9">
      <c r="A266" s="376" t="str" cm="1">
        <f t="array" ref="A266">IFERROR(
 IF(
   INDEX(Cartera1017[ID Mantenimiento],ROW(A264))=0,
   "",
   INDEX(Cartera1017[ID Mantenimiento],ROW(A264))
 ),
 ""
)</f>
        <v/>
      </c>
      <c r="B266" s="376" t="str" cm="1">
        <f t="array" ref="B266">IFERROR(INDEX(Cartera1017[Nombre del Requerimiento],ROW(A264)),"")</f>
        <v/>
      </c>
      <c r="C266" s="376" t="str" cm="1">
        <f t="array" ref="C266">IFERROR(INDEX(Cartera1017[indicador de Avance],ROW(A264)),"")</f>
        <v/>
      </c>
      <c r="D266" s="376" t="str" cm="1">
        <f t="array" ref="D266">IFERROR(INDEX(Cartera1017[Gerencia],ROW(A264)),"")</f>
        <v/>
      </c>
      <c r="E266" s="376" t="str" cm="1">
        <f t="array" ref="E266">IFERROR(INDEX(Cartera1017[Subgerencia],ROW(A264)),"")</f>
        <v/>
      </c>
      <c r="F266" s="376" t="str" cm="1">
        <f t="array" ref="F266">IFERROR(INDEX(Cartera1017[Sección],ROW(A264)),"")</f>
        <v/>
      </c>
      <c r="G266" s="376" t="str" cm="1">
        <f t="array" ref="G266">IFERROR(INDEX(Cartera1017[Estado TI],ROW(A264)),"")</f>
        <v/>
      </c>
      <c r="H266" s="463" t="str" cm="1">
        <f t="array" ref="H266">IFERROR(
 IF(
   INDEX(Cartera1017[Comienzo Desarrollo],ROW(A264))=0,
   "",
   INDEX(Cartera1017[Comienzo Desarrollo],ROW(A264))
 ),
 ""
)</f>
        <v/>
      </c>
      <c r="I266" s="463" t="str" cm="1">
        <f t="array" ref="I266">IFERROR(
 IF(
   INDEX(Cartera1017[Fin Producción],ROW(A264))=0,
   "",
   INDEX(Cartera1017[Fin Producción],ROW(A264))
 ),
 ""
)</f>
        <v/>
      </c>
    </row>
    <row r="267" spans="1:9">
      <c r="A267" s="376" t="str" cm="1">
        <f t="array" ref="A267">IFERROR(
 IF(
   INDEX(Cartera1017[ID Mantenimiento],ROW(A265))=0,
   "",
   INDEX(Cartera1017[ID Mantenimiento],ROW(A265))
 ),
 ""
)</f>
        <v/>
      </c>
      <c r="B267" s="376" t="str" cm="1">
        <f t="array" ref="B267">IFERROR(INDEX(Cartera1017[Nombre del Requerimiento],ROW(A265)),"")</f>
        <v/>
      </c>
      <c r="C267" s="376" t="str" cm="1">
        <f t="array" ref="C267">IFERROR(INDEX(Cartera1017[indicador de Avance],ROW(A265)),"")</f>
        <v/>
      </c>
      <c r="D267" s="376" t="str" cm="1">
        <f t="array" ref="D267">IFERROR(INDEX(Cartera1017[Gerencia],ROW(A265)),"")</f>
        <v/>
      </c>
      <c r="E267" s="376" t="str" cm="1">
        <f t="array" ref="E267">IFERROR(INDEX(Cartera1017[Subgerencia],ROW(A265)),"")</f>
        <v/>
      </c>
      <c r="F267" s="376" t="str" cm="1">
        <f t="array" ref="F267">IFERROR(INDEX(Cartera1017[Sección],ROW(A265)),"")</f>
        <v/>
      </c>
      <c r="G267" s="376" t="str" cm="1">
        <f t="array" ref="G267">IFERROR(INDEX(Cartera1017[Estado TI],ROW(A265)),"")</f>
        <v/>
      </c>
      <c r="H267" s="463" t="str" cm="1">
        <f t="array" ref="H267">IFERROR(
 IF(
   INDEX(Cartera1017[Comienzo Desarrollo],ROW(A265))=0,
   "",
   INDEX(Cartera1017[Comienzo Desarrollo],ROW(A265))
 ),
 ""
)</f>
        <v/>
      </c>
      <c r="I267" s="463" t="str" cm="1">
        <f t="array" ref="I267">IFERROR(
 IF(
   INDEX(Cartera1017[Fin Producción],ROW(A265))=0,
   "",
   INDEX(Cartera1017[Fin Producción],ROW(A265))
 ),
 ""
)</f>
        <v/>
      </c>
    </row>
    <row r="268" spans="1:9">
      <c r="A268" s="376" t="str" cm="1">
        <f t="array" ref="A268">IFERROR(
 IF(
   INDEX(Cartera1017[ID Mantenimiento],ROW(A266))=0,
   "",
   INDEX(Cartera1017[ID Mantenimiento],ROW(A266))
 ),
 ""
)</f>
        <v/>
      </c>
      <c r="B268" s="376" t="str" cm="1">
        <f t="array" ref="B268">IFERROR(INDEX(Cartera1017[Nombre del Requerimiento],ROW(A266)),"")</f>
        <v/>
      </c>
      <c r="C268" s="376" t="str" cm="1">
        <f t="array" ref="C268">IFERROR(INDEX(Cartera1017[indicador de Avance],ROW(A266)),"")</f>
        <v/>
      </c>
      <c r="D268" s="376" t="str" cm="1">
        <f t="array" ref="D268">IFERROR(INDEX(Cartera1017[Gerencia],ROW(A266)),"")</f>
        <v/>
      </c>
      <c r="E268" s="376" t="str" cm="1">
        <f t="array" ref="E268">IFERROR(INDEX(Cartera1017[Subgerencia],ROW(A266)),"")</f>
        <v/>
      </c>
      <c r="F268" s="376" t="str" cm="1">
        <f t="array" ref="F268">IFERROR(INDEX(Cartera1017[Sección],ROW(A266)),"")</f>
        <v/>
      </c>
      <c r="G268" s="376" t="str" cm="1">
        <f t="array" ref="G268">IFERROR(INDEX(Cartera1017[Estado TI],ROW(A266)),"")</f>
        <v/>
      </c>
      <c r="H268" s="463" t="str" cm="1">
        <f t="array" ref="H268">IFERROR(
 IF(
   INDEX(Cartera1017[Comienzo Desarrollo],ROW(A266))=0,
   "",
   INDEX(Cartera1017[Comienzo Desarrollo],ROW(A266))
 ),
 ""
)</f>
        <v/>
      </c>
      <c r="I268" s="463" t="str" cm="1">
        <f t="array" ref="I268">IFERROR(
 IF(
   INDEX(Cartera1017[Fin Producción],ROW(A266))=0,
   "",
   INDEX(Cartera1017[Fin Producción],ROW(A266))
 ),
 ""
)</f>
        <v/>
      </c>
    </row>
    <row r="269" spans="1:9">
      <c r="A269" s="376" t="str" cm="1">
        <f t="array" ref="A269">IFERROR(
 IF(
   INDEX(Cartera1017[ID Mantenimiento],ROW(A267))=0,
   "",
   INDEX(Cartera1017[ID Mantenimiento],ROW(A267))
 ),
 ""
)</f>
        <v/>
      </c>
      <c r="B269" s="376" t="str" cm="1">
        <f t="array" ref="B269">IFERROR(INDEX(Cartera1017[Nombre del Requerimiento],ROW(A267)),"")</f>
        <v/>
      </c>
      <c r="C269" s="376" t="str" cm="1">
        <f t="array" ref="C269">IFERROR(INDEX(Cartera1017[indicador de Avance],ROW(A267)),"")</f>
        <v/>
      </c>
      <c r="D269" s="376" t="str" cm="1">
        <f t="array" ref="D269">IFERROR(INDEX(Cartera1017[Gerencia],ROW(A267)),"")</f>
        <v/>
      </c>
      <c r="E269" s="376" t="str" cm="1">
        <f t="array" ref="E269">IFERROR(INDEX(Cartera1017[Subgerencia],ROW(A267)),"")</f>
        <v/>
      </c>
      <c r="F269" s="376" t="str" cm="1">
        <f t="array" ref="F269">IFERROR(INDEX(Cartera1017[Sección],ROW(A267)),"")</f>
        <v/>
      </c>
      <c r="G269" s="376" t="str" cm="1">
        <f t="array" ref="G269">IFERROR(INDEX(Cartera1017[Estado TI],ROW(A267)),"")</f>
        <v/>
      </c>
      <c r="H269" s="463" t="str" cm="1">
        <f t="array" ref="H269">IFERROR(
 IF(
   INDEX(Cartera1017[Comienzo Desarrollo],ROW(A267))=0,
   "",
   INDEX(Cartera1017[Comienzo Desarrollo],ROW(A267))
 ),
 ""
)</f>
        <v/>
      </c>
      <c r="I269" s="463" t="str" cm="1">
        <f t="array" ref="I269">IFERROR(
 IF(
   INDEX(Cartera1017[Fin Producción],ROW(A267))=0,
   "",
   INDEX(Cartera1017[Fin Producción],ROW(A267))
 ),
 ""
)</f>
        <v/>
      </c>
    </row>
    <row r="270" spans="1:9">
      <c r="A270" s="376" t="str" cm="1">
        <f t="array" ref="A270">IFERROR(
 IF(
   INDEX(Cartera1017[ID Mantenimiento],ROW(A268))=0,
   "",
   INDEX(Cartera1017[ID Mantenimiento],ROW(A268))
 ),
 ""
)</f>
        <v/>
      </c>
      <c r="B270" s="376" t="str" cm="1">
        <f t="array" ref="B270">IFERROR(INDEX(Cartera1017[Nombre del Requerimiento],ROW(A268)),"")</f>
        <v/>
      </c>
      <c r="C270" s="376" t="str" cm="1">
        <f t="array" ref="C270">IFERROR(INDEX(Cartera1017[indicador de Avance],ROW(A268)),"")</f>
        <v/>
      </c>
      <c r="D270" s="376" t="str" cm="1">
        <f t="array" ref="D270">IFERROR(INDEX(Cartera1017[Gerencia],ROW(A268)),"")</f>
        <v/>
      </c>
      <c r="E270" s="376" t="str" cm="1">
        <f t="array" ref="E270">IFERROR(INDEX(Cartera1017[Subgerencia],ROW(A268)),"")</f>
        <v/>
      </c>
      <c r="F270" s="376" t="str" cm="1">
        <f t="array" ref="F270">IFERROR(INDEX(Cartera1017[Sección],ROW(A268)),"")</f>
        <v/>
      </c>
      <c r="G270" s="376" t="str" cm="1">
        <f t="array" ref="G270">IFERROR(INDEX(Cartera1017[Estado TI],ROW(A268)),"")</f>
        <v/>
      </c>
      <c r="H270" s="463" t="str" cm="1">
        <f t="array" ref="H270">IFERROR(
 IF(
   INDEX(Cartera1017[Comienzo Desarrollo],ROW(A268))=0,
   "",
   INDEX(Cartera1017[Comienzo Desarrollo],ROW(A268))
 ),
 ""
)</f>
        <v/>
      </c>
      <c r="I270" s="463" t="str" cm="1">
        <f t="array" ref="I270">IFERROR(
 IF(
   INDEX(Cartera1017[Fin Producción],ROW(A268))=0,
   "",
   INDEX(Cartera1017[Fin Producción],ROW(A268))
 ),
 ""
)</f>
        <v/>
      </c>
    </row>
    <row r="271" spans="1:9">
      <c r="A271" s="376" t="str" cm="1">
        <f t="array" ref="A271">IFERROR(
 IF(
   INDEX(Cartera1017[ID Mantenimiento],ROW(A269))=0,
   "",
   INDEX(Cartera1017[ID Mantenimiento],ROW(A269))
 ),
 ""
)</f>
        <v/>
      </c>
      <c r="B271" s="376" t="str" cm="1">
        <f t="array" ref="B271">IFERROR(INDEX(Cartera1017[Nombre del Requerimiento],ROW(A269)),"")</f>
        <v/>
      </c>
      <c r="C271" s="376" t="str" cm="1">
        <f t="array" ref="C271">IFERROR(INDEX(Cartera1017[indicador de Avance],ROW(A269)),"")</f>
        <v/>
      </c>
      <c r="D271" s="376" t="str" cm="1">
        <f t="array" ref="D271">IFERROR(INDEX(Cartera1017[Gerencia],ROW(A269)),"")</f>
        <v/>
      </c>
      <c r="E271" s="376" t="str" cm="1">
        <f t="array" ref="E271">IFERROR(INDEX(Cartera1017[Subgerencia],ROW(A269)),"")</f>
        <v/>
      </c>
      <c r="F271" s="376" t="str" cm="1">
        <f t="array" ref="F271">IFERROR(INDEX(Cartera1017[Sección],ROW(A269)),"")</f>
        <v/>
      </c>
      <c r="G271" s="376" t="str" cm="1">
        <f t="array" ref="G271">IFERROR(INDEX(Cartera1017[Estado TI],ROW(A269)),"")</f>
        <v/>
      </c>
      <c r="H271" s="463" t="str" cm="1">
        <f t="array" ref="H271">IFERROR(
 IF(
   INDEX(Cartera1017[Comienzo Desarrollo],ROW(A269))=0,
   "",
   INDEX(Cartera1017[Comienzo Desarrollo],ROW(A269))
 ),
 ""
)</f>
        <v/>
      </c>
      <c r="I271" s="463" t="str" cm="1">
        <f t="array" ref="I271">IFERROR(
 IF(
   INDEX(Cartera1017[Fin Producción],ROW(A269))=0,
   "",
   INDEX(Cartera1017[Fin Producción],ROW(A269))
 ),
 ""
)</f>
        <v/>
      </c>
    </row>
    <row r="272" spans="1:9">
      <c r="A272" s="376" t="str" cm="1">
        <f t="array" ref="A272">IFERROR(
 IF(
   INDEX(Cartera1017[ID Mantenimiento],ROW(A270))=0,
   "",
   INDEX(Cartera1017[ID Mantenimiento],ROW(A270))
 ),
 ""
)</f>
        <v/>
      </c>
      <c r="B272" s="376" t="str" cm="1">
        <f t="array" ref="B272">IFERROR(INDEX(Cartera1017[Nombre del Requerimiento],ROW(A270)),"")</f>
        <v/>
      </c>
      <c r="C272" s="376" t="str" cm="1">
        <f t="array" ref="C272">IFERROR(INDEX(Cartera1017[indicador de Avance],ROW(A270)),"")</f>
        <v/>
      </c>
      <c r="D272" s="376" t="str" cm="1">
        <f t="array" ref="D272">IFERROR(INDEX(Cartera1017[Gerencia],ROW(A270)),"")</f>
        <v/>
      </c>
      <c r="E272" s="376" t="str" cm="1">
        <f t="array" ref="E272">IFERROR(INDEX(Cartera1017[Subgerencia],ROW(A270)),"")</f>
        <v/>
      </c>
      <c r="F272" s="376" t="str" cm="1">
        <f t="array" ref="F272">IFERROR(INDEX(Cartera1017[Sección],ROW(A270)),"")</f>
        <v/>
      </c>
      <c r="G272" s="376" t="str" cm="1">
        <f t="array" ref="G272">IFERROR(INDEX(Cartera1017[Estado TI],ROW(A270)),"")</f>
        <v/>
      </c>
      <c r="H272" s="463" t="str" cm="1">
        <f t="array" ref="H272">IFERROR(
 IF(
   INDEX(Cartera1017[Comienzo Desarrollo],ROW(A270))=0,
   "",
   INDEX(Cartera1017[Comienzo Desarrollo],ROW(A270))
 ),
 ""
)</f>
        <v/>
      </c>
      <c r="I272" s="463" t="str" cm="1">
        <f t="array" ref="I272">IFERROR(
 IF(
   INDEX(Cartera1017[Fin Producción],ROW(A270))=0,
   "",
   INDEX(Cartera1017[Fin Producción],ROW(A270))
 ),
 ""
)</f>
        <v/>
      </c>
    </row>
    <row r="273" spans="1:9">
      <c r="A273" s="376" t="str" cm="1">
        <f t="array" ref="A273">IFERROR(
 IF(
   INDEX(Cartera1017[ID Mantenimiento],ROW(A271))=0,
   "",
   INDEX(Cartera1017[ID Mantenimiento],ROW(A271))
 ),
 ""
)</f>
        <v/>
      </c>
      <c r="B273" s="376" t="str" cm="1">
        <f t="array" ref="B273">IFERROR(INDEX(Cartera1017[Nombre del Requerimiento],ROW(A271)),"")</f>
        <v/>
      </c>
      <c r="C273" s="376" t="str" cm="1">
        <f t="array" ref="C273">IFERROR(INDEX(Cartera1017[indicador de Avance],ROW(A271)),"")</f>
        <v/>
      </c>
      <c r="D273" s="376" t="str" cm="1">
        <f t="array" ref="D273">IFERROR(INDEX(Cartera1017[Gerencia],ROW(A271)),"")</f>
        <v/>
      </c>
      <c r="E273" s="376" t="str" cm="1">
        <f t="array" ref="E273">IFERROR(INDEX(Cartera1017[Subgerencia],ROW(A271)),"")</f>
        <v/>
      </c>
      <c r="F273" s="376" t="str" cm="1">
        <f t="array" ref="F273">IFERROR(INDEX(Cartera1017[Sección],ROW(A271)),"")</f>
        <v/>
      </c>
      <c r="G273" s="376" t="str" cm="1">
        <f t="array" ref="G273">IFERROR(INDEX(Cartera1017[Estado TI],ROW(A271)),"")</f>
        <v/>
      </c>
      <c r="H273" s="463" t="str" cm="1">
        <f t="array" ref="H273">IFERROR(
 IF(
   INDEX(Cartera1017[Comienzo Desarrollo],ROW(A271))=0,
   "",
   INDEX(Cartera1017[Comienzo Desarrollo],ROW(A271))
 ),
 ""
)</f>
        <v/>
      </c>
      <c r="I273" s="463" t="str" cm="1">
        <f t="array" ref="I273">IFERROR(
 IF(
   INDEX(Cartera1017[Fin Producción],ROW(A271))=0,
   "",
   INDEX(Cartera1017[Fin Producción],ROW(A271))
 ),
 ""
)</f>
        <v/>
      </c>
    </row>
    <row r="274" spans="1:9">
      <c r="A274" s="376" t="str" cm="1">
        <f t="array" ref="A274">IFERROR(
 IF(
   INDEX(Cartera1017[ID Mantenimiento],ROW(A272))=0,
   "",
   INDEX(Cartera1017[ID Mantenimiento],ROW(A272))
 ),
 ""
)</f>
        <v/>
      </c>
      <c r="B274" s="376" t="str" cm="1">
        <f t="array" ref="B274">IFERROR(INDEX(Cartera1017[Nombre del Requerimiento],ROW(A272)),"")</f>
        <v/>
      </c>
      <c r="C274" s="376" t="str" cm="1">
        <f t="array" ref="C274">IFERROR(INDEX(Cartera1017[indicador de Avance],ROW(A272)),"")</f>
        <v/>
      </c>
      <c r="D274" s="376" t="str" cm="1">
        <f t="array" ref="D274">IFERROR(INDEX(Cartera1017[Gerencia],ROW(A272)),"")</f>
        <v/>
      </c>
      <c r="E274" s="376" t="str" cm="1">
        <f t="array" ref="E274">IFERROR(INDEX(Cartera1017[Subgerencia],ROW(A272)),"")</f>
        <v/>
      </c>
      <c r="F274" s="376" t="str" cm="1">
        <f t="array" ref="F274">IFERROR(INDEX(Cartera1017[Sección],ROW(A272)),"")</f>
        <v/>
      </c>
      <c r="G274" s="376" t="str" cm="1">
        <f t="array" ref="G274">IFERROR(INDEX(Cartera1017[Estado TI],ROW(A272)),"")</f>
        <v/>
      </c>
      <c r="H274" s="463" t="str" cm="1">
        <f t="array" ref="H274">IFERROR(
 IF(
   INDEX(Cartera1017[Comienzo Desarrollo],ROW(A272))=0,
   "",
   INDEX(Cartera1017[Comienzo Desarrollo],ROW(A272))
 ),
 ""
)</f>
        <v/>
      </c>
      <c r="I274" s="463" t="str" cm="1">
        <f t="array" ref="I274">IFERROR(
 IF(
   INDEX(Cartera1017[Fin Producción],ROW(A272))=0,
   "",
   INDEX(Cartera1017[Fin Producción],ROW(A272))
 ),
 ""
)</f>
        <v/>
      </c>
    </row>
    <row r="275" spans="1:9">
      <c r="A275" s="376" t="str" cm="1">
        <f t="array" ref="A275">IFERROR(
 IF(
   INDEX(Cartera1017[ID Mantenimiento],ROW(A273))=0,
   "",
   INDEX(Cartera1017[ID Mantenimiento],ROW(A273))
 ),
 ""
)</f>
        <v/>
      </c>
      <c r="B275" s="376" t="str" cm="1">
        <f t="array" ref="B275">IFERROR(INDEX(Cartera1017[Nombre del Requerimiento],ROW(A273)),"")</f>
        <v/>
      </c>
      <c r="C275" s="376" t="str" cm="1">
        <f t="array" ref="C275">IFERROR(INDEX(Cartera1017[indicador de Avance],ROW(A273)),"")</f>
        <v/>
      </c>
      <c r="D275" s="376" t="str" cm="1">
        <f t="array" ref="D275">IFERROR(INDEX(Cartera1017[Gerencia],ROW(A273)),"")</f>
        <v/>
      </c>
      <c r="E275" s="376" t="str" cm="1">
        <f t="array" ref="E275">IFERROR(INDEX(Cartera1017[Subgerencia],ROW(A273)),"")</f>
        <v/>
      </c>
      <c r="F275" s="376" t="str" cm="1">
        <f t="array" ref="F275">IFERROR(INDEX(Cartera1017[Sección],ROW(A273)),"")</f>
        <v/>
      </c>
      <c r="G275" s="376" t="str" cm="1">
        <f t="array" ref="G275">IFERROR(INDEX(Cartera1017[Estado TI],ROW(A273)),"")</f>
        <v/>
      </c>
      <c r="H275" s="463" t="str" cm="1">
        <f t="array" ref="H275">IFERROR(
 IF(
   INDEX(Cartera1017[Comienzo Desarrollo],ROW(A273))=0,
   "",
   INDEX(Cartera1017[Comienzo Desarrollo],ROW(A273))
 ),
 ""
)</f>
        <v/>
      </c>
      <c r="I275" s="463" t="str" cm="1">
        <f t="array" ref="I275">IFERROR(
 IF(
   INDEX(Cartera1017[Fin Producción],ROW(A273))=0,
   "",
   INDEX(Cartera1017[Fin Producción],ROW(A273))
 ),
 ""
)</f>
        <v/>
      </c>
    </row>
    <row r="276" spans="1:9">
      <c r="A276" s="376" t="str" cm="1">
        <f t="array" ref="A276">IFERROR(
 IF(
   INDEX(Cartera1017[ID Mantenimiento],ROW(A274))=0,
   "",
   INDEX(Cartera1017[ID Mantenimiento],ROW(A274))
 ),
 ""
)</f>
        <v/>
      </c>
      <c r="B276" s="376" t="str" cm="1">
        <f t="array" ref="B276">IFERROR(INDEX(Cartera1017[Nombre del Requerimiento],ROW(A274)),"")</f>
        <v/>
      </c>
      <c r="C276" s="376" t="str" cm="1">
        <f t="array" ref="C276">IFERROR(INDEX(Cartera1017[indicador de Avance],ROW(A274)),"")</f>
        <v/>
      </c>
      <c r="D276" s="376" t="str" cm="1">
        <f t="array" ref="D276">IFERROR(INDEX(Cartera1017[Gerencia],ROW(A274)),"")</f>
        <v/>
      </c>
      <c r="E276" s="376" t="str" cm="1">
        <f t="array" ref="E276">IFERROR(INDEX(Cartera1017[Subgerencia],ROW(A274)),"")</f>
        <v/>
      </c>
      <c r="F276" s="376" t="str" cm="1">
        <f t="array" ref="F276">IFERROR(INDEX(Cartera1017[Sección],ROW(A274)),"")</f>
        <v/>
      </c>
      <c r="G276" s="376" t="str" cm="1">
        <f t="array" ref="G276">IFERROR(INDEX(Cartera1017[Estado TI],ROW(A274)),"")</f>
        <v/>
      </c>
      <c r="H276" s="463" t="str" cm="1">
        <f t="array" ref="H276">IFERROR(
 IF(
   INDEX(Cartera1017[Comienzo Desarrollo],ROW(A274))=0,
   "",
   INDEX(Cartera1017[Comienzo Desarrollo],ROW(A274))
 ),
 ""
)</f>
        <v/>
      </c>
      <c r="I276" s="463" t="str" cm="1">
        <f t="array" ref="I276">IFERROR(
 IF(
   INDEX(Cartera1017[Fin Producción],ROW(A274))=0,
   "",
   INDEX(Cartera1017[Fin Producción],ROW(A274))
 ),
 ""
)</f>
        <v/>
      </c>
    </row>
    <row r="277" spans="1:9">
      <c r="A277" s="376" t="str" cm="1">
        <f t="array" ref="A277">IFERROR(
 IF(
   INDEX(Cartera1017[ID Mantenimiento],ROW(A275))=0,
   "",
   INDEX(Cartera1017[ID Mantenimiento],ROW(A275))
 ),
 ""
)</f>
        <v/>
      </c>
      <c r="B277" s="376" t="str" cm="1">
        <f t="array" ref="B277">IFERROR(INDEX(Cartera1017[Nombre del Requerimiento],ROW(A275)),"")</f>
        <v/>
      </c>
      <c r="C277" s="376" t="str" cm="1">
        <f t="array" ref="C277">IFERROR(INDEX(Cartera1017[indicador de Avance],ROW(A275)),"")</f>
        <v/>
      </c>
      <c r="D277" s="376" t="str" cm="1">
        <f t="array" ref="D277">IFERROR(INDEX(Cartera1017[Gerencia],ROW(A275)),"")</f>
        <v/>
      </c>
      <c r="E277" s="376" t="str" cm="1">
        <f t="array" ref="E277">IFERROR(INDEX(Cartera1017[Subgerencia],ROW(A275)),"")</f>
        <v/>
      </c>
      <c r="F277" s="376" t="str" cm="1">
        <f t="array" ref="F277">IFERROR(INDEX(Cartera1017[Sección],ROW(A275)),"")</f>
        <v/>
      </c>
      <c r="G277" s="376" t="str" cm="1">
        <f t="array" ref="G277">IFERROR(INDEX(Cartera1017[Estado TI],ROW(A275)),"")</f>
        <v/>
      </c>
      <c r="H277" s="463" t="str" cm="1">
        <f t="array" ref="H277">IFERROR(
 IF(
   INDEX(Cartera1017[Comienzo Desarrollo],ROW(A275))=0,
   "",
   INDEX(Cartera1017[Comienzo Desarrollo],ROW(A275))
 ),
 ""
)</f>
        <v/>
      </c>
      <c r="I277" s="463" t="str" cm="1">
        <f t="array" ref="I277">IFERROR(
 IF(
   INDEX(Cartera1017[Fin Producción],ROW(A275))=0,
   "",
   INDEX(Cartera1017[Fin Producción],ROW(A275))
 ),
 ""
)</f>
        <v/>
      </c>
    </row>
    <row r="278" spans="1:9">
      <c r="A278" s="376" t="str" cm="1">
        <f t="array" ref="A278">IFERROR(
 IF(
   INDEX(Cartera1017[ID Mantenimiento],ROW(A276))=0,
   "",
   INDEX(Cartera1017[ID Mantenimiento],ROW(A276))
 ),
 ""
)</f>
        <v/>
      </c>
      <c r="B278" s="376" t="str" cm="1">
        <f t="array" ref="B278">IFERROR(INDEX(Cartera1017[Nombre del Requerimiento],ROW(A276)),"")</f>
        <v/>
      </c>
      <c r="C278" s="376" t="str" cm="1">
        <f t="array" ref="C278">IFERROR(INDEX(Cartera1017[indicador de Avance],ROW(A276)),"")</f>
        <v/>
      </c>
      <c r="D278" s="376" t="str" cm="1">
        <f t="array" ref="D278">IFERROR(INDEX(Cartera1017[Gerencia],ROW(A276)),"")</f>
        <v/>
      </c>
      <c r="E278" s="376" t="str" cm="1">
        <f t="array" ref="E278">IFERROR(INDEX(Cartera1017[Subgerencia],ROW(A276)),"")</f>
        <v/>
      </c>
      <c r="F278" s="376" t="str" cm="1">
        <f t="array" ref="F278">IFERROR(INDEX(Cartera1017[Sección],ROW(A276)),"")</f>
        <v/>
      </c>
      <c r="G278" s="376" t="str" cm="1">
        <f t="array" ref="G278">IFERROR(INDEX(Cartera1017[Estado TI],ROW(A276)),"")</f>
        <v/>
      </c>
      <c r="H278" s="463" t="str" cm="1">
        <f t="array" ref="H278">IFERROR(
 IF(
   INDEX(Cartera1017[Comienzo Desarrollo],ROW(A276))=0,
   "",
   INDEX(Cartera1017[Comienzo Desarrollo],ROW(A276))
 ),
 ""
)</f>
        <v/>
      </c>
      <c r="I278" s="463" t="str" cm="1">
        <f t="array" ref="I278">IFERROR(
 IF(
   INDEX(Cartera1017[Fin Producción],ROW(A276))=0,
   "",
   INDEX(Cartera1017[Fin Producción],ROW(A276))
 ),
 ""
)</f>
        <v/>
      </c>
    </row>
    <row r="279" spans="1:9">
      <c r="A279" s="376" t="str" cm="1">
        <f t="array" ref="A279">IFERROR(
 IF(
   INDEX(Cartera1017[ID Mantenimiento],ROW(A277))=0,
   "",
   INDEX(Cartera1017[ID Mantenimiento],ROW(A277))
 ),
 ""
)</f>
        <v/>
      </c>
      <c r="B279" s="376" t="str" cm="1">
        <f t="array" ref="B279">IFERROR(INDEX(Cartera1017[Nombre del Requerimiento],ROW(A277)),"")</f>
        <v/>
      </c>
      <c r="C279" s="376" t="str" cm="1">
        <f t="array" ref="C279">IFERROR(INDEX(Cartera1017[indicador de Avance],ROW(A277)),"")</f>
        <v/>
      </c>
      <c r="D279" s="376" t="str" cm="1">
        <f t="array" ref="D279">IFERROR(INDEX(Cartera1017[Gerencia],ROW(A277)),"")</f>
        <v/>
      </c>
      <c r="E279" s="376" t="str" cm="1">
        <f t="array" ref="E279">IFERROR(INDEX(Cartera1017[Subgerencia],ROW(A277)),"")</f>
        <v/>
      </c>
      <c r="F279" s="376" t="str" cm="1">
        <f t="array" ref="F279">IFERROR(INDEX(Cartera1017[Sección],ROW(A277)),"")</f>
        <v/>
      </c>
      <c r="G279" s="376" t="str" cm="1">
        <f t="array" ref="G279">IFERROR(INDEX(Cartera1017[Estado TI],ROW(A277)),"")</f>
        <v/>
      </c>
      <c r="H279" s="463" t="str" cm="1">
        <f t="array" ref="H279">IFERROR(
 IF(
   INDEX(Cartera1017[Comienzo Desarrollo],ROW(A277))=0,
   "",
   INDEX(Cartera1017[Comienzo Desarrollo],ROW(A277))
 ),
 ""
)</f>
        <v/>
      </c>
      <c r="I279" s="463" t="str" cm="1">
        <f t="array" ref="I279">IFERROR(
 IF(
   INDEX(Cartera1017[Fin Producción],ROW(A277))=0,
   "",
   INDEX(Cartera1017[Fin Producción],ROW(A277))
 ),
 ""
)</f>
        <v/>
      </c>
    </row>
    <row r="280" spans="1:9">
      <c r="A280" s="376" t="str" cm="1">
        <f t="array" ref="A280">IFERROR(
 IF(
   INDEX(Cartera1017[ID Mantenimiento],ROW(A278))=0,
   "",
   INDEX(Cartera1017[ID Mantenimiento],ROW(A278))
 ),
 ""
)</f>
        <v/>
      </c>
      <c r="B280" s="376" t="str" cm="1">
        <f t="array" ref="B280">IFERROR(INDEX(Cartera1017[Nombre del Requerimiento],ROW(A278)),"")</f>
        <v/>
      </c>
      <c r="C280" s="376" t="str" cm="1">
        <f t="array" ref="C280">IFERROR(INDEX(Cartera1017[indicador de Avance],ROW(A278)),"")</f>
        <v/>
      </c>
      <c r="D280" s="376" t="str" cm="1">
        <f t="array" ref="D280">IFERROR(INDEX(Cartera1017[Gerencia],ROW(A278)),"")</f>
        <v/>
      </c>
      <c r="E280" s="376" t="str" cm="1">
        <f t="array" ref="E280">IFERROR(INDEX(Cartera1017[Subgerencia],ROW(A278)),"")</f>
        <v/>
      </c>
      <c r="F280" s="376" t="str" cm="1">
        <f t="array" ref="F280">IFERROR(INDEX(Cartera1017[Sección],ROW(A278)),"")</f>
        <v/>
      </c>
      <c r="G280" s="376" t="str" cm="1">
        <f t="array" ref="G280">IFERROR(INDEX(Cartera1017[Estado TI],ROW(A278)),"")</f>
        <v/>
      </c>
      <c r="H280" s="463" t="str" cm="1">
        <f t="array" ref="H280">IFERROR(
 IF(
   INDEX(Cartera1017[Comienzo Desarrollo],ROW(A278))=0,
   "",
   INDEX(Cartera1017[Comienzo Desarrollo],ROW(A278))
 ),
 ""
)</f>
        <v/>
      </c>
      <c r="I280" s="463" t="str" cm="1">
        <f t="array" ref="I280">IFERROR(
 IF(
   INDEX(Cartera1017[Fin Producción],ROW(A278))=0,
   "",
   INDEX(Cartera1017[Fin Producción],ROW(A278))
 ),
 ""
)</f>
        <v/>
      </c>
    </row>
    <row r="281" spans="1:9">
      <c r="A281" s="376" t="str" cm="1">
        <f t="array" ref="A281">IFERROR(
 IF(
   INDEX(Cartera1017[ID Mantenimiento],ROW(A279))=0,
   "",
   INDEX(Cartera1017[ID Mantenimiento],ROW(A279))
 ),
 ""
)</f>
        <v/>
      </c>
      <c r="B281" s="376" t="str" cm="1">
        <f t="array" ref="B281">IFERROR(INDEX(Cartera1017[Nombre del Requerimiento],ROW(A279)),"")</f>
        <v/>
      </c>
      <c r="C281" s="376" t="str" cm="1">
        <f t="array" ref="C281">IFERROR(INDEX(Cartera1017[indicador de Avance],ROW(A279)),"")</f>
        <v/>
      </c>
      <c r="D281" s="376" t="str" cm="1">
        <f t="array" ref="D281">IFERROR(INDEX(Cartera1017[Gerencia],ROW(A279)),"")</f>
        <v/>
      </c>
      <c r="E281" s="376" t="str" cm="1">
        <f t="array" ref="E281">IFERROR(INDEX(Cartera1017[Subgerencia],ROW(A279)),"")</f>
        <v/>
      </c>
      <c r="F281" s="376" t="str" cm="1">
        <f t="array" ref="F281">IFERROR(INDEX(Cartera1017[Sección],ROW(A279)),"")</f>
        <v/>
      </c>
      <c r="G281" s="376" t="str" cm="1">
        <f t="array" ref="G281">IFERROR(INDEX(Cartera1017[Estado TI],ROW(A279)),"")</f>
        <v/>
      </c>
      <c r="H281" s="463" t="str" cm="1">
        <f t="array" ref="H281">IFERROR(
 IF(
   INDEX(Cartera1017[Comienzo Desarrollo],ROW(A279))=0,
   "",
   INDEX(Cartera1017[Comienzo Desarrollo],ROW(A279))
 ),
 ""
)</f>
        <v/>
      </c>
      <c r="I281" s="463" t="str" cm="1">
        <f t="array" ref="I281">IFERROR(
 IF(
   INDEX(Cartera1017[Fin Producción],ROW(A279))=0,
   "",
   INDEX(Cartera1017[Fin Producción],ROW(A279))
 ),
 ""
)</f>
        <v/>
      </c>
    </row>
    <row r="282" spans="1:9">
      <c r="A282" s="376" t="str" cm="1">
        <f t="array" ref="A282">IFERROR(
 IF(
   INDEX(Cartera1017[ID Mantenimiento],ROW(A280))=0,
   "",
   INDEX(Cartera1017[ID Mantenimiento],ROW(A280))
 ),
 ""
)</f>
        <v/>
      </c>
      <c r="B282" s="376" t="str" cm="1">
        <f t="array" ref="B282">IFERROR(INDEX(Cartera1017[Nombre del Requerimiento],ROW(A280)),"")</f>
        <v/>
      </c>
      <c r="C282" s="376" t="str" cm="1">
        <f t="array" ref="C282">IFERROR(INDEX(Cartera1017[indicador de Avance],ROW(A280)),"")</f>
        <v/>
      </c>
      <c r="D282" s="376" t="str" cm="1">
        <f t="array" ref="D282">IFERROR(INDEX(Cartera1017[Gerencia],ROW(A280)),"")</f>
        <v/>
      </c>
      <c r="E282" s="376" t="str" cm="1">
        <f t="array" ref="E282">IFERROR(INDEX(Cartera1017[Subgerencia],ROW(A280)),"")</f>
        <v/>
      </c>
      <c r="F282" s="376" t="str" cm="1">
        <f t="array" ref="F282">IFERROR(INDEX(Cartera1017[Sección],ROW(A280)),"")</f>
        <v/>
      </c>
      <c r="G282" s="376" t="str" cm="1">
        <f t="array" ref="G282">IFERROR(INDEX(Cartera1017[Estado TI],ROW(A280)),"")</f>
        <v/>
      </c>
      <c r="H282" s="463" t="str" cm="1">
        <f t="array" ref="H282">IFERROR(
 IF(
   INDEX(Cartera1017[Comienzo Desarrollo],ROW(A280))=0,
   "",
   INDEX(Cartera1017[Comienzo Desarrollo],ROW(A280))
 ),
 ""
)</f>
        <v/>
      </c>
      <c r="I282" s="463" t="str" cm="1">
        <f t="array" ref="I282">IFERROR(
 IF(
   INDEX(Cartera1017[Fin Producción],ROW(A280))=0,
   "",
   INDEX(Cartera1017[Fin Producción],ROW(A280))
 ),
 ""
)</f>
        <v/>
      </c>
    </row>
    <row r="283" spans="1:9">
      <c r="A283" s="376" t="str" cm="1">
        <f t="array" ref="A283">IFERROR(
 IF(
   INDEX(Cartera1017[ID Mantenimiento],ROW(A281))=0,
   "",
   INDEX(Cartera1017[ID Mantenimiento],ROW(A281))
 ),
 ""
)</f>
        <v/>
      </c>
      <c r="B283" s="376" t="str" cm="1">
        <f t="array" ref="B283">IFERROR(INDEX(Cartera1017[Nombre del Requerimiento],ROW(A281)),"")</f>
        <v/>
      </c>
      <c r="C283" s="376" t="str" cm="1">
        <f t="array" ref="C283">IFERROR(INDEX(Cartera1017[indicador de Avance],ROW(A281)),"")</f>
        <v/>
      </c>
      <c r="D283" s="376" t="str" cm="1">
        <f t="array" ref="D283">IFERROR(INDEX(Cartera1017[Gerencia],ROW(A281)),"")</f>
        <v/>
      </c>
      <c r="E283" s="376" t="str" cm="1">
        <f t="array" ref="E283">IFERROR(INDEX(Cartera1017[Subgerencia],ROW(A281)),"")</f>
        <v/>
      </c>
      <c r="F283" s="376" t="str" cm="1">
        <f t="array" ref="F283">IFERROR(INDEX(Cartera1017[Sección],ROW(A281)),"")</f>
        <v/>
      </c>
      <c r="G283" s="376" t="str" cm="1">
        <f t="array" ref="G283">IFERROR(INDEX(Cartera1017[Estado TI],ROW(A281)),"")</f>
        <v/>
      </c>
      <c r="H283" s="463" t="str" cm="1">
        <f t="array" ref="H283">IFERROR(
 IF(
   INDEX(Cartera1017[Comienzo Desarrollo],ROW(A281))=0,
   "",
   INDEX(Cartera1017[Comienzo Desarrollo],ROW(A281))
 ),
 ""
)</f>
        <v/>
      </c>
      <c r="I283" s="463" t="str" cm="1">
        <f t="array" ref="I283">IFERROR(
 IF(
   INDEX(Cartera1017[Fin Producción],ROW(A281))=0,
   "",
   INDEX(Cartera1017[Fin Producción],ROW(A281))
 ),
 ""
)</f>
        <v/>
      </c>
    </row>
    <row r="284" spans="1:9">
      <c r="A284" s="376" t="str" cm="1">
        <f t="array" ref="A284">IFERROR(
 IF(
   INDEX(Cartera1017[ID Mantenimiento],ROW(A282))=0,
   "",
   INDEX(Cartera1017[ID Mantenimiento],ROW(A282))
 ),
 ""
)</f>
        <v/>
      </c>
      <c r="B284" s="376" t="str" cm="1">
        <f t="array" ref="B284">IFERROR(INDEX(Cartera1017[Nombre del Requerimiento],ROW(A282)),"")</f>
        <v/>
      </c>
      <c r="C284" s="376" t="str" cm="1">
        <f t="array" ref="C284">IFERROR(INDEX(Cartera1017[indicador de Avance],ROW(A282)),"")</f>
        <v/>
      </c>
      <c r="D284" s="376" t="str" cm="1">
        <f t="array" ref="D284">IFERROR(INDEX(Cartera1017[Gerencia],ROW(A282)),"")</f>
        <v/>
      </c>
      <c r="E284" s="376" t="str" cm="1">
        <f t="array" ref="E284">IFERROR(INDEX(Cartera1017[Subgerencia],ROW(A282)),"")</f>
        <v/>
      </c>
      <c r="F284" s="376" t="str" cm="1">
        <f t="array" ref="F284">IFERROR(INDEX(Cartera1017[Sección],ROW(A282)),"")</f>
        <v/>
      </c>
      <c r="G284" s="376" t="str" cm="1">
        <f t="array" ref="G284">IFERROR(INDEX(Cartera1017[Estado TI],ROW(A282)),"")</f>
        <v/>
      </c>
      <c r="H284" s="463" t="str" cm="1">
        <f t="array" ref="H284">IFERROR(
 IF(
   INDEX(Cartera1017[Comienzo Desarrollo],ROW(A282))=0,
   "",
   INDEX(Cartera1017[Comienzo Desarrollo],ROW(A282))
 ),
 ""
)</f>
        <v/>
      </c>
      <c r="I284" s="463" t="str" cm="1">
        <f t="array" ref="I284">IFERROR(
 IF(
   INDEX(Cartera1017[Fin Producción],ROW(A282))=0,
   "",
   INDEX(Cartera1017[Fin Producción],ROW(A282))
 ),
 ""
)</f>
        <v/>
      </c>
    </row>
    <row r="285" spans="1:9">
      <c r="A285" s="376" t="str" cm="1">
        <f t="array" ref="A285">IFERROR(
 IF(
   INDEX(Cartera1017[ID Mantenimiento],ROW(A283))=0,
   "",
   INDEX(Cartera1017[ID Mantenimiento],ROW(A283))
 ),
 ""
)</f>
        <v/>
      </c>
      <c r="B285" s="376" t="str" cm="1">
        <f t="array" ref="B285">IFERROR(INDEX(Cartera1017[Nombre del Requerimiento],ROW(A283)),"")</f>
        <v/>
      </c>
      <c r="C285" s="376" t="str" cm="1">
        <f t="array" ref="C285">IFERROR(INDEX(Cartera1017[indicador de Avance],ROW(A283)),"")</f>
        <v/>
      </c>
      <c r="D285" s="376" t="str" cm="1">
        <f t="array" ref="D285">IFERROR(INDEX(Cartera1017[Gerencia],ROW(A283)),"")</f>
        <v/>
      </c>
      <c r="E285" s="376" t="str" cm="1">
        <f t="array" ref="E285">IFERROR(INDEX(Cartera1017[Subgerencia],ROW(A283)),"")</f>
        <v/>
      </c>
      <c r="F285" s="376" t="str" cm="1">
        <f t="array" ref="F285">IFERROR(INDEX(Cartera1017[Sección],ROW(A283)),"")</f>
        <v/>
      </c>
      <c r="G285" s="376" t="str" cm="1">
        <f t="array" ref="G285">IFERROR(INDEX(Cartera1017[Estado TI],ROW(A283)),"")</f>
        <v/>
      </c>
      <c r="H285" s="463" t="str" cm="1">
        <f t="array" ref="H285">IFERROR(
 IF(
   INDEX(Cartera1017[Comienzo Desarrollo],ROW(A283))=0,
   "",
   INDEX(Cartera1017[Comienzo Desarrollo],ROW(A283))
 ),
 ""
)</f>
        <v/>
      </c>
      <c r="I285" s="463" t="str" cm="1">
        <f t="array" ref="I285">IFERROR(
 IF(
   INDEX(Cartera1017[Fin Producción],ROW(A283))=0,
   "",
   INDEX(Cartera1017[Fin Producción],ROW(A283))
 ),
 ""
)</f>
        <v/>
      </c>
    </row>
    <row r="286" spans="1:9">
      <c r="A286" s="376" t="str" cm="1">
        <f t="array" ref="A286">IFERROR(
 IF(
   INDEX(Cartera1017[ID Mantenimiento],ROW(A284))=0,
   "",
   INDEX(Cartera1017[ID Mantenimiento],ROW(A284))
 ),
 ""
)</f>
        <v/>
      </c>
      <c r="B286" s="376" t="str" cm="1">
        <f t="array" ref="B286">IFERROR(INDEX(Cartera1017[Nombre del Requerimiento],ROW(A284)),"")</f>
        <v/>
      </c>
      <c r="C286" s="376" t="str" cm="1">
        <f t="array" ref="C286">IFERROR(INDEX(Cartera1017[indicador de Avance],ROW(A284)),"")</f>
        <v/>
      </c>
      <c r="D286" s="376" t="str" cm="1">
        <f t="array" ref="D286">IFERROR(INDEX(Cartera1017[Gerencia],ROW(A284)),"")</f>
        <v/>
      </c>
      <c r="E286" s="376" t="str" cm="1">
        <f t="array" ref="E286">IFERROR(INDEX(Cartera1017[Subgerencia],ROW(A284)),"")</f>
        <v/>
      </c>
      <c r="F286" s="376" t="str" cm="1">
        <f t="array" ref="F286">IFERROR(INDEX(Cartera1017[Sección],ROW(A284)),"")</f>
        <v/>
      </c>
      <c r="G286" s="376" t="str" cm="1">
        <f t="array" ref="G286">IFERROR(INDEX(Cartera1017[Estado TI],ROW(A284)),"")</f>
        <v/>
      </c>
      <c r="H286" s="463" t="str" cm="1">
        <f t="array" ref="H286">IFERROR(
 IF(
   INDEX(Cartera1017[Comienzo Desarrollo],ROW(A284))=0,
   "",
   INDEX(Cartera1017[Comienzo Desarrollo],ROW(A284))
 ),
 ""
)</f>
        <v/>
      </c>
      <c r="I286" s="463" t="str" cm="1">
        <f t="array" ref="I286">IFERROR(
 IF(
   INDEX(Cartera1017[Fin Producción],ROW(A284))=0,
   "",
   INDEX(Cartera1017[Fin Producción],ROW(A284))
 ),
 ""
)</f>
        <v/>
      </c>
    </row>
    <row r="287" spans="1:9">
      <c r="A287" s="376" t="str" cm="1">
        <f t="array" ref="A287">IFERROR(
 IF(
   INDEX(Cartera1017[ID Mantenimiento],ROW(A285))=0,
   "",
   INDEX(Cartera1017[ID Mantenimiento],ROW(A285))
 ),
 ""
)</f>
        <v/>
      </c>
      <c r="B287" s="376" t="str" cm="1">
        <f t="array" ref="B287">IFERROR(INDEX(Cartera1017[Nombre del Requerimiento],ROW(A285)),"")</f>
        <v/>
      </c>
      <c r="C287" s="376" t="str" cm="1">
        <f t="array" ref="C287">IFERROR(INDEX(Cartera1017[indicador de Avance],ROW(A285)),"")</f>
        <v/>
      </c>
      <c r="D287" s="376" t="str" cm="1">
        <f t="array" ref="D287">IFERROR(INDEX(Cartera1017[Gerencia],ROW(A285)),"")</f>
        <v/>
      </c>
      <c r="E287" s="376" t="str" cm="1">
        <f t="array" ref="E287">IFERROR(INDEX(Cartera1017[Subgerencia],ROW(A285)),"")</f>
        <v/>
      </c>
      <c r="F287" s="376" t="str" cm="1">
        <f t="array" ref="F287">IFERROR(INDEX(Cartera1017[Sección],ROW(A285)),"")</f>
        <v/>
      </c>
      <c r="G287" s="376" t="str" cm="1">
        <f t="array" ref="G287">IFERROR(INDEX(Cartera1017[Estado TI],ROW(A285)),"")</f>
        <v/>
      </c>
      <c r="H287" s="463" t="str" cm="1">
        <f t="array" ref="H287">IFERROR(
 IF(
   INDEX(Cartera1017[Comienzo Desarrollo],ROW(A285))=0,
   "",
   INDEX(Cartera1017[Comienzo Desarrollo],ROW(A285))
 ),
 ""
)</f>
        <v/>
      </c>
      <c r="I287" s="463" t="str" cm="1">
        <f t="array" ref="I287">IFERROR(
 IF(
   INDEX(Cartera1017[Fin Producción],ROW(A285))=0,
   "",
   INDEX(Cartera1017[Fin Producción],ROW(A285))
 ),
 ""
)</f>
        <v/>
      </c>
    </row>
    <row r="288" spans="1:9">
      <c r="A288" s="376" t="str" cm="1">
        <f t="array" ref="A288">IFERROR(
 IF(
   INDEX(Cartera1017[ID Mantenimiento],ROW(A286))=0,
   "",
   INDEX(Cartera1017[ID Mantenimiento],ROW(A286))
 ),
 ""
)</f>
        <v/>
      </c>
      <c r="B288" s="376" t="str" cm="1">
        <f t="array" ref="B288">IFERROR(INDEX(Cartera1017[Nombre del Requerimiento],ROW(A286)),"")</f>
        <v/>
      </c>
      <c r="C288" s="376" t="str" cm="1">
        <f t="array" ref="C288">IFERROR(INDEX(Cartera1017[indicador de Avance],ROW(A286)),"")</f>
        <v/>
      </c>
      <c r="D288" s="376" t="str" cm="1">
        <f t="array" ref="D288">IFERROR(INDEX(Cartera1017[Gerencia],ROW(A286)),"")</f>
        <v/>
      </c>
      <c r="E288" s="376" t="str" cm="1">
        <f t="array" ref="E288">IFERROR(INDEX(Cartera1017[Subgerencia],ROW(A286)),"")</f>
        <v/>
      </c>
      <c r="F288" s="376" t="str" cm="1">
        <f t="array" ref="F288">IFERROR(INDEX(Cartera1017[Sección],ROW(A286)),"")</f>
        <v/>
      </c>
      <c r="G288" s="376" t="str" cm="1">
        <f t="array" ref="G288">IFERROR(INDEX(Cartera1017[Estado TI],ROW(A286)),"")</f>
        <v/>
      </c>
      <c r="H288" s="463" t="str" cm="1">
        <f t="array" ref="H288">IFERROR(
 IF(
   INDEX(Cartera1017[Comienzo Desarrollo],ROW(A286))=0,
   "",
   INDEX(Cartera1017[Comienzo Desarrollo],ROW(A286))
 ),
 ""
)</f>
        <v/>
      </c>
      <c r="I288" s="463" t="str" cm="1">
        <f t="array" ref="I288">IFERROR(
 IF(
   INDEX(Cartera1017[Fin Producción],ROW(A286))=0,
   "",
   INDEX(Cartera1017[Fin Producción],ROW(A286))
 ),
 ""
)</f>
        <v/>
      </c>
    </row>
    <row r="289" spans="1:9">
      <c r="A289" s="376" t="str" cm="1">
        <f t="array" ref="A289">IFERROR(
 IF(
   INDEX(Cartera1017[ID Mantenimiento],ROW(A287))=0,
   "",
   INDEX(Cartera1017[ID Mantenimiento],ROW(A287))
 ),
 ""
)</f>
        <v/>
      </c>
      <c r="B289" s="376" t="str" cm="1">
        <f t="array" ref="B289">IFERROR(INDEX(Cartera1017[Nombre del Requerimiento],ROW(A287)),"")</f>
        <v/>
      </c>
      <c r="C289" s="376" t="str" cm="1">
        <f t="array" ref="C289">IFERROR(INDEX(Cartera1017[indicador de Avance],ROW(A287)),"")</f>
        <v/>
      </c>
      <c r="D289" s="376" t="str" cm="1">
        <f t="array" ref="D289">IFERROR(INDEX(Cartera1017[Gerencia],ROW(A287)),"")</f>
        <v/>
      </c>
      <c r="E289" s="376" t="str" cm="1">
        <f t="array" ref="E289">IFERROR(INDEX(Cartera1017[Subgerencia],ROW(A287)),"")</f>
        <v/>
      </c>
      <c r="F289" s="376" t="str" cm="1">
        <f t="array" ref="F289">IFERROR(INDEX(Cartera1017[Sección],ROW(A287)),"")</f>
        <v/>
      </c>
      <c r="G289" s="376" t="str" cm="1">
        <f t="array" ref="G289">IFERROR(INDEX(Cartera1017[Estado TI],ROW(A287)),"")</f>
        <v/>
      </c>
      <c r="H289" s="463" t="str" cm="1">
        <f t="array" ref="H289">IFERROR(
 IF(
   INDEX(Cartera1017[Comienzo Desarrollo],ROW(A287))=0,
   "",
   INDEX(Cartera1017[Comienzo Desarrollo],ROW(A287))
 ),
 ""
)</f>
        <v/>
      </c>
      <c r="I289" s="463" t="str" cm="1">
        <f t="array" ref="I289">IFERROR(
 IF(
   INDEX(Cartera1017[Fin Producción],ROW(A287))=0,
   "",
   INDEX(Cartera1017[Fin Producción],ROW(A287))
 ),
 ""
)</f>
        <v/>
      </c>
    </row>
    <row r="290" spans="1:9">
      <c r="A290" s="376" t="str" cm="1">
        <f t="array" ref="A290">IFERROR(
 IF(
   INDEX(Cartera1017[ID Mantenimiento],ROW(A288))=0,
   "",
   INDEX(Cartera1017[ID Mantenimiento],ROW(A288))
 ),
 ""
)</f>
        <v/>
      </c>
      <c r="B290" s="376" t="str" cm="1">
        <f t="array" ref="B290">IFERROR(INDEX(Cartera1017[Nombre del Requerimiento],ROW(A288)),"")</f>
        <v/>
      </c>
      <c r="C290" s="376" t="str" cm="1">
        <f t="array" ref="C290">IFERROR(INDEX(Cartera1017[indicador de Avance],ROW(A288)),"")</f>
        <v/>
      </c>
      <c r="D290" s="376" t="str" cm="1">
        <f t="array" ref="D290">IFERROR(INDEX(Cartera1017[Gerencia],ROW(A288)),"")</f>
        <v/>
      </c>
      <c r="E290" s="376" t="str" cm="1">
        <f t="array" ref="E290">IFERROR(INDEX(Cartera1017[Subgerencia],ROW(A288)),"")</f>
        <v/>
      </c>
      <c r="F290" s="376" t="str" cm="1">
        <f t="array" ref="F290">IFERROR(INDEX(Cartera1017[Sección],ROW(A288)),"")</f>
        <v/>
      </c>
      <c r="G290" s="376" t="str" cm="1">
        <f t="array" ref="G290">IFERROR(INDEX(Cartera1017[Estado TI],ROW(A288)),"")</f>
        <v/>
      </c>
      <c r="H290" s="463" t="str" cm="1">
        <f t="array" ref="H290">IFERROR(
 IF(
   INDEX(Cartera1017[Comienzo Desarrollo],ROW(A288))=0,
   "",
   INDEX(Cartera1017[Comienzo Desarrollo],ROW(A288))
 ),
 ""
)</f>
        <v/>
      </c>
      <c r="I290" s="463" t="str" cm="1">
        <f t="array" ref="I290">IFERROR(
 IF(
   INDEX(Cartera1017[Fin Producción],ROW(A288))=0,
   "",
   INDEX(Cartera1017[Fin Producción],ROW(A288))
 ),
 ""
)</f>
        <v/>
      </c>
    </row>
    <row r="291" spans="1:9">
      <c r="A291" s="376" t="str" cm="1">
        <f t="array" ref="A291">IFERROR(
 IF(
   INDEX(Cartera1017[ID Mantenimiento],ROW(A289))=0,
   "",
   INDEX(Cartera1017[ID Mantenimiento],ROW(A289))
 ),
 ""
)</f>
        <v/>
      </c>
      <c r="B291" s="376" t="str" cm="1">
        <f t="array" ref="B291">IFERROR(INDEX(Cartera1017[Nombre del Requerimiento],ROW(A289)),"")</f>
        <v/>
      </c>
      <c r="C291" s="376" t="str" cm="1">
        <f t="array" ref="C291">IFERROR(INDEX(Cartera1017[indicador de Avance],ROW(A289)),"")</f>
        <v/>
      </c>
      <c r="D291" s="376" t="str" cm="1">
        <f t="array" ref="D291">IFERROR(INDEX(Cartera1017[Gerencia],ROW(A289)),"")</f>
        <v/>
      </c>
      <c r="E291" s="376" t="str" cm="1">
        <f t="array" ref="E291">IFERROR(INDEX(Cartera1017[Subgerencia],ROW(A289)),"")</f>
        <v/>
      </c>
      <c r="F291" s="376" t="str" cm="1">
        <f t="array" ref="F291">IFERROR(INDEX(Cartera1017[Sección],ROW(A289)),"")</f>
        <v/>
      </c>
      <c r="G291" s="376" t="str" cm="1">
        <f t="array" ref="G291">IFERROR(INDEX(Cartera1017[Estado TI],ROW(A289)),"")</f>
        <v/>
      </c>
      <c r="H291" s="463" t="str" cm="1">
        <f t="array" ref="H291">IFERROR(
 IF(
   INDEX(Cartera1017[Comienzo Desarrollo],ROW(A289))=0,
   "",
   INDEX(Cartera1017[Comienzo Desarrollo],ROW(A289))
 ),
 ""
)</f>
        <v/>
      </c>
      <c r="I291" s="463" t="str" cm="1">
        <f t="array" ref="I291">IFERROR(
 IF(
   INDEX(Cartera1017[Fin Producción],ROW(A289))=0,
   "",
   INDEX(Cartera1017[Fin Producción],ROW(A289))
 ),
 ""
)</f>
        <v/>
      </c>
    </row>
    <row r="292" spans="1:9">
      <c r="A292" s="376" t="str" cm="1">
        <f t="array" ref="A292">IFERROR(
 IF(
   INDEX(Cartera1017[ID Mantenimiento],ROW(A290))=0,
   "",
   INDEX(Cartera1017[ID Mantenimiento],ROW(A290))
 ),
 ""
)</f>
        <v/>
      </c>
      <c r="B292" s="376" t="str" cm="1">
        <f t="array" ref="B292">IFERROR(INDEX(Cartera1017[Nombre del Requerimiento],ROW(A290)),"")</f>
        <v/>
      </c>
      <c r="C292" s="376" t="str" cm="1">
        <f t="array" ref="C292">IFERROR(INDEX(Cartera1017[indicador de Avance],ROW(A290)),"")</f>
        <v/>
      </c>
      <c r="D292" s="376" t="str" cm="1">
        <f t="array" ref="D292">IFERROR(INDEX(Cartera1017[Gerencia],ROW(A290)),"")</f>
        <v/>
      </c>
      <c r="E292" s="376" t="str" cm="1">
        <f t="array" ref="E292">IFERROR(INDEX(Cartera1017[Subgerencia],ROW(A290)),"")</f>
        <v/>
      </c>
      <c r="F292" s="376" t="str" cm="1">
        <f t="array" ref="F292">IFERROR(INDEX(Cartera1017[Sección],ROW(A290)),"")</f>
        <v/>
      </c>
      <c r="G292" s="376" t="str" cm="1">
        <f t="array" ref="G292">IFERROR(INDEX(Cartera1017[Estado TI],ROW(A290)),"")</f>
        <v/>
      </c>
      <c r="H292" s="463" t="str" cm="1">
        <f t="array" ref="H292">IFERROR(
 IF(
   INDEX(Cartera1017[Comienzo Desarrollo],ROW(A290))=0,
   "",
   INDEX(Cartera1017[Comienzo Desarrollo],ROW(A290))
 ),
 ""
)</f>
        <v/>
      </c>
      <c r="I292" s="463" t="str" cm="1">
        <f t="array" ref="I292">IFERROR(
 IF(
   INDEX(Cartera1017[Fin Producción],ROW(A290))=0,
   "",
   INDEX(Cartera1017[Fin Producción],ROW(A290))
 ),
 ""
)</f>
        <v/>
      </c>
    </row>
    <row r="293" spans="1:9">
      <c r="A293" s="376" t="str" cm="1">
        <f t="array" ref="A293">IFERROR(
 IF(
   INDEX(Cartera1017[ID Mantenimiento],ROW(A291))=0,
   "",
   INDEX(Cartera1017[ID Mantenimiento],ROW(A291))
 ),
 ""
)</f>
        <v/>
      </c>
      <c r="B293" s="376" t="str" cm="1">
        <f t="array" ref="B293">IFERROR(INDEX(Cartera1017[Nombre del Requerimiento],ROW(A291)),"")</f>
        <v/>
      </c>
      <c r="C293" s="376" t="str" cm="1">
        <f t="array" ref="C293">IFERROR(INDEX(Cartera1017[indicador de Avance],ROW(A291)),"")</f>
        <v/>
      </c>
      <c r="D293" s="376" t="str" cm="1">
        <f t="array" ref="D293">IFERROR(INDEX(Cartera1017[Gerencia],ROW(A291)),"")</f>
        <v/>
      </c>
      <c r="E293" s="376" t="str" cm="1">
        <f t="array" ref="E293">IFERROR(INDEX(Cartera1017[Subgerencia],ROW(A291)),"")</f>
        <v/>
      </c>
      <c r="F293" s="376" t="str" cm="1">
        <f t="array" ref="F293">IFERROR(INDEX(Cartera1017[Sección],ROW(A291)),"")</f>
        <v/>
      </c>
      <c r="G293" s="376" t="str" cm="1">
        <f t="array" ref="G293">IFERROR(INDEX(Cartera1017[Estado TI],ROW(A291)),"")</f>
        <v/>
      </c>
      <c r="H293" s="463" t="str" cm="1">
        <f t="array" ref="H293">IFERROR(
 IF(
   INDEX(Cartera1017[Comienzo Desarrollo],ROW(A291))=0,
   "",
   INDEX(Cartera1017[Comienzo Desarrollo],ROW(A291))
 ),
 ""
)</f>
        <v/>
      </c>
      <c r="I293" s="463" t="str" cm="1">
        <f t="array" ref="I293">IFERROR(
 IF(
   INDEX(Cartera1017[Fin Producción],ROW(A291))=0,
   "",
   INDEX(Cartera1017[Fin Producción],ROW(A291))
 ),
 ""
)</f>
        <v/>
      </c>
    </row>
    <row r="294" spans="1:9">
      <c r="A294" s="376" t="str" cm="1">
        <f t="array" ref="A294">IFERROR(
 IF(
   INDEX(Cartera1017[ID Mantenimiento],ROW(A292))=0,
   "",
   INDEX(Cartera1017[ID Mantenimiento],ROW(A292))
 ),
 ""
)</f>
        <v/>
      </c>
      <c r="B294" s="376" t="str" cm="1">
        <f t="array" ref="B294">IFERROR(INDEX(Cartera1017[Nombre del Requerimiento],ROW(A292)),"")</f>
        <v/>
      </c>
      <c r="C294" s="376" t="str" cm="1">
        <f t="array" ref="C294">IFERROR(INDEX(Cartera1017[indicador de Avance],ROW(A292)),"")</f>
        <v/>
      </c>
      <c r="D294" s="376" t="str" cm="1">
        <f t="array" ref="D294">IFERROR(INDEX(Cartera1017[Gerencia],ROW(A292)),"")</f>
        <v/>
      </c>
      <c r="E294" s="376" t="str" cm="1">
        <f t="array" ref="E294">IFERROR(INDEX(Cartera1017[Subgerencia],ROW(A292)),"")</f>
        <v/>
      </c>
      <c r="F294" s="376" t="str" cm="1">
        <f t="array" ref="F294">IFERROR(INDEX(Cartera1017[Sección],ROW(A292)),"")</f>
        <v/>
      </c>
      <c r="G294" s="376" t="str" cm="1">
        <f t="array" ref="G294">IFERROR(INDEX(Cartera1017[Estado TI],ROW(A292)),"")</f>
        <v/>
      </c>
      <c r="H294" s="463" t="str" cm="1">
        <f t="array" ref="H294">IFERROR(
 IF(
   INDEX(Cartera1017[Comienzo Desarrollo],ROW(A292))=0,
   "",
   INDEX(Cartera1017[Comienzo Desarrollo],ROW(A292))
 ),
 ""
)</f>
        <v/>
      </c>
      <c r="I294" s="463" t="str" cm="1">
        <f t="array" ref="I294">IFERROR(
 IF(
   INDEX(Cartera1017[Fin Producción],ROW(A292))=0,
   "",
   INDEX(Cartera1017[Fin Producción],ROW(A292))
 ),
 ""
)</f>
        <v/>
      </c>
    </row>
    <row r="295" spans="1:9">
      <c r="A295" s="376" t="str" cm="1">
        <f t="array" ref="A295">IFERROR(
 IF(
   INDEX(Cartera1017[ID Mantenimiento],ROW(A293))=0,
   "",
   INDEX(Cartera1017[ID Mantenimiento],ROW(A293))
 ),
 ""
)</f>
        <v/>
      </c>
      <c r="B295" s="376" t="str" cm="1">
        <f t="array" ref="B295">IFERROR(INDEX(Cartera1017[Nombre del Requerimiento],ROW(A293)),"")</f>
        <v/>
      </c>
      <c r="C295" s="376" t="str" cm="1">
        <f t="array" ref="C295">IFERROR(INDEX(Cartera1017[indicador de Avance],ROW(A293)),"")</f>
        <v/>
      </c>
      <c r="D295" s="376" t="str" cm="1">
        <f t="array" ref="D295">IFERROR(INDEX(Cartera1017[Gerencia],ROW(A293)),"")</f>
        <v/>
      </c>
      <c r="E295" s="376" t="str" cm="1">
        <f t="array" ref="E295">IFERROR(INDEX(Cartera1017[Subgerencia],ROW(A293)),"")</f>
        <v/>
      </c>
      <c r="F295" s="376" t="str" cm="1">
        <f t="array" ref="F295">IFERROR(INDEX(Cartera1017[Sección],ROW(A293)),"")</f>
        <v/>
      </c>
      <c r="G295" s="376" t="str" cm="1">
        <f t="array" ref="G295">IFERROR(INDEX(Cartera1017[Estado TI],ROW(A293)),"")</f>
        <v/>
      </c>
      <c r="H295" s="463" t="str" cm="1">
        <f t="array" ref="H295">IFERROR(
 IF(
   INDEX(Cartera1017[Comienzo Desarrollo],ROW(A293))=0,
   "",
   INDEX(Cartera1017[Comienzo Desarrollo],ROW(A293))
 ),
 ""
)</f>
        <v/>
      </c>
      <c r="I295" s="463" t="str" cm="1">
        <f t="array" ref="I295">IFERROR(
 IF(
   INDEX(Cartera1017[Fin Producción],ROW(A293))=0,
   "",
   INDEX(Cartera1017[Fin Producción],ROW(A293))
 ),
 ""
)</f>
        <v/>
      </c>
    </row>
    <row r="296" spans="1:9">
      <c r="A296" s="376" t="str" cm="1">
        <f t="array" ref="A296">IFERROR(
 IF(
   INDEX(Cartera1017[ID Mantenimiento],ROW(A294))=0,
   "",
   INDEX(Cartera1017[ID Mantenimiento],ROW(A294))
 ),
 ""
)</f>
        <v/>
      </c>
      <c r="B296" s="376" t="str" cm="1">
        <f t="array" ref="B296">IFERROR(INDEX(Cartera1017[Nombre del Requerimiento],ROW(A294)),"")</f>
        <v/>
      </c>
      <c r="C296" s="376" t="str" cm="1">
        <f t="array" ref="C296">IFERROR(INDEX(Cartera1017[indicador de Avance],ROW(A294)),"")</f>
        <v/>
      </c>
      <c r="D296" s="376" t="str" cm="1">
        <f t="array" ref="D296">IFERROR(INDEX(Cartera1017[Gerencia],ROW(A294)),"")</f>
        <v/>
      </c>
      <c r="E296" s="376" t="str" cm="1">
        <f t="array" ref="E296">IFERROR(INDEX(Cartera1017[Subgerencia],ROW(A294)),"")</f>
        <v/>
      </c>
      <c r="F296" s="376" t="str" cm="1">
        <f t="array" ref="F296">IFERROR(INDEX(Cartera1017[Sección],ROW(A294)),"")</f>
        <v/>
      </c>
      <c r="G296" s="376" t="str" cm="1">
        <f t="array" ref="G296">IFERROR(INDEX(Cartera1017[Estado TI],ROW(A294)),"")</f>
        <v/>
      </c>
      <c r="H296" s="463" t="str" cm="1">
        <f t="array" ref="H296">IFERROR(
 IF(
   INDEX(Cartera1017[Comienzo Desarrollo],ROW(A294))=0,
   "",
   INDEX(Cartera1017[Comienzo Desarrollo],ROW(A294))
 ),
 ""
)</f>
        <v/>
      </c>
      <c r="I296" s="463" t="str" cm="1">
        <f t="array" ref="I296">IFERROR(
 IF(
   INDEX(Cartera1017[Fin Producción],ROW(A294))=0,
   "",
   INDEX(Cartera1017[Fin Producción],ROW(A294))
 ),
 ""
)</f>
        <v/>
      </c>
    </row>
    <row r="297" spans="1:9">
      <c r="A297" s="376" t="str" cm="1">
        <f t="array" ref="A297">IFERROR(
 IF(
   INDEX(Cartera1017[ID Mantenimiento],ROW(A295))=0,
   "",
   INDEX(Cartera1017[ID Mantenimiento],ROW(A295))
 ),
 ""
)</f>
        <v/>
      </c>
      <c r="B297" s="376" t="str" cm="1">
        <f t="array" ref="B297">IFERROR(INDEX(Cartera1017[Nombre del Requerimiento],ROW(A295)),"")</f>
        <v/>
      </c>
      <c r="C297" s="376" t="str" cm="1">
        <f t="array" ref="C297">IFERROR(INDEX(Cartera1017[indicador de Avance],ROW(A295)),"")</f>
        <v/>
      </c>
      <c r="D297" s="376" t="str" cm="1">
        <f t="array" ref="D297">IFERROR(INDEX(Cartera1017[Gerencia],ROW(A295)),"")</f>
        <v/>
      </c>
      <c r="E297" s="376" t="str" cm="1">
        <f t="array" ref="E297">IFERROR(INDEX(Cartera1017[Subgerencia],ROW(A295)),"")</f>
        <v/>
      </c>
      <c r="F297" s="376" t="str" cm="1">
        <f t="array" ref="F297">IFERROR(INDEX(Cartera1017[Sección],ROW(A295)),"")</f>
        <v/>
      </c>
      <c r="G297" s="376" t="str" cm="1">
        <f t="array" ref="G297">IFERROR(INDEX(Cartera1017[Estado TI],ROW(A295)),"")</f>
        <v/>
      </c>
      <c r="H297" s="463" t="str" cm="1">
        <f t="array" ref="H297">IFERROR(
 IF(
   INDEX(Cartera1017[Comienzo Desarrollo],ROW(A295))=0,
   "",
   INDEX(Cartera1017[Comienzo Desarrollo],ROW(A295))
 ),
 ""
)</f>
        <v/>
      </c>
      <c r="I297" s="463" t="str" cm="1">
        <f t="array" ref="I297">IFERROR(
 IF(
   INDEX(Cartera1017[Fin Producción],ROW(A295))=0,
   "",
   INDEX(Cartera1017[Fin Producción],ROW(A295))
 ),
 ""
)</f>
        <v/>
      </c>
    </row>
    <row r="298" spans="1:9">
      <c r="A298" s="376" t="str" cm="1">
        <f t="array" ref="A298">IFERROR(
 IF(
   INDEX(Cartera1017[ID Mantenimiento],ROW(A296))=0,
   "",
   INDEX(Cartera1017[ID Mantenimiento],ROW(A296))
 ),
 ""
)</f>
        <v/>
      </c>
      <c r="B298" s="376" t="str" cm="1">
        <f t="array" ref="B298">IFERROR(INDEX(Cartera1017[Nombre del Requerimiento],ROW(A296)),"")</f>
        <v/>
      </c>
      <c r="C298" s="376" t="str" cm="1">
        <f t="array" ref="C298">IFERROR(INDEX(Cartera1017[indicador de Avance],ROW(A296)),"")</f>
        <v/>
      </c>
      <c r="D298" s="376" t="str" cm="1">
        <f t="array" ref="D298">IFERROR(INDEX(Cartera1017[Gerencia],ROW(A296)),"")</f>
        <v/>
      </c>
      <c r="E298" s="376" t="str" cm="1">
        <f t="array" ref="E298">IFERROR(INDEX(Cartera1017[Subgerencia],ROW(A296)),"")</f>
        <v/>
      </c>
      <c r="F298" s="376" t="str" cm="1">
        <f t="array" ref="F298">IFERROR(INDEX(Cartera1017[Sección],ROW(A296)),"")</f>
        <v/>
      </c>
      <c r="G298" s="376" t="str" cm="1">
        <f t="array" ref="G298">IFERROR(INDEX(Cartera1017[Estado TI],ROW(A296)),"")</f>
        <v/>
      </c>
      <c r="H298" s="463" t="str" cm="1">
        <f t="array" ref="H298">IFERROR(
 IF(
   INDEX(Cartera1017[Comienzo Desarrollo],ROW(A296))=0,
   "",
   INDEX(Cartera1017[Comienzo Desarrollo],ROW(A296))
 ),
 ""
)</f>
        <v/>
      </c>
      <c r="I298" s="463" t="str" cm="1">
        <f t="array" ref="I298">IFERROR(
 IF(
   INDEX(Cartera1017[Fin Producción],ROW(A296))=0,
   "",
   INDEX(Cartera1017[Fin Producción],ROW(A296))
 ),
 ""
)</f>
        <v/>
      </c>
    </row>
    <row r="299" spans="1:9">
      <c r="A299" s="376" t="str" cm="1">
        <f t="array" ref="A299">IFERROR(
 IF(
   INDEX(Cartera1017[ID Mantenimiento],ROW(A297))=0,
   "",
   INDEX(Cartera1017[ID Mantenimiento],ROW(A297))
 ),
 ""
)</f>
        <v/>
      </c>
      <c r="B299" s="376" t="str" cm="1">
        <f t="array" ref="B299">IFERROR(INDEX(Cartera1017[Nombre del Requerimiento],ROW(A297)),"")</f>
        <v/>
      </c>
      <c r="C299" s="376" t="str" cm="1">
        <f t="array" ref="C299">IFERROR(INDEX(Cartera1017[indicador de Avance],ROW(A297)),"")</f>
        <v/>
      </c>
      <c r="D299" s="376" t="str" cm="1">
        <f t="array" ref="D299">IFERROR(INDEX(Cartera1017[Gerencia],ROW(A297)),"")</f>
        <v/>
      </c>
      <c r="E299" s="376" t="str" cm="1">
        <f t="array" ref="E299">IFERROR(INDEX(Cartera1017[Subgerencia],ROW(A297)),"")</f>
        <v/>
      </c>
      <c r="F299" s="376" t="str" cm="1">
        <f t="array" ref="F299">IFERROR(INDEX(Cartera1017[Sección],ROW(A297)),"")</f>
        <v/>
      </c>
      <c r="G299" s="376" t="str" cm="1">
        <f t="array" ref="G299">IFERROR(INDEX(Cartera1017[Estado TI],ROW(A297)),"")</f>
        <v/>
      </c>
      <c r="H299" s="463" t="str" cm="1">
        <f t="array" ref="H299">IFERROR(
 IF(
   INDEX(Cartera1017[Comienzo Desarrollo],ROW(A297))=0,
   "",
   INDEX(Cartera1017[Comienzo Desarrollo],ROW(A297))
 ),
 ""
)</f>
        <v/>
      </c>
      <c r="I299" s="463" t="str" cm="1">
        <f t="array" ref="I299">IFERROR(
 IF(
   INDEX(Cartera1017[Fin Producción],ROW(A297))=0,
   "",
   INDEX(Cartera1017[Fin Producción],ROW(A297))
 ),
 ""
)</f>
        <v/>
      </c>
    </row>
    <row r="300" spans="1:9">
      <c r="A300" s="376" t="str" cm="1">
        <f t="array" ref="A300">IFERROR(
 IF(
   INDEX(Cartera1017[ID Mantenimiento],ROW(A298))=0,
   "",
   INDEX(Cartera1017[ID Mantenimiento],ROW(A298))
 ),
 ""
)</f>
        <v/>
      </c>
      <c r="B300" s="376" t="str" cm="1">
        <f t="array" ref="B300">IFERROR(INDEX(Cartera1017[Nombre del Requerimiento],ROW(A298)),"")</f>
        <v/>
      </c>
      <c r="C300" s="376" t="str" cm="1">
        <f t="array" ref="C300">IFERROR(INDEX(Cartera1017[indicador de Avance],ROW(A298)),"")</f>
        <v/>
      </c>
      <c r="D300" s="376" t="str" cm="1">
        <f t="array" ref="D300">IFERROR(INDEX(Cartera1017[Gerencia],ROW(A298)),"")</f>
        <v/>
      </c>
      <c r="E300" s="376" t="str" cm="1">
        <f t="array" ref="E300">IFERROR(INDEX(Cartera1017[Subgerencia],ROW(A298)),"")</f>
        <v/>
      </c>
      <c r="F300" s="376" t="str" cm="1">
        <f t="array" ref="F300">IFERROR(INDEX(Cartera1017[Sección],ROW(A298)),"")</f>
        <v/>
      </c>
      <c r="G300" s="376" t="str" cm="1">
        <f t="array" ref="G300">IFERROR(INDEX(Cartera1017[Estado TI],ROW(A298)),"")</f>
        <v/>
      </c>
      <c r="H300" s="463" t="str" cm="1">
        <f t="array" ref="H300">IFERROR(
 IF(
   INDEX(Cartera1017[Comienzo Desarrollo],ROW(A298))=0,
   "",
   INDEX(Cartera1017[Comienzo Desarrollo],ROW(A298))
 ),
 ""
)</f>
        <v/>
      </c>
      <c r="I300" s="463" t="str" cm="1">
        <f t="array" ref="I300">IFERROR(
 IF(
   INDEX(Cartera1017[Fin Producción],ROW(A298))=0,
   "",
   INDEX(Cartera1017[Fin Producción],ROW(A298))
 ),
 ""
)</f>
        <v/>
      </c>
    </row>
    <row r="301" spans="1:9">
      <c r="A301" s="376" t="str" cm="1">
        <f t="array" ref="A301">IFERROR(
 IF(
   INDEX(Cartera1017[ID Mantenimiento],ROW(A299))=0,
   "",
   INDEX(Cartera1017[ID Mantenimiento],ROW(A299))
 ),
 ""
)</f>
        <v/>
      </c>
      <c r="B301" s="376" t="str" cm="1">
        <f t="array" ref="B301">IFERROR(INDEX(Cartera1017[Nombre del Requerimiento],ROW(A299)),"")</f>
        <v/>
      </c>
      <c r="C301" s="376" t="str" cm="1">
        <f t="array" ref="C301">IFERROR(INDEX(Cartera1017[indicador de Avance],ROW(A299)),"")</f>
        <v/>
      </c>
      <c r="D301" s="376" t="str" cm="1">
        <f t="array" ref="D301">IFERROR(INDEX(Cartera1017[Gerencia],ROW(A299)),"")</f>
        <v/>
      </c>
      <c r="E301" s="376" t="str" cm="1">
        <f t="array" ref="E301">IFERROR(INDEX(Cartera1017[Subgerencia],ROW(A299)),"")</f>
        <v/>
      </c>
      <c r="F301" s="376" t="str" cm="1">
        <f t="array" ref="F301">IFERROR(INDEX(Cartera1017[Sección],ROW(A299)),"")</f>
        <v/>
      </c>
      <c r="G301" s="376" t="str" cm="1">
        <f t="array" ref="G301">IFERROR(INDEX(Cartera1017[Estado TI],ROW(A299)),"")</f>
        <v/>
      </c>
      <c r="H301" s="463" t="str" cm="1">
        <f t="array" ref="H301">IFERROR(
 IF(
   INDEX(Cartera1017[Comienzo Desarrollo],ROW(A299))=0,
   "",
   INDEX(Cartera1017[Comienzo Desarrollo],ROW(A299))
 ),
 ""
)</f>
        <v/>
      </c>
      <c r="I301" s="463" t="str" cm="1">
        <f t="array" ref="I301">IFERROR(
 IF(
   INDEX(Cartera1017[Fin Producción],ROW(A299))=0,
   "",
   INDEX(Cartera1017[Fin Producción],ROW(A299))
 ),
 ""
)</f>
        <v/>
      </c>
    </row>
    <row r="302" spans="1:9">
      <c r="A302" s="376" t="str" cm="1">
        <f t="array" ref="A302">IFERROR(
 IF(
   INDEX(Cartera1017[ID Mantenimiento],ROW(A300))=0,
   "",
   INDEX(Cartera1017[ID Mantenimiento],ROW(A300))
 ),
 ""
)</f>
        <v/>
      </c>
      <c r="B302" s="376" t="str" cm="1">
        <f t="array" ref="B302">IFERROR(INDEX(Cartera1017[Nombre del Requerimiento],ROW(A300)),"")</f>
        <v/>
      </c>
      <c r="C302" s="376" t="str" cm="1">
        <f t="array" ref="C302">IFERROR(INDEX(Cartera1017[indicador de Avance],ROW(A300)),"")</f>
        <v/>
      </c>
      <c r="D302" s="376" t="str" cm="1">
        <f t="array" ref="D302">IFERROR(INDEX(Cartera1017[Gerencia],ROW(A300)),"")</f>
        <v/>
      </c>
      <c r="E302" s="376" t="str" cm="1">
        <f t="array" ref="E302">IFERROR(INDEX(Cartera1017[Subgerencia],ROW(A300)),"")</f>
        <v/>
      </c>
      <c r="F302" s="376" t="str" cm="1">
        <f t="array" ref="F302">IFERROR(INDEX(Cartera1017[Sección],ROW(A300)),"")</f>
        <v/>
      </c>
      <c r="G302" s="376" t="str" cm="1">
        <f t="array" ref="G302">IFERROR(INDEX(Cartera1017[Estado TI],ROW(A300)),"")</f>
        <v/>
      </c>
      <c r="H302" s="463" t="str" cm="1">
        <f t="array" ref="H302">IFERROR(
 IF(
   INDEX(Cartera1017[Comienzo Desarrollo],ROW(A300))=0,
   "",
   INDEX(Cartera1017[Comienzo Desarrollo],ROW(A300))
 ),
 ""
)</f>
        <v/>
      </c>
      <c r="I302" s="463" t="str" cm="1">
        <f t="array" ref="I302">IFERROR(
 IF(
   INDEX(Cartera1017[Fin Producción],ROW(A300))=0,
   "",
   INDEX(Cartera1017[Fin Producción],ROW(A300))
 ),
 ""
)</f>
        <v/>
      </c>
    </row>
    <row r="303" spans="1:9">
      <c r="A303" s="376" t="str" cm="1">
        <f t="array" ref="A303">IFERROR(
 IF(
   INDEX(Cartera1017[ID Mantenimiento],ROW(A301))=0,
   "",
   INDEX(Cartera1017[ID Mantenimiento],ROW(A301))
 ),
 ""
)</f>
        <v/>
      </c>
      <c r="B303" s="376" t="str" cm="1">
        <f t="array" ref="B303">IFERROR(INDEX(Cartera1017[Nombre del Requerimiento],ROW(A301)),"")</f>
        <v/>
      </c>
      <c r="C303" s="376" t="str" cm="1">
        <f t="array" ref="C303">IFERROR(INDEX(Cartera1017[indicador de Avance],ROW(A301)),"")</f>
        <v/>
      </c>
      <c r="D303" s="376" t="str" cm="1">
        <f t="array" ref="D303">IFERROR(INDEX(Cartera1017[Gerencia],ROW(A301)),"")</f>
        <v/>
      </c>
      <c r="E303" s="376" t="str" cm="1">
        <f t="array" ref="E303">IFERROR(INDEX(Cartera1017[Subgerencia],ROW(A301)),"")</f>
        <v/>
      </c>
      <c r="F303" s="376" t="str" cm="1">
        <f t="array" ref="F303">IFERROR(INDEX(Cartera1017[Sección],ROW(A301)),"")</f>
        <v/>
      </c>
      <c r="G303" s="376" t="str" cm="1">
        <f t="array" ref="G303">IFERROR(INDEX(Cartera1017[Estado TI],ROW(A301)),"")</f>
        <v/>
      </c>
      <c r="H303" s="463" t="str" cm="1">
        <f t="array" ref="H303">IFERROR(
 IF(
   INDEX(Cartera1017[Comienzo Desarrollo],ROW(A301))=0,
   "",
   INDEX(Cartera1017[Comienzo Desarrollo],ROW(A301))
 ),
 ""
)</f>
        <v/>
      </c>
      <c r="I303" s="463" t="str" cm="1">
        <f t="array" ref="I303">IFERROR(
 IF(
   INDEX(Cartera1017[Fin Producción],ROW(A301))=0,
   "",
   INDEX(Cartera1017[Fin Producción],ROW(A301))
 ),
 ""
)</f>
        <v/>
      </c>
    </row>
    <row r="304" spans="1:9">
      <c r="A304" s="376" t="str" cm="1">
        <f t="array" ref="A304">IFERROR(
 IF(
   INDEX(Cartera1017[ID Mantenimiento],ROW(A302))=0,
   "",
   INDEX(Cartera1017[ID Mantenimiento],ROW(A302))
 ),
 ""
)</f>
        <v/>
      </c>
      <c r="B304" s="376" t="str" cm="1">
        <f t="array" ref="B304">IFERROR(INDEX(Cartera1017[Nombre del Requerimiento],ROW(A302)),"")</f>
        <v/>
      </c>
      <c r="C304" s="376" t="str" cm="1">
        <f t="array" ref="C304">IFERROR(INDEX(Cartera1017[indicador de Avance],ROW(A302)),"")</f>
        <v/>
      </c>
      <c r="D304" s="376" t="str" cm="1">
        <f t="array" ref="D304">IFERROR(INDEX(Cartera1017[Gerencia],ROW(A302)),"")</f>
        <v/>
      </c>
      <c r="E304" s="376" t="str" cm="1">
        <f t="array" ref="E304">IFERROR(INDEX(Cartera1017[Subgerencia],ROW(A302)),"")</f>
        <v/>
      </c>
      <c r="F304" s="376" t="str" cm="1">
        <f t="array" ref="F304">IFERROR(INDEX(Cartera1017[Sección],ROW(A302)),"")</f>
        <v/>
      </c>
      <c r="G304" s="376" t="str" cm="1">
        <f t="array" ref="G304">IFERROR(INDEX(Cartera1017[Estado TI],ROW(A302)),"")</f>
        <v/>
      </c>
      <c r="H304" s="463" t="str" cm="1">
        <f t="array" ref="H304">IFERROR(
 IF(
   INDEX(Cartera1017[Comienzo Desarrollo],ROW(A302))=0,
   "",
   INDEX(Cartera1017[Comienzo Desarrollo],ROW(A302))
 ),
 ""
)</f>
        <v/>
      </c>
      <c r="I304" s="463" t="str" cm="1">
        <f t="array" ref="I304">IFERROR(
 IF(
   INDEX(Cartera1017[Fin Producción],ROW(A302))=0,
   "",
   INDEX(Cartera1017[Fin Producción],ROW(A302))
 ),
 ""
)</f>
        <v/>
      </c>
    </row>
    <row r="305" spans="1:9">
      <c r="A305" s="376" t="str" cm="1">
        <f t="array" ref="A305">IFERROR(
 IF(
   INDEX(Cartera1017[ID Mantenimiento],ROW(A303))=0,
   "",
   INDEX(Cartera1017[ID Mantenimiento],ROW(A303))
 ),
 ""
)</f>
        <v/>
      </c>
      <c r="B305" s="376" t="str" cm="1">
        <f t="array" ref="B305">IFERROR(INDEX(Cartera1017[Nombre del Requerimiento],ROW(A303)),"")</f>
        <v/>
      </c>
      <c r="C305" s="376" t="str" cm="1">
        <f t="array" ref="C305">IFERROR(INDEX(Cartera1017[indicador de Avance],ROW(A303)),"")</f>
        <v/>
      </c>
      <c r="D305" s="376" t="str" cm="1">
        <f t="array" ref="D305">IFERROR(INDEX(Cartera1017[Gerencia],ROW(A303)),"")</f>
        <v/>
      </c>
      <c r="E305" s="376" t="str" cm="1">
        <f t="array" ref="E305">IFERROR(INDEX(Cartera1017[Subgerencia],ROW(A303)),"")</f>
        <v/>
      </c>
      <c r="F305" s="376" t="str" cm="1">
        <f t="array" ref="F305">IFERROR(INDEX(Cartera1017[Sección],ROW(A303)),"")</f>
        <v/>
      </c>
      <c r="G305" s="376" t="str" cm="1">
        <f t="array" ref="G305">IFERROR(INDEX(Cartera1017[Estado TI],ROW(A303)),"")</f>
        <v/>
      </c>
      <c r="H305" s="463" t="str" cm="1">
        <f t="array" ref="H305">IFERROR(
 IF(
   INDEX(Cartera1017[Comienzo Desarrollo],ROW(A303))=0,
   "",
   INDEX(Cartera1017[Comienzo Desarrollo],ROW(A303))
 ),
 ""
)</f>
        <v/>
      </c>
      <c r="I305" s="463" t="str" cm="1">
        <f t="array" ref="I305">IFERROR(
 IF(
   INDEX(Cartera1017[Fin Producción],ROW(A303))=0,
   "",
   INDEX(Cartera1017[Fin Producción],ROW(A303))
 ),
 ""
)</f>
        <v/>
      </c>
    </row>
    <row r="306" spans="1:9">
      <c r="A306" s="376" t="str" cm="1">
        <f t="array" ref="A306">IFERROR(
 IF(
   INDEX(Cartera1017[ID Mantenimiento],ROW(A304))=0,
   "",
   INDEX(Cartera1017[ID Mantenimiento],ROW(A304))
 ),
 ""
)</f>
        <v/>
      </c>
      <c r="B306" s="376" t="str" cm="1">
        <f t="array" ref="B306">IFERROR(INDEX(Cartera1017[Nombre del Requerimiento],ROW(A304)),"")</f>
        <v/>
      </c>
      <c r="C306" s="376" t="str" cm="1">
        <f t="array" ref="C306">IFERROR(INDEX(Cartera1017[indicador de Avance],ROW(A304)),"")</f>
        <v/>
      </c>
      <c r="D306" s="376" t="str" cm="1">
        <f t="array" ref="D306">IFERROR(INDEX(Cartera1017[Gerencia],ROW(A304)),"")</f>
        <v/>
      </c>
      <c r="E306" s="376" t="str" cm="1">
        <f t="array" ref="E306">IFERROR(INDEX(Cartera1017[Subgerencia],ROW(A304)),"")</f>
        <v/>
      </c>
      <c r="F306" s="376" t="str" cm="1">
        <f t="array" ref="F306">IFERROR(INDEX(Cartera1017[Sección],ROW(A304)),"")</f>
        <v/>
      </c>
      <c r="G306" s="376" t="str" cm="1">
        <f t="array" ref="G306">IFERROR(INDEX(Cartera1017[Estado TI],ROW(A304)),"")</f>
        <v/>
      </c>
      <c r="H306" s="463" t="str" cm="1">
        <f t="array" ref="H306">IFERROR(
 IF(
   INDEX(Cartera1017[Comienzo Desarrollo],ROW(A304))=0,
   "",
   INDEX(Cartera1017[Comienzo Desarrollo],ROW(A304))
 ),
 ""
)</f>
        <v/>
      </c>
      <c r="I306" s="463" t="str" cm="1">
        <f t="array" ref="I306">IFERROR(
 IF(
   INDEX(Cartera1017[Fin Producción],ROW(A304))=0,
   "",
   INDEX(Cartera1017[Fin Producción],ROW(A304))
 ),
 ""
)</f>
        <v/>
      </c>
    </row>
    <row r="307" spans="1:9">
      <c r="A307" s="376" t="str" cm="1">
        <f t="array" ref="A307">IFERROR(
 IF(
   INDEX(Cartera1017[ID Mantenimiento],ROW(A305))=0,
   "",
   INDEX(Cartera1017[ID Mantenimiento],ROW(A305))
 ),
 ""
)</f>
        <v/>
      </c>
      <c r="B307" s="376" t="str" cm="1">
        <f t="array" ref="B307">IFERROR(INDEX(Cartera1017[Nombre del Requerimiento],ROW(A305)),"")</f>
        <v/>
      </c>
      <c r="C307" s="376" t="str" cm="1">
        <f t="array" ref="C307">IFERROR(INDEX(Cartera1017[indicador de Avance],ROW(A305)),"")</f>
        <v/>
      </c>
      <c r="D307" s="376" t="str" cm="1">
        <f t="array" ref="D307">IFERROR(INDEX(Cartera1017[Gerencia],ROW(A305)),"")</f>
        <v/>
      </c>
      <c r="E307" s="376" t="str" cm="1">
        <f t="array" ref="E307">IFERROR(INDEX(Cartera1017[Subgerencia],ROW(A305)),"")</f>
        <v/>
      </c>
      <c r="F307" s="376" t="str" cm="1">
        <f t="array" ref="F307">IFERROR(INDEX(Cartera1017[Sección],ROW(A305)),"")</f>
        <v/>
      </c>
      <c r="G307" s="376" t="str" cm="1">
        <f t="array" ref="G307">IFERROR(INDEX(Cartera1017[Estado TI],ROW(A305)),"")</f>
        <v/>
      </c>
      <c r="H307" s="463" t="str" cm="1">
        <f t="array" ref="H307">IFERROR(
 IF(
   INDEX(Cartera1017[Comienzo Desarrollo],ROW(A305))=0,
   "",
   INDEX(Cartera1017[Comienzo Desarrollo],ROW(A305))
 ),
 ""
)</f>
        <v/>
      </c>
      <c r="I307" s="463" t="str" cm="1">
        <f t="array" ref="I307">IFERROR(
 IF(
   INDEX(Cartera1017[Fin Producción],ROW(A305))=0,
   "",
   INDEX(Cartera1017[Fin Producción],ROW(A305))
 ),
 ""
)</f>
        <v/>
      </c>
    </row>
    <row r="308" spans="1:9">
      <c r="A308" s="376" t="str" cm="1">
        <f t="array" ref="A308">IFERROR(
 IF(
   INDEX(Cartera1017[ID Mantenimiento],ROW(A306))=0,
   "",
   INDEX(Cartera1017[ID Mantenimiento],ROW(A306))
 ),
 ""
)</f>
        <v/>
      </c>
      <c r="B308" s="376" t="str" cm="1">
        <f t="array" ref="B308">IFERROR(INDEX(Cartera1017[Nombre del Requerimiento],ROW(A306)),"")</f>
        <v/>
      </c>
      <c r="C308" s="376" t="str" cm="1">
        <f t="array" ref="C308">IFERROR(INDEX(Cartera1017[indicador de Avance],ROW(A306)),"")</f>
        <v/>
      </c>
      <c r="D308" s="376" t="str" cm="1">
        <f t="array" ref="D308">IFERROR(INDEX(Cartera1017[Gerencia],ROW(A306)),"")</f>
        <v/>
      </c>
      <c r="E308" s="376" t="str" cm="1">
        <f t="array" ref="E308">IFERROR(INDEX(Cartera1017[Subgerencia],ROW(A306)),"")</f>
        <v/>
      </c>
      <c r="F308" s="376" t="str" cm="1">
        <f t="array" ref="F308">IFERROR(INDEX(Cartera1017[Sección],ROW(A306)),"")</f>
        <v/>
      </c>
      <c r="G308" s="376" t="str" cm="1">
        <f t="array" ref="G308">IFERROR(INDEX(Cartera1017[Estado TI],ROW(A306)),"")</f>
        <v/>
      </c>
      <c r="H308" s="463" t="str" cm="1">
        <f t="array" ref="H308">IFERROR(
 IF(
   INDEX(Cartera1017[Comienzo Desarrollo],ROW(A306))=0,
   "",
   INDEX(Cartera1017[Comienzo Desarrollo],ROW(A306))
 ),
 ""
)</f>
        <v/>
      </c>
      <c r="I308" s="463" t="str" cm="1">
        <f t="array" ref="I308">IFERROR(
 IF(
   INDEX(Cartera1017[Fin Producción],ROW(A306))=0,
   "",
   INDEX(Cartera1017[Fin Producción],ROW(A306))
 ),
 ""
)</f>
        <v/>
      </c>
    </row>
    <row r="309" spans="1:9">
      <c r="A309" s="376" t="str" cm="1">
        <f t="array" ref="A309">IFERROR(
 IF(
   INDEX(Cartera1017[ID Mantenimiento],ROW(A307))=0,
   "",
   INDEX(Cartera1017[ID Mantenimiento],ROW(A307))
 ),
 ""
)</f>
        <v/>
      </c>
      <c r="B309" s="376" t="str" cm="1">
        <f t="array" ref="B309">IFERROR(INDEX(Cartera1017[Nombre del Requerimiento],ROW(A307)),"")</f>
        <v/>
      </c>
      <c r="C309" s="376" t="str" cm="1">
        <f t="array" ref="C309">IFERROR(INDEX(Cartera1017[indicador de Avance],ROW(A307)),"")</f>
        <v/>
      </c>
      <c r="D309" s="376" t="str" cm="1">
        <f t="array" ref="D309">IFERROR(INDEX(Cartera1017[Gerencia],ROW(A307)),"")</f>
        <v/>
      </c>
      <c r="E309" s="376" t="str" cm="1">
        <f t="array" ref="E309">IFERROR(INDEX(Cartera1017[Subgerencia],ROW(A307)),"")</f>
        <v/>
      </c>
      <c r="F309" s="376" t="str" cm="1">
        <f t="array" ref="F309">IFERROR(INDEX(Cartera1017[Sección],ROW(A307)),"")</f>
        <v/>
      </c>
      <c r="G309" s="376" t="str" cm="1">
        <f t="array" ref="G309">IFERROR(INDEX(Cartera1017[Estado TI],ROW(A307)),"")</f>
        <v/>
      </c>
      <c r="H309" s="463" t="str" cm="1">
        <f t="array" ref="H309">IFERROR(
 IF(
   INDEX(Cartera1017[Comienzo Desarrollo],ROW(A307))=0,
   "",
   INDEX(Cartera1017[Comienzo Desarrollo],ROW(A307))
 ),
 ""
)</f>
        <v/>
      </c>
      <c r="I309" s="463" t="str" cm="1">
        <f t="array" ref="I309">IFERROR(
 IF(
   INDEX(Cartera1017[Fin Producción],ROW(A307))=0,
   "",
   INDEX(Cartera1017[Fin Producción],ROW(A307))
 ),
 ""
)</f>
        <v/>
      </c>
    </row>
    <row r="310" spans="1:9">
      <c r="A310" s="376" t="str" cm="1">
        <f t="array" ref="A310">IFERROR(
 IF(
   INDEX(Cartera1017[ID Mantenimiento],ROW(A308))=0,
   "",
   INDEX(Cartera1017[ID Mantenimiento],ROW(A308))
 ),
 ""
)</f>
        <v/>
      </c>
      <c r="B310" s="376" t="str" cm="1">
        <f t="array" ref="B310">IFERROR(INDEX(Cartera1017[Nombre del Requerimiento],ROW(A308)),"")</f>
        <v/>
      </c>
      <c r="C310" s="376" t="str" cm="1">
        <f t="array" ref="C310">IFERROR(INDEX(Cartera1017[indicador de Avance],ROW(A308)),"")</f>
        <v/>
      </c>
      <c r="D310" s="376" t="str" cm="1">
        <f t="array" ref="D310">IFERROR(INDEX(Cartera1017[Gerencia],ROW(A308)),"")</f>
        <v/>
      </c>
      <c r="E310" s="376" t="str" cm="1">
        <f t="array" ref="E310">IFERROR(INDEX(Cartera1017[Subgerencia],ROW(A308)),"")</f>
        <v/>
      </c>
      <c r="F310" s="376" t="str" cm="1">
        <f t="array" ref="F310">IFERROR(INDEX(Cartera1017[Sección],ROW(A308)),"")</f>
        <v/>
      </c>
      <c r="G310" s="376" t="str" cm="1">
        <f t="array" ref="G310">IFERROR(INDEX(Cartera1017[Estado TI],ROW(A308)),"")</f>
        <v/>
      </c>
      <c r="H310" s="463" t="str" cm="1">
        <f t="array" ref="H310">IFERROR(
 IF(
   INDEX(Cartera1017[Comienzo Desarrollo],ROW(A308))=0,
   "",
   INDEX(Cartera1017[Comienzo Desarrollo],ROW(A308))
 ),
 ""
)</f>
        <v/>
      </c>
      <c r="I310" s="463" t="str" cm="1">
        <f t="array" ref="I310">IFERROR(
 IF(
   INDEX(Cartera1017[Fin Producción],ROW(A308))=0,
   "",
   INDEX(Cartera1017[Fin Producción],ROW(A308))
 ),
 ""
)</f>
        <v/>
      </c>
    </row>
    <row r="311" spans="1:9">
      <c r="A311" s="376" t="str" cm="1">
        <f t="array" ref="A311">IFERROR(
 IF(
   INDEX(Cartera1017[ID Mantenimiento],ROW(A309))=0,
   "",
   INDEX(Cartera1017[ID Mantenimiento],ROW(A309))
 ),
 ""
)</f>
        <v/>
      </c>
      <c r="B311" s="376" t="str" cm="1">
        <f t="array" ref="B311">IFERROR(INDEX(Cartera1017[Nombre del Requerimiento],ROW(A309)),"")</f>
        <v/>
      </c>
      <c r="C311" s="376" t="str" cm="1">
        <f t="array" ref="C311">IFERROR(INDEX(Cartera1017[indicador de Avance],ROW(A309)),"")</f>
        <v/>
      </c>
      <c r="D311" s="376" t="str" cm="1">
        <f t="array" ref="D311">IFERROR(INDEX(Cartera1017[Gerencia],ROW(A309)),"")</f>
        <v/>
      </c>
      <c r="E311" s="376" t="str" cm="1">
        <f t="array" ref="E311">IFERROR(INDEX(Cartera1017[Subgerencia],ROW(A309)),"")</f>
        <v/>
      </c>
      <c r="F311" s="376" t="str" cm="1">
        <f t="array" ref="F311">IFERROR(INDEX(Cartera1017[Sección],ROW(A309)),"")</f>
        <v/>
      </c>
      <c r="G311" s="376" t="str" cm="1">
        <f t="array" ref="G311">IFERROR(INDEX(Cartera1017[Estado TI],ROW(A309)),"")</f>
        <v/>
      </c>
      <c r="H311" s="463" t="str" cm="1">
        <f t="array" ref="H311">IFERROR(
 IF(
   INDEX(Cartera1017[Comienzo Desarrollo],ROW(A309))=0,
   "",
   INDEX(Cartera1017[Comienzo Desarrollo],ROW(A309))
 ),
 ""
)</f>
        <v/>
      </c>
      <c r="I311" s="463" t="str" cm="1">
        <f t="array" ref="I311">IFERROR(
 IF(
   INDEX(Cartera1017[Fin Producción],ROW(A309))=0,
   "",
   INDEX(Cartera1017[Fin Producción],ROW(A309))
 ),
 ""
)</f>
        <v/>
      </c>
    </row>
    <row r="312" spans="1:9">
      <c r="A312" s="376" t="str" cm="1">
        <f t="array" ref="A312">IFERROR(
 IF(
   INDEX(Cartera1017[ID Mantenimiento],ROW(A310))=0,
   "",
   INDEX(Cartera1017[ID Mantenimiento],ROW(A310))
 ),
 ""
)</f>
        <v/>
      </c>
      <c r="B312" s="376" t="str" cm="1">
        <f t="array" ref="B312">IFERROR(INDEX(Cartera1017[Nombre del Requerimiento],ROW(A310)),"")</f>
        <v/>
      </c>
      <c r="C312" s="376" t="str" cm="1">
        <f t="array" ref="C312">IFERROR(INDEX(Cartera1017[indicador de Avance],ROW(A310)),"")</f>
        <v/>
      </c>
      <c r="D312" s="376" t="str" cm="1">
        <f t="array" ref="D312">IFERROR(INDEX(Cartera1017[Gerencia],ROW(A310)),"")</f>
        <v/>
      </c>
      <c r="E312" s="376" t="str" cm="1">
        <f t="array" ref="E312">IFERROR(INDEX(Cartera1017[Subgerencia],ROW(A310)),"")</f>
        <v/>
      </c>
      <c r="F312" s="376" t="str" cm="1">
        <f t="array" ref="F312">IFERROR(INDEX(Cartera1017[Sección],ROW(A310)),"")</f>
        <v/>
      </c>
      <c r="G312" s="376" t="str" cm="1">
        <f t="array" ref="G312">IFERROR(INDEX(Cartera1017[Estado TI],ROW(A310)),"")</f>
        <v/>
      </c>
      <c r="H312" s="463" t="str" cm="1">
        <f t="array" ref="H312">IFERROR(
 IF(
   INDEX(Cartera1017[Comienzo Desarrollo],ROW(A310))=0,
   "",
   INDEX(Cartera1017[Comienzo Desarrollo],ROW(A310))
 ),
 ""
)</f>
        <v/>
      </c>
      <c r="I312" s="463" t="str" cm="1">
        <f t="array" ref="I312">IFERROR(
 IF(
   INDEX(Cartera1017[Fin Producción],ROW(A310))=0,
   "",
   INDEX(Cartera1017[Fin Producción],ROW(A310))
 ),
 ""
)</f>
        <v/>
      </c>
    </row>
    <row r="313" spans="1:9">
      <c r="A313" s="376" t="str" cm="1">
        <f t="array" ref="A313">IFERROR(
 IF(
   INDEX(Cartera1017[ID Mantenimiento],ROW(A311))=0,
   "",
   INDEX(Cartera1017[ID Mantenimiento],ROW(A311))
 ),
 ""
)</f>
        <v/>
      </c>
      <c r="B313" s="376" t="str" cm="1">
        <f t="array" ref="B313">IFERROR(INDEX(Cartera1017[Nombre del Requerimiento],ROW(A311)),"")</f>
        <v/>
      </c>
      <c r="C313" s="376" t="str" cm="1">
        <f t="array" ref="C313">IFERROR(INDEX(Cartera1017[indicador de Avance],ROW(A311)),"")</f>
        <v/>
      </c>
      <c r="D313" s="376" t="str" cm="1">
        <f t="array" ref="D313">IFERROR(INDEX(Cartera1017[Gerencia],ROW(A311)),"")</f>
        <v/>
      </c>
      <c r="E313" s="376" t="str" cm="1">
        <f t="array" ref="E313">IFERROR(INDEX(Cartera1017[Subgerencia],ROW(A311)),"")</f>
        <v/>
      </c>
      <c r="F313" s="376" t="str" cm="1">
        <f t="array" ref="F313">IFERROR(INDEX(Cartera1017[Sección],ROW(A311)),"")</f>
        <v/>
      </c>
      <c r="G313" s="376" t="str" cm="1">
        <f t="array" ref="G313">IFERROR(INDEX(Cartera1017[Estado TI],ROW(A311)),"")</f>
        <v/>
      </c>
      <c r="H313" s="463" t="str" cm="1">
        <f t="array" ref="H313">IFERROR(
 IF(
   INDEX(Cartera1017[Comienzo Desarrollo],ROW(A311))=0,
   "",
   INDEX(Cartera1017[Comienzo Desarrollo],ROW(A311))
 ),
 ""
)</f>
        <v/>
      </c>
      <c r="I313" s="463" t="str" cm="1">
        <f t="array" ref="I313">IFERROR(
 IF(
   INDEX(Cartera1017[Fin Producción],ROW(A311))=0,
   "",
   INDEX(Cartera1017[Fin Producción],ROW(A311))
 ),
 ""
)</f>
        <v/>
      </c>
    </row>
    <row r="314" spans="1:9">
      <c r="A314" s="376" t="str" cm="1">
        <f t="array" ref="A314">IFERROR(
 IF(
   INDEX(Cartera1017[ID Mantenimiento],ROW(A312))=0,
   "",
   INDEX(Cartera1017[ID Mantenimiento],ROW(A312))
 ),
 ""
)</f>
        <v/>
      </c>
      <c r="B314" s="376" t="str" cm="1">
        <f t="array" ref="B314">IFERROR(INDEX(Cartera1017[Nombre del Requerimiento],ROW(A312)),"")</f>
        <v/>
      </c>
      <c r="C314" s="376" t="str" cm="1">
        <f t="array" ref="C314">IFERROR(INDEX(Cartera1017[indicador de Avance],ROW(A312)),"")</f>
        <v/>
      </c>
      <c r="D314" s="376" t="str" cm="1">
        <f t="array" ref="D314">IFERROR(INDEX(Cartera1017[Gerencia],ROW(A312)),"")</f>
        <v/>
      </c>
      <c r="E314" s="376" t="str" cm="1">
        <f t="array" ref="E314">IFERROR(INDEX(Cartera1017[Subgerencia],ROW(A312)),"")</f>
        <v/>
      </c>
      <c r="F314" s="376" t="str" cm="1">
        <f t="array" ref="F314">IFERROR(INDEX(Cartera1017[Sección],ROW(A312)),"")</f>
        <v/>
      </c>
      <c r="G314" s="376" t="str" cm="1">
        <f t="array" ref="G314">IFERROR(INDEX(Cartera1017[Estado TI],ROW(A312)),"")</f>
        <v/>
      </c>
      <c r="H314" s="463" t="str" cm="1">
        <f t="array" ref="H314">IFERROR(
 IF(
   INDEX(Cartera1017[Comienzo Desarrollo],ROW(A312))=0,
   "",
   INDEX(Cartera1017[Comienzo Desarrollo],ROW(A312))
 ),
 ""
)</f>
        <v/>
      </c>
      <c r="I314" s="463" t="str" cm="1">
        <f t="array" ref="I314">IFERROR(
 IF(
   INDEX(Cartera1017[Fin Producción],ROW(A312))=0,
   "",
   INDEX(Cartera1017[Fin Producción],ROW(A312))
 ),
 ""
)</f>
        <v/>
      </c>
    </row>
    <row r="315" spans="1:9">
      <c r="A315" s="376" t="str" cm="1">
        <f t="array" ref="A315">IFERROR(
 IF(
   INDEX(Cartera1017[ID Mantenimiento],ROW(A313))=0,
   "",
   INDEX(Cartera1017[ID Mantenimiento],ROW(A313))
 ),
 ""
)</f>
        <v/>
      </c>
      <c r="B315" s="376" t="str" cm="1">
        <f t="array" ref="B315">IFERROR(INDEX(Cartera1017[Nombre del Requerimiento],ROW(A313)),"")</f>
        <v/>
      </c>
      <c r="C315" s="376" t="str" cm="1">
        <f t="array" ref="C315">IFERROR(INDEX(Cartera1017[indicador de Avance],ROW(A313)),"")</f>
        <v/>
      </c>
      <c r="D315" s="376" t="str" cm="1">
        <f t="array" ref="D315">IFERROR(INDEX(Cartera1017[Gerencia],ROW(A313)),"")</f>
        <v/>
      </c>
      <c r="E315" s="376" t="str" cm="1">
        <f t="array" ref="E315">IFERROR(INDEX(Cartera1017[Subgerencia],ROW(A313)),"")</f>
        <v/>
      </c>
      <c r="F315" s="376" t="str" cm="1">
        <f t="array" ref="F315">IFERROR(INDEX(Cartera1017[Sección],ROW(A313)),"")</f>
        <v/>
      </c>
      <c r="G315" s="376" t="str" cm="1">
        <f t="array" ref="G315">IFERROR(INDEX(Cartera1017[Estado TI],ROW(A313)),"")</f>
        <v/>
      </c>
      <c r="H315" s="463" t="str" cm="1">
        <f t="array" ref="H315">IFERROR(
 IF(
   INDEX(Cartera1017[Comienzo Desarrollo],ROW(A313))=0,
   "",
   INDEX(Cartera1017[Comienzo Desarrollo],ROW(A313))
 ),
 ""
)</f>
        <v/>
      </c>
      <c r="I315" s="463" t="str" cm="1">
        <f t="array" ref="I315">IFERROR(
 IF(
   INDEX(Cartera1017[Fin Producción],ROW(A313))=0,
   "",
   INDEX(Cartera1017[Fin Producción],ROW(A313))
 ),
 ""
)</f>
        <v/>
      </c>
    </row>
    <row r="316" spans="1:9">
      <c r="A316" s="376" t="str" cm="1">
        <f t="array" ref="A316">IFERROR(
 IF(
   INDEX(Cartera1017[ID Mantenimiento],ROW(A314))=0,
   "",
   INDEX(Cartera1017[ID Mantenimiento],ROW(A314))
 ),
 ""
)</f>
        <v/>
      </c>
      <c r="B316" s="376" t="str" cm="1">
        <f t="array" ref="B316">IFERROR(INDEX(Cartera1017[Nombre del Requerimiento],ROW(A314)),"")</f>
        <v/>
      </c>
      <c r="C316" s="376" t="str" cm="1">
        <f t="array" ref="C316">IFERROR(INDEX(Cartera1017[indicador de Avance],ROW(A314)),"")</f>
        <v/>
      </c>
      <c r="D316" s="376" t="str" cm="1">
        <f t="array" ref="D316">IFERROR(INDEX(Cartera1017[Gerencia],ROW(A314)),"")</f>
        <v/>
      </c>
      <c r="E316" s="376" t="str" cm="1">
        <f t="array" ref="E316">IFERROR(INDEX(Cartera1017[Subgerencia],ROW(A314)),"")</f>
        <v/>
      </c>
      <c r="F316" s="376" t="str" cm="1">
        <f t="array" ref="F316">IFERROR(INDEX(Cartera1017[Sección],ROW(A314)),"")</f>
        <v/>
      </c>
      <c r="G316" s="376" t="str" cm="1">
        <f t="array" ref="G316">IFERROR(INDEX(Cartera1017[Estado TI],ROW(A314)),"")</f>
        <v/>
      </c>
      <c r="H316" s="463" t="str" cm="1">
        <f t="array" ref="H316">IFERROR(
 IF(
   INDEX(Cartera1017[Comienzo Desarrollo],ROW(A314))=0,
   "",
   INDEX(Cartera1017[Comienzo Desarrollo],ROW(A314))
 ),
 ""
)</f>
        <v/>
      </c>
      <c r="I316" s="463" t="str" cm="1">
        <f t="array" ref="I316">IFERROR(
 IF(
   INDEX(Cartera1017[Fin Producción],ROW(A314))=0,
   "",
   INDEX(Cartera1017[Fin Producción],ROW(A314))
 ),
 ""
)</f>
        <v/>
      </c>
    </row>
    <row r="317" spans="1:9">
      <c r="A317" s="376" t="str" cm="1">
        <f t="array" ref="A317">IFERROR(
 IF(
   INDEX(Cartera1017[ID Mantenimiento],ROW(A315))=0,
   "",
   INDEX(Cartera1017[ID Mantenimiento],ROW(A315))
 ),
 ""
)</f>
        <v/>
      </c>
      <c r="B317" s="376" t="str" cm="1">
        <f t="array" ref="B317">IFERROR(INDEX(Cartera1017[Nombre del Requerimiento],ROW(A315)),"")</f>
        <v/>
      </c>
      <c r="C317" s="376" t="str" cm="1">
        <f t="array" ref="C317">IFERROR(INDEX(Cartera1017[indicador de Avance],ROW(A315)),"")</f>
        <v/>
      </c>
      <c r="D317" s="376" t="str" cm="1">
        <f t="array" ref="D317">IFERROR(INDEX(Cartera1017[Gerencia],ROW(A315)),"")</f>
        <v/>
      </c>
      <c r="E317" s="376" t="str" cm="1">
        <f t="array" ref="E317">IFERROR(INDEX(Cartera1017[Subgerencia],ROW(A315)),"")</f>
        <v/>
      </c>
      <c r="F317" s="376" t="str" cm="1">
        <f t="array" ref="F317">IFERROR(INDEX(Cartera1017[Sección],ROW(A315)),"")</f>
        <v/>
      </c>
      <c r="G317" s="376" t="str" cm="1">
        <f t="array" ref="G317">IFERROR(INDEX(Cartera1017[Estado TI],ROW(A315)),"")</f>
        <v/>
      </c>
      <c r="H317" s="463" t="str" cm="1">
        <f t="array" ref="H317">IFERROR(
 IF(
   INDEX(Cartera1017[Comienzo Desarrollo],ROW(A315))=0,
   "",
   INDEX(Cartera1017[Comienzo Desarrollo],ROW(A315))
 ),
 ""
)</f>
        <v/>
      </c>
      <c r="I317" s="463" t="str" cm="1">
        <f t="array" ref="I317">IFERROR(
 IF(
   INDEX(Cartera1017[Fin Producción],ROW(A315))=0,
   "",
   INDEX(Cartera1017[Fin Producción],ROW(A315))
 ),
 ""
)</f>
        <v/>
      </c>
    </row>
    <row r="318" spans="1:9">
      <c r="A318" s="376" t="str" cm="1">
        <f t="array" ref="A318">IFERROR(
 IF(
   INDEX(Cartera1017[ID Mantenimiento],ROW(A316))=0,
   "",
   INDEX(Cartera1017[ID Mantenimiento],ROW(A316))
 ),
 ""
)</f>
        <v/>
      </c>
      <c r="B318" s="376" t="str" cm="1">
        <f t="array" ref="B318">IFERROR(INDEX(Cartera1017[Nombre del Requerimiento],ROW(A316)),"")</f>
        <v/>
      </c>
      <c r="C318" s="376" t="str" cm="1">
        <f t="array" ref="C318">IFERROR(INDEX(Cartera1017[indicador de Avance],ROW(A316)),"")</f>
        <v/>
      </c>
      <c r="D318" s="376" t="str" cm="1">
        <f t="array" ref="D318">IFERROR(INDEX(Cartera1017[Gerencia],ROW(A316)),"")</f>
        <v/>
      </c>
      <c r="E318" s="376" t="str" cm="1">
        <f t="array" ref="E318">IFERROR(INDEX(Cartera1017[Subgerencia],ROW(A316)),"")</f>
        <v/>
      </c>
      <c r="F318" s="376" t="str" cm="1">
        <f t="array" ref="F318">IFERROR(INDEX(Cartera1017[Sección],ROW(A316)),"")</f>
        <v/>
      </c>
      <c r="G318" s="376" t="str" cm="1">
        <f t="array" ref="G318">IFERROR(INDEX(Cartera1017[Estado TI],ROW(A316)),"")</f>
        <v/>
      </c>
      <c r="H318" s="463" t="str" cm="1">
        <f t="array" ref="H318">IFERROR(
 IF(
   INDEX(Cartera1017[Comienzo Desarrollo],ROW(A316))=0,
   "",
   INDEX(Cartera1017[Comienzo Desarrollo],ROW(A316))
 ),
 ""
)</f>
        <v/>
      </c>
      <c r="I318" s="463" t="str" cm="1">
        <f t="array" ref="I318">IFERROR(
 IF(
   INDEX(Cartera1017[Fin Producción],ROW(A316))=0,
   "",
   INDEX(Cartera1017[Fin Producción],ROW(A316))
 ),
 ""
)</f>
        <v/>
      </c>
    </row>
    <row r="319" spans="1:9">
      <c r="A319" s="376" t="str" cm="1">
        <f t="array" ref="A319">IFERROR(
 IF(
   INDEX(Cartera1017[ID Mantenimiento],ROW(A317))=0,
   "",
   INDEX(Cartera1017[ID Mantenimiento],ROW(A317))
 ),
 ""
)</f>
        <v/>
      </c>
      <c r="B319" s="376" t="str" cm="1">
        <f t="array" ref="B319">IFERROR(INDEX(Cartera1017[Nombre del Requerimiento],ROW(A317)),"")</f>
        <v/>
      </c>
      <c r="C319" s="376" t="str" cm="1">
        <f t="array" ref="C319">IFERROR(INDEX(Cartera1017[indicador de Avance],ROW(A317)),"")</f>
        <v/>
      </c>
      <c r="D319" s="376" t="str" cm="1">
        <f t="array" ref="D319">IFERROR(INDEX(Cartera1017[Gerencia],ROW(A317)),"")</f>
        <v/>
      </c>
      <c r="E319" s="376" t="str" cm="1">
        <f t="array" ref="E319">IFERROR(INDEX(Cartera1017[Subgerencia],ROW(A317)),"")</f>
        <v/>
      </c>
      <c r="F319" s="376" t="str" cm="1">
        <f t="array" ref="F319">IFERROR(INDEX(Cartera1017[Sección],ROW(A317)),"")</f>
        <v/>
      </c>
      <c r="G319" s="376" t="str" cm="1">
        <f t="array" ref="G319">IFERROR(INDEX(Cartera1017[Estado TI],ROW(A317)),"")</f>
        <v/>
      </c>
      <c r="H319" s="463" t="str" cm="1">
        <f t="array" ref="H319">IFERROR(
 IF(
   INDEX(Cartera1017[Comienzo Desarrollo],ROW(A317))=0,
   "",
   INDEX(Cartera1017[Comienzo Desarrollo],ROW(A317))
 ),
 ""
)</f>
        <v/>
      </c>
      <c r="I319" s="463" t="str" cm="1">
        <f t="array" ref="I319">IFERROR(
 IF(
   INDEX(Cartera1017[Fin Producción],ROW(A317))=0,
   "",
   INDEX(Cartera1017[Fin Producción],ROW(A317))
 ),
 ""
)</f>
        <v/>
      </c>
    </row>
    <row r="320" spans="1:9">
      <c r="A320" s="376" t="str" cm="1">
        <f t="array" ref="A320">IFERROR(
 IF(
   INDEX(Cartera1017[ID Mantenimiento],ROW(A318))=0,
   "",
   INDEX(Cartera1017[ID Mantenimiento],ROW(A318))
 ),
 ""
)</f>
        <v/>
      </c>
      <c r="B320" s="376" t="str" cm="1">
        <f t="array" ref="B320">IFERROR(INDEX(Cartera1017[Nombre del Requerimiento],ROW(A318)),"")</f>
        <v/>
      </c>
      <c r="C320" s="376" t="str" cm="1">
        <f t="array" ref="C320">IFERROR(INDEX(Cartera1017[indicador de Avance],ROW(A318)),"")</f>
        <v/>
      </c>
      <c r="D320" s="376" t="str" cm="1">
        <f t="array" ref="D320">IFERROR(INDEX(Cartera1017[Gerencia],ROW(A318)),"")</f>
        <v/>
      </c>
      <c r="E320" s="376" t="str" cm="1">
        <f t="array" ref="E320">IFERROR(INDEX(Cartera1017[Subgerencia],ROW(A318)),"")</f>
        <v/>
      </c>
      <c r="F320" s="376" t="str" cm="1">
        <f t="array" ref="F320">IFERROR(INDEX(Cartera1017[Sección],ROW(A318)),"")</f>
        <v/>
      </c>
      <c r="G320" s="376" t="str" cm="1">
        <f t="array" ref="G320">IFERROR(INDEX(Cartera1017[Estado TI],ROW(A318)),"")</f>
        <v/>
      </c>
      <c r="H320" s="463" t="str" cm="1">
        <f t="array" ref="H320">IFERROR(
 IF(
   INDEX(Cartera1017[Comienzo Desarrollo],ROW(A318))=0,
   "",
   INDEX(Cartera1017[Comienzo Desarrollo],ROW(A318))
 ),
 ""
)</f>
        <v/>
      </c>
      <c r="I320" s="463" t="str" cm="1">
        <f t="array" ref="I320">IFERROR(
 IF(
   INDEX(Cartera1017[Fin Producción],ROW(A318))=0,
   "",
   INDEX(Cartera1017[Fin Producción],ROW(A318))
 ),
 ""
)</f>
        <v/>
      </c>
    </row>
    <row r="321" spans="1:9">
      <c r="A321" s="376" t="str" cm="1">
        <f t="array" ref="A321">IFERROR(
 IF(
   INDEX(Cartera1017[ID Mantenimiento],ROW(A319))=0,
   "",
   INDEX(Cartera1017[ID Mantenimiento],ROW(A319))
 ),
 ""
)</f>
        <v/>
      </c>
      <c r="B321" s="376" t="str" cm="1">
        <f t="array" ref="B321">IFERROR(INDEX(Cartera1017[Nombre del Requerimiento],ROW(A319)),"")</f>
        <v/>
      </c>
      <c r="C321" s="376" t="str" cm="1">
        <f t="array" ref="C321">IFERROR(INDEX(Cartera1017[indicador de Avance],ROW(A319)),"")</f>
        <v/>
      </c>
      <c r="D321" s="376" t="str" cm="1">
        <f t="array" ref="D321">IFERROR(INDEX(Cartera1017[Gerencia],ROW(A319)),"")</f>
        <v/>
      </c>
      <c r="E321" s="376" t="str" cm="1">
        <f t="array" ref="E321">IFERROR(INDEX(Cartera1017[Subgerencia],ROW(A319)),"")</f>
        <v/>
      </c>
      <c r="F321" s="376" t="str" cm="1">
        <f t="array" ref="F321">IFERROR(INDEX(Cartera1017[Sección],ROW(A319)),"")</f>
        <v/>
      </c>
      <c r="G321" s="376" t="str" cm="1">
        <f t="array" ref="G321">IFERROR(INDEX(Cartera1017[Estado TI],ROW(A319)),"")</f>
        <v/>
      </c>
      <c r="H321" s="463" t="str" cm="1">
        <f t="array" ref="H321">IFERROR(
 IF(
   INDEX(Cartera1017[Comienzo Desarrollo],ROW(A319))=0,
   "",
   INDEX(Cartera1017[Comienzo Desarrollo],ROW(A319))
 ),
 ""
)</f>
        <v/>
      </c>
      <c r="I321" s="463" t="str" cm="1">
        <f t="array" ref="I321">IFERROR(
 IF(
   INDEX(Cartera1017[Fin Producción],ROW(A319))=0,
   "",
   INDEX(Cartera1017[Fin Producción],ROW(A319))
 ),
 ""
)</f>
        <v/>
      </c>
    </row>
    <row r="322" spans="1:9">
      <c r="A322" s="376" t="str" cm="1">
        <f t="array" ref="A322">IFERROR(
 IF(
   INDEX(Cartera1017[ID Mantenimiento],ROW(A320))=0,
   "",
   INDEX(Cartera1017[ID Mantenimiento],ROW(A320))
 ),
 ""
)</f>
        <v/>
      </c>
      <c r="B322" s="376" t="str" cm="1">
        <f t="array" ref="B322">IFERROR(INDEX(Cartera1017[Nombre del Requerimiento],ROW(A320)),"")</f>
        <v/>
      </c>
      <c r="C322" s="376" t="str" cm="1">
        <f t="array" ref="C322">IFERROR(INDEX(Cartera1017[indicador de Avance],ROW(A320)),"")</f>
        <v/>
      </c>
      <c r="D322" s="376" t="str" cm="1">
        <f t="array" ref="D322">IFERROR(INDEX(Cartera1017[Gerencia],ROW(A320)),"")</f>
        <v/>
      </c>
      <c r="E322" s="376" t="str" cm="1">
        <f t="array" ref="E322">IFERROR(INDEX(Cartera1017[Subgerencia],ROW(A320)),"")</f>
        <v/>
      </c>
      <c r="F322" s="376" t="str" cm="1">
        <f t="array" ref="F322">IFERROR(INDEX(Cartera1017[Sección],ROW(A320)),"")</f>
        <v/>
      </c>
      <c r="G322" s="376" t="str" cm="1">
        <f t="array" ref="G322">IFERROR(INDEX(Cartera1017[Estado TI],ROW(A320)),"")</f>
        <v/>
      </c>
      <c r="H322" s="463" t="str" cm="1">
        <f t="array" ref="H322">IFERROR(
 IF(
   INDEX(Cartera1017[Comienzo Desarrollo],ROW(A320))=0,
   "",
   INDEX(Cartera1017[Comienzo Desarrollo],ROW(A320))
 ),
 ""
)</f>
        <v/>
      </c>
      <c r="I322" s="463" t="str" cm="1">
        <f t="array" ref="I322">IFERROR(
 IF(
   INDEX(Cartera1017[Fin Producción],ROW(A320))=0,
   "",
   INDEX(Cartera1017[Fin Producción],ROW(A320))
 ),
 ""
)</f>
        <v/>
      </c>
    </row>
    <row r="323" spans="1:9">
      <c r="A323" s="376" t="str" cm="1">
        <f t="array" ref="A323">IFERROR(
 IF(
   INDEX(Cartera1017[ID Mantenimiento],ROW(A321))=0,
   "",
   INDEX(Cartera1017[ID Mantenimiento],ROW(A321))
 ),
 ""
)</f>
        <v/>
      </c>
      <c r="B323" s="376" t="str" cm="1">
        <f t="array" ref="B323">IFERROR(INDEX(Cartera1017[Nombre del Requerimiento],ROW(A321)),"")</f>
        <v/>
      </c>
      <c r="C323" s="376" t="str" cm="1">
        <f t="array" ref="C323">IFERROR(INDEX(Cartera1017[indicador de Avance],ROW(A321)),"")</f>
        <v/>
      </c>
      <c r="D323" s="376" t="str" cm="1">
        <f t="array" ref="D323">IFERROR(INDEX(Cartera1017[Gerencia],ROW(A321)),"")</f>
        <v/>
      </c>
      <c r="E323" s="376" t="str" cm="1">
        <f t="array" ref="E323">IFERROR(INDEX(Cartera1017[Subgerencia],ROW(A321)),"")</f>
        <v/>
      </c>
      <c r="F323" s="376" t="str" cm="1">
        <f t="array" ref="F323">IFERROR(INDEX(Cartera1017[Sección],ROW(A321)),"")</f>
        <v/>
      </c>
      <c r="G323" s="376" t="str" cm="1">
        <f t="array" ref="G323">IFERROR(INDEX(Cartera1017[Estado TI],ROW(A321)),"")</f>
        <v/>
      </c>
      <c r="H323" s="463" t="str" cm="1">
        <f t="array" ref="H323">IFERROR(
 IF(
   INDEX(Cartera1017[Comienzo Desarrollo],ROW(A321))=0,
   "",
   INDEX(Cartera1017[Comienzo Desarrollo],ROW(A321))
 ),
 ""
)</f>
        <v/>
      </c>
      <c r="I323" s="463" t="str" cm="1">
        <f t="array" ref="I323">IFERROR(
 IF(
   INDEX(Cartera1017[Fin Producción],ROW(A321))=0,
   "",
   INDEX(Cartera1017[Fin Producción],ROW(A321))
 ),
 ""
)</f>
        <v/>
      </c>
    </row>
    <row r="324" spans="1:9">
      <c r="A324" s="376" t="str" cm="1">
        <f t="array" ref="A324">IFERROR(
 IF(
   INDEX(Cartera1017[ID Mantenimiento],ROW(A322))=0,
   "",
   INDEX(Cartera1017[ID Mantenimiento],ROW(A322))
 ),
 ""
)</f>
        <v/>
      </c>
      <c r="B324" s="376" t="str" cm="1">
        <f t="array" ref="B324">IFERROR(INDEX(Cartera1017[Nombre del Requerimiento],ROW(A322)),"")</f>
        <v/>
      </c>
      <c r="C324" s="376" t="str" cm="1">
        <f t="array" ref="C324">IFERROR(INDEX(Cartera1017[indicador de Avance],ROW(A322)),"")</f>
        <v/>
      </c>
      <c r="D324" s="376" t="str" cm="1">
        <f t="array" ref="D324">IFERROR(INDEX(Cartera1017[Gerencia],ROW(A322)),"")</f>
        <v/>
      </c>
      <c r="E324" s="376" t="str" cm="1">
        <f t="array" ref="E324">IFERROR(INDEX(Cartera1017[Subgerencia],ROW(A322)),"")</f>
        <v/>
      </c>
      <c r="F324" s="376" t="str" cm="1">
        <f t="array" ref="F324">IFERROR(INDEX(Cartera1017[Sección],ROW(A322)),"")</f>
        <v/>
      </c>
      <c r="G324" s="376" t="str" cm="1">
        <f t="array" ref="G324">IFERROR(INDEX(Cartera1017[Estado TI],ROW(A322)),"")</f>
        <v/>
      </c>
      <c r="H324" s="463" t="str" cm="1">
        <f t="array" ref="H324">IFERROR(
 IF(
   INDEX(Cartera1017[Comienzo Desarrollo],ROW(A322))=0,
   "",
   INDEX(Cartera1017[Comienzo Desarrollo],ROW(A322))
 ),
 ""
)</f>
        <v/>
      </c>
      <c r="I324" s="463" t="str" cm="1">
        <f t="array" ref="I324">IFERROR(
 IF(
   INDEX(Cartera1017[Fin Producción],ROW(A322))=0,
   "",
   INDEX(Cartera1017[Fin Producción],ROW(A322))
 ),
 ""
)</f>
        <v/>
      </c>
    </row>
    <row r="325" spans="1:9">
      <c r="A325" s="376" t="str" cm="1">
        <f t="array" ref="A325">IFERROR(
 IF(
   INDEX(Cartera1017[ID Mantenimiento],ROW(A323))=0,
   "",
   INDEX(Cartera1017[ID Mantenimiento],ROW(A323))
 ),
 ""
)</f>
        <v/>
      </c>
      <c r="B325" s="376" t="str" cm="1">
        <f t="array" ref="B325">IFERROR(INDEX(Cartera1017[Nombre del Requerimiento],ROW(A323)),"")</f>
        <v/>
      </c>
      <c r="C325" s="376" t="str" cm="1">
        <f t="array" ref="C325">IFERROR(INDEX(Cartera1017[indicador de Avance],ROW(A323)),"")</f>
        <v/>
      </c>
      <c r="D325" s="376" t="str" cm="1">
        <f t="array" ref="D325">IFERROR(INDEX(Cartera1017[Gerencia],ROW(A323)),"")</f>
        <v/>
      </c>
      <c r="E325" s="376" t="str" cm="1">
        <f t="array" ref="E325">IFERROR(INDEX(Cartera1017[Subgerencia],ROW(A323)),"")</f>
        <v/>
      </c>
      <c r="F325" s="376" t="str" cm="1">
        <f t="array" ref="F325">IFERROR(INDEX(Cartera1017[Sección],ROW(A323)),"")</f>
        <v/>
      </c>
      <c r="G325" s="376" t="str" cm="1">
        <f t="array" ref="G325">IFERROR(INDEX(Cartera1017[Estado TI],ROW(A323)),"")</f>
        <v/>
      </c>
      <c r="H325" s="463" t="str" cm="1">
        <f t="array" ref="H325">IFERROR(
 IF(
   INDEX(Cartera1017[Comienzo Desarrollo],ROW(A323))=0,
   "",
   INDEX(Cartera1017[Comienzo Desarrollo],ROW(A323))
 ),
 ""
)</f>
        <v/>
      </c>
      <c r="I325" s="463" t="str" cm="1">
        <f t="array" ref="I325">IFERROR(
 IF(
   INDEX(Cartera1017[Fin Producción],ROW(A323))=0,
   "",
   INDEX(Cartera1017[Fin Producción],ROW(A323))
 ),
 ""
)</f>
        <v/>
      </c>
    </row>
    <row r="326" spans="1:9">
      <c r="A326" s="376" t="str" cm="1">
        <f t="array" ref="A326">IFERROR(
 IF(
   INDEX(Cartera1017[ID Mantenimiento],ROW(A324))=0,
   "",
   INDEX(Cartera1017[ID Mantenimiento],ROW(A324))
 ),
 ""
)</f>
        <v/>
      </c>
      <c r="B326" s="376" t="str" cm="1">
        <f t="array" ref="B326">IFERROR(INDEX(Cartera1017[Nombre del Requerimiento],ROW(A324)),"")</f>
        <v/>
      </c>
      <c r="C326" s="376" t="str" cm="1">
        <f t="array" ref="C326">IFERROR(INDEX(Cartera1017[indicador de Avance],ROW(A324)),"")</f>
        <v/>
      </c>
      <c r="D326" s="376" t="str" cm="1">
        <f t="array" ref="D326">IFERROR(INDEX(Cartera1017[Gerencia],ROW(A324)),"")</f>
        <v/>
      </c>
      <c r="E326" s="376" t="str" cm="1">
        <f t="array" ref="E326">IFERROR(INDEX(Cartera1017[Subgerencia],ROW(A324)),"")</f>
        <v/>
      </c>
      <c r="F326" s="376" t="str" cm="1">
        <f t="array" ref="F326">IFERROR(INDEX(Cartera1017[Sección],ROW(A324)),"")</f>
        <v/>
      </c>
      <c r="G326" s="376" t="str" cm="1">
        <f t="array" ref="G326">IFERROR(INDEX(Cartera1017[Estado TI],ROW(A324)),"")</f>
        <v/>
      </c>
      <c r="H326" s="463" t="str" cm="1">
        <f t="array" ref="H326">IFERROR(
 IF(
   INDEX(Cartera1017[Comienzo Desarrollo],ROW(A324))=0,
   "",
   INDEX(Cartera1017[Comienzo Desarrollo],ROW(A324))
 ),
 ""
)</f>
        <v/>
      </c>
      <c r="I326" s="463" t="str" cm="1">
        <f t="array" ref="I326">IFERROR(
 IF(
   INDEX(Cartera1017[Fin Producción],ROW(A324))=0,
   "",
   INDEX(Cartera1017[Fin Producción],ROW(A324))
 ),
 ""
)</f>
        <v/>
      </c>
    </row>
    <row r="327" spans="1:9">
      <c r="A327" s="376" t="str" cm="1">
        <f t="array" ref="A327">IFERROR(
 IF(
   INDEX(Cartera1017[ID Mantenimiento],ROW(A325))=0,
   "",
   INDEX(Cartera1017[ID Mantenimiento],ROW(A325))
 ),
 ""
)</f>
        <v/>
      </c>
      <c r="B327" s="376" t="str" cm="1">
        <f t="array" ref="B327">IFERROR(INDEX(Cartera1017[Nombre del Requerimiento],ROW(A325)),"")</f>
        <v/>
      </c>
      <c r="C327" s="376" t="str" cm="1">
        <f t="array" ref="C327">IFERROR(INDEX(Cartera1017[indicador de Avance],ROW(A325)),"")</f>
        <v/>
      </c>
      <c r="D327" s="376" t="str" cm="1">
        <f t="array" ref="D327">IFERROR(INDEX(Cartera1017[Gerencia],ROW(A325)),"")</f>
        <v/>
      </c>
      <c r="E327" s="376" t="str" cm="1">
        <f t="array" ref="E327">IFERROR(INDEX(Cartera1017[Subgerencia],ROW(A325)),"")</f>
        <v/>
      </c>
      <c r="F327" s="376" t="str" cm="1">
        <f t="array" ref="F327">IFERROR(INDEX(Cartera1017[Sección],ROW(A325)),"")</f>
        <v/>
      </c>
      <c r="G327" s="376" t="str" cm="1">
        <f t="array" ref="G327">IFERROR(INDEX(Cartera1017[Estado TI],ROW(A325)),"")</f>
        <v/>
      </c>
      <c r="H327" s="463" t="str" cm="1">
        <f t="array" ref="H327">IFERROR(
 IF(
   INDEX(Cartera1017[Comienzo Desarrollo],ROW(A325))=0,
   "",
   INDEX(Cartera1017[Comienzo Desarrollo],ROW(A325))
 ),
 ""
)</f>
        <v/>
      </c>
      <c r="I327" s="463" t="str" cm="1">
        <f t="array" ref="I327">IFERROR(
 IF(
   INDEX(Cartera1017[Fin Producción],ROW(A325))=0,
   "",
   INDEX(Cartera1017[Fin Producción],ROW(A325))
 ),
 ""
)</f>
        <v/>
      </c>
    </row>
    <row r="328" spans="1:9">
      <c r="A328" s="376" t="str" cm="1">
        <f t="array" ref="A328">IFERROR(
 IF(
   INDEX(Cartera1017[ID Mantenimiento],ROW(A326))=0,
   "",
   INDEX(Cartera1017[ID Mantenimiento],ROW(A326))
 ),
 ""
)</f>
        <v/>
      </c>
      <c r="B328" s="376" t="str" cm="1">
        <f t="array" ref="B328">IFERROR(INDEX(Cartera1017[Nombre del Requerimiento],ROW(A326)),"")</f>
        <v/>
      </c>
      <c r="C328" s="376" t="str" cm="1">
        <f t="array" ref="C328">IFERROR(INDEX(Cartera1017[indicador de Avance],ROW(A326)),"")</f>
        <v/>
      </c>
      <c r="D328" s="376" t="str" cm="1">
        <f t="array" ref="D328">IFERROR(INDEX(Cartera1017[Gerencia],ROW(A326)),"")</f>
        <v/>
      </c>
      <c r="E328" s="376" t="str" cm="1">
        <f t="array" ref="E328">IFERROR(INDEX(Cartera1017[Subgerencia],ROW(A326)),"")</f>
        <v/>
      </c>
      <c r="F328" s="376" t="str" cm="1">
        <f t="array" ref="F328">IFERROR(INDEX(Cartera1017[Sección],ROW(A326)),"")</f>
        <v/>
      </c>
      <c r="G328" s="376" t="str" cm="1">
        <f t="array" ref="G328">IFERROR(INDEX(Cartera1017[Estado TI],ROW(A326)),"")</f>
        <v/>
      </c>
      <c r="H328" s="463" t="str" cm="1">
        <f t="array" ref="H328">IFERROR(
 IF(
   INDEX(Cartera1017[Comienzo Desarrollo],ROW(A326))=0,
   "",
   INDEX(Cartera1017[Comienzo Desarrollo],ROW(A326))
 ),
 ""
)</f>
        <v/>
      </c>
      <c r="I328" s="463" t="str" cm="1">
        <f t="array" ref="I328">IFERROR(
 IF(
   INDEX(Cartera1017[Fin Producción],ROW(A326))=0,
   "",
   INDEX(Cartera1017[Fin Producción],ROW(A326))
 ),
 ""
)</f>
        <v/>
      </c>
    </row>
    <row r="329" spans="1:9">
      <c r="A329" s="376" t="str" cm="1">
        <f t="array" ref="A329">IFERROR(
 IF(
   INDEX(Cartera1017[ID Mantenimiento],ROW(A327))=0,
   "",
   INDEX(Cartera1017[ID Mantenimiento],ROW(A327))
 ),
 ""
)</f>
        <v/>
      </c>
      <c r="B329" s="376" t="str" cm="1">
        <f t="array" ref="B329">IFERROR(INDEX(Cartera1017[Nombre del Requerimiento],ROW(A327)),"")</f>
        <v/>
      </c>
      <c r="C329" s="376" t="str" cm="1">
        <f t="array" ref="C329">IFERROR(INDEX(Cartera1017[indicador de Avance],ROW(A327)),"")</f>
        <v/>
      </c>
      <c r="D329" s="376" t="str" cm="1">
        <f t="array" ref="D329">IFERROR(INDEX(Cartera1017[Gerencia],ROW(A327)),"")</f>
        <v/>
      </c>
      <c r="E329" s="376" t="str" cm="1">
        <f t="array" ref="E329">IFERROR(INDEX(Cartera1017[Subgerencia],ROW(A327)),"")</f>
        <v/>
      </c>
      <c r="F329" s="376" t="str" cm="1">
        <f t="array" ref="F329">IFERROR(INDEX(Cartera1017[Sección],ROW(A327)),"")</f>
        <v/>
      </c>
      <c r="G329" s="376" t="str" cm="1">
        <f t="array" ref="G329">IFERROR(INDEX(Cartera1017[Estado TI],ROW(A327)),"")</f>
        <v/>
      </c>
      <c r="H329" s="463" t="str" cm="1">
        <f t="array" ref="H329">IFERROR(
 IF(
   INDEX(Cartera1017[Comienzo Desarrollo],ROW(A327))=0,
   "",
   INDEX(Cartera1017[Comienzo Desarrollo],ROW(A327))
 ),
 ""
)</f>
        <v/>
      </c>
      <c r="I329" s="463" t="str" cm="1">
        <f t="array" ref="I329">IFERROR(
 IF(
   INDEX(Cartera1017[Fin Producción],ROW(A327))=0,
   "",
   INDEX(Cartera1017[Fin Producción],ROW(A327))
 ),
 ""
)</f>
        <v/>
      </c>
    </row>
    <row r="330" spans="1:9">
      <c r="A330" s="376" t="str" cm="1">
        <f t="array" ref="A330">IFERROR(
 IF(
   INDEX(Cartera1017[ID Mantenimiento],ROW(A328))=0,
   "",
   INDEX(Cartera1017[ID Mantenimiento],ROW(A328))
 ),
 ""
)</f>
        <v/>
      </c>
      <c r="B330" s="376" t="str" cm="1">
        <f t="array" ref="B330">IFERROR(INDEX(Cartera1017[Nombre del Requerimiento],ROW(A328)),"")</f>
        <v/>
      </c>
      <c r="C330" s="376" t="str" cm="1">
        <f t="array" ref="C330">IFERROR(INDEX(Cartera1017[indicador de Avance],ROW(A328)),"")</f>
        <v/>
      </c>
      <c r="D330" s="376" t="str" cm="1">
        <f t="array" ref="D330">IFERROR(INDEX(Cartera1017[Gerencia],ROW(A328)),"")</f>
        <v/>
      </c>
      <c r="E330" s="376" t="str" cm="1">
        <f t="array" ref="E330">IFERROR(INDEX(Cartera1017[Subgerencia],ROW(A328)),"")</f>
        <v/>
      </c>
      <c r="F330" s="376" t="str" cm="1">
        <f t="array" ref="F330">IFERROR(INDEX(Cartera1017[Sección],ROW(A328)),"")</f>
        <v/>
      </c>
      <c r="G330" s="376" t="str" cm="1">
        <f t="array" ref="G330">IFERROR(INDEX(Cartera1017[Estado TI],ROW(A328)),"")</f>
        <v/>
      </c>
      <c r="H330" s="463" t="str" cm="1">
        <f t="array" ref="H330">IFERROR(
 IF(
   INDEX(Cartera1017[Comienzo Desarrollo],ROW(A328))=0,
   "",
   INDEX(Cartera1017[Comienzo Desarrollo],ROW(A328))
 ),
 ""
)</f>
        <v/>
      </c>
      <c r="I330" s="463" t="str" cm="1">
        <f t="array" ref="I330">IFERROR(
 IF(
   INDEX(Cartera1017[Fin Producción],ROW(A328))=0,
   "",
   INDEX(Cartera1017[Fin Producción],ROW(A328))
 ),
 ""
)</f>
        <v/>
      </c>
    </row>
    <row r="331" spans="1:9">
      <c r="A331" s="376" t="str" cm="1">
        <f t="array" ref="A331">IFERROR(
 IF(
   INDEX(Cartera1017[ID Mantenimiento],ROW(A329))=0,
   "",
   INDEX(Cartera1017[ID Mantenimiento],ROW(A329))
 ),
 ""
)</f>
        <v/>
      </c>
      <c r="B331" s="376" t="str" cm="1">
        <f t="array" ref="B331">IFERROR(INDEX(Cartera1017[Nombre del Requerimiento],ROW(A329)),"")</f>
        <v/>
      </c>
      <c r="C331" s="376" t="str" cm="1">
        <f t="array" ref="C331">IFERROR(INDEX(Cartera1017[indicador de Avance],ROW(A329)),"")</f>
        <v/>
      </c>
      <c r="D331" s="376" t="str" cm="1">
        <f t="array" ref="D331">IFERROR(INDEX(Cartera1017[Gerencia],ROW(A329)),"")</f>
        <v/>
      </c>
      <c r="E331" s="376" t="str" cm="1">
        <f t="array" ref="E331">IFERROR(INDEX(Cartera1017[Subgerencia],ROW(A329)),"")</f>
        <v/>
      </c>
      <c r="F331" s="376" t="str" cm="1">
        <f t="array" ref="F331">IFERROR(INDEX(Cartera1017[Sección],ROW(A329)),"")</f>
        <v/>
      </c>
      <c r="G331" s="376" t="str" cm="1">
        <f t="array" ref="G331">IFERROR(INDEX(Cartera1017[Estado TI],ROW(A329)),"")</f>
        <v/>
      </c>
      <c r="H331" s="463" t="str" cm="1">
        <f t="array" ref="H331">IFERROR(
 IF(
   INDEX(Cartera1017[Comienzo Desarrollo],ROW(A329))=0,
   "",
   INDEX(Cartera1017[Comienzo Desarrollo],ROW(A329))
 ),
 ""
)</f>
        <v/>
      </c>
      <c r="I331" s="463" t="str" cm="1">
        <f t="array" ref="I331">IFERROR(
 IF(
   INDEX(Cartera1017[Fin Producción],ROW(A329))=0,
   "",
   INDEX(Cartera1017[Fin Producción],ROW(A329))
 ),
 ""
)</f>
        <v/>
      </c>
    </row>
    <row r="332" spans="1:9">
      <c r="A332" s="376" t="str" cm="1">
        <f t="array" ref="A332">IFERROR(
 IF(
   INDEX(Cartera1017[ID Mantenimiento],ROW(A330))=0,
   "",
   INDEX(Cartera1017[ID Mantenimiento],ROW(A330))
 ),
 ""
)</f>
        <v/>
      </c>
      <c r="B332" s="376" t="str" cm="1">
        <f t="array" ref="B332">IFERROR(INDEX(Cartera1017[Nombre del Requerimiento],ROW(A330)),"")</f>
        <v/>
      </c>
      <c r="C332" s="376" t="str" cm="1">
        <f t="array" ref="C332">IFERROR(INDEX(Cartera1017[indicador de Avance],ROW(A330)),"")</f>
        <v/>
      </c>
      <c r="D332" s="376" t="str" cm="1">
        <f t="array" ref="D332">IFERROR(INDEX(Cartera1017[Gerencia],ROW(A330)),"")</f>
        <v/>
      </c>
      <c r="E332" s="376" t="str" cm="1">
        <f t="array" ref="E332">IFERROR(INDEX(Cartera1017[Subgerencia],ROW(A330)),"")</f>
        <v/>
      </c>
      <c r="F332" s="376" t="str" cm="1">
        <f t="array" ref="F332">IFERROR(INDEX(Cartera1017[Sección],ROW(A330)),"")</f>
        <v/>
      </c>
      <c r="G332" s="376" t="str" cm="1">
        <f t="array" ref="G332">IFERROR(INDEX(Cartera1017[Estado TI],ROW(A330)),"")</f>
        <v/>
      </c>
      <c r="H332" s="463" t="str" cm="1">
        <f t="array" ref="H332">IFERROR(
 IF(
   INDEX(Cartera1017[Comienzo Desarrollo],ROW(A330))=0,
   "",
   INDEX(Cartera1017[Comienzo Desarrollo],ROW(A330))
 ),
 ""
)</f>
        <v/>
      </c>
      <c r="I332" s="463" t="str" cm="1">
        <f t="array" ref="I332">IFERROR(
 IF(
   INDEX(Cartera1017[Fin Producción],ROW(A330))=0,
   "",
   INDEX(Cartera1017[Fin Producción],ROW(A330))
 ),
 ""
)</f>
        <v/>
      </c>
    </row>
    <row r="333" spans="1:9">
      <c r="A333" s="376" t="str" cm="1">
        <f t="array" ref="A333">IFERROR(
 IF(
   INDEX(Cartera1017[ID Mantenimiento],ROW(A331))=0,
   "",
   INDEX(Cartera1017[ID Mantenimiento],ROW(A331))
 ),
 ""
)</f>
        <v/>
      </c>
      <c r="B333" s="376" t="str" cm="1">
        <f t="array" ref="B333">IFERROR(INDEX(Cartera1017[Nombre del Requerimiento],ROW(A331)),"")</f>
        <v/>
      </c>
      <c r="C333" s="376" t="str" cm="1">
        <f t="array" ref="C333">IFERROR(INDEX(Cartera1017[indicador de Avance],ROW(A331)),"")</f>
        <v/>
      </c>
      <c r="D333" s="376" t="str" cm="1">
        <f t="array" ref="D333">IFERROR(INDEX(Cartera1017[Gerencia],ROW(A331)),"")</f>
        <v/>
      </c>
      <c r="E333" s="376" t="str" cm="1">
        <f t="array" ref="E333">IFERROR(INDEX(Cartera1017[Subgerencia],ROW(A331)),"")</f>
        <v/>
      </c>
      <c r="F333" s="376" t="str" cm="1">
        <f t="array" ref="F333">IFERROR(INDEX(Cartera1017[Sección],ROW(A331)),"")</f>
        <v/>
      </c>
      <c r="G333" s="376" t="str" cm="1">
        <f t="array" ref="G333">IFERROR(INDEX(Cartera1017[Estado TI],ROW(A331)),"")</f>
        <v/>
      </c>
      <c r="H333" s="463" t="str" cm="1">
        <f t="array" ref="H333">IFERROR(
 IF(
   INDEX(Cartera1017[Comienzo Desarrollo],ROW(A331))=0,
   "",
   INDEX(Cartera1017[Comienzo Desarrollo],ROW(A331))
 ),
 ""
)</f>
        <v/>
      </c>
      <c r="I333" s="463" t="str" cm="1">
        <f t="array" ref="I333">IFERROR(
 IF(
   INDEX(Cartera1017[Fin Producción],ROW(A331))=0,
   "",
   INDEX(Cartera1017[Fin Producción],ROW(A331))
 ),
 ""
)</f>
        <v/>
      </c>
    </row>
    <row r="334" spans="1:9">
      <c r="A334" s="376" t="str" cm="1">
        <f t="array" ref="A334">IFERROR(
 IF(
   INDEX(Cartera1017[ID Mantenimiento],ROW(A332))=0,
   "",
   INDEX(Cartera1017[ID Mantenimiento],ROW(A332))
 ),
 ""
)</f>
        <v/>
      </c>
      <c r="B334" s="376" t="str" cm="1">
        <f t="array" ref="B334">IFERROR(INDEX(Cartera1017[Nombre del Requerimiento],ROW(A332)),"")</f>
        <v/>
      </c>
      <c r="C334" s="376" t="str" cm="1">
        <f t="array" ref="C334">IFERROR(INDEX(Cartera1017[indicador de Avance],ROW(A332)),"")</f>
        <v/>
      </c>
      <c r="D334" s="376" t="str" cm="1">
        <f t="array" ref="D334">IFERROR(INDEX(Cartera1017[Gerencia],ROW(A332)),"")</f>
        <v/>
      </c>
      <c r="E334" s="376" t="str" cm="1">
        <f t="array" ref="E334">IFERROR(INDEX(Cartera1017[Subgerencia],ROW(A332)),"")</f>
        <v/>
      </c>
      <c r="F334" s="376" t="str" cm="1">
        <f t="array" ref="F334">IFERROR(INDEX(Cartera1017[Sección],ROW(A332)),"")</f>
        <v/>
      </c>
      <c r="G334" s="376" t="str" cm="1">
        <f t="array" ref="G334">IFERROR(INDEX(Cartera1017[Estado TI],ROW(A332)),"")</f>
        <v/>
      </c>
      <c r="H334" s="463" t="str" cm="1">
        <f t="array" ref="H334">IFERROR(
 IF(
   INDEX(Cartera1017[Comienzo Desarrollo],ROW(A332))=0,
   "",
   INDEX(Cartera1017[Comienzo Desarrollo],ROW(A332))
 ),
 ""
)</f>
        <v/>
      </c>
      <c r="I334" s="463" t="str" cm="1">
        <f t="array" ref="I334">IFERROR(
 IF(
   INDEX(Cartera1017[Fin Producción],ROW(A332))=0,
   "",
   INDEX(Cartera1017[Fin Producción],ROW(A332))
 ),
 ""
)</f>
        <v/>
      </c>
    </row>
    <row r="335" spans="1:9">
      <c r="A335" s="376" t="str" cm="1">
        <f t="array" ref="A335">IFERROR(
 IF(
   INDEX(Cartera1017[ID Mantenimiento],ROW(A333))=0,
   "",
   INDEX(Cartera1017[ID Mantenimiento],ROW(A333))
 ),
 ""
)</f>
        <v/>
      </c>
      <c r="B335" s="376" t="str" cm="1">
        <f t="array" ref="B335">IFERROR(INDEX(Cartera1017[Nombre del Requerimiento],ROW(A333)),"")</f>
        <v/>
      </c>
      <c r="C335" s="376" t="str" cm="1">
        <f t="array" ref="C335">IFERROR(INDEX(Cartera1017[indicador de Avance],ROW(A333)),"")</f>
        <v/>
      </c>
      <c r="D335" s="376" t="str" cm="1">
        <f t="array" ref="D335">IFERROR(INDEX(Cartera1017[Gerencia],ROW(A333)),"")</f>
        <v/>
      </c>
      <c r="E335" s="376" t="str" cm="1">
        <f t="array" ref="E335">IFERROR(INDEX(Cartera1017[Subgerencia],ROW(A333)),"")</f>
        <v/>
      </c>
      <c r="F335" s="376" t="str" cm="1">
        <f t="array" ref="F335">IFERROR(INDEX(Cartera1017[Sección],ROW(A333)),"")</f>
        <v/>
      </c>
      <c r="G335" s="376" t="str" cm="1">
        <f t="array" ref="G335">IFERROR(INDEX(Cartera1017[Estado TI],ROW(A333)),"")</f>
        <v/>
      </c>
      <c r="H335" s="463" t="str" cm="1">
        <f t="array" ref="H335">IFERROR(
 IF(
   INDEX(Cartera1017[Comienzo Desarrollo],ROW(A333))=0,
   "",
   INDEX(Cartera1017[Comienzo Desarrollo],ROW(A333))
 ),
 ""
)</f>
        <v/>
      </c>
      <c r="I335" s="463" t="str" cm="1">
        <f t="array" ref="I335">IFERROR(
 IF(
   INDEX(Cartera1017[Fin Producción],ROW(A333))=0,
   "",
   INDEX(Cartera1017[Fin Producción],ROW(A333))
 ),
 ""
)</f>
        <v/>
      </c>
    </row>
    <row r="336" spans="1:9">
      <c r="A336" s="376" t="str" cm="1">
        <f t="array" ref="A336">IFERROR(
 IF(
   INDEX(Cartera1017[ID Mantenimiento],ROW(A334))=0,
   "",
   INDEX(Cartera1017[ID Mantenimiento],ROW(A334))
 ),
 ""
)</f>
        <v/>
      </c>
      <c r="B336" s="376" t="str" cm="1">
        <f t="array" ref="B336">IFERROR(INDEX(Cartera1017[Nombre del Requerimiento],ROW(A334)),"")</f>
        <v/>
      </c>
      <c r="C336" s="376" t="str" cm="1">
        <f t="array" ref="C336">IFERROR(INDEX(Cartera1017[indicador de Avance],ROW(A334)),"")</f>
        <v/>
      </c>
      <c r="D336" s="376" t="str" cm="1">
        <f t="array" ref="D336">IFERROR(INDEX(Cartera1017[Gerencia],ROW(A334)),"")</f>
        <v/>
      </c>
      <c r="E336" s="376" t="str" cm="1">
        <f t="array" ref="E336">IFERROR(INDEX(Cartera1017[Subgerencia],ROW(A334)),"")</f>
        <v/>
      </c>
      <c r="F336" s="376" t="str" cm="1">
        <f t="array" ref="F336">IFERROR(INDEX(Cartera1017[Sección],ROW(A334)),"")</f>
        <v/>
      </c>
      <c r="G336" s="376" t="str" cm="1">
        <f t="array" ref="G336">IFERROR(INDEX(Cartera1017[Estado TI],ROW(A334)),"")</f>
        <v/>
      </c>
      <c r="H336" s="463" t="str" cm="1">
        <f t="array" ref="H336">IFERROR(
 IF(
   INDEX(Cartera1017[Comienzo Desarrollo],ROW(A334))=0,
   "",
   INDEX(Cartera1017[Comienzo Desarrollo],ROW(A334))
 ),
 ""
)</f>
        <v/>
      </c>
      <c r="I336" s="463" t="str" cm="1">
        <f t="array" ref="I336">IFERROR(
 IF(
   INDEX(Cartera1017[Fin Producción],ROW(A334))=0,
   "",
   INDEX(Cartera1017[Fin Producción],ROW(A334))
 ),
 ""
)</f>
        <v/>
      </c>
    </row>
    <row r="337" spans="1:9">
      <c r="A337" s="376" t="str" cm="1">
        <f t="array" ref="A337">IFERROR(
 IF(
   INDEX(Cartera1017[ID Mantenimiento],ROW(A335))=0,
   "",
   INDEX(Cartera1017[ID Mantenimiento],ROW(A335))
 ),
 ""
)</f>
        <v/>
      </c>
      <c r="B337" s="376" t="str" cm="1">
        <f t="array" ref="B337">IFERROR(INDEX(Cartera1017[Nombre del Requerimiento],ROW(A335)),"")</f>
        <v/>
      </c>
      <c r="C337" s="376" t="str" cm="1">
        <f t="array" ref="C337">IFERROR(INDEX(Cartera1017[indicador de Avance],ROW(A335)),"")</f>
        <v/>
      </c>
      <c r="D337" s="376" t="str" cm="1">
        <f t="array" ref="D337">IFERROR(INDEX(Cartera1017[Gerencia],ROW(A335)),"")</f>
        <v/>
      </c>
      <c r="E337" s="376" t="str" cm="1">
        <f t="array" ref="E337">IFERROR(INDEX(Cartera1017[Subgerencia],ROW(A335)),"")</f>
        <v/>
      </c>
      <c r="F337" s="376" t="str" cm="1">
        <f t="array" ref="F337">IFERROR(INDEX(Cartera1017[Sección],ROW(A335)),"")</f>
        <v/>
      </c>
      <c r="G337" s="376" t="str" cm="1">
        <f t="array" ref="G337">IFERROR(INDEX(Cartera1017[Estado TI],ROW(A335)),"")</f>
        <v/>
      </c>
      <c r="H337" s="463" t="str" cm="1">
        <f t="array" ref="H337">IFERROR(
 IF(
   INDEX(Cartera1017[Comienzo Desarrollo],ROW(A335))=0,
   "",
   INDEX(Cartera1017[Comienzo Desarrollo],ROW(A335))
 ),
 ""
)</f>
        <v/>
      </c>
      <c r="I337" s="463" t="str" cm="1">
        <f t="array" ref="I337">IFERROR(
 IF(
   INDEX(Cartera1017[Fin Producción],ROW(A335))=0,
   "",
   INDEX(Cartera1017[Fin Producción],ROW(A335))
 ),
 ""
)</f>
        <v/>
      </c>
    </row>
    <row r="338" spans="1:9">
      <c r="A338" s="376" t="str" cm="1">
        <f t="array" ref="A338">IFERROR(
 IF(
   INDEX(Cartera1017[ID Mantenimiento],ROW(A336))=0,
   "",
   INDEX(Cartera1017[ID Mantenimiento],ROW(A336))
 ),
 ""
)</f>
        <v/>
      </c>
      <c r="B338" s="376" t="str" cm="1">
        <f t="array" ref="B338">IFERROR(INDEX(Cartera1017[Nombre del Requerimiento],ROW(A336)),"")</f>
        <v/>
      </c>
      <c r="C338" s="376" t="str" cm="1">
        <f t="array" ref="C338">IFERROR(INDEX(Cartera1017[indicador de Avance],ROW(A336)),"")</f>
        <v/>
      </c>
      <c r="D338" s="376" t="str" cm="1">
        <f t="array" ref="D338">IFERROR(INDEX(Cartera1017[Gerencia],ROW(A336)),"")</f>
        <v/>
      </c>
      <c r="E338" s="376" t="str" cm="1">
        <f t="array" ref="E338">IFERROR(INDEX(Cartera1017[Subgerencia],ROW(A336)),"")</f>
        <v/>
      </c>
      <c r="F338" s="376" t="str" cm="1">
        <f t="array" ref="F338">IFERROR(INDEX(Cartera1017[Sección],ROW(A336)),"")</f>
        <v/>
      </c>
      <c r="G338" s="376" t="str" cm="1">
        <f t="array" ref="G338">IFERROR(INDEX(Cartera1017[Estado TI],ROW(A336)),"")</f>
        <v/>
      </c>
      <c r="H338" s="463" t="str" cm="1">
        <f t="array" ref="H338">IFERROR(
 IF(
   INDEX(Cartera1017[Comienzo Desarrollo],ROW(A336))=0,
   "",
   INDEX(Cartera1017[Comienzo Desarrollo],ROW(A336))
 ),
 ""
)</f>
        <v/>
      </c>
      <c r="I338" s="463" t="str" cm="1">
        <f t="array" ref="I338">IFERROR(
 IF(
   INDEX(Cartera1017[Fin Producción],ROW(A336))=0,
   "",
   INDEX(Cartera1017[Fin Producción],ROW(A336))
 ),
 ""
)</f>
        <v/>
      </c>
    </row>
    <row r="339" spans="1:9">
      <c r="A339" s="376" t="str" cm="1">
        <f t="array" ref="A339">IFERROR(
 IF(
   INDEX(Cartera1017[ID Mantenimiento],ROW(A337))=0,
   "",
   INDEX(Cartera1017[ID Mantenimiento],ROW(A337))
 ),
 ""
)</f>
        <v/>
      </c>
      <c r="B339" s="376" t="str" cm="1">
        <f t="array" ref="B339">IFERROR(INDEX(Cartera1017[Nombre del Requerimiento],ROW(A337)),"")</f>
        <v/>
      </c>
      <c r="C339" s="376" t="str" cm="1">
        <f t="array" ref="C339">IFERROR(INDEX(Cartera1017[indicador de Avance],ROW(A337)),"")</f>
        <v/>
      </c>
      <c r="D339" s="376" t="str" cm="1">
        <f t="array" ref="D339">IFERROR(INDEX(Cartera1017[Gerencia],ROW(A337)),"")</f>
        <v/>
      </c>
      <c r="E339" s="376" t="str" cm="1">
        <f t="array" ref="E339">IFERROR(INDEX(Cartera1017[Subgerencia],ROW(A337)),"")</f>
        <v/>
      </c>
      <c r="F339" s="376" t="str" cm="1">
        <f t="array" ref="F339">IFERROR(INDEX(Cartera1017[Sección],ROW(A337)),"")</f>
        <v/>
      </c>
      <c r="G339" s="376" t="str" cm="1">
        <f t="array" ref="G339">IFERROR(INDEX(Cartera1017[Estado TI],ROW(A337)),"")</f>
        <v/>
      </c>
      <c r="H339" s="463" t="str" cm="1">
        <f t="array" ref="H339">IFERROR(
 IF(
   INDEX(Cartera1017[Comienzo Desarrollo],ROW(A337))=0,
   "",
   INDEX(Cartera1017[Comienzo Desarrollo],ROW(A337))
 ),
 ""
)</f>
        <v/>
      </c>
      <c r="I339" s="463" t="str" cm="1">
        <f t="array" ref="I339">IFERROR(
 IF(
   INDEX(Cartera1017[Fin Producción],ROW(A337))=0,
   "",
   INDEX(Cartera1017[Fin Producción],ROW(A337))
 ),
 ""
)</f>
        <v/>
      </c>
    </row>
    <row r="340" spans="1:9">
      <c r="A340" s="376" t="str" cm="1">
        <f t="array" ref="A340">IFERROR(
 IF(
   INDEX(Cartera1017[ID Mantenimiento],ROW(A338))=0,
   "",
   INDEX(Cartera1017[ID Mantenimiento],ROW(A338))
 ),
 ""
)</f>
        <v/>
      </c>
      <c r="B340" s="376" t="str" cm="1">
        <f t="array" ref="B340">IFERROR(INDEX(Cartera1017[Nombre del Requerimiento],ROW(A338)),"")</f>
        <v/>
      </c>
      <c r="C340" s="376" t="str" cm="1">
        <f t="array" ref="C340">IFERROR(INDEX(Cartera1017[indicador de Avance],ROW(A338)),"")</f>
        <v/>
      </c>
      <c r="D340" s="376" t="str" cm="1">
        <f t="array" ref="D340">IFERROR(INDEX(Cartera1017[Gerencia],ROW(A338)),"")</f>
        <v/>
      </c>
      <c r="E340" s="376" t="str" cm="1">
        <f t="array" ref="E340">IFERROR(INDEX(Cartera1017[Subgerencia],ROW(A338)),"")</f>
        <v/>
      </c>
      <c r="F340" s="376" t="str" cm="1">
        <f t="array" ref="F340">IFERROR(INDEX(Cartera1017[Sección],ROW(A338)),"")</f>
        <v/>
      </c>
      <c r="G340" s="376" t="str" cm="1">
        <f t="array" ref="G340">IFERROR(INDEX(Cartera1017[Estado TI],ROW(A338)),"")</f>
        <v/>
      </c>
      <c r="H340" s="463" t="str" cm="1">
        <f t="array" ref="H340">IFERROR(
 IF(
   INDEX(Cartera1017[Comienzo Desarrollo],ROW(A338))=0,
   "",
   INDEX(Cartera1017[Comienzo Desarrollo],ROW(A338))
 ),
 ""
)</f>
        <v/>
      </c>
      <c r="I340" s="463" t="str" cm="1">
        <f t="array" ref="I340">IFERROR(
 IF(
   INDEX(Cartera1017[Fin Producción],ROW(A338))=0,
   "",
   INDEX(Cartera1017[Fin Producción],ROW(A338))
 ),
 ""
)</f>
        <v/>
      </c>
    </row>
    <row r="341" spans="1:9">
      <c r="A341" s="376" t="str" cm="1">
        <f t="array" ref="A341">IFERROR(
 IF(
   INDEX(Cartera1017[ID Mantenimiento],ROW(A339))=0,
   "",
   INDEX(Cartera1017[ID Mantenimiento],ROW(A339))
 ),
 ""
)</f>
        <v/>
      </c>
      <c r="B341" s="376" t="str" cm="1">
        <f t="array" ref="B341">IFERROR(INDEX(Cartera1017[Nombre del Requerimiento],ROW(A339)),"")</f>
        <v/>
      </c>
      <c r="C341" s="376" t="str" cm="1">
        <f t="array" ref="C341">IFERROR(INDEX(Cartera1017[indicador de Avance],ROW(A339)),"")</f>
        <v/>
      </c>
      <c r="D341" s="376" t="str" cm="1">
        <f t="array" ref="D341">IFERROR(INDEX(Cartera1017[Gerencia],ROW(A339)),"")</f>
        <v/>
      </c>
      <c r="E341" s="376" t="str" cm="1">
        <f t="array" ref="E341">IFERROR(INDEX(Cartera1017[Subgerencia],ROW(A339)),"")</f>
        <v/>
      </c>
      <c r="F341" s="376" t="str" cm="1">
        <f t="array" ref="F341">IFERROR(INDEX(Cartera1017[Sección],ROW(A339)),"")</f>
        <v/>
      </c>
      <c r="G341" s="376" t="str" cm="1">
        <f t="array" ref="G341">IFERROR(INDEX(Cartera1017[Estado TI],ROW(A339)),"")</f>
        <v/>
      </c>
      <c r="H341" s="463" t="str" cm="1">
        <f t="array" ref="H341">IFERROR(
 IF(
   INDEX(Cartera1017[Comienzo Desarrollo],ROW(A339))=0,
   "",
   INDEX(Cartera1017[Comienzo Desarrollo],ROW(A339))
 ),
 ""
)</f>
        <v/>
      </c>
      <c r="I341" s="463" t="str" cm="1">
        <f t="array" ref="I341">IFERROR(
 IF(
   INDEX(Cartera1017[Fin Producción],ROW(A339))=0,
   "",
   INDEX(Cartera1017[Fin Producción],ROW(A339))
 ),
 ""
)</f>
        <v/>
      </c>
    </row>
    <row r="342" spans="1:9">
      <c r="A342" s="376" t="str" cm="1">
        <f t="array" ref="A342">IFERROR(
 IF(
   INDEX(Cartera1017[ID Mantenimiento],ROW(A340))=0,
   "",
   INDEX(Cartera1017[ID Mantenimiento],ROW(A340))
 ),
 ""
)</f>
        <v/>
      </c>
      <c r="B342" s="376" t="str" cm="1">
        <f t="array" ref="B342">IFERROR(INDEX(Cartera1017[Nombre del Requerimiento],ROW(A340)),"")</f>
        <v/>
      </c>
      <c r="C342" s="376" t="str" cm="1">
        <f t="array" ref="C342">IFERROR(INDEX(Cartera1017[indicador de Avance],ROW(A340)),"")</f>
        <v/>
      </c>
      <c r="D342" s="376" t="str" cm="1">
        <f t="array" ref="D342">IFERROR(INDEX(Cartera1017[Gerencia],ROW(A340)),"")</f>
        <v/>
      </c>
      <c r="E342" s="376" t="str" cm="1">
        <f t="array" ref="E342">IFERROR(INDEX(Cartera1017[Subgerencia],ROW(A340)),"")</f>
        <v/>
      </c>
      <c r="F342" s="376" t="str" cm="1">
        <f t="array" ref="F342">IFERROR(INDEX(Cartera1017[Sección],ROW(A340)),"")</f>
        <v/>
      </c>
      <c r="G342" s="376" t="str" cm="1">
        <f t="array" ref="G342">IFERROR(INDEX(Cartera1017[Estado TI],ROW(A340)),"")</f>
        <v/>
      </c>
      <c r="H342" s="463" t="str" cm="1">
        <f t="array" ref="H342">IFERROR(
 IF(
   INDEX(Cartera1017[Comienzo Desarrollo],ROW(A340))=0,
   "",
   INDEX(Cartera1017[Comienzo Desarrollo],ROW(A340))
 ),
 ""
)</f>
        <v/>
      </c>
      <c r="I342" s="463" t="str" cm="1">
        <f t="array" ref="I342">IFERROR(
 IF(
   INDEX(Cartera1017[Fin Producción],ROW(A340))=0,
   "",
   INDEX(Cartera1017[Fin Producción],ROW(A340))
 ),
 ""
)</f>
        <v/>
      </c>
    </row>
    <row r="343" spans="1:9">
      <c r="A343" s="376" t="str" cm="1">
        <f t="array" ref="A343">IFERROR(
 IF(
   INDEX(Cartera1017[ID Mantenimiento],ROW(A341))=0,
   "",
   INDEX(Cartera1017[ID Mantenimiento],ROW(A341))
 ),
 ""
)</f>
        <v/>
      </c>
      <c r="B343" s="376" t="str" cm="1">
        <f t="array" ref="B343">IFERROR(INDEX(Cartera1017[Nombre del Requerimiento],ROW(A341)),"")</f>
        <v/>
      </c>
      <c r="C343" s="376" t="str" cm="1">
        <f t="array" ref="C343">IFERROR(INDEX(Cartera1017[indicador de Avance],ROW(A341)),"")</f>
        <v/>
      </c>
      <c r="D343" s="376" t="str" cm="1">
        <f t="array" ref="D343">IFERROR(INDEX(Cartera1017[Gerencia],ROW(A341)),"")</f>
        <v/>
      </c>
      <c r="E343" s="376" t="str" cm="1">
        <f t="array" ref="E343">IFERROR(INDEX(Cartera1017[Subgerencia],ROW(A341)),"")</f>
        <v/>
      </c>
      <c r="F343" s="376" t="str" cm="1">
        <f t="array" ref="F343">IFERROR(INDEX(Cartera1017[Sección],ROW(A341)),"")</f>
        <v/>
      </c>
      <c r="G343" s="376" t="str" cm="1">
        <f t="array" ref="G343">IFERROR(INDEX(Cartera1017[Estado TI],ROW(A341)),"")</f>
        <v/>
      </c>
      <c r="H343" s="463" t="str" cm="1">
        <f t="array" ref="H343">IFERROR(
 IF(
   INDEX(Cartera1017[Comienzo Desarrollo],ROW(A341))=0,
   "",
   INDEX(Cartera1017[Comienzo Desarrollo],ROW(A341))
 ),
 ""
)</f>
        <v/>
      </c>
      <c r="I343" s="463" t="str" cm="1">
        <f t="array" ref="I343">IFERROR(
 IF(
   INDEX(Cartera1017[Fin Producción],ROW(A341))=0,
   "",
   INDEX(Cartera1017[Fin Producción],ROW(A341))
 ),
 ""
)</f>
        <v/>
      </c>
    </row>
    <row r="344" spans="1:9">
      <c r="A344" s="376" t="str" cm="1">
        <f t="array" ref="A344">IFERROR(
 IF(
   INDEX(Cartera1017[ID Mantenimiento],ROW(A342))=0,
   "",
   INDEX(Cartera1017[ID Mantenimiento],ROW(A342))
 ),
 ""
)</f>
        <v/>
      </c>
      <c r="B344" s="376" t="str" cm="1">
        <f t="array" ref="B344">IFERROR(INDEX(Cartera1017[Nombre del Requerimiento],ROW(A342)),"")</f>
        <v/>
      </c>
      <c r="C344" s="376" t="str" cm="1">
        <f t="array" ref="C344">IFERROR(INDEX(Cartera1017[indicador de Avance],ROW(A342)),"")</f>
        <v/>
      </c>
      <c r="D344" s="376" t="str" cm="1">
        <f t="array" ref="D344">IFERROR(INDEX(Cartera1017[Gerencia],ROW(A342)),"")</f>
        <v/>
      </c>
      <c r="E344" s="376" t="str" cm="1">
        <f t="array" ref="E344">IFERROR(INDEX(Cartera1017[Subgerencia],ROW(A342)),"")</f>
        <v/>
      </c>
      <c r="F344" s="376" t="str" cm="1">
        <f t="array" ref="F344">IFERROR(INDEX(Cartera1017[Sección],ROW(A342)),"")</f>
        <v/>
      </c>
      <c r="G344" s="376" t="str" cm="1">
        <f t="array" ref="G344">IFERROR(INDEX(Cartera1017[Estado TI],ROW(A342)),"")</f>
        <v/>
      </c>
      <c r="H344" s="463" t="str" cm="1">
        <f t="array" ref="H344">IFERROR(
 IF(
   INDEX(Cartera1017[Comienzo Desarrollo],ROW(A342))=0,
   "",
   INDEX(Cartera1017[Comienzo Desarrollo],ROW(A342))
 ),
 ""
)</f>
        <v/>
      </c>
      <c r="I344" s="463" t="str" cm="1">
        <f t="array" ref="I344">IFERROR(
 IF(
   INDEX(Cartera1017[Fin Producción],ROW(A342))=0,
   "",
   INDEX(Cartera1017[Fin Producción],ROW(A342))
 ),
 ""
)</f>
        <v/>
      </c>
    </row>
    <row r="345" spans="1:9">
      <c r="A345" s="376" t="str" cm="1">
        <f t="array" ref="A345">IFERROR(
 IF(
   INDEX(Cartera1017[ID Mantenimiento],ROW(A343))=0,
   "",
   INDEX(Cartera1017[ID Mantenimiento],ROW(A343))
 ),
 ""
)</f>
        <v/>
      </c>
      <c r="B345" s="376" t="str" cm="1">
        <f t="array" ref="B345">IFERROR(INDEX(Cartera1017[Nombre del Requerimiento],ROW(A343)),"")</f>
        <v/>
      </c>
      <c r="C345" s="376" t="str" cm="1">
        <f t="array" ref="C345">IFERROR(INDEX(Cartera1017[indicador de Avance],ROW(A343)),"")</f>
        <v/>
      </c>
      <c r="D345" s="376" t="str" cm="1">
        <f t="array" ref="D345">IFERROR(INDEX(Cartera1017[Gerencia],ROW(A343)),"")</f>
        <v/>
      </c>
      <c r="E345" s="376" t="str" cm="1">
        <f t="array" ref="E345">IFERROR(INDEX(Cartera1017[Subgerencia],ROW(A343)),"")</f>
        <v/>
      </c>
      <c r="F345" s="376" t="str" cm="1">
        <f t="array" ref="F345">IFERROR(INDEX(Cartera1017[Sección],ROW(A343)),"")</f>
        <v/>
      </c>
      <c r="G345" s="376" t="str" cm="1">
        <f t="array" ref="G345">IFERROR(INDEX(Cartera1017[Estado TI],ROW(A343)),"")</f>
        <v/>
      </c>
      <c r="H345" s="463" t="str" cm="1">
        <f t="array" ref="H345">IFERROR(
 IF(
   INDEX(Cartera1017[Comienzo Desarrollo],ROW(A343))=0,
   "",
   INDEX(Cartera1017[Comienzo Desarrollo],ROW(A343))
 ),
 ""
)</f>
        <v/>
      </c>
      <c r="I345" s="463" t="str" cm="1">
        <f t="array" ref="I345">IFERROR(
 IF(
   INDEX(Cartera1017[Fin Producción],ROW(A343))=0,
   "",
   INDEX(Cartera1017[Fin Producción],ROW(A343))
 ),
 ""
)</f>
        <v/>
      </c>
    </row>
    <row r="346" spans="1:9">
      <c r="A346" s="376" t="str" cm="1">
        <f t="array" ref="A346">IFERROR(
 IF(
   INDEX(Cartera1017[ID Mantenimiento],ROW(A344))=0,
   "",
   INDEX(Cartera1017[ID Mantenimiento],ROW(A344))
 ),
 ""
)</f>
        <v/>
      </c>
      <c r="B346" s="376" t="str" cm="1">
        <f t="array" ref="B346">IFERROR(INDEX(Cartera1017[Nombre del Requerimiento],ROW(A344)),"")</f>
        <v/>
      </c>
      <c r="C346" s="376" t="str" cm="1">
        <f t="array" ref="C346">IFERROR(INDEX(Cartera1017[indicador de Avance],ROW(A344)),"")</f>
        <v/>
      </c>
      <c r="D346" s="376" t="str" cm="1">
        <f t="array" ref="D346">IFERROR(INDEX(Cartera1017[Gerencia],ROW(A344)),"")</f>
        <v/>
      </c>
      <c r="E346" s="376" t="str" cm="1">
        <f t="array" ref="E346">IFERROR(INDEX(Cartera1017[Subgerencia],ROW(A344)),"")</f>
        <v/>
      </c>
      <c r="F346" s="376" t="str" cm="1">
        <f t="array" ref="F346">IFERROR(INDEX(Cartera1017[Sección],ROW(A344)),"")</f>
        <v/>
      </c>
      <c r="G346" s="376" t="str" cm="1">
        <f t="array" ref="G346">IFERROR(INDEX(Cartera1017[Estado TI],ROW(A344)),"")</f>
        <v/>
      </c>
      <c r="H346" s="463" t="str" cm="1">
        <f t="array" ref="H346">IFERROR(
 IF(
   INDEX(Cartera1017[Comienzo Desarrollo],ROW(A344))=0,
   "",
   INDEX(Cartera1017[Comienzo Desarrollo],ROW(A344))
 ),
 ""
)</f>
        <v/>
      </c>
      <c r="I346" s="463" t="str" cm="1">
        <f t="array" ref="I346">IFERROR(
 IF(
   INDEX(Cartera1017[Fin Producción],ROW(A344))=0,
   "",
   INDEX(Cartera1017[Fin Producción],ROW(A344))
 ),
 ""
)</f>
        <v/>
      </c>
    </row>
    <row r="347" spans="1:9">
      <c r="A347" s="376" t="str" cm="1">
        <f t="array" ref="A347">IFERROR(
 IF(
   INDEX(Cartera1017[ID Mantenimiento],ROW(A345))=0,
   "",
   INDEX(Cartera1017[ID Mantenimiento],ROW(A345))
 ),
 ""
)</f>
        <v/>
      </c>
      <c r="B347" s="376" t="str" cm="1">
        <f t="array" ref="B347">IFERROR(INDEX(Cartera1017[Nombre del Requerimiento],ROW(A345)),"")</f>
        <v/>
      </c>
      <c r="C347" s="376" t="str" cm="1">
        <f t="array" ref="C347">IFERROR(INDEX(Cartera1017[indicador de Avance],ROW(A345)),"")</f>
        <v/>
      </c>
      <c r="D347" s="376" t="str" cm="1">
        <f t="array" ref="D347">IFERROR(INDEX(Cartera1017[Gerencia],ROW(A345)),"")</f>
        <v/>
      </c>
      <c r="E347" s="376" t="str" cm="1">
        <f t="array" ref="E347">IFERROR(INDEX(Cartera1017[Subgerencia],ROW(A345)),"")</f>
        <v/>
      </c>
      <c r="F347" s="376" t="str" cm="1">
        <f t="array" ref="F347">IFERROR(INDEX(Cartera1017[Sección],ROW(A345)),"")</f>
        <v/>
      </c>
      <c r="G347" s="376" t="str" cm="1">
        <f t="array" ref="G347">IFERROR(INDEX(Cartera1017[Estado TI],ROW(A345)),"")</f>
        <v/>
      </c>
      <c r="H347" s="463" t="str" cm="1">
        <f t="array" ref="H347">IFERROR(
 IF(
   INDEX(Cartera1017[Comienzo Desarrollo],ROW(A345))=0,
   "",
   INDEX(Cartera1017[Comienzo Desarrollo],ROW(A345))
 ),
 ""
)</f>
        <v/>
      </c>
      <c r="I347" s="463" t="str" cm="1">
        <f t="array" ref="I347">IFERROR(
 IF(
   INDEX(Cartera1017[Fin Producción],ROW(A345))=0,
   "",
   INDEX(Cartera1017[Fin Producción],ROW(A345))
 ),
 ""
)</f>
        <v/>
      </c>
    </row>
    <row r="348" spans="1:9">
      <c r="A348" s="376" t="str" cm="1">
        <f t="array" ref="A348">IFERROR(
 IF(
   INDEX(Cartera1017[ID Mantenimiento],ROW(A346))=0,
   "",
   INDEX(Cartera1017[ID Mantenimiento],ROW(A346))
 ),
 ""
)</f>
        <v/>
      </c>
      <c r="B348" s="376" t="str" cm="1">
        <f t="array" ref="B348">IFERROR(INDEX(Cartera1017[Nombre del Requerimiento],ROW(A346)),"")</f>
        <v/>
      </c>
      <c r="C348" s="376" t="str" cm="1">
        <f t="array" ref="C348">IFERROR(INDEX(Cartera1017[indicador de Avance],ROW(A346)),"")</f>
        <v/>
      </c>
      <c r="D348" s="376" t="str" cm="1">
        <f t="array" ref="D348">IFERROR(INDEX(Cartera1017[Gerencia],ROW(A346)),"")</f>
        <v/>
      </c>
      <c r="E348" s="376" t="str" cm="1">
        <f t="array" ref="E348">IFERROR(INDEX(Cartera1017[Subgerencia],ROW(A346)),"")</f>
        <v/>
      </c>
      <c r="F348" s="376" t="str" cm="1">
        <f t="array" ref="F348">IFERROR(INDEX(Cartera1017[Sección],ROW(A346)),"")</f>
        <v/>
      </c>
      <c r="G348" s="376" t="str" cm="1">
        <f t="array" ref="G348">IFERROR(INDEX(Cartera1017[Estado TI],ROW(A346)),"")</f>
        <v/>
      </c>
      <c r="H348" s="463" t="str" cm="1">
        <f t="array" ref="H348">IFERROR(
 IF(
   INDEX(Cartera1017[Comienzo Desarrollo],ROW(A346))=0,
   "",
   INDEX(Cartera1017[Comienzo Desarrollo],ROW(A346))
 ),
 ""
)</f>
        <v/>
      </c>
      <c r="I348" s="463" t="str" cm="1">
        <f t="array" ref="I348">IFERROR(
 IF(
   INDEX(Cartera1017[Fin Producción],ROW(A346))=0,
   "",
   INDEX(Cartera1017[Fin Producción],ROW(A346))
 ),
 ""
)</f>
        <v/>
      </c>
    </row>
    <row r="349" spans="1:9">
      <c r="A349" s="376" t="str" cm="1">
        <f t="array" ref="A349">IFERROR(
 IF(
   INDEX(Cartera1017[ID Mantenimiento],ROW(A347))=0,
   "",
   INDEX(Cartera1017[ID Mantenimiento],ROW(A347))
 ),
 ""
)</f>
        <v/>
      </c>
      <c r="B349" s="376" t="str" cm="1">
        <f t="array" ref="B349">IFERROR(INDEX(Cartera1017[Nombre del Requerimiento],ROW(A347)),"")</f>
        <v/>
      </c>
      <c r="C349" s="376" t="str" cm="1">
        <f t="array" ref="C349">IFERROR(INDEX(Cartera1017[indicador de Avance],ROW(A347)),"")</f>
        <v/>
      </c>
      <c r="D349" s="376" t="str" cm="1">
        <f t="array" ref="D349">IFERROR(INDEX(Cartera1017[Gerencia],ROW(A347)),"")</f>
        <v/>
      </c>
      <c r="E349" s="376" t="str" cm="1">
        <f t="array" ref="E349">IFERROR(INDEX(Cartera1017[Subgerencia],ROW(A347)),"")</f>
        <v/>
      </c>
      <c r="F349" s="376" t="str" cm="1">
        <f t="array" ref="F349">IFERROR(INDEX(Cartera1017[Sección],ROW(A347)),"")</f>
        <v/>
      </c>
      <c r="G349" s="376" t="str" cm="1">
        <f t="array" ref="G349">IFERROR(INDEX(Cartera1017[Estado TI],ROW(A347)),"")</f>
        <v/>
      </c>
      <c r="H349" s="463" t="str" cm="1">
        <f t="array" ref="H349">IFERROR(
 IF(
   INDEX(Cartera1017[Comienzo Desarrollo],ROW(A347))=0,
   "",
   INDEX(Cartera1017[Comienzo Desarrollo],ROW(A347))
 ),
 ""
)</f>
        <v/>
      </c>
      <c r="I349" s="463" t="str" cm="1">
        <f t="array" ref="I349">IFERROR(
 IF(
   INDEX(Cartera1017[Fin Producción],ROW(A347))=0,
   "",
   INDEX(Cartera1017[Fin Producción],ROW(A347))
 ),
 ""
)</f>
        <v/>
      </c>
    </row>
    <row r="350" spans="1:9">
      <c r="A350" s="376" t="str" cm="1">
        <f t="array" ref="A350">IFERROR(
 IF(
   INDEX(Cartera1017[ID Mantenimiento],ROW(A348))=0,
   "",
   INDEX(Cartera1017[ID Mantenimiento],ROW(A348))
 ),
 ""
)</f>
        <v/>
      </c>
      <c r="B350" s="376" t="str" cm="1">
        <f t="array" ref="B350">IFERROR(INDEX(Cartera1017[Nombre del Requerimiento],ROW(A348)),"")</f>
        <v/>
      </c>
      <c r="C350" s="376" t="str" cm="1">
        <f t="array" ref="C350">IFERROR(INDEX(Cartera1017[indicador de Avance],ROW(A348)),"")</f>
        <v/>
      </c>
      <c r="D350" s="376" t="str" cm="1">
        <f t="array" ref="D350">IFERROR(INDEX(Cartera1017[Gerencia],ROW(A348)),"")</f>
        <v/>
      </c>
      <c r="E350" s="376" t="str" cm="1">
        <f t="array" ref="E350">IFERROR(INDEX(Cartera1017[Subgerencia],ROW(A348)),"")</f>
        <v/>
      </c>
      <c r="F350" s="376" t="str" cm="1">
        <f t="array" ref="F350">IFERROR(INDEX(Cartera1017[Sección],ROW(A348)),"")</f>
        <v/>
      </c>
      <c r="G350" s="376" t="str" cm="1">
        <f t="array" ref="G350">IFERROR(INDEX(Cartera1017[Estado TI],ROW(A348)),"")</f>
        <v/>
      </c>
      <c r="H350" s="463" t="str" cm="1">
        <f t="array" ref="H350">IFERROR(
 IF(
   INDEX(Cartera1017[Comienzo Desarrollo],ROW(A348))=0,
   "",
   INDEX(Cartera1017[Comienzo Desarrollo],ROW(A348))
 ),
 ""
)</f>
        <v/>
      </c>
      <c r="I350" s="463" t="str" cm="1">
        <f t="array" ref="I350">IFERROR(
 IF(
   INDEX(Cartera1017[Fin Producción],ROW(A348))=0,
   "",
   INDEX(Cartera1017[Fin Producción],ROW(A348))
 ),
 ""
)</f>
        <v/>
      </c>
    </row>
    <row r="351" spans="1:9">
      <c r="A351" s="376" t="str" cm="1">
        <f t="array" ref="A351">IFERROR(
 IF(
   INDEX(Cartera1017[ID Mantenimiento],ROW(A349))=0,
   "",
   INDEX(Cartera1017[ID Mantenimiento],ROW(A349))
 ),
 ""
)</f>
        <v/>
      </c>
      <c r="B351" s="376" t="str" cm="1">
        <f t="array" ref="B351">IFERROR(INDEX(Cartera1017[Nombre del Requerimiento],ROW(A349)),"")</f>
        <v/>
      </c>
      <c r="C351" s="376" t="str" cm="1">
        <f t="array" ref="C351">IFERROR(INDEX(Cartera1017[indicador de Avance],ROW(A349)),"")</f>
        <v/>
      </c>
      <c r="D351" s="376" t="str" cm="1">
        <f t="array" ref="D351">IFERROR(INDEX(Cartera1017[Gerencia],ROW(A349)),"")</f>
        <v/>
      </c>
      <c r="E351" s="376" t="str" cm="1">
        <f t="array" ref="E351">IFERROR(INDEX(Cartera1017[Subgerencia],ROW(A349)),"")</f>
        <v/>
      </c>
      <c r="F351" s="376" t="str" cm="1">
        <f t="array" ref="F351">IFERROR(INDEX(Cartera1017[Sección],ROW(A349)),"")</f>
        <v/>
      </c>
      <c r="G351" s="376" t="str" cm="1">
        <f t="array" ref="G351">IFERROR(INDEX(Cartera1017[Estado TI],ROW(A349)),"")</f>
        <v/>
      </c>
      <c r="H351" s="463" t="str" cm="1">
        <f t="array" ref="H351">IFERROR(
 IF(
   INDEX(Cartera1017[Comienzo Desarrollo],ROW(A349))=0,
   "",
   INDEX(Cartera1017[Comienzo Desarrollo],ROW(A349))
 ),
 ""
)</f>
        <v/>
      </c>
      <c r="I351" s="463" t="str" cm="1">
        <f t="array" ref="I351">IFERROR(
 IF(
   INDEX(Cartera1017[Fin Producción],ROW(A349))=0,
   "",
   INDEX(Cartera1017[Fin Producción],ROW(A349))
 ),
 ""
)</f>
        <v/>
      </c>
    </row>
    <row r="352" spans="1:9">
      <c r="A352" s="376" t="str" cm="1">
        <f t="array" ref="A352">IFERROR(
 IF(
   INDEX(Cartera1017[ID Mantenimiento],ROW(A350))=0,
   "",
   INDEX(Cartera1017[ID Mantenimiento],ROW(A350))
 ),
 ""
)</f>
        <v/>
      </c>
      <c r="B352" s="376" t="str" cm="1">
        <f t="array" ref="B352">IFERROR(INDEX(Cartera1017[Nombre del Requerimiento],ROW(A350)),"")</f>
        <v/>
      </c>
      <c r="C352" s="376" t="str" cm="1">
        <f t="array" ref="C352">IFERROR(INDEX(Cartera1017[indicador de Avance],ROW(A350)),"")</f>
        <v/>
      </c>
      <c r="D352" s="376" t="str" cm="1">
        <f t="array" ref="D352">IFERROR(INDEX(Cartera1017[Gerencia],ROW(A350)),"")</f>
        <v/>
      </c>
      <c r="E352" s="376" t="str" cm="1">
        <f t="array" ref="E352">IFERROR(INDEX(Cartera1017[Subgerencia],ROW(A350)),"")</f>
        <v/>
      </c>
      <c r="F352" s="376" t="str" cm="1">
        <f t="array" ref="F352">IFERROR(INDEX(Cartera1017[Sección],ROW(A350)),"")</f>
        <v/>
      </c>
      <c r="G352" s="376" t="str" cm="1">
        <f t="array" ref="G352">IFERROR(INDEX(Cartera1017[Estado TI],ROW(A350)),"")</f>
        <v/>
      </c>
      <c r="H352" s="463" t="str" cm="1">
        <f t="array" ref="H352">IFERROR(
 IF(
   INDEX(Cartera1017[Comienzo Desarrollo],ROW(A350))=0,
   "",
   INDEX(Cartera1017[Comienzo Desarrollo],ROW(A350))
 ),
 ""
)</f>
        <v/>
      </c>
      <c r="I352" s="463" t="str" cm="1">
        <f t="array" ref="I352">IFERROR(
 IF(
   INDEX(Cartera1017[Fin Producción],ROW(A350))=0,
   "",
   INDEX(Cartera1017[Fin Producción],ROW(A350))
 ),
 ""
)</f>
        <v/>
      </c>
    </row>
    <row r="353" spans="1:9">
      <c r="A353" s="376" t="str" cm="1">
        <f t="array" ref="A353">IFERROR(
 IF(
   INDEX(Cartera1017[ID Mantenimiento],ROW(A351))=0,
   "",
   INDEX(Cartera1017[ID Mantenimiento],ROW(A351))
 ),
 ""
)</f>
        <v/>
      </c>
      <c r="B353" s="376" t="str" cm="1">
        <f t="array" ref="B353">IFERROR(INDEX(Cartera1017[Nombre del Requerimiento],ROW(A351)),"")</f>
        <v/>
      </c>
      <c r="C353" s="376" t="str" cm="1">
        <f t="array" ref="C353">IFERROR(INDEX(Cartera1017[indicador de Avance],ROW(A351)),"")</f>
        <v/>
      </c>
      <c r="D353" s="376" t="str" cm="1">
        <f t="array" ref="D353">IFERROR(INDEX(Cartera1017[Gerencia],ROW(A351)),"")</f>
        <v/>
      </c>
      <c r="E353" s="376" t="str" cm="1">
        <f t="array" ref="E353">IFERROR(INDEX(Cartera1017[Subgerencia],ROW(A351)),"")</f>
        <v/>
      </c>
      <c r="F353" s="376" t="str" cm="1">
        <f t="array" ref="F353">IFERROR(INDEX(Cartera1017[Sección],ROW(A351)),"")</f>
        <v/>
      </c>
      <c r="G353" s="376" t="str" cm="1">
        <f t="array" ref="G353">IFERROR(INDEX(Cartera1017[Estado TI],ROW(A351)),"")</f>
        <v/>
      </c>
      <c r="H353" s="463" t="str" cm="1">
        <f t="array" ref="H353">IFERROR(
 IF(
   INDEX(Cartera1017[Comienzo Desarrollo],ROW(A351))=0,
   "",
   INDEX(Cartera1017[Comienzo Desarrollo],ROW(A351))
 ),
 ""
)</f>
        <v/>
      </c>
      <c r="I353" s="463" t="str" cm="1">
        <f t="array" ref="I353">IFERROR(
 IF(
   INDEX(Cartera1017[Fin Producción],ROW(A351))=0,
   "",
   INDEX(Cartera1017[Fin Producción],ROW(A351))
 ),
 ""
)</f>
        <v/>
      </c>
    </row>
    <row r="354" spans="1:9">
      <c r="A354" s="376" t="str" cm="1">
        <f t="array" ref="A354">IFERROR(
 IF(
   INDEX(Cartera1017[ID Mantenimiento],ROW(A352))=0,
   "",
   INDEX(Cartera1017[ID Mantenimiento],ROW(A352))
 ),
 ""
)</f>
        <v/>
      </c>
      <c r="B354" s="376" t="str" cm="1">
        <f t="array" ref="B354">IFERROR(INDEX(Cartera1017[Nombre del Requerimiento],ROW(A352)),"")</f>
        <v/>
      </c>
      <c r="C354" s="376" t="str" cm="1">
        <f t="array" ref="C354">IFERROR(INDEX(Cartera1017[indicador de Avance],ROW(A352)),"")</f>
        <v/>
      </c>
      <c r="D354" s="376" t="str" cm="1">
        <f t="array" ref="D354">IFERROR(INDEX(Cartera1017[Gerencia],ROW(A352)),"")</f>
        <v/>
      </c>
      <c r="E354" s="376" t="str" cm="1">
        <f t="array" ref="E354">IFERROR(INDEX(Cartera1017[Subgerencia],ROW(A352)),"")</f>
        <v/>
      </c>
      <c r="F354" s="376" t="str" cm="1">
        <f t="array" ref="F354">IFERROR(INDEX(Cartera1017[Sección],ROW(A352)),"")</f>
        <v/>
      </c>
      <c r="G354" s="376" t="str" cm="1">
        <f t="array" ref="G354">IFERROR(INDEX(Cartera1017[Estado TI],ROW(A352)),"")</f>
        <v/>
      </c>
      <c r="H354" s="463" t="str" cm="1">
        <f t="array" ref="H354">IFERROR(
 IF(
   INDEX(Cartera1017[Comienzo Desarrollo],ROW(A352))=0,
   "",
   INDEX(Cartera1017[Comienzo Desarrollo],ROW(A352))
 ),
 ""
)</f>
        <v/>
      </c>
      <c r="I354" s="463" t="str" cm="1">
        <f t="array" ref="I354">IFERROR(
 IF(
   INDEX(Cartera1017[Fin Producción],ROW(A352))=0,
   "",
   INDEX(Cartera1017[Fin Producción],ROW(A352))
 ),
 ""
)</f>
        <v/>
      </c>
    </row>
    <row r="355" spans="1:9">
      <c r="A355" s="376" t="str" cm="1">
        <f t="array" ref="A355">IFERROR(
 IF(
   INDEX(Cartera1017[ID Mantenimiento],ROW(A353))=0,
   "",
   INDEX(Cartera1017[ID Mantenimiento],ROW(A353))
 ),
 ""
)</f>
        <v/>
      </c>
      <c r="B355" s="376" t="str" cm="1">
        <f t="array" ref="B355">IFERROR(INDEX(Cartera1017[Nombre del Requerimiento],ROW(A353)),"")</f>
        <v/>
      </c>
      <c r="C355" s="376" t="str" cm="1">
        <f t="array" ref="C355">IFERROR(INDEX(Cartera1017[indicador de Avance],ROW(A353)),"")</f>
        <v/>
      </c>
      <c r="D355" s="376" t="str" cm="1">
        <f t="array" ref="D355">IFERROR(INDEX(Cartera1017[Gerencia],ROW(A353)),"")</f>
        <v/>
      </c>
      <c r="E355" s="376" t="str" cm="1">
        <f t="array" ref="E355">IFERROR(INDEX(Cartera1017[Subgerencia],ROW(A353)),"")</f>
        <v/>
      </c>
      <c r="F355" s="376" t="str" cm="1">
        <f t="array" ref="F355">IFERROR(INDEX(Cartera1017[Sección],ROW(A353)),"")</f>
        <v/>
      </c>
      <c r="G355" s="376" t="str" cm="1">
        <f t="array" ref="G355">IFERROR(INDEX(Cartera1017[Estado TI],ROW(A353)),"")</f>
        <v/>
      </c>
      <c r="H355" s="463" t="str" cm="1">
        <f t="array" ref="H355">IFERROR(
 IF(
   INDEX(Cartera1017[Comienzo Desarrollo],ROW(A353))=0,
   "",
   INDEX(Cartera1017[Comienzo Desarrollo],ROW(A353))
 ),
 ""
)</f>
        <v/>
      </c>
      <c r="I355" s="463" t="str" cm="1">
        <f t="array" ref="I355">IFERROR(
 IF(
   INDEX(Cartera1017[Fin Producción],ROW(A353))=0,
   "",
   INDEX(Cartera1017[Fin Producción],ROW(A353))
 ),
 ""
)</f>
        <v/>
      </c>
    </row>
    <row r="356" spans="1:9">
      <c r="A356" s="376" t="str" cm="1">
        <f t="array" ref="A356">IFERROR(
 IF(
   INDEX(Cartera1017[ID Mantenimiento],ROW(A354))=0,
   "",
   INDEX(Cartera1017[ID Mantenimiento],ROW(A354))
 ),
 ""
)</f>
        <v/>
      </c>
      <c r="B356" s="376" t="str" cm="1">
        <f t="array" ref="B356">IFERROR(INDEX(Cartera1017[Nombre del Requerimiento],ROW(A354)),"")</f>
        <v/>
      </c>
      <c r="C356" s="376" t="str" cm="1">
        <f t="array" ref="C356">IFERROR(INDEX(Cartera1017[indicador de Avance],ROW(A354)),"")</f>
        <v/>
      </c>
      <c r="D356" s="376" t="str" cm="1">
        <f t="array" ref="D356">IFERROR(INDEX(Cartera1017[Gerencia],ROW(A354)),"")</f>
        <v/>
      </c>
      <c r="E356" s="376" t="str" cm="1">
        <f t="array" ref="E356">IFERROR(INDEX(Cartera1017[Subgerencia],ROW(A354)),"")</f>
        <v/>
      </c>
      <c r="F356" s="376" t="str" cm="1">
        <f t="array" ref="F356">IFERROR(INDEX(Cartera1017[Sección],ROW(A354)),"")</f>
        <v/>
      </c>
      <c r="G356" s="376" t="str" cm="1">
        <f t="array" ref="G356">IFERROR(INDEX(Cartera1017[Estado TI],ROW(A354)),"")</f>
        <v/>
      </c>
      <c r="H356" s="463" t="str" cm="1">
        <f t="array" ref="H356">IFERROR(
 IF(
   INDEX(Cartera1017[Comienzo Desarrollo],ROW(A354))=0,
   "",
   INDEX(Cartera1017[Comienzo Desarrollo],ROW(A354))
 ),
 ""
)</f>
        <v/>
      </c>
      <c r="I356" s="463" t="str" cm="1">
        <f t="array" ref="I356">IFERROR(
 IF(
   INDEX(Cartera1017[Fin Producción],ROW(A354))=0,
   "",
   INDEX(Cartera1017[Fin Producción],ROW(A354))
 ),
 ""
)</f>
        <v/>
      </c>
    </row>
    <row r="357" spans="1:9">
      <c r="A357" s="376" t="str" cm="1">
        <f t="array" ref="A357">IFERROR(
 IF(
   INDEX(Cartera1017[ID Mantenimiento],ROW(A355))=0,
   "",
   INDEX(Cartera1017[ID Mantenimiento],ROW(A355))
 ),
 ""
)</f>
        <v/>
      </c>
      <c r="B357" s="376" t="str" cm="1">
        <f t="array" ref="B357">IFERROR(INDEX(Cartera1017[Nombre del Requerimiento],ROW(A355)),"")</f>
        <v/>
      </c>
      <c r="C357" s="376" t="str" cm="1">
        <f t="array" ref="C357">IFERROR(INDEX(Cartera1017[indicador de Avance],ROW(A355)),"")</f>
        <v/>
      </c>
      <c r="D357" s="376" t="str" cm="1">
        <f t="array" ref="D357">IFERROR(INDEX(Cartera1017[Gerencia],ROW(A355)),"")</f>
        <v/>
      </c>
      <c r="E357" s="376" t="str" cm="1">
        <f t="array" ref="E357">IFERROR(INDEX(Cartera1017[Subgerencia],ROW(A355)),"")</f>
        <v/>
      </c>
      <c r="F357" s="376" t="str" cm="1">
        <f t="array" ref="F357">IFERROR(INDEX(Cartera1017[Sección],ROW(A355)),"")</f>
        <v/>
      </c>
      <c r="G357" s="376" t="str" cm="1">
        <f t="array" ref="G357">IFERROR(INDEX(Cartera1017[Estado TI],ROW(A355)),"")</f>
        <v/>
      </c>
      <c r="H357" s="463" t="str" cm="1">
        <f t="array" ref="H357">IFERROR(
 IF(
   INDEX(Cartera1017[Comienzo Desarrollo],ROW(A355))=0,
   "",
   INDEX(Cartera1017[Comienzo Desarrollo],ROW(A355))
 ),
 ""
)</f>
        <v/>
      </c>
      <c r="I357" s="463" t="str" cm="1">
        <f t="array" ref="I357">IFERROR(
 IF(
   INDEX(Cartera1017[Fin Producción],ROW(A355))=0,
   "",
   INDEX(Cartera1017[Fin Producción],ROW(A355))
 ),
 ""
)</f>
        <v/>
      </c>
    </row>
    <row r="358" spans="1:9">
      <c r="A358" s="376" t="str" cm="1">
        <f t="array" ref="A358">IFERROR(
 IF(
   INDEX(Cartera1017[ID Mantenimiento],ROW(A356))=0,
   "",
   INDEX(Cartera1017[ID Mantenimiento],ROW(A356))
 ),
 ""
)</f>
        <v/>
      </c>
      <c r="B358" s="376" t="str" cm="1">
        <f t="array" ref="B358">IFERROR(INDEX(Cartera1017[Nombre del Requerimiento],ROW(A356)),"")</f>
        <v/>
      </c>
      <c r="C358" s="376" t="str" cm="1">
        <f t="array" ref="C358">IFERROR(INDEX(Cartera1017[indicador de Avance],ROW(A356)),"")</f>
        <v/>
      </c>
      <c r="D358" s="376" t="str" cm="1">
        <f t="array" ref="D358">IFERROR(INDEX(Cartera1017[Gerencia],ROW(A356)),"")</f>
        <v/>
      </c>
      <c r="E358" s="376" t="str" cm="1">
        <f t="array" ref="E358">IFERROR(INDEX(Cartera1017[Subgerencia],ROW(A356)),"")</f>
        <v/>
      </c>
      <c r="F358" s="376" t="str" cm="1">
        <f t="array" ref="F358">IFERROR(INDEX(Cartera1017[Sección],ROW(A356)),"")</f>
        <v/>
      </c>
      <c r="G358" s="376" t="str" cm="1">
        <f t="array" ref="G358">IFERROR(INDEX(Cartera1017[Estado TI],ROW(A356)),"")</f>
        <v/>
      </c>
      <c r="H358" s="463" t="str" cm="1">
        <f t="array" ref="H358">IFERROR(
 IF(
   INDEX(Cartera1017[Comienzo Desarrollo],ROW(A356))=0,
   "",
   INDEX(Cartera1017[Comienzo Desarrollo],ROW(A356))
 ),
 ""
)</f>
        <v/>
      </c>
      <c r="I358" s="463" t="str" cm="1">
        <f t="array" ref="I358">IFERROR(
 IF(
   INDEX(Cartera1017[Fin Producción],ROW(A356))=0,
   "",
   INDEX(Cartera1017[Fin Producción],ROW(A356))
 ),
 ""
)</f>
        <v/>
      </c>
    </row>
    <row r="359" spans="1:9">
      <c r="A359" s="376" t="str" cm="1">
        <f t="array" ref="A359">IFERROR(
 IF(
   INDEX(Cartera1017[ID Mantenimiento],ROW(A357))=0,
   "",
   INDEX(Cartera1017[ID Mantenimiento],ROW(A357))
 ),
 ""
)</f>
        <v/>
      </c>
      <c r="B359" s="376" t="str" cm="1">
        <f t="array" ref="B359">IFERROR(INDEX(Cartera1017[Nombre del Requerimiento],ROW(A357)),"")</f>
        <v/>
      </c>
      <c r="C359" s="376" t="str" cm="1">
        <f t="array" ref="C359">IFERROR(INDEX(Cartera1017[indicador de Avance],ROW(A357)),"")</f>
        <v/>
      </c>
      <c r="D359" s="376" t="str" cm="1">
        <f t="array" ref="D359">IFERROR(INDEX(Cartera1017[Gerencia],ROW(A357)),"")</f>
        <v/>
      </c>
      <c r="E359" s="376" t="str" cm="1">
        <f t="array" ref="E359">IFERROR(INDEX(Cartera1017[Subgerencia],ROW(A357)),"")</f>
        <v/>
      </c>
      <c r="F359" s="376" t="str" cm="1">
        <f t="array" ref="F359">IFERROR(INDEX(Cartera1017[Sección],ROW(A357)),"")</f>
        <v/>
      </c>
      <c r="G359" s="376" t="str" cm="1">
        <f t="array" ref="G359">IFERROR(INDEX(Cartera1017[Estado TI],ROW(A357)),"")</f>
        <v/>
      </c>
      <c r="H359" s="463" t="str" cm="1">
        <f t="array" ref="H359">IFERROR(
 IF(
   INDEX(Cartera1017[Comienzo Desarrollo],ROW(A357))=0,
   "",
   INDEX(Cartera1017[Comienzo Desarrollo],ROW(A357))
 ),
 ""
)</f>
        <v/>
      </c>
      <c r="I359" s="463" t="str" cm="1">
        <f t="array" ref="I359">IFERROR(
 IF(
   INDEX(Cartera1017[Fin Producción],ROW(A357))=0,
   "",
   INDEX(Cartera1017[Fin Producción],ROW(A357))
 ),
 ""
)</f>
        <v/>
      </c>
    </row>
    <row r="360" spans="1:9">
      <c r="A360" s="376" t="str" cm="1">
        <f t="array" ref="A360">IFERROR(
 IF(
   INDEX(Cartera1017[ID Mantenimiento],ROW(A358))=0,
   "",
   INDEX(Cartera1017[ID Mantenimiento],ROW(A358))
 ),
 ""
)</f>
        <v/>
      </c>
      <c r="B360" s="376" t="str" cm="1">
        <f t="array" ref="B360">IFERROR(INDEX(Cartera1017[Nombre del Requerimiento],ROW(A358)),"")</f>
        <v/>
      </c>
      <c r="C360" s="376" t="str" cm="1">
        <f t="array" ref="C360">IFERROR(INDEX(Cartera1017[indicador de Avance],ROW(A358)),"")</f>
        <v/>
      </c>
      <c r="D360" s="376" t="str" cm="1">
        <f t="array" ref="D360">IFERROR(INDEX(Cartera1017[Gerencia],ROW(A358)),"")</f>
        <v/>
      </c>
      <c r="E360" s="376" t="str" cm="1">
        <f t="array" ref="E360">IFERROR(INDEX(Cartera1017[Subgerencia],ROW(A358)),"")</f>
        <v/>
      </c>
      <c r="F360" s="376" t="str" cm="1">
        <f t="array" ref="F360">IFERROR(INDEX(Cartera1017[Sección],ROW(A358)),"")</f>
        <v/>
      </c>
      <c r="G360" s="376" t="str" cm="1">
        <f t="array" ref="G360">IFERROR(INDEX(Cartera1017[Estado TI],ROW(A358)),"")</f>
        <v/>
      </c>
      <c r="H360" s="463" t="str" cm="1">
        <f t="array" ref="H360">IFERROR(
 IF(
   INDEX(Cartera1017[Comienzo Desarrollo],ROW(A358))=0,
   "",
   INDEX(Cartera1017[Comienzo Desarrollo],ROW(A358))
 ),
 ""
)</f>
        <v/>
      </c>
      <c r="I360" s="463" t="str" cm="1">
        <f t="array" ref="I360">IFERROR(
 IF(
   INDEX(Cartera1017[Fin Producción],ROW(A358))=0,
   "",
   INDEX(Cartera1017[Fin Producción],ROW(A358))
 ),
 ""
)</f>
        <v/>
      </c>
    </row>
    <row r="361" spans="1:9">
      <c r="A361" s="376" t="str" cm="1">
        <f t="array" ref="A361">IFERROR(
 IF(
   INDEX(Cartera1017[ID Mantenimiento],ROW(A359))=0,
   "",
   INDEX(Cartera1017[ID Mantenimiento],ROW(A359))
 ),
 ""
)</f>
        <v/>
      </c>
      <c r="B361" s="376" t="str" cm="1">
        <f t="array" ref="B361">IFERROR(INDEX(Cartera1017[Nombre del Requerimiento],ROW(A359)),"")</f>
        <v/>
      </c>
      <c r="C361" s="376" t="str" cm="1">
        <f t="array" ref="C361">IFERROR(INDEX(Cartera1017[indicador de Avance],ROW(A359)),"")</f>
        <v/>
      </c>
      <c r="D361" s="376" t="str" cm="1">
        <f t="array" ref="D361">IFERROR(INDEX(Cartera1017[Gerencia],ROW(A359)),"")</f>
        <v/>
      </c>
      <c r="E361" s="376" t="str" cm="1">
        <f t="array" ref="E361">IFERROR(INDEX(Cartera1017[Subgerencia],ROW(A359)),"")</f>
        <v/>
      </c>
      <c r="F361" s="376" t="str" cm="1">
        <f t="array" ref="F361">IFERROR(INDEX(Cartera1017[Sección],ROW(A359)),"")</f>
        <v/>
      </c>
      <c r="G361" s="376" t="str" cm="1">
        <f t="array" ref="G361">IFERROR(INDEX(Cartera1017[Estado TI],ROW(A359)),"")</f>
        <v/>
      </c>
      <c r="H361" s="463" t="str" cm="1">
        <f t="array" ref="H361">IFERROR(
 IF(
   INDEX(Cartera1017[Comienzo Desarrollo],ROW(A359))=0,
   "",
   INDEX(Cartera1017[Comienzo Desarrollo],ROW(A359))
 ),
 ""
)</f>
        <v/>
      </c>
      <c r="I361" s="463" t="str" cm="1">
        <f t="array" ref="I361">IFERROR(
 IF(
   INDEX(Cartera1017[Fin Producción],ROW(A359))=0,
   "",
   INDEX(Cartera1017[Fin Producción],ROW(A359))
 ),
 ""
)</f>
        <v/>
      </c>
    </row>
    <row r="362" spans="1:9">
      <c r="A362" s="376" t="str" cm="1">
        <f t="array" ref="A362">IFERROR(
 IF(
   INDEX(Cartera1017[ID Mantenimiento],ROW(A360))=0,
   "",
   INDEX(Cartera1017[ID Mantenimiento],ROW(A360))
 ),
 ""
)</f>
        <v/>
      </c>
      <c r="B362" s="376" t="str" cm="1">
        <f t="array" ref="B362">IFERROR(INDEX(Cartera1017[Nombre del Requerimiento],ROW(A360)),"")</f>
        <v/>
      </c>
      <c r="C362" s="376" t="str" cm="1">
        <f t="array" ref="C362">IFERROR(INDEX(Cartera1017[indicador de Avance],ROW(A360)),"")</f>
        <v/>
      </c>
      <c r="D362" s="376" t="str" cm="1">
        <f t="array" ref="D362">IFERROR(INDEX(Cartera1017[Gerencia],ROW(A360)),"")</f>
        <v/>
      </c>
      <c r="E362" s="376" t="str" cm="1">
        <f t="array" ref="E362">IFERROR(INDEX(Cartera1017[Subgerencia],ROW(A360)),"")</f>
        <v/>
      </c>
      <c r="F362" s="376" t="str" cm="1">
        <f t="array" ref="F362">IFERROR(INDEX(Cartera1017[Sección],ROW(A360)),"")</f>
        <v/>
      </c>
      <c r="G362" s="376" t="str" cm="1">
        <f t="array" ref="G362">IFERROR(INDEX(Cartera1017[Estado TI],ROW(A360)),"")</f>
        <v/>
      </c>
      <c r="H362" s="463" t="str" cm="1">
        <f t="array" ref="H362">IFERROR(
 IF(
   INDEX(Cartera1017[Comienzo Desarrollo],ROW(A360))=0,
   "",
   INDEX(Cartera1017[Comienzo Desarrollo],ROW(A360))
 ),
 ""
)</f>
        <v/>
      </c>
      <c r="I362" s="463" t="str" cm="1">
        <f t="array" ref="I362">IFERROR(
 IF(
   INDEX(Cartera1017[Fin Producción],ROW(A360))=0,
   "",
   INDEX(Cartera1017[Fin Producción],ROW(A360))
 ),
 ""
)</f>
        <v/>
      </c>
    </row>
    <row r="363" spans="1:9">
      <c r="A363" s="376" t="str" cm="1">
        <f t="array" ref="A363">IFERROR(
 IF(
   INDEX(Cartera1017[ID Mantenimiento],ROW(A361))=0,
   "",
   INDEX(Cartera1017[ID Mantenimiento],ROW(A361))
 ),
 ""
)</f>
        <v/>
      </c>
      <c r="B363" s="376" t="str" cm="1">
        <f t="array" ref="B363">IFERROR(INDEX(Cartera1017[Nombre del Requerimiento],ROW(A361)),"")</f>
        <v/>
      </c>
      <c r="C363" s="376" t="str" cm="1">
        <f t="array" ref="C363">IFERROR(INDEX(Cartera1017[indicador de Avance],ROW(A361)),"")</f>
        <v/>
      </c>
      <c r="D363" s="376" t="str" cm="1">
        <f t="array" ref="D363">IFERROR(INDEX(Cartera1017[Gerencia],ROW(A361)),"")</f>
        <v/>
      </c>
      <c r="E363" s="376" t="str" cm="1">
        <f t="array" ref="E363">IFERROR(INDEX(Cartera1017[Subgerencia],ROW(A361)),"")</f>
        <v/>
      </c>
      <c r="F363" s="376" t="str" cm="1">
        <f t="array" ref="F363">IFERROR(INDEX(Cartera1017[Sección],ROW(A361)),"")</f>
        <v/>
      </c>
      <c r="G363" s="376" t="str" cm="1">
        <f t="array" ref="G363">IFERROR(INDEX(Cartera1017[Estado TI],ROW(A361)),"")</f>
        <v/>
      </c>
      <c r="H363" s="463" t="str" cm="1">
        <f t="array" ref="H363">IFERROR(
 IF(
   INDEX(Cartera1017[Comienzo Desarrollo],ROW(A361))=0,
   "",
   INDEX(Cartera1017[Comienzo Desarrollo],ROW(A361))
 ),
 ""
)</f>
        <v/>
      </c>
      <c r="I363" s="463" t="str" cm="1">
        <f t="array" ref="I363">IFERROR(
 IF(
   INDEX(Cartera1017[Fin Producción],ROW(A361))=0,
   "",
   INDEX(Cartera1017[Fin Producción],ROW(A361))
 ),
 ""
)</f>
        <v/>
      </c>
    </row>
    <row r="364" spans="1:9">
      <c r="A364" s="376" t="str" cm="1">
        <f t="array" ref="A364">IFERROR(
 IF(
   INDEX(Cartera1017[ID Mantenimiento],ROW(A362))=0,
   "",
   INDEX(Cartera1017[ID Mantenimiento],ROW(A362))
 ),
 ""
)</f>
        <v/>
      </c>
      <c r="B364" s="376" t="str" cm="1">
        <f t="array" ref="B364">IFERROR(INDEX(Cartera1017[Nombre del Requerimiento],ROW(A362)),"")</f>
        <v/>
      </c>
      <c r="C364" s="376" t="str" cm="1">
        <f t="array" ref="C364">IFERROR(INDEX(Cartera1017[indicador de Avance],ROW(A362)),"")</f>
        <v/>
      </c>
      <c r="D364" s="376" t="str" cm="1">
        <f t="array" ref="D364">IFERROR(INDEX(Cartera1017[Gerencia],ROW(A362)),"")</f>
        <v/>
      </c>
      <c r="E364" s="376" t="str" cm="1">
        <f t="array" ref="E364">IFERROR(INDEX(Cartera1017[Subgerencia],ROW(A362)),"")</f>
        <v/>
      </c>
      <c r="F364" s="376" t="str" cm="1">
        <f t="array" ref="F364">IFERROR(INDEX(Cartera1017[Sección],ROW(A362)),"")</f>
        <v/>
      </c>
      <c r="G364" s="376" t="str" cm="1">
        <f t="array" ref="G364">IFERROR(INDEX(Cartera1017[Estado TI],ROW(A362)),"")</f>
        <v/>
      </c>
      <c r="H364" s="463" t="str" cm="1">
        <f t="array" ref="H364">IFERROR(
 IF(
   INDEX(Cartera1017[Comienzo Desarrollo],ROW(A362))=0,
   "",
   INDEX(Cartera1017[Comienzo Desarrollo],ROW(A362))
 ),
 ""
)</f>
        <v/>
      </c>
      <c r="I364" s="463" t="str" cm="1">
        <f t="array" ref="I364">IFERROR(
 IF(
   INDEX(Cartera1017[Fin Producción],ROW(A362))=0,
   "",
   INDEX(Cartera1017[Fin Producción],ROW(A362))
 ),
 ""
)</f>
        <v/>
      </c>
    </row>
    <row r="365" spans="1:9">
      <c r="A365" s="376" t="str" cm="1">
        <f t="array" ref="A365">IFERROR(
 IF(
   INDEX(Cartera1017[ID Mantenimiento],ROW(A363))=0,
   "",
   INDEX(Cartera1017[ID Mantenimiento],ROW(A363))
 ),
 ""
)</f>
        <v/>
      </c>
      <c r="B365" s="376" t="str" cm="1">
        <f t="array" ref="B365">IFERROR(INDEX(Cartera1017[Nombre del Requerimiento],ROW(A363)),"")</f>
        <v/>
      </c>
      <c r="C365" s="376" t="str" cm="1">
        <f t="array" ref="C365">IFERROR(INDEX(Cartera1017[indicador de Avance],ROW(A363)),"")</f>
        <v/>
      </c>
      <c r="D365" s="376" t="str" cm="1">
        <f t="array" ref="D365">IFERROR(INDEX(Cartera1017[Gerencia],ROW(A363)),"")</f>
        <v/>
      </c>
      <c r="E365" s="376" t="str" cm="1">
        <f t="array" ref="E365">IFERROR(INDEX(Cartera1017[Subgerencia],ROW(A363)),"")</f>
        <v/>
      </c>
      <c r="F365" s="376" t="str" cm="1">
        <f t="array" ref="F365">IFERROR(INDEX(Cartera1017[Sección],ROW(A363)),"")</f>
        <v/>
      </c>
      <c r="G365" s="376" t="str" cm="1">
        <f t="array" ref="G365">IFERROR(INDEX(Cartera1017[Estado TI],ROW(A363)),"")</f>
        <v/>
      </c>
      <c r="H365" s="463" t="str" cm="1">
        <f t="array" ref="H365">IFERROR(
 IF(
   INDEX(Cartera1017[Comienzo Desarrollo],ROW(A363))=0,
   "",
   INDEX(Cartera1017[Comienzo Desarrollo],ROW(A363))
 ),
 ""
)</f>
        <v/>
      </c>
      <c r="I365" s="463" t="str" cm="1">
        <f t="array" ref="I365">IFERROR(
 IF(
   INDEX(Cartera1017[Fin Producción],ROW(A363))=0,
   "",
   INDEX(Cartera1017[Fin Producción],ROW(A363))
 ),
 ""
)</f>
        <v/>
      </c>
    </row>
    <row r="366" spans="1:9">
      <c r="A366" s="376" t="str" cm="1">
        <f t="array" ref="A366">IFERROR(
 IF(
   INDEX(Cartera1017[ID Mantenimiento],ROW(A364))=0,
   "",
   INDEX(Cartera1017[ID Mantenimiento],ROW(A364))
 ),
 ""
)</f>
        <v/>
      </c>
      <c r="B366" s="376" t="str" cm="1">
        <f t="array" ref="B366">IFERROR(INDEX(Cartera1017[Nombre del Requerimiento],ROW(A364)),"")</f>
        <v/>
      </c>
      <c r="C366" s="376" t="str" cm="1">
        <f t="array" ref="C366">IFERROR(INDEX(Cartera1017[indicador de Avance],ROW(A364)),"")</f>
        <v/>
      </c>
      <c r="D366" s="376" t="str" cm="1">
        <f t="array" ref="D366">IFERROR(INDEX(Cartera1017[Gerencia],ROW(A364)),"")</f>
        <v/>
      </c>
      <c r="E366" s="376" t="str" cm="1">
        <f t="array" ref="E366">IFERROR(INDEX(Cartera1017[Subgerencia],ROW(A364)),"")</f>
        <v/>
      </c>
      <c r="F366" s="376" t="str" cm="1">
        <f t="array" ref="F366">IFERROR(INDEX(Cartera1017[Sección],ROW(A364)),"")</f>
        <v/>
      </c>
      <c r="G366" s="376" t="str" cm="1">
        <f t="array" ref="G366">IFERROR(INDEX(Cartera1017[Estado TI],ROW(A364)),"")</f>
        <v/>
      </c>
      <c r="H366" s="463" t="str" cm="1">
        <f t="array" ref="H366">IFERROR(
 IF(
   INDEX(Cartera1017[Comienzo Desarrollo],ROW(A364))=0,
   "",
   INDEX(Cartera1017[Comienzo Desarrollo],ROW(A364))
 ),
 ""
)</f>
        <v/>
      </c>
      <c r="I366" s="463" t="str" cm="1">
        <f t="array" ref="I366">IFERROR(
 IF(
   INDEX(Cartera1017[Fin Producción],ROW(A364))=0,
   "",
   INDEX(Cartera1017[Fin Producción],ROW(A364))
 ),
 ""
)</f>
        <v/>
      </c>
    </row>
    <row r="367" spans="1:9">
      <c r="A367" s="376" t="str" cm="1">
        <f t="array" ref="A367">IFERROR(
 IF(
   INDEX(Cartera1017[ID Mantenimiento],ROW(A365))=0,
   "",
   INDEX(Cartera1017[ID Mantenimiento],ROW(A365))
 ),
 ""
)</f>
        <v/>
      </c>
      <c r="B367" s="376" t="str" cm="1">
        <f t="array" ref="B367">IFERROR(INDEX(Cartera1017[Nombre del Requerimiento],ROW(A365)),"")</f>
        <v/>
      </c>
      <c r="C367" s="376" t="str" cm="1">
        <f t="array" ref="C367">IFERROR(INDEX(Cartera1017[indicador de Avance],ROW(A365)),"")</f>
        <v/>
      </c>
      <c r="D367" s="376" t="str" cm="1">
        <f t="array" ref="D367">IFERROR(INDEX(Cartera1017[Gerencia],ROW(A365)),"")</f>
        <v/>
      </c>
      <c r="E367" s="376" t="str" cm="1">
        <f t="array" ref="E367">IFERROR(INDEX(Cartera1017[Subgerencia],ROW(A365)),"")</f>
        <v/>
      </c>
      <c r="F367" s="376" t="str" cm="1">
        <f t="array" ref="F367">IFERROR(INDEX(Cartera1017[Sección],ROW(A365)),"")</f>
        <v/>
      </c>
      <c r="G367" s="376" t="str" cm="1">
        <f t="array" ref="G367">IFERROR(INDEX(Cartera1017[Estado TI],ROW(A365)),"")</f>
        <v/>
      </c>
      <c r="H367" s="463" t="str" cm="1">
        <f t="array" ref="H367">IFERROR(
 IF(
   INDEX(Cartera1017[Comienzo Desarrollo],ROW(A365))=0,
   "",
   INDEX(Cartera1017[Comienzo Desarrollo],ROW(A365))
 ),
 ""
)</f>
        <v/>
      </c>
      <c r="I367" s="463" t="str" cm="1">
        <f t="array" ref="I367">IFERROR(
 IF(
   INDEX(Cartera1017[Fin Producción],ROW(A365))=0,
   "",
   INDEX(Cartera1017[Fin Producción],ROW(A365))
 ),
 ""
)</f>
        <v/>
      </c>
    </row>
    <row r="368" spans="1:9">
      <c r="A368" s="376" t="str" cm="1">
        <f t="array" ref="A368">IFERROR(
 IF(
   INDEX(Cartera1017[ID Mantenimiento],ROW(A366))=0,
   "",
   INDEX(Cartera1017[ID Mantenimiento],ROW(A366))
 ),
 ""
)</f>
        <v/>
      </c>
      <c r="B368" s="376" t="str" cm="1">
        <f t="array" ref="B368">IFERROR(INDEX(Cartera1017[Nombre del Requerimiento],ROW(A366)),"")</f>
        <v/>
      </c>
      <c r="C368" s="376" t="str" cm="1">
        <f t="array" ref="C368">IFERROR(INDEX(Cartera1017[indicador de Avance],ROW(A366)),"")</f>
        <v/>
      </c>
      <c r="D368" s="376" t="str" cm="1">
        <f t="array" ref="D368">IFERROR(INDEX(Cartera1017[Gerencia],ROW(A366)),"")</f>
        <v/>
      </c>
      <c r="E368" s="376" t="str" cm="1">
        <f t="array" ref="E368">IFERROR(INDEX(Cartera1017[Subgerencia],ROW(A366)),"")</f>
        <v/>
      </c>
      <c r="F368" s="376" t="str" cm="1">
        <f t="array" ref="F368">IFERROR(INDEX(Cartera1017[Sección],ROW(A366)),"")</f>
        <v/>
      </c>
      <c r="G368" s="376" t="str" cm="1">
        <f t="array" ref="G368">IFERROR(INDEX(Cartera1017[Estado TI],ROW(A366)),"")</f>
        <v/>
      </c>
      <c r="H368" s="463" t="str" cm="1">
        <f t="array" ref="H368">IFERROR(
 IF(
   INDEX(Cartera1017[Comienzo Desarrollo],ROW(A366))=0,
   "",
   INDEX(Cartera1017[Comienzo Desarrollo],ROW(A366))
 ),
 ""
)</f>
        <v/>
      </c>
      <c r="I368" s="463" t="str" cm="1">
        <f t="array" ref="I368">IFERROR(
 IF(
   INDEX(Cartera1017[Fin Producción],ROW(A366))=0,
   "",
   INDEX(Cartera1017[Fin Producción],ROW(A366))
 ),
 ""
)</f>
        <v/>
      </c>
    </row>
    <row r="369" spans="1:9">
      <c r="A369" s="376" t="str" cm="1">
        <f t="array" ref="A369">IFERROR(
 IF(
   INDEX(Cartera1017[ID Mantenimiento],ROW(A367))=0,
   "",
   INDEX(Cartera1017[ID Mantenimiento],ROW(A367))
 ),
 ""
)</f>
        <v/>
      </c>
      <c r="B369" s="376" t="str" cm="1">
        <f t="array" ref="B369">IFERROR(INDEX(Cartera1017[Nombre del Requerimiento],ROW(A367)),"")</f>
        <v/>
      </c>
      <c r="C369" s="376" t="str" cm="1">
        <f t="array" ref="C369">IFERROR(INDEX(Cartera1017[indicador de Avance],ROW(A367)),"")</f>
        <v/>
      </c>
      <c r="D369" s="376" t="str" cm="1">
        <f t="array" ref="D369">IFERROR(INDEX(Cartera1017[Gerencia],ROW(A367)),"")</f>
        <v/>
      </c>
      <c r="E369" s="376" t="str" cm="1">
        <f t="array" ref="E369">IFERROR(INDEX(Cartera1017[Subgerencia],ROW(A367)),"")</f>
        <v/>
      </c>
      <c r="F369" s="376" t="str" cm="1">
        <f t="array" ref="F369">IFERROR(INDEX(Cartera1017[Sección],ROW(A367)),"")</f>
        <v/>
      </c>
      <c r="G369" s="376" t="str" cm="1">
        <f t="array" ref="G369">IFERROR(INDEX(Cartera1017[Estado TI],ROW(A367)),"")</f>
        <v/>
      </c>
      <c r="H369" s="463" t="str" cm="1">
        <f t="array" ref="H369">IFERROR(
 IF(
   INDEX(Cartera1017[Comienzo Desarrollo],ROW(A367))=0,
   "",
   INDEX(Cartera1017[Comienzo Desarrollo],ROW(A367))
 ),
 ""
)</f>
        <v/>
      </c>
      <c r="I369" s="463" t="str" cm="1">
        <f t="array" ref="I369">IFERROR(
 IF(
   INDEX(Cartera1017[Fin Producción],ROW(A367))=0,
   "",
   INDEX(Cartera1017[Fin Producción],ROW(A367))
 ),
 ""
)</f>
        <v/>
      </c>
    </row>
    <row r="370" spans="1:9">
      <c r="A370" s="376" t="str" cm="1">
        <f t="array" ref="A370">IFERROR(
 IF(
   INDEX(Cartera1017[ID Mantenimiento],ROW(A368))=0,
   "",
   INDEX(Cartera1017[ID Mantenimiento],ROW(A368))
 ),
 ""
)</f>
        <v/>
      </c>
      <c r="B370" s="376" t="str" cm="1">
        <f t="array" ref="B370">IFERROR(INDEX(Cartera1017[Nombre del Requerimiento],ROW(A368)),"")</f>
        <v/>
      </c>
      <c r="C370" s="376" t="str" cm="1">
        <f t="array" ref="C370">IFERROR(INDEX(Cartera1017[indicador de Avance],ROW(A368)),"")</f>
        <v/>
      </c>
      <c r="D370" s="376" t="str" cm="1">
        <f t="array" ref="D370">IFERROR(INDEX(Cartera1017[Gerencia],ROW(A368)),"")</f>
        <v/>
      </c>
      <c r="E370" s="376" t="str" cm="1">
        <f t="array" ref="E370">IFERROR(INDEX(Cartera1017[Subgerencia],ROW(A368)),"")</f>
        <v/>
      </c>
      <c r="F370" s="376" t="str" cm="1">
        <f t="array" ref="F370">IFERROR(INDEX(Cartera1017[Sección],ROW(A368)),"")</f>
        <v/>
      </c>
      <c r="G370" s="376" t="str" cm="1">
        <f t="array" ref="G370">IFERROR(INDEX(Cartera1017[Estado TI],ROW(A368)),"")</f>
        <v/>
      </c>
      <c r="H370" s="463" t="str" cm="1">
        <f t="array" ref="H370">IFERROR(
 IF(
   INDEX(Cartera1017[Comienzo Desarrollo],ROW(A368))=0,
   "",
   INDEX(Cartera1017[Comienzo Desarrollo],ROW(A368))
 ),
 ""
)</f>
        <v/>
      </c>
      <c r="I370" s="463" t="str" cm="1">
        <f t="array" ref="I370">IFERROR(
 IF(
   INDEX(Cartera1017[Fin Producción],ROW(A368))=0,
   "",
   INDEX(Cartera1017[Fin Producción],ROW(A368))
 ),
 ""
)</f>
        <v/>
      </c>
    </row>
    <row r="371" spans="1:9">
      <c r="A371" s="376" t="str" cm="1">
        <f t="array" ref="A371">IFERROR(
 IF(
   INDEX(Cartera1017[ID Mantenimiento],ROW(A369))=0,
   "",
   INDEX(Cartera1017[ID Mantenimiento],ROW(A369))
 ),
 ""
)</f>
        <v/>
      </c>
      <c r="B371" s="376" t="str" cm="1">
        <f t="array" ref="B371">IFERROR(INDEX(Cartera1017[Nombre del Requerimiento],ROW(A369)),"")</f>
        <v/>
      </c>
      <c r="C371" s="376" t="str" cm="1">
        <f t="array" ref="C371">IFERROR(INDEX(Cartera1017[indicador de Avance],ROW(A369)),"")</f>
        <v/>
      </c>
      <c r="D371" s="376" t="str" cm="1">
        <f t="array" ref="D371">IFERROR(INDEX(Cartera1017[Gerencia],ROW(A369)),"")</f>
        <v/>
      </c>
      <c r="E371" s="376" t="str" cm="1">
        <f t="array" ref="E371">IFERROR(INDEX(Cartera1017[Subgerencia],ROW(A369)),"")</f>
        <v/>
      </c>
      <c r="F371" s="376" t="str" cm="1">
        <f t="array" ref="F371">IFERROR(INDEX(Cartera1017[Sección],ROW(A369)),"")</f>
        <v/>
      </c>
      <c r="G371" s="376" t="str" cm="1">
        <f t="array" ref="G371">IFERROR(INDEX(Cartera1017[Estado TI],ROW(A369)),"")</f>
        <v/>
      </c>
      <c r="H371" s="463" t="str" cm="1">
        <f t="array" ref="H371">IFERROR(
 IF(
   INDEX(Cartera1017[Comienzo Desarrollo],ROW(A369))=0,
   "",
   INDEX(Cartera1017[Comienzo Desarrollo],ROW(A369))
 ),
 ""
)</f>
        <v/>
      </c>
      <c r="I371" s="463" t="str" cm="1">
        <f t="array" ref="I371">IFERROR(
 IF(
   INDEX(Cartera1017[Fin Producción],ROW(A369))=0,
   "",
   INDEX(Cartera1017[Fin Producción],ROW(A369))
 ),
 ""
)</f>
        <v/>
      </c>
    </row>
    <row r="372" spans="1:9">
      <c r="A372" s="376" t="str" cm="1">
        <f t="array" ref="A372">IFERROR(
 IF(
   INDEX(Cartera1017[ID Mantenimiento],ROW(A370))=0,
   "",
   INDEX(Cartera1017[ID Mantenimiento],ROW(A370))
 ),
 ""
)</f>
        <v/>
      </c>
      <c r="B372" s="376" t="str" cm="1">
        <f t="array" ref="B372">IFERROR(INDEX(Cartera1017[Nombre del Requerimiento],ROW(A370)),"")</f>
        <v/>
      </c>
      <c r="C372" s="376" t="str" cm="1">
        <f t="array" ref="C372">IFERROR(INDEX(Cartera1017[indicador de Avance],ROW(A370)),"")</f>
        <v/>
      </c>
      <c r="D372" s="376" t="str" cm="1">
        <f t="array" ref="D372">IFERROR(INDEX(Cartera1017[Gerencia],ROW(A370)),"")</f>
        <v/>
      </c>
      <c r="E372" s="376" t="str" cm="1">
        <f t="array" ref="E372">IFERROR(INDEX(Cartera1017[Subgerencia],ROW(A370)),"")</f>
        <v/>
      </c>
      <c r="F372" s="376" t="str" cm="1">
        <f t="array" ref="F372">IFERROR(INDEX(Cartera1017[Sección],ROW(A370)),"")</f>
        <v/>
      </c>
      <c r="G372" s="376" t="str" cm="1">
        <f t="array" ref="G372">IFERROR(INDEX(Cartera1017[Estado TI],ROW(A370)),"")</f>
        <v/>
      </c>
      <c r="H372" s="463" t="str" cm="1">
        <f t="array" ref="H372">IFERROR(
 IF(
   INDEX(Cartera1017[Comienzo Desarrollo],ROW(A370))=0,
   "",
   INDEX(Cartera1017[Comienzo Desarrollo],ROW(A370))
 ),
 ""
)</f>
        <v/>
      </c>
      <c r="I372" s="463" t="str" cm="1">
        <f t="array" ref="I372">IFERROR(
 IF(
   INDEX(Cartera1017[Fin Producción],ROW(A370))=0,
   "",
   INDEX(Cartera1017[Fin Producción],ROW(A370))
 ),
 ""
)</f>
        <v/>
      </c>
    </row>
    <row r="373" spans="1:9">
      <c r="A373" s="376" t="str" cm="1">
        <f t="array" ref="A373">IFERROR(
 IF(
   INDEX(Cartera1017[ID Mantenimiento],ROW(A371))=0,
   "",
   INDEX(Cartera1017[ID Mantenimiento],ROW(A371))
 ),
 ""
)</f>
        <v/>
      </c>
      <c r="B373" s="376" t="str" cm="1">
        <f t="array" ref="B373">IFERROR(INDEX(Cartera1017[Nombre del Requerimiento],ROW(A371)),"")</f>
        <v/>
      </c>
      <c r="C373" s="376" t="str" cm="1">
        <f t="array" ref="C373">IFERROR(INDEX(Cartera1017[indicador de Avance],ROW(A371)),"")</f>
        <v/>
      </c>
      <c r="D373" s="376" t="str" cm="1">
        <f t="array" ref="D373">IFERROR(INDEX(Cartera1017[Gerencia],ROW(A371)),"")</f>
        <v/>
      </c>
      <c r="E373" s="376" t="str" cm="1">
        <f t="array" ref="E373">IFERROR(INDEX(Cartera1017[Subgerencia],ROW(A371)),"")</f>
        <v/>
      </c>
      <c r="F373" s="376" t="str" cm="1">
        <f t="array" ref="F373">IFERROR(INDEX(Cartera1017[Sección],ROW(A371)),"")</f>
        <v/>
      </c>
      <c r="G373" s="376" t="str" cm="1">
        <f t="array" ref="G373">IFERROR(INDEX(Cartera1017[Estado TI],ROW(A371)),"")</f>
        <v/>
      </c>
      <c r="H373" s="463" t="str" cm="1">
        <f t="array" ref="H373">IFERROR(
 IF(
   INDEX(Cartera1017[Comienzo Desarrollo],ROW(A371))=0,
   "",
   INDEX(Cartera1017[Comienzo Desarrollo],ROW(A371))
 ),
 ""
)</f>
        <v/>
      </c>
      <c r="I373" s="463" t="str" cm="1">
        <f t="array" ref="I373">IFERROR(
 IF(
   INDEX(Cartera1017[Fin Producción],ROW(A371))=0,
   "",
   INDEX(Cartera1017[Fin Producción],ROW(A371))
 ),
 ""
)</f>
        <v/>
      </c>
    </row>
    <row r="374" spans="1:9">
      <c r="A374" s="376" t="str" cm="1">
        <f t="array" ref="A374">IFERROR(
 IF(
   INDEX(Cartera1017[ID Mantenimiento],ROW(A372))=0,
   "",
   INDEX(Cartera1017[ID Mantenimiento],ROW(A372))
 ),
 ""
)</f>
        <v/>
      </c>
      <c r="B374" s="376" t="str" cm="1">
        <f t="array" ref="B374">IFERROR(INDEX(Cartera1017[Nombre del Requerimiento],ROW(A372)),"")</f>
        <v/>
      </c>
      <c r="C374" s="376" t="str" cm="1">
        <f t="array" ref="C374">IFERROR(INDEX(Cartera1017[indicador de Avance],ROW(A372)),"")</f>
        <v/>
      </c>
      <c r="D374" s="376" t="str" cm="1">
        <f t="array" ref="D374">IFERROR(INDEX(Cartera1017[Gerencia],ROW(A372)),"")</f>
        <v/>
      </c>
      <c r="E374" s="376" t="str" cm="1">
        <f t="array" ref="E374">IFERROR(INDEX(Cartera1017[Subgerencia],ROW(A372)),"")</f>
        <v/>
      </c>
      <c r="F374" s="376" t="str" cm="1">
        <f t="array" ref="F374">IFERROR(INDEX(Cartera1017[Sección],ROW(A372)),"")</f>
        <v/>
      </c>
      <c r="G374" s="376" t="str" cm="1">
        <f t="array" ref="G374">IFERROR(INDEX(Cartera1017[Estado TI],ROW(A372)),"")</f>
        <v/>
      </c>
      <c r="H374" s="463" t="str" cm="1">
        <f t="array" ref="H374">IFERROR(
 IF(
   INDEX(Cartera1017[Comienzo Desarrollo],ROW(A372))=0,
   "",
   INDEX(Cartera1017[Comienzo Desarrollo],ROW(A372))
 ),
 ""
)</f>
        <v/>
      </c>
      <c r="I374" s="463" t="str" cm="1">
        <f t="array" ref="I374">IFERROR(
 IF(
   INDEX(Cartera1017[Fin Producción],ROW(A372))=0,
   "",
   INDEX(Cartera1017[Fin Producción],ROW(A372))
 ),
 ""
)</f>
        <v/>
      </c>
    </row>
    <row r="375" spans="1:9">
      <c r="A375" s="376" t="str" cm="1">
        <f t="array" ref="A375">IFERROR(
 IF(
   INDEX(Cartera1017[ID Mantenimiento],ROW(A373))=0,
   "",
   INDEX(Cartera1017[ID Mantenimiento],ROW(A373))
 ),
 ""
)</f>
        <v/>
      </c>
      <c r="B375" s="376" t="str" cm="1">
        <f t="array" ref="B375">IFERROR(INDEX(Cartera1017[Nombre del Requerimiento],ROW(A373)),"")</f>
        <v/>
      </c>
      <c r="C375" s="376" t="str" cm="1">
        <f t="array" ref="C375">IFERROR(INDEX(Cartera1017[indicador de Avance],ROW(A373)),"")</f>
        <v/>
      </c>
      <c r="D375" s="376" t="str" cm="1">
        <f t="array" ref="D375">IFERROR(INDEX(Cartera1017[Gerencia],ROW(A373)),"")</f>
        <v/>
      </c>
      <c r="E375" s="376" t="str" cm="1">
        <f t="array" ref="E375">IFERROR(INDEX(Cartera1017[Subgerencia],ROW(A373)),"")</f>
        <v/>
      </c>
      <c r="F375" s="376" t="str" cm="1">
        <f t="array" ref="F375">IFERROR(INDEX(Cartera1017[Sección],ROW(A373)),"")</f>
        <v/>
      </c>
      <c r="G375" s="376" t="str" cm="1">
        <f t="array" ref="G375">IFERROR(INDEX(Cartera1017[Estado TI],ROW(A373)),"")</f>
        <v/>
      </c>
      <c r="H375" s="463" t="str" cm="1">
        <f t="array" ref="H375">IFERROR(
 IF(
   INDEX(Cartera1017[Comienzo Desarrollo],ROW(A373))=0,
   "",
   INDEX(Cartera1017[Comienzo Desarrollo],ROW(A373))
 ),
 ""
)</f>
        <v/>
      </c>
      <c r="I375" s="463" t="str" cm="1">
        <f t="array" ref="I375">IFERROR(
 IF(
   INDEX(Cartera1017[Fin Producción],ROW(A373))=0,
   "",
   INDEX(Cartera1017[Fin Producción],ROW(A373))
 ),
 ""
)</f>
        <v/>
      </c>
    </row>
    <row r="376" spans="1:9">
      <c r="A376" s="376" t="str" cm="1">
        <f t="array" ref="A376">IFERROR(
 IF(
   INDEX(Cartera1017[ID Mantenimiento],ROW(A374))=0,
   "",
   INDEX(Cartera1017[ID Mantenimiento],ROW(A374))
 ),
 ""
)</f>
        <v/>
      </c>
      <c r="B376" s="376" t="str" cm="1">
        <f t="array" ref="B376">IFERROR(INDEX(Cartera1017[Nombre del Requerimiento],ROW(A374)),"")</f>
        <v/>
      </c>
      <c r="C376" s="376" t="str" cm="1">
        <f t="array" ref="C376">IFERROR(INDEX(Cartera1017[indicador de Avance],ROW(A374)),"")</f>
        <v/>
      </c>
      <c r="D376" s="376" t="str" cm="1">
        <f t="array" ref="D376">IFERROR(INDEX(Cartera1017[Gerencia],ROW(A374)),"")</f>
        <v/>
      </c>
      <c r="E376" s="376" t="str" cm="1">
        <f t="array" ref="E376">IFERROR(INDEX(Cartera1017[Subgerencia],ROW(A374)),"")</f>
        <v/>
      </c>
      <c r="F376" s="376" t="str" cm="1">
        <f t="array" ref="F376">IFERROR(INDEX(Cartera1017[Sección],ROW(A374)),"")</f>
        <v/>
      </c>
      <c r="G376" s="376" t="str" cm="1">
        <f t="array" ref="G376">IFERROR(INDEX(Cartera1017[Estado TI],ROW(A374)),"")</f>
        <v/>
      </c>
      <c r="H376" s="463" t="str" cm="1">
        <f t="array" ref="H376">IFERROR(
 IF(
   INDEX(Cartera1017[Comienzo Desarrollo],ROW(A374))=0,
   "",
   INDEX(Cartera1017[Comienzo Desarrollo],ROW(A374))
 ),
 ""
)</f>
        <v/>
      </c>
      <c r="I376" s="463" t="str" cm="1">
        <f t="array" ref="I376">IFERROR(
 IF(
   INDEX(Cartera1017[Fin Producción],ROW(A374))=0,
   "",
   INDEX(Cartera1017[Fin Producción],ROW(A374))
 ),
 ""
)</f>
        <v/>
      </c>
    </row>
    <row r="377" spans="1:9">
      <c r="A377" s="376" t="str" cm="1">
        <f t="array" ref="A377">IFERROR(
 IF(
   INDEX(Cartera1017[ID Mantenimiento],ROW(A375))=0,
   "",
   INDEX(Cartera1017[ID Mantenimiento],ROW(A375))
 ),
 ""
)</f>
        <v/>
      </c>
      <c r="B377" s="376" t="str" cm="1">
        <f t="array" ref="B377">IFERROR(INDEX(Cartera1017[Nombre del Requerimiento],ROW(A375)),"")</f>
        <v/>
      </c>
      <c r="C377" s="376" t="str" cm="1">
        <f t="array" ref="C377">IFERROR(INDEX(Cartera1017[indicador de Avance],ROW(A375)),"")</f>
        <v/>
      </c>
      <c r="D377" s="376" t="str" cm="1">
        <f t="array" ref="D377">IFERROR(INDEX(Cartera1017[Gerencia],ROW(A375)),"")</f>
        <v/>
      </c>
      <c r="E377" s="376" t="str" cm="1">
        <f t="array" ref="E377">IFERROR(INDEX(Cartera1017[Subgerencia],ROW(A375)),"")</f>
        <v/>
      </c>
      <c r="F377" s="376" t="str" cm="1">
        <f t="array" ref="F377">IFERROR(INDEX(Cartera1017[Sección],ROW(A375)),"")</f>
        <v/>
      </c>
      <c r="G377" s="376" t="str" cm="1">
        <f t="array" ref="G377">IFERROR(INDEX(Cartera1017[Estado TI],ROW(A375)),"")</f>
        <v/>
      </c>
      <c r="H377" s="463" t="str" cm="1">
        <f t="array" ref="H377">IFERROR(
 IF(
   INDEX(Cartera1017[Comienzo Desarrollo],ROW(A375))=0,
   "",
   INDEX(Cartera1017[Comienzo Desarrollo],ROW(A375))
 ),
 ""
)</f>
        <v/>
      </c>
      <c r="I377" s="463" t="str" cm="1">
        <f t="array" ref="I377">IFERROR(
 IF(
   INDEX(Cartera1017[Fin Producción],ROW(A375))=0,
   "",
   INDEX(Cartera1017[Fin Producción],ROW(A375))
 ),
 ""
)</f>
        <v/>
      </c>
    </row>
    <row r="378" spans="1:9">
      <c r="A378" s="376" t="str" cm="1">
        <f t="array" ref="A378">IFERROR(
 IF(
   INDEX(Cartera1017[ID Mantenimiento],ROW(A376))=0,
   "",
   INDEX(Cartera1017[ID Mantenimiento],ROW(A376))
 ),
 ""
)</f>
        <v/>
      </c>
      <c r="B378" s="376" t="str" cm="1">
        <f t="array" ref="B378">IFERROR(INDEX(Cartera1017[Nombre del Requerimiento],ROW(A376)),"")</f>
        <v/>
      </c>
      <c r="C378" s="376" t="str" cm="1">
        <f t="array" ref="C378">IFERROR(INDEX(Cartera1017[indicador de Avance],ROW(A376)),"")</f>
        <v/>
      </c>
      <c r="D378" s="376" t="str" cm="1">
        <f t="array" ref="D378">IFERROR(INDEX(Cartera1017[Gerencia],ROW(A376)),"")</f>
        <v/>
      </c>
      <c r="E378" s="376" t="str" cm="1">
        <f t="array" ref="E378">IFERROR(INDEX(Cartera1017[Subgerencia],ROW(A376)),"")</f>
        <v/>
      </c>
      <c r="F378" s="376" t="str" cm="1">
        <f t="array" ref="F378">IFERROR(INDEX(Cartera1017[Sección],ROW(A376)),"")</f>
        <v/>
      </c>
      <c r="G378" s="376" t="str" cm="1">
        <f t="array" ref="G378">IFERROR(INDEX(Cartera1017[Estado TI],ROW(A376)),"")</f>
        <v/>
      </c>
      <c r="H378" s="463" t="str" cm="1">
        <f t="array" ref="H378">IFERROR(
 IF(
   INDEX(Cartera1017[Comienzo Desarrollo],ROW(A376))=0,
   "",
   INDEX(Cartera1017[Comienzo Desarrollo],ROW(A376))
 ),
 ""
)</f>
        <v/>
      </c>
      <c r="I378" s="463" t="str" cm="1">
        <f t="array" ref="I378">IFERROR(
 IF(
   INDEX(Cartera1017[Fin Producción],ROW(A376))=0,
   "",
   INDEX(Cartera1017[Fin Producción],ROW(A376))
 ),
 ""
)</f>
        <v/>
      </c>
    </row>
    <row r="379" spans="1:9">
      <c r="A379" s="376" t="str" cm="1">
        <f t="array" ref="A379">IFERROR(
 IF(
   INDEX(Cartera1017[ID Mantenimiento],ROW(A377))=0,
   "",
   INDEX(Cartera1017[ID Mantenimiento],ROW(A377))
 ),
 ""
)</f>
        <v/>
      </c>
      <c r="B379" s="376" t="str" cm="1">
        <f t="array" ref="B379">IFERROR(INDEX(Cartera1017[Nombre del Requerimiento],ROW(A377)),"")</f>
        <v/>
      </c>
      <c r="C379" s="376" t="str" cm="1">
        <f t="array" ref="C379">IFERROR(INDEX(Cartera1017[indicador de Avance],ROW(A377)),"")</f>
        <v/>
      </c>
      <c r="D379" s="376" t="str" cm="1">
        <f t="array" ref="D379">IFERROR(INDEX(Cartera1017[Gerencia],ROW(A377)),"")</f>
        <v/>
      </c>
      <c r="E379" s="376" t="str" cm="1">
        <f t="array" ref="E379">IFERROR(INDEX(Cartera1017[Subgerencia],ROW(A377)),"")</f>
        <v/>
      </c>
      <c r="F379" s="376" t="str" cm="1">
        <f t="array" ref="F379">IFERROR(INDEX(Cartera1017[Sección],ROW(A377)),"")</f>
        <v/>
      </c>
      <c r="G379" s="376" t="str" cm="1">
        <f t="array" ref="G379">IFERROR(INDEX(Cartera1017[Estado TI],ROW(A377)),"")</f>
        <v/>
      </c>
      <c r="H379" s="463" t="str" cm="1">
        <f t="array" ref="H379">IFERROR(
 IF(
   INDEX(Cartera1017[Comienzo Desarrollo],ROW(A377))=0,
   "",
   INDEX(Cartera1017[Comienzo Desarrollo],ROW(A377))
 ),
 ""
)</f>
        <v/>
      </c>
      <c r="I379" s="463" t="str" cm="1">
        <f t="array" ref="I379">IFERROR(
 IF(
   INDEX(Cartera1017[Fin Producción],ROW(A377))=0,
   "",
   INDEX(Cartera1017[Fin Producción],ROW(A377))
 ),
 ""
)</f>
        <v/>
      </c>
    </row>
    <row r="380" spans="1:9">
      <c r="A380" s="376" t="str" cm="1">
        <f t="array" ref="A380">IFERROR(
 IF(
   INDEX(Cartera1017[ID Mantenimiento],ROW(A378))=0,
   "",
   INDEX(Cartera1017[ID Mantenimiento],ROW(A378))
 ),
 ""
)</f>
        <v/>
      </c>
      <c r="B380" s="376" t="str" cm="1">
        <f t="array" ref="B380">IFERROR(INDEX(Cartera1017[Nombre del Requerimiento],ROW(A378)),"")</f>
        <v/>
      </c>
      <c r="C380" s="376" t="str" cm="1">
        <f t="array" ref="C380">IFERROR(INDEX(Cartera1017[indicador de Avance],ROW(A378)),"")</f>
        <v/>
      </c>
      <c r="D380" s="376" t="str" cm="1">
        <f t="array" ref="D380">IFERROR(INDEX(Cartera1017[Gerencia],ROW(A378)),"")</f>
        <v/>
      </c>
      <c r="E380" s="376" t="str" cm="1">
        <f t="array" ref="E380">IFERROR(INDEX(Cartera1017[Subgerencia],ROW(A378)),"")</f>
        <v/>
      </c>
      <c r="F380" s="376" t="str" cm="1">
        <f t="array" ref="F380">IFERROR(INDEX(Cartera1017[Sección],ROW(A378)),"")</f>
        <v/>
      </c>
      <c r="G380" s="376" t="str" cm="1">
        <f t="array" ref="G380">IFERROR(INDEX(Cartera1017[Estado TI],ROW(A378)),"")</f>
        <v/>
      </c>
      <c r="H380" s="463" t="str" cm="1">
        <f t="array" ref="H380">IFERROR(
 IF(
   INDEX(Cartera1017[Comienzo Desarrollo],ROW(A378))=0,
   "",
   INDEX(Cartera1017[Comienzo Desarrollo],ROW(A378))
 ),
 ""
)</f>
        <v/>
      </c>
      <c r="I380" s="463" t="str" cm="1">
        <f t="array" ref="I380">IFERROR(
 IF(
   INDEX(Cartera1017[Fin Producción],ROW(A378))=0,
   "",
   INDEX(Cartera1017[Fin Producción],ROW(A378))
 ),
 ""
)</f>
        <v/>
      </c>
    </row>
    <row r="381" spans="1:9">
      <c r="A381" s="376" t="str" cm="1">
        <f t="array" ref="A381">IFERROR(
 IF(
   INDEX(Cartera1017[ID Mantenimiento],ROW(A379))=0,
   "",
   INDEX(Cartera1017[ID Mantenimiento],ROW(A379))
 ),
 ""
)</f>
        <v/>
      </c>
      <c r="B381" s="376" t="str" cm="1">
        <f t="array" ref="B381">IFERROR(INDEX(Cartera1017[Nombre del Requerimiento],ROW(A379)),"")</f>
        <v/>
      </c>
      <c r="C381" s="376" t="str" cm="1">
        <f t="array" ref="C381">IFERROR(INDEX(Cartera1017[indicador de Avance],ROW(A379)),"")</f>
        <v/>
      </c>
      <c r="D381" s="376" t="str" cm="1">
        <f t="array" ref="D381">IFERROR(INDEX(Cartera1017[Gerencia],ROW(A379)),"")</f>
        <v/>
      </c>
      <c r="E381" s="376" t="str" cm="1">
        <f t="array" ref="E381">IFERROR(INDEX(Cartera1017[Subgerencia],ROW(A379)),"")</f>
        <v/>
      </c>
      <c r="F381" s="376" t="str" cm="1">
        <f t="array" ref="F381">IFERROR(INDEX(Cartera1017[Sección],ROW(A379)),"")</f>
        <v/>
      </c>
      <c r="G381" s="376" t="str" cm="1">
        <f t="array" ref="G381">IFERROR(INDEX(Cartera1017[Estado TI],ROW(A379)),"")</f>
        <v/>
      </c>
      <c r="H381" s="463" t="str" cm="1">
        <f t="array" ref="H381">IFERROR(
 IF(
   INDEX(Cartera1017[Comienzo Desarrollo],ROW(A379))=0,
   "",
   INDEX(Cartera1017[Comienzo Desarrollo],ROW(A379))
 ),
 ""
)</f>
        <v/>
      </c>
      <c r="I381" s="463" t="str" cm="1">
        <f t="array" ref="I381">IFERROR(
 IF(
   INDEX(Cartera1017[Fin Producción],ROW(A379))=0,
   "",
   INDEX(Cartera1017[Fin Producción],ROW(A379))
 ),
 ""
)</f>
        <v/>
      </c>
    </row>
    <row r="382" spans="1:9">
      <c r="A382" s="376" t="str" cm="1">
        <f t="array" ref="A382">IFERROR(
 IF(
   INDEX(Cartera1017[ID Mantenimiento],ROW(A380))=0,
   "",
   INDEX(Cartera1017[ID Mantenimiento],ROW(A380))
 ),
 ""
)</f>
        <v/>
      </c>
      <c r="B382" s="376" t="str" cm="1">
        <f t="array" ref="B382">IFERROR(INDEX(Cartera1017[Nombre del Requerimiento],ROW(A380)),"")</f>
        <v/>
      </c>
      <c r="C382" s="376" t="str" cm="1">
        <f t="array" ref="C382">IFERROR(INDEX(Cartera1017[indicador de Avance],ROW(A380)),"")</f>
        <v/>
      </c>
      <c r="D382" s="376" t="str" cm="1">
        <f t="array" ref="D382">IFERROR(INDEX(Cartera1017[Gerencia],ROW(A380)),"")</f>
        <v/>
      </c>
      <c r="E382" s="376" t="str" cm="1">
        <f t="array" ref="E382">IFERROR(INDEX(Cartera1017[Subgerencia],ROW(A380)),"")</f>
        <v/>
      </c>
      <c r="F382" s="376" t="str" cm="1">
        <f t="array" ref="F382">IFERROR(INDEX(Cartera1017[Sección],ROW(A380)),"")</f>
        <v/>
      </c>
      <c r="G382" s="376" t="str" cm="1">
        <f t="array" ref="G382">IFERROR(INDEX(Cartera1017[Estado TI],ROW(A380)),"")</f>
        <v/>
      </c>
      <c r="H382" s="463" t="str" cm="1">
        <f t="array" ref="H382">IFERROR(
 IF(
   INDEX(Cartera1017[Comienzo Desarrollo],ROW(A380))=0,
   "",
   INDEX(Cartera1017[Comienzo Desarrollo],ROW(A380))
 ),
 ""
)</f>
        <v/>
      </c>
      <c r="I382" s="463" t="str" cm="1">
        <f t="array" ref="I382">IFERROR(
 IF(
   INDEX(Cartera1017[Fin Producción],ROW(A380))=0,
   "",
   INDEX(Cartera1017[Fin Producción],ROW(A380))
 ),
 ""
)</f>
        <v/>
      </c>
    </row>
    <row r="383" spans="1:9">
      <c r="A383" s="376" t="str" cm="1">
        <f t="array" ref="A383">IFERROR(
 IF(
   INDEX(Cartera1017[ID Mantenimiento],ROW(A381))=0,
   "",
   INDEX(Cartera1017[ID Mantenimiento],ROW(A381))
 ),
 ""
)</f>
        <v/>
      </c>
      <c r="B383" s="376" t="str" cm="1">
        <f t="array" ref="B383">IFERROR(INDEX(Cartera1017[Nombre del Requerimiento],ROW(A381)),"")</f>
        <v/>
      </c>
      <c r="C383" s="376" t="str" cm="1">
        <f t="array" ref="C383">IFERROR(INDEX(Cartera1017[indicador de Avance],ROW(A381)),"")</f>
        <v/>
      </c>
      <c r="D383" s="376" t="str" cm="1">
        <f t="array" ref="D383">IFERROR(INDEX(Cartera1017[Gerencia],ROW(A381)),"")</f>
        <v/>
      </c>
      <c r="E383" s="376" t="str" cm="1">
        <f t="array" ref="E383">IFERROR(INDEX(Cartera1017[Subgerencia],ROW(A381)),"")</f>
        <v/>
      </c>
      <c r="F383" s="376" t="str" cm="1">
        <f t="array" ref="F383">IFERROR(INDEX(Cartera1017[Sección],ROW(A381)),"")</f>
        <v/>
      </c>
      <c r="G383" s="376" t="str" cm="1">
        <f t="array" ref="G383">IFERROR(INDEX(Cartera1017[Estado TI],ROW(A381)),"")</f>
        <v/>
      </c>
      <c r="H383" s="463" t="str" cm="1">
        <f t="array" ref="H383">IFERROR(
 IF(
   INDEX(Cartera1017[Comienzo Desarrollo],ROW(A381))=0,
   "",
   INDEX(Cartera1017[Comienzo Desarrollo],ROW(A381))
 ),
 ""
)</f>
        <v/>
      </c>
      <c r="I383" s="463" t="str" cm="1">
        <f t="array" ref="I383">IFERROR(
 IF(
   INDEX(Cartera1017[Fin Producción],ROW(A381))=0,
   "",
   INDEX(Cartera1017[Fin Producción],ROW(A381))
 ),
 ""
)</f>
        <v/>
      </c>
    </row>
    <row r="384" spans="1:9">
      <c r="A384" s="376" t="str" cm="1">
        <f t="array" ref="A384">IFERROR(
 IF(
   INDEX(Cartera1017[ID Mantenimiento],ROW(A382))=0,
   "",
   INDEX(Cartera1017[ID Mantenimiento],ROW(A382))
 ),
 ""
)</f>
        <v/>
      </c>
      <c r="B384" s="376" t="str" cm="1">
        <f t="array" ref="B384">IFERROR(INDEX(Cartera1017[Nombre del Requerimiento],ROW(A382)),"")</f>
        <v/>
      </c>
      <c r="C384" s="376" t="str" cm="1">
        <f t="array" ref="C384">IFERROR(INDEX(Cartera1017[indicador de Avance],ROW(A382)),"")</f>
        <v/>
      </c>
      <c r="D384" s="376" t="str" cm="1">
        <f t="array" ref="D384">IFERROR(INDEX(Cartera1017[Gerencia],ROW(A382)),"")</f>
        <v/>
      </c>
      <c r="E384" s="376" t="str" cm="1">
        <f t="array" ref="E384">IFERROR(INDEX(Cartera1017[Subgerencia],ROW(A382)),"")</f>
        <v/>
      </c>
      <c r="F384" s="376" t="str" cm="1">
        <f t="array" ref="F384">IFERROR(INDEX(Cartera1017[Sección],ROW(A382)),"")</f>
        <v/>
      </c>
      <c r="G384" s="376" t="str" cm="1">
        <f t="array" ref="G384">IFERROR(INDEX(Cartera1017[Estado TI],ROW(A382)),"")</f>
        <v/>
      </c>
      <c r="H384" s="463" t="str" cm="1">
        <f t="array" ref="H384">IFERROR(
 IF(
   INDEX(Cartera1017[Comienzo Desarrollo],ROW(A382))=0,
   "",
   INDEX(Cartera1017[Comienzo Desarrollo],ROW(A382))
 ),
 ""
)</f>
        <v/>
      </c>
      <c r="I384" s="463" t="str" cm="1">
        <f t="array" ref="I384">IFERROR(
 IF(
   INDEX(Cartera1017[Fin Producción],ROW(A382))=0,
   "",
   INDEX(Cartera1017[Fin Producción],ROW(A382))
 ),
 ""
)</f>
        <v/>
      </c>
    </row>
    <row r="385" spans="1:9">
      <c r="A385" s="376" t="str" cm="1">
        <f t="array" ref="A385">IFERROR(
 IF(
   INDEX(Cartera1017[ID Mantenimiento],ROW(A383))=0,
   "",
   INDEX(Cartera1017[ID Mantenimiento],ROW(A383))
 ),
 ""
)</f>
        <v/>
      </c>
      <c r="B385" s="376" t="str" cm="1">
        <f t="array" ref="B385">IFERROR(INDEX(Cartera1017[Nombre del Requerimiento],ROW(A383)),"")</f>
        <v/>
      </c>
      <c r="C385" s="376" t="str" cm="1">
        <f t="array" ref="C385">IFERROR(INDEX(Cartera1017[indicador de Avance],ROW(A383)),"")</f>
        <v/>
      </c>
      <c r="D385" s="376" t="str" cm="1">
        <f t="array" ref="D385">IFERROR(INDEX(Cartera1017[Gerencia],ROW(A383)),"")</f>
        <v/>
      </c>
      <c r="E385" s="376" t="str" cm="1">
        <f t="array" ref="E385">IFERROR(INDEX(Cartera1017[Subgerencia],ROW(A383)),"")</f>
        <v/>
      </c>
      <c r="F385" s="376" t="str" cm="1">
        <f t="array" ref="F385">IFERROR(INDEX(Cartera1017[Sección],ROW(A383)),"")</f>
        <v/>
      </c>
      <c r="G385" s="376" t="str" cm="1">
        <f t="array" ref="G385">IFERROR(INDEX(Cartera1017[Estado TI],ROW(A383)),"")</f>
        <v/>
      </c>
      <c r="H385" s="463" t="str" cm="1">
        <f t="array" ref="H385">IFERROR(
 IF(
   INDEX(Cartera1017[Comienzo Desarrollo],ROW(A383))=0,
   "",
   INDEX(Cartera1017[Comienzo Desarrollo],ROW(A383))
 ),
 ""
)</f>
        <v/>
      </c>
      <c r="I385" s="463" t="str" cm="1">
        <f t="array" ref="I385">IFERROR(
 IF(
   INDEX(Cartera1017[Fin Producción],ROW(A383))=0,
   "",
   INDEX(Cartera1017[Fin Producción],ROW(A383))
 ),
 ""
)</f>
        <v/>
      </c>
    </row>
    <row r="386" spans="1:9">
      <c r="A386" s="376" t="str" cm="1">
        <f t="array" ref="A386">IFERROR(
 IF(
   INDEX(Cartera1017[ID Mantenimiento],ROW(A384))=0,
   "",
   INDEX(Cartera1017[ID Mantenimiento],ROW(A384))
 ),
 ""
)</f>
        <v/>
      </c>
      <c r="B386" s="376" t="str" cm="1">
        <f t="array" ref="B386">IFERROR(INDEX(Cartera1017[Nombre del Requerimiento],ROW(A384)),"")</f>
        <v/>
      </c>
      <c r="C386" s="376" t="str" cm="1">
        <f t="array" ref="C386">IFERROR(INDEX(Cartera1017[indicador de Avance],ROW(A384)),"")</f>
        <v/>
      </c>
      <c r="D386" s="376" t="str" cm="1">
        <f t="array" ref="D386">IFERROR(INDEX(Cartera1017[Gerencia],ROW(A384)),"")</f>
        <v/>
      </c>
      <c r="E386" s="376" t="str" cm="1">
        <f t="array" ref="E386">IFERROR(INDEX(Cartera1017[Subgerencia],ROW(A384)),"")</f>
        <v/>
      </c>
      <c r="F386" s="376" t="str" cm="1">
        <f t="array" ref="F386">IFERROR(INDEX(Cartera1017[Sección],ROW(A384)),"")</f>
        <v/>
      </c>
      <c r="G386" s="376" t="str" cm="1">
        <f t="array" ref="G386">IFERROR(INDEX(Cartera1017[Estado TI],ROW(A384)),"")</f>
        <v/>
      </c>
      <c r="H386" s="463" t="str" cm="1">
        <f t="array" ref="H386">IFERROR(
 IF(
   INDEX(Cartera1017[Comienzo Desarrollo],ROW(A384))=0,
   "",
   INDEX(Cartera1017[Comienzo Desarrollo],ROW(A384))
 ),
 ""
)</f>
        <v/>
      </c>
      <c r="I386" s="463" t="str" cm="1">
        <f t="array" ref="I386">IFERROR(
 IF(
   INDEX(Cartera1017[Fin Producción],ROW(A384))=0,
   "",
   INDEX(Cartera1017[Fin Producción],ROW(A384))
 ),
 ""
)</f>
        <v/>
      </c>
    </row>
    <row r="387" spans="1:9">
      <c r="A387" s="376" t="str" cm="1">
        <f t="array" ref="A387">IFERROR(
 IF(
   INDEX(Cartera1017[ID Mantenimiento],ROW(A385))=0,
   "",
   INDEX(Cartera1017[ID Mantenimiento],ROW(A385))
 ),
 ""
)</f>
        <v/>
      </c>
      <c r="B387" s="376" t="str" cm="1">
        <f t="array" ref="B387">IFERROR(INDEX(Cartera1017[Nombre del Requerimiento],ROW(A385)),"")</f>
        <v/>
      </c>
      <c r="C387" s="376" t="str" cm="1">
        <f t="array" ref="C387">IFERROR(INDEX(Cartera1017[indicador de Avance],ROW(A385)),"")</f>
        <v/>
      </c>
      <c r="D387" s="376" t="str" cm="1">
        <f t="array" ref="D387">IFERROR(INDEX(Cartera1017[Gerencia],ROW(A385)),"")</f>
        <v/>
      </c>
      <c r="E387" s="376" t="str" cm="1">
        <f t="array" ref="E387">IFERROR(INDEX(Cartera1017[Subgerencia],ROW(A385)),"")</f>
        <v/>
      </c>
      <c r="F387" s="376" t="str" cm="1">
        <f t="array" ref="F387">IFERROR(INDEX(Cartera1017[Sección],ROW(A385)),"")</f>
        <v/>
      </c>
      <c r="G387" s="376" t="str" cm="1">
        <f t="array" ref="G387">IFERROR(INDEX(Cartera1017[Estado TI],ROW(A385)),"")</f>
        <v/>
      </c>
      <c r="H387" s="463" t="str" cm="1">
        <f t="array" ref="H387">IFERROR(
 IF(
   INDEX(Cartera1017[Comienzo Desarrollo],ROW(A385))=0,
   "",
   INDEX(Cartera1017[Comienzo Desarrollo],ROW(A385))
 ),
 ""
)</f>
        <v/>
      </c>
      <c r="I387" s="463" t="str" cm="1">
        <f t="array" ref="I387">IFERROR(
 IF(
   INDEX(Cartera1017[Fin Producción],ROW(A385))=0,
   "",
   INDEX(Cartera1017[Fin Producción],ROW(A385))
 ),
 ""
)</f>
        <v/>
      </c>
    </row>
    <row r="388" spans="1:9">
      <c r="A388" s="376" t="str" cm="1">
        <f t="array" ref="A388">IFERROR(
 IF(
   INDEX(Cartera1017[ID Mantenimiento],ROW(A386))=0,
   "",
   INDEX(Cartera1017[ID Mantenimiento],ROW(A386))
 ),
 ""
)</f>
        <v/>
      </c>
      <c r="B388" s="376" t="str" cm="1">
        <f t="array" ref="B388">IFERROR(INDEX(Cartera1017[Nombre del Requerimiento],ROW(A386)),"")</f>
        <v/>
      </c>
      <c r="C388" s="376" t="str" cm="1">
        <f t="array" ref="C388">IFERROR(INDEX(Cartera1017[indicador de Avance],ROW(A386)),"")</f>
        <v/>
      </c>
      <c r="D388" s="376" t="str" cm="1">
        <f t="array" ref="D388">IFERROR(INDEX(Cartera1017[Gerencia],ROW(A386)),"")</f>
        <v/>
      </c>
      <c r="E388" s="376" t="str" cm="1">
        <f t="array" ref="E388">IFERROR(INDEX(Cartera1017[Subgerencia],ROW(A386)),"")</f>
        <v/>
      </c>
      <c r="F388" s="376" t="str" cm="1">
        <f t="array" ref="F388">IFERROR(INDEX(Cartera1017[Sección],ROW(A386)),"")</f>
        <v/>
      </c>
      <c r="G388" s="376" t="str" cm="1">
        <f t="array" ref="G388">IFERROR(INDEX(Cartera1017[Estado TI],ROW(A386)),"")</f>
        <v/>
      </c>
      <c r="H388" s="463" t="str" cm="1">
        <f t="array" ref="H388">IFERROR(
 IF(
   INDEX(Cartera1017[Comienzo Desarrollo],ROW(A386))=0,
   "",
   INDEX(Cartera1017[Comienzo Desarrollo],ROW(A386))
 ),
 ""
)</f>
        <v/>
      </c>
      <c r="I388" s="463" t="str" cm="1">
        <f t="array" ref="I388">IFERROR(
 IF(
   INDEX(Cartera1017[Fin Producción],ROW(A386))=0,
   "",
   INDEX(Cartera1017[Fin Producción],ROW(A386))
 ),
 ""
)</f>
        <v/>
      </c>
    </row>
    <row r="389" spans="1:9">
      <c r="A389" s="376" t="str" cm="1">
        <f t="array" ref="A389">IFERROR(
 IF(
   INDEX(Cartera1017[ID Mantenimiento],ROW(A387))=0,
   "",
   INDEX(Cartera1017[ID Mantenimiento],ROW(A387))
 ),
 ""
)</f>
        <v/>
      </c>
      <c r="B389" s="376" t="str" cm="1">
        <f t="array" ref="B389">IFERROR(INDEX(Cartera1017[Nombre del Requerimiento],ROW(A387)),"")</f>
        <v/>
      </c>
      <c r="C389" s="376" t="str" cm="1">
        <f t="array" ref="C389">IFERROR(INDEX(Cartera1017[indicador de Avance],ROW(A387)),"")</f>
        <v/>
      </c>
      <c r="D389" s="376" t="str" cm="1">
        <f t="array" ref="D389">IFERROR(INDEX(Cartera1017[Gerencia],ROW(A387)),"")</f>
        <v/>
      </c>
      <c r="E389" s="376" t="str" cm="1">
        <f t="array" ref="E389">IFERROR(INDEX(Cartera1017[Subgerencia],ROW(A387)),"")</f>
        <v/>
      </c>
      <c r="F389" s="376" t="str" cm="1">
        <f t="array" ref="F389">IFERROR(INDEX(Cartera1017[Sección],ROW(A387)),"")</f>
        <v/>
      </c>
      <c r="G389" s="376" t="str" cm="1">
        <f t="array" ref="G389">IFERROR(INDEX(Cartera1017[Estado TI],ROW(A387)),"")</f>
        <v/>
      </c>
      <c r="H389" s="463" t="str" cm="1">
        <f t="array" ref="H389">IFERROR(
 IF(
   INDEX(Cartera1017[Comienzo Desarrollo],ROW(A387))=0,
   "",
   INDEX(Cartera1017[Comienzo Desarrollo],ROW(A387))
 ),
 ""
)</f>
        <v/>
      </c>
      <c r="I389" s="463" t="str" cm="1">
        <f t="array" ref="I389">IFERROR(
 IF(
   INDEX(Cartera1017[Fin Producción],ROW(A387))=0,
   "",
   INDEX(Cartera1017[Fin Producción],ROW(A387))
 ),
 ""
)</f>
        <v/>
      </c>
    </row>
    <row r="390" spans="1:9">
      <c r="A390" s="376" t="str" cm="1">
        <f t="array" ref="A390">IFERROR(
 IF(
   INDEX(Cartera1017[ID Mantenimiento],ROW(A388))=0,
   "",
   INDEX(Cartera1017[ID Mantenimiento],ROW(A388))
 ),
 ""
)</f>
        <v/>
      </c>
      <c r="B390" s="376" t="str" cm="1">
        <f t="array" ref="B390">IFERROR(INDEX(Cartera1017[Nombre del Requerimiento],ROW(A388)),"")</f>
        <v/>
      </c>
      <c r="C390" s="376" t="str" cm="1">
        <f t="array" ref="C390">IFERROR(INDEX(Cartera1017[indicador de Avance],ROW(A388)),"")</f>
        <v/>
      </c>
      <c r="D390" s="376" t="str" cm="1">
        <f t="array" ref="D390">IFERROR(INDEX(Cartera1017[Gerencia],ROW(A388)),"")</f>
        <v/>
      </c>
      <c r="E390" s="376" t="str" cm="1">
        <f t="array" ref="E390">IFERROR(INDEX(Cartera1017[Subgerencia],ROW(A388)),"")</f>
        <v/>
      </c>
      <c r="F390" s="376" t="str" cm="1">
        <f t="array" ref="F390">IFERROR(INDEX(Cartera1017[Sección],ROW(A388)),"")</f>
        <v/>
      </c>
      <c r="G390" s="376" t="str" cm="1">
        <f t="array" ref="G390">IFERROR(INDEX(Cartera1017[Estado TI],ROW(A388)),"")</f>
        <v/>
      </c>
      <c r="H390" s="463" t="str" cm="1">
        <f t="array" ref="H390">IFERROR(
 IF(
   INDEX(Cartera1017[Comienzo Desarrollo],ROW(A388))=0,
   "",
   INDEX(Cartera1017[Comienzo Desarrollo],ROW(A388))
 ),
 ""
)</f>
        <v/>
      </c>
      <c r="I390" s="463" t="str" cm="1">
        <f t="array" ref="I390">IFERROR(
 IF(
   INDEX(Cartera1017[Fin Producción],ROW(A388))=0,
   "",
   INDEX(Cartera1017[Fin Producción],ROW(A388))
 ),
 ""
)</f>
        <v/>
      </c>
    </row>
    <row r="391" spans="1:9">
      <c r="A391" s="376" t="str" cm="1">
        <f t="array" ref="A391">IFERROR(
 IF(
   INDEX(Cartera1017[ID Mantenimiento],ROW(A389))=0,
   "",
   INDEX(Cartera1017[ID Mantenimiento],ROW(A389))
 ),
 ""
)</f>
        <v/>
      </c>
      <c r="B391" s="376" t="str" cm="1">
        <f t="array" ref="B391">IFERROR(INDEX(Cartera1017[Nombre del Requerimiento],ROW(A389)),"")</f>
        <v/>
      </c>
      <c r="C391" s="376" t="str" cm="1">
        <f t="array" ref="C391">IFERROR(INDEX(Cartera1017[indicador de Avance],ROW(A389)),"")</f>
        <v/>
      </c>
      <c r="D391" s="376" t="str" cm="1">
        <f t="array" ref="D391">IFERROR(INDEX(Cartera1017[Gerencia],ROW(A389)),"")</f>
        <v/>
      </c>
      <c r="E391" s="376" t="str" cm="1">
        <f t="array" ref="E391">IFERROR(INDEX(Cartera1017[Subgerencia],ROW(A389)),"")</f>
        <v/>
      </c>
      <c r="F391" s="376" t="str" cm="1">
        <f t="array" ref="F391">IFERROR(INDEX(Cartera1017[Sección],ROW(A389)),"")</f>
        <v/>
      </c>
      <c r="G391" s="376" t="str" cm="1">
        <f t="array" ref="G391">IFERROR(INDEX(Cartera1017[Estado TI],ROW(A389)),"")</f>
        <v/>
      </c>
      <c r="H391" s="463" t="str" cm="1">
        <f t="array" ref="H391">IFERROR(
 IF(
   INDEX(Cartera1017[Comienzo Desarrollo],ROW(A389))=0,
   "",
   INDEX(Cartera1017[Comienzo Desarrollo],ROW(A389))
 ),
 ""
)</f>
        <v/>
      </c>
      <c r="I391" s="463" t="str" cm="1">
        <f t="array" ref="I391">IFERROR(
 IF(
   INDEX(Cartera1017[Fin Producción],ROW(A389))=0,
   "",
   INDEX(Cartera1017[Fin Producción],ROW(A389))
 ),
 ""
)</f>
        <v/>
      </c>
    </row>
    <row r="392" spans="1:9">
      <c r="A392" s="376" t="str" cm="1">
        <f t="array" ref="A392">IFERROR(
 IF(
   INDEX(Cartera1017[ID Mantenimiento],ROW(A390))=0,
   "",
   INDEX(Cartera1017[ID Mantenimiento],ROW(A390))
 ),
 ""
)</f>
        <v/>
      </c>
      <c r="B392" s="376" t="str" cm="1">
        <f t="array" ref="B392">IFERROR(INDEX(Cartera1017[Nombre del Requerimiento],ROW(A390)),"")</f>
        <v/>
      </c>
      <c r="C392" s="376" t="str" cm="1">
        <f t="array" ref="C392">IFERROR(INDEX(Cartera1017[indicador de Avance],ROW(A390)),"")</f>
        <v/>
      </c>
      <c r="D392" s="376" t="str" cm="1">
        <f t="array" ref="D392">IFERROR(INDEX(Cartera1017[Gerencia],ROW(A390)),"")</f>
        <v/>
      </c>
      <c r="E392" s="376" t="str" cm="1">
        <f t="array" ref="E392">IFERROR(INDEX(Cartera1017[Subgerencia],ROW(A390)),"")</f>
        <v/>
      </c>
      <c r="F392" s="376" t="str" cm="1">
        <f t="array" ref="F392">IFERROR(INDEX(Cartera1017[Sección],ROW(A390)),"")</f>
        <v/>
      </c>
      <c r="G392" s="376" t="str" cm="1">
        <f t="array" ref="G392">IFERROR(INDEX(Cartera1017[Estado TI],ROW(A390)),"")</f>
        <v/>
      </c>
      <c r="H392" s="463" t="str" cm="1">
        <f t="array" ref="H392">IFERROR(
 IF(
   INDEX(Cartera1017[Comienzo Desarrollo],ROW(A390))=0,
   "",
   INDEX(Cartera1017[Comienzo Desarrollo],ROW(A390))
 ),
 ""
)</f>
        <v/>
      </c>
      <c r="I392" s="463" t="str" cm="1">
        <f t="array" ref="I392">IFERROR(
 IF(
   INDEX(Cartera1017[Fin Producción],ROW(A390))=0,
   "",
   INDEX(Cartera1017[Fin Producción],ROW(A390))
 ),
 ""
)</f>
        <v/>
      </c>
    </row>
    <row r="393" spans="1:9">
      <c r="A393" s="376" t="str" cm="1">
        <f t="array" ref="A393">IFERROR(
 IF(
   INDEX(Cartera1017[ID Mantenimiento],ROW(A391))=0,
   "",
   INDEX(Cartera1017[ID Mantenimiento],ROW(A391))
 ),
 ""
)</f>
        <v/>
      </c>
      <c r="B393" s="376" t="str" cm="1">
        <f t="array" ref="B393">IFERROR(INDEX(Cartera1017[Nombre del Requerimiento],ROW(A391)),"")</f>
        <v/>
      </c>
      <c r="C393" s="376" t="str" cm="1">
        <f t="array" ref="C393">IFERROR(INDEX(Cartera1017[indicador de Avance],ROW(A391)),"")</f>
        <v/>
      </c>
      <c r="D393" s="376" t="str" cm="1">
        <f t="array" ref="D393">IFERROR(INDEX(Cartera1017[Gerencia],ROW(A391)),"")</f>
        <v/>
      </c>
      <c r="E393" s="376" t="str" cm="1">
        <f t="array" ref="E393">IFERROR(INDEX(Cartera1017[Subgerencia],ROW(A391)),"")</f>
        <v/>
      </c>
      <c r="F393" s="376" t="str" cm="1">
        <f t="array" ref="F393">IFERROR(INDEX(Cartera1017[Sección],ROW(A391)),"")</f>
        <v/>
      </c>
      <c r="G393" s="376" t="str" cm="1">
        <f t="array" ref="G393">IFERROR(INDEX(Cartera1017[Estado TI],ROW(A391)),"")</f>
        <v/>
      </c>
      <c r="H393" s="463" t="str" cm="1">
        <f t="array" ref="H393">IFERROR(
 IF(
   INDEX(Cartera1017[Comienzo Desarrollo],ROW(A391))=0,
   "",
   INDEX(Cartera1017[Comienzo Desarrollo],ROW(A391))
 ),
 ""
)</f>
        <v/>
      </c>
      <c r="I393" s="463" t="str" cm="1">
        <f t="array" ref="I393">IFERROR(
 IF(
   INDEX(Cartera1017[Fin Producción],ROW(A391))=0,
   "",
   INDEX(Cartera1017[Fin Producción],ROW(A391))
 ),
 ""
)</f>
        <v/>
      </c>
    </row>
    <row r="394" spans="1:9">
      <c r="A394" s="376" t="str" cm="1">
        <f t="array" ref="A394">IFERROR(
 IF(
   INDEX(Cartera1017[ID Mantenimiento],ROW(A392))=0,
   "",
   INDEX(Cartera1017[ID Mantenimiento],ROW(A392))
 ),
 ""
)</f>
        <v/>
      </c>
      <c r="B394" s="376" t="str" cm="1">
        <f t="array" ref="B394">IFERROR(INDEX(Cartera1017[Nombre del Requerimiento],ROW(A392)),"")</f>
        <v/>
      </c>
      <c r="C394" s="376" t="str" cm="1">
        <f t="array" ref="C394">IFERROR(INDEX(Cartera1017[indicador de Avance],ROW(A392)),"")</f>
        <v/>
      </c>
      <c r="D394" s="376" t="str" cm="1">
        <f t="array" ref="D394">IFERROR(INDEX(Cartera1017[Gerencia],ROW(A392)),"")</f>
        <v/>
      </c>
      <c r="E394" s="376" t="str" cm="1">
        <f t="array" ref="E394">IFERROR(INDEX(Cartera1017[Subgerencia],ROW(A392)),"")</f>
        <v/>
      </c>
      <c r="F394" s="376" t="str" cm="1">
        <f t="array" ref="F394">IFERROR(INDEX(Cartera1017[Sección],ROW(A392)),"")</f>
        <v/>
      </c>
      <c r="G394" s="376" t="str" cm="1">
        <f t="array" ref="G394">IFERROR(INDEX(Cartera1017[Estado TI],ROW(A392)),"")</f>
        <v/>
      </c>
      <c r="H394" s="463" t="str" cm="1">
        <f t="array" ref="H394">IFERROR(
 IF(
   INDEX(Cartera1017[Comienzo Desarrollo],ROW(A392))=0,
   "",
   INDEX(Cartera1017[Comienzo Desarrollo],ROW(A392))
 ),
 ""
)</f>
        <v/>
      </c>
      <c r="I394" s="463" t="str" cm="1">
        <f t="array" ref="I394">IFERROR(
 IF(
   INDEX(Cartera1017[Fin Producción],ROW(A392))=0,
   "",
   INDEX(Cartera1017[Fin Producción],ROW(A392))
 ),
 ""
)</f>
        <v/>
      </c>
    </row>
    <row r="395" spans="1:9">
      <c r="A395" s="376" t="str" cm="1">
        <f t="array" ref="A395">IFERROR(
 IF(
   INDEX(Cartera1017[ID Mantenimiento],ROW(A393))=0,
   "",
   INDEX(Cartera1017[ID Mantenimiento],ROW(A393))
 ),
 ""
)</f>
        <v/>
      </c>
      <c r="B395" s="376" t="str" cm="1">
        <f t="array" ref="B395">IFERROR(INDEX(Cartera1017[Nombre del Requerimiento],ROW(A393)),"")</f>
        <v/>
      </c>
      <c r="C395" s="376" t="str" cm="1">
        <f t="array" ref="C395">IFERROR(INDEX(Cartera1017[indicador de Avance],ROW(A393)),"")</f>
        <v/>
      </c>
      <c r="D395" s="376" t="str" cm="1">
        <f t="array" ref="D395">IFERROR(INDEX(Cartera1017[Gerencia],ROW(A393)),"")</f>
        <v/>
      </c>
      <c r="E395" s="376" t="str" cm="1">
        <f t="array" ref="E395">IFERROR(INDEX(Cartera1017[Subgerencia],ROW(A393)),"")</f>
        <v/>
      </c>
      <c r="F395" s="376" t="str" cm="1">
        <f t="array" ref="F395">IFERROR(INDEX(Cartera1017[Sección],ROW(A393)),"")</f>
        <v/>
      </c>
      <c r="G395" s="376" t="str" cm="1">
        <f t="array" ref="G395">IFERROR(INDEX(Cartera1017[Estado TI],ROW(A393)),"")</f>
        <v/>
      </c>
      <c r="H395" s="463" t="str" cm="1">
        <f t="array" ref="H395">IFERROR(
 IF(
   INDEX(Cartera1017[Comienzo Desarrollo],ROW(A393))=0,
   "",
   INDEX(Cartera1017[Comienzo Desarrollo],ROW(A393))
 ),
 ""
)</f>
        <v/>
      </c>
      <c r="I395" s="463" t="str" cm="1">
        <f t="array" ref="I395">IFERROR(
 IF(
   INDEX(Cartera1017[Fin Producción],ROW(A393))=0,
   "",
   INDEX(Cartera1017[Fin Producción],ROW(A393))
 ),
 ""
)</f>
        <v/>
      </c>
    </row>
    <row r="396" spans="1:9">
      <c r="A396" s="376" t="str" cm="1">
        <f t="array" ref="A396">IFERROR(
 IF(
   INDEX(Cartera1017[ID Mantenimiento],ROW(A394))=0,
   "",
   INDEX(Cartera1017[ID Mantenimiento],ROW(A394))
 ),
 ""
)</f>
        <v/>
      </c>
      <c r="B396" s="376" t="str" cm="1">
        <f t="array" ref="B396">IFERROR(INDEX(Cartera1017[Nombre del Requerimiento],ROW(A394)),"")</f>
        <v/>
      </c>
      <c r="C396" s="376" t="str" cm="1">
        <f t="array" ref="C396">IFERROR(INDEX(Cartera1017[indicador de Avance],ROW(A394)),"")</f>
        <v/>
      </c>
      <c r="D396" s="376" t="str" cm="1">
        <f t="array" ref="D396">IFERROR(INDEX(Cartera1017[Gerencia],ROW(A394)),"")</f>
        <v/>
      </c>
      <c r="E396" s="376" t="str" cm="1">
        <f t="array" ref="E396">IFERROR(INDEX(Cartera1017[Subgerencia],ROW(A394)),"")</f>
        <v/>
      </c>
      <c r="F396" s="376" t="str" cm="1">
        <f t="array" ref="F396">IFERROR(INDEX(Cartera1017[Sección],ROW(A394)),"")</f>
        <v/>
      </c>
      <c r="G396" s="376" t="str" cm="1">
        <f t="array" ref="G396">IFERROR(INDEX(Cartera1017[Estado TI],ROW(A394)),"")</f>
        <v/>
      </c>
      <c r="H396" s="463" t="str" cm="1">
        <f t="array" ref="H396">IFERROR(
 IF(
   INDEX(Cartera1017[Comienzo Desarrollo],ROW(A394))=0,
   "",
   INDEX(Cartera1017[Comienzo Desarrollo],ROW(A394))
 ),
 ""
)</f>
        <v/>
      </c>
      <c r="I396" s="463" t="str" cm="1">
        <f t="array" ref="I396">IFERROR(
 IF(
   INDEX(Cartera1017[Fin Producción],ROW(A394))=0,
   "",
   INDEX(Cartera1017[Fin Producción],ROW(A394))
 ),
 ""
)</f>
        <v/>
      </c>
    </row>
    <row r="397" spans="1:9">
      <c r="A397" s="376" t="str" cm="1">
        <f t="array" ref="A397">IFERROR(
 IF(
   INDEX(Cartera1017[ID Mantenimiento],ROW(A395))=0,
   "",
   INDEX(Cartera1017[ID Mantenimiento],ROW(A395))
 ),
 ""
)</f>
        <v/>
      </c>
      <c r="B397" s="376" t="str" cm="1">
        <f t="array" ref="B397">IFERROR(INDEX(Cartera1017[Nombre del Requerimiento],ROW(A395)),"")</f>
        <v/>
      </c>
      <c r="C397" s="376" t="str" cm="1">
        <f t="array" ref="C397">IFERROR(INDEX(Cartera1017[indicador de Avance],ROW(A395)),"")</f>
        <v/>
      </c>
      <c r="D397" s="376" t="str" cm="1">
        <f t="array" ref="D397">IFERROR(INDEX(Cartera1017[Gerencia],ROW(A395)),"")</f>
        <v/>
      </c>
      <c r="E397" s="376" t="str" cm="1">
        <f t="array" ref="E397">IFERROR(INDEX(Cartera1017[Subgerencia],ROW(A395)),"")</f>
        <v/>
      </c>
      <c r="F397" s="376" t="str" cm="1">
        <f t="array" ref="F397">IFERROR(INDEX(Cartera1017[Sección],ROW(A395)),"")</f>
        <v/>
      </c>
      <c r="G397" s="376" t="str" cm="1">
        <f t="array" ref="G397">IFERROR(INDEX(Cartera1017[Estado TI],ROW(A395)),"")</f>
        <v/>
      </c>
      <c r="H397" s="463" t="str" cm="1">
        <f t="array" ref="H397">IFERROR(
 IF(
   INDEX(Cartera1017[Comienzo Desarrollo],ROW(A395))=0,
   "",
   INDEX(Cartera1017[Comienzo Desarrollo],ROW(A395))
 ),
 ""
)</f>
        <v/>
      </c>
      <c r="I397" s="463" t="str" cm="1">
        <f t="array" ref="I397">IFERROR(
 IF(
   INDEX(Cartera1017[Fin Producción],ROW(A395))=0,
   "",
   INDEX(Cartera1017[Fin Producción],ROW(A395))
 ),
 ""
)</f>
        <v/>
      </c>
    </row>
    <row r="398" spans="1:9">
      <c r="A398" s="376" t="str" cm="1">
        <f t="array" ref="A398">IFERROR(
 IF(
   INDEX(Cartera1017[ID Mantenimiento],ROW(A396))=0,
   "",
   INDEX(Cartera1017[ID Mantenimiento],ROW(A396))
 ),
 ""
)</f>
        <v/>
      </c>
      <c r="B398" s="376" t="str" cm="1">
        <f t="array" ref="B398">IFERROR(INDEX(Cartera1017[Nombre del Requerimiento],ROW(A396)),"")</f>
        <v/>
      </c>
      <c r="C398" s="376" t="str" cm="1">
        <f t="array" ref="C398">IFERROR(INDEX(Cartera1017[indicador de Avance],ROW(A396)),"")</f>
        <v/>
      </c>
      <c r="D398" s="376" t="str" cm="1">
        <f t="array" ref="D398">IFERROR(INDEX(Cartera1017[Gerencia],ROW(A396)),"")</f>
        <v/>
      </c>
      <c r="E398" s="376" t="str" cm="1">
        <f t="array" ref="E398">IFERROR(INDEX(Cartera1017[Subgerencia],ROW(A396)),"")</f>
        <v/>
      </c>
      <c r="F398" s="376" t="str" cm="1">
        <f t="array" ref="F398">IFERROR(INDEX(Cartera1017[Sección],ROW(A396)),"")</f>
        <v/>
      </c>
      <c r="G398" s="376" t="str" cm="1">
        <f t="array" ref="G398">IFERROR(INDEX(Cartera1017[Estado TI],ROW(A396)),"")</f>
        <v/>
      </c>
      <c r="H398" s="463" t="str" cm="1">
        <f t="array" ref="H398">IFERROR(
 IF(
   INDEX(Cartera1017[Comienzo Desarrollo],ROW(A396))=0,
   "",
   INDEX(Cartera1017[Comienzo Desarrollo],ROW(A396))
 ),
 ""
)</f>
        <v/>
      </c>
      <c r="I398" s="463" t="str" cm="1">
        <f t="array" ref="I398">IFERROR(
 IF(
   INDEX(Cartera1017[Fin Producción],ROW(A396))=0,
   "",
   INDEX(Cartera1017[Fin Producción],ROW(A396))
 ),
 ""
)</f>
        <v/>
      </c>
    </row>
    <row r="399" spans="1:9">
      <c r="A399" s="376" t="str" cm="1">
        <f t="array" ref="A399">IFERROR(
 IF(
   INDEX(Cartera1017[ID Mantenimiento],ROW(A397))=0,
   "",
   INDEX(Cartera1017[ID Mantenimiento],ROW(A397))
 ),
 ""
)</f>
        <v/>
      </c>
      <c r="B399" s="376" t="str" cm="1">
        <f t="array" ref="B399">IFERROR(INDEX(Cartera1017[Nombre del Requerimiento],ROW(A397)),"")</f>
        <v/>
      </c>
      <c r="C399" s="376" t="str" cm="1">
        <f t="array" ref="C399">IFERROR(INDEX(Cartera1017[indicador de Avance],ROW(A397)),"")</f>
        <v/>
      </c>
      <c r="D399" s="376" t="str" cm="1">
        <f t="array" ref="D399">IFERROR(INDEX(Cartera1017[Gerencia],ROW(A397)),"")</f>
        <v/>
      </c>
      <c r="E399" s="376" t="str" cm="1">
        <f t="array" ref="E399">IFERROR(INDEX(Cartera1017[Subgerencia],ROW(A397)),"")</f>
        <v/>
      </c>
      <c r="F399" s="376" t="str" cm="1">
        <f t="array" ref="F399">IFERROR(INDEX(Cartera1017[Sección],ROW(A397)),"")</f>
        <v/>
      </c>
      <c r="G399" s="376" t="str" cm="1">
        <f t="array" ref="G399">IFERROR(INDEX(Cartera1017[Estado TI],ROW(A397)),"")</f>
        <v/>
      </c>
      <c r="H399" s="463" t="str" cm="1">
        <f t="array" ref="H399">IFERROR(
 IF(
   INDEX(Cartera1017[Comienzo Desarrollo],ROW(A397))=0,
   "",
   INDEX(Cartera1017[Comienzo Desarrollo],ROW(A397))
 ),
 ""
)</f>
        <v/>
      </c>
      <c r="I399" s="463" t="str" cm="1">
        <f t="array" ref="I399">IFERROR(
 IF(
   INDEX(Cartera1017[Fin Producción],ROW(A397))=0,
   "",
   INDEX(Cartera1017[Fin Producción],ROW(A397))
 ),
 ""
)</f>
        <v/>
      </c>
    </row>
    <row r="400" spans="1:9">
      <c r="A400" s="376" t="str" cm="1">
        <f t="array" ref="A400">IFERROR(
 IF(
   INDEX(Cartera1017[ID Mantenimiento],ROW(A398))=0,
   "",
   INDEX(Cartera1017[ID Mantenimiento],ROW(A398))
 ),
 ""
)</f>
        <v/>
      </c>
      <c r="B400" s="376" t="str" cm="1">
        <f t="array" ref="B400">IFERROR(INDEX(Cartera1017[Nombre del Requerimiento],ROW(A398)),"")</f>
        <v/>
      </c>
      <c r="C400" s="376" t="str" cm="1">
        <f t="array" ref="C400">IFERROR(INDEX(Cartera1017[indicador de Avance],ROW(A398)),"")</f>
        <v/>
      </c>
      <c r="D400" s="376" t="str" cm="1">
        <f t="array" ref="D400">IFERROR(INDEX(Cartera1017[Gerencia],ROW(A398)),"")</f>
        <v/>
      </c>
      <c r="E400" s="376" t="str" cm="1">
        <f t="array" ref="E400">IFERROR(INDEX(Cartera1017[Subgerencia],ROW(A398)),"")</f>
        <v/>
      </c>
      <c r="F400" s="376" t="str" cm="1">
        <f t="array" ref="F400">IFERROR(INDEX(Cartera1017[Sección],ROW(A398)),"")</f>
        <v/>
      </c>
      <c r="G400" s="376" t="str" cm="1">
        <f t="array" ref="G400">IFERROR(INDEX(Cartera1017[Estado TI],ROW(A398)),"")</f>
        <v/>
      </c>
      <c r="H400" s="463" t="str" cm="1">
        <f t="array" ref="H400">IFERROR(
 IF(
   INDEX(Cartera1017[Comienzo Desarrollo],ROW(A398))=0,
   "",
   INDEX(Cartera1017[Comienzo Desarrollo],ROW(A398))
 ),
 ""
)</f>
        <v/>
      </c>
      <c r="I400" s="463" t="str" cm="1">
        <f t="array" ref="I400">IFERROR(
 IF(
   INDEX(Cartera1017[Fin Producción],ROW(A398))=0,
   "",
   INDEX(Cartera1017[Fin Producción],ROW(A398))
 ),
 ""
)</f>
        <v/>
      </c>
    </row>
    <row r="401" spans="1:9">
      <c r="A401" s="376" t="str" cm="1">
        <f t="array" ref="A401">IFERROR(
 IF(
   INDEX(Cartera1017[ID Mantenimiento],ROW(A399))=0,
   "",
   INDEX(Cartera1017[ID Mantenimiento],ROW(A399))
 ),
 ""
)</f>
        <v/>
      </c>
      <c r="B401" s="376" t="str" cm="1">
        <f t="array" ref="B401">IFERROR(INDEX(Cartera1017[Nombre del Requerimiento],ROW(A399)),"")</f>
        <v/>
      </c>
      <c r="C401" s="376" t="str" cm="1">
        <f t="array" ref="C401">IFERROR(INDEX(Cartera1017[indicador de Avance],ROW(A399)),"")</f>
        <v/>
      </c>
      <c r="D401" s="376" t="str" cm="1">
        <f t="array" ref="D401">IFERROR(INDEX(Cartera1017[Gerencia],ROW(A399)),"")</f>
        <v/>
      </c>
      <c r="E401" s="376" t="str" cm="1">
        <f t="array" ref="E401">IFERROR(INDEX(Cartera1017[Subgerencia],ROW(A399)),"")</f>
        <v/>
      </c>
      <c r="F401" s="376" t="str" cm="1">
        <f t="array" ref="F401">IFERROR(INDEX(Cartera1017[Sección],ROW(A399)),"")</f>
        <v/>
      </c>
      <c r="G401" s="376" t="str" cm="1">
        <f t="array" ref="G401">IFERROR(INDEX(Cartera1017[Estado TI],ROW(A399)),"")</f>
        <v/>
      </c>
      <c r="H401" s="463" t="str" cm="1">
        <f t="array" ref="H401">IFERROR(
 IF(
   INDEX(Cartera1017[Comienzo Desarrollo],ROW(A399))=0,
   "",
   INDEX(Cartera1017[Comienzo Desarrollo],ROW(A399))
 ),
 ""
)</f>
        <v/>
      </c>
      <c r="I401" s="463" t="str" cm="1">
        <f t="array" ref="I401">IFERROR(
 IF(
   INDEX(Cartera1017[Fin Producción],ROW(A399))=0,
   "",
   INDEX(Cartera1017[Fin Producción],ROW(A399))
 ),
 ""
)</f>
        <v/>
      </c>
    </row>
    <row r="402" spans="1:9">
      <c r="A402" s="376" t="str" cm="1">
        <f t="array" ref="A402">IFERROR(
 IF(
   INDEX(Cartera1017[ID Mantenimiento],ROW(A400))=0,
   "",
   INDEX(Cartera1017[ID Mantenimiento],ROW(A400))
 ),
 ""
)</f>
        <v/>
      </c>
      <c r="B402" s="376" t="str" cm="1">
        <f t="array" ref="B402">IFERROR(INDEX(Cartera1017[Nombre del Requerimiento],ROW(A400)),"")</f>
        <v/>
      </c>
      <c r="C402" s="376" t="str" cm="1">
        <f t="array" ref="C402">IFERROR(INDEX(Cartera1017[indicador de Avance],ROW(A400)),"")</f>
        <v/>
      </c>
      <c r="D402" s="376" t="str" cm="1">
        <f t="array" ref="D402">IFERROR(INDEX(Cartera1017[Gerencia],ROW(A400)),"")</f>
        <v/>
      </c>
      <c r="E402" s="376" t="str" cm="1">
        <f t="array" ref="E402">IFERROR(INDEX(Cartera1017[Subgerencia],ROW(A400)),"")</f>
        <v/>
      </c>
      <c r="F402" s="376" t="str" cm="1">
        <f t="array" ref="F402">IFERROR(INDEX(Cartera1017[Sección],ROW(A400)),"")</f>
        <v/>
      </c>
      <c r="G402" s="376" t="str" cm="1">
        <f t="array" ref="G402">IFERROR(INDEX(Cartera1017[Estado TI],ROW(A400)),"")</f>
        <v/>
      </c>
      <c r="H402" s="463" t="str" cm="1">
        <f t="array" ref="H402">IFERROR(
 IF(
   INDEX(Cartera1017[Comienzo Desarrollo],ROW(A400))=0,
   "",
   INDEX(Cartera1017[Comienzo Desarrollo],ROW(A400))
 ),
 ""
)</f>
        <v/>
      </c>
      <c r="I402" s="463" t="str" cm="1">
        <f t="array" ref="I402">IFERROR(
 IF(
   INDEX(Cartera1017[Fin Producción],ROW(A400))=0,
   "",
   INDEX(Cartera1017[Fin Producción],ROW(A400))
 ),
 ""
)</f>
        <v/>
      </c>
    </row>
    <row r="403" spans="1:9">
      <c r="A403" s="376" t="str" cm="1">
        <f t="array" ref="A403">IFERROR(
 IF(
   INDEX(Cartera1017[ID Mantenimiento],ROW(A401))=0,
   "",
   INDEX(Cartera1017[ID Mantenimiento],ROW(A401))
 ),
 ""
)</f>
        <v/>
      </c>
      <c r="B403" s="376" t="str" cm="1">
        <f t="array" ref="B403">IFERROR(INDEX(Cartera1017[Nombre del Requerimiento],ROW(A401)),"")</f>
        <v/>
      </c>
      <c r="C403" s="376" t="str" cm="1">
        <f t="array" ref="C403">IFERROR(INDEX(Cartera1017[indicador de Avance],ROW(A401)),"")</f>
        <v/>
      </c>
      <c r="D403" s="376" t="str" cm="1">
        <f t="array" ref="D403">IFERROR(INDEX(Cartera1017[Gerencia],ROW(A401)),"")</f>
        <v/>
      </c>
      <c r="E403" s="376" t="str" cm="1">
        <f t="array" ref="E403">IFERROR(INDEX(Cartera1017[Subgerencia],ROW(A401)),"")</f>
        <v/>
      </c>
      <c r="F403" s="376" t="str" cm="1">
        <f t="array" ref="F403">IFERROR(INDEX(Cartera1017[Sección],ROW(A401)),"")</f>
        <v/>
      </c>
      <c r="G403" s="376" t="str" cm="1">
        <f t="array" ref="G403">IFERROR(INDEX(Cartera1017[Estado TI],ROW(A401)),"")</f>
        <v/>
      </c>
      <c r="H403" s="463" t="str" cm="1">
        <f t="array" ref="H403">IFERROR(
 IF(
   INDEX(Cartera1017[Comienzo Desarrollo],ROW(A401))=0,
   "",
   INDEX(Cartera1017[Comienzo Desarrollo],ROW(A401))
 ),
 ""
)</f>
        <v/>
      </c>
      <c r="I403" s="463" t="str" cm="1">
        <f t="array" ref="I403">IFERROR(
 IF(
   INDEX(Cartera1017[Fin Producción],ROW(A401))=0,
   "",
   INDEX(Cartera1017[Fin Producción],ROW(A401))
 ),
 ""
)</f>
        <v/>
      </c>
    </row>
    <row r="404" spans="1:9">
      <c r="A404" s="376" t="str" cm="1">
        <f t="array" ref="A404">IFERROR(
 IF(
   INDEX(Cartera1017[ID Mantenimiento],ROW(A402))=0,
   "",
   INDEX(Cartera1017[ID Mantenimiento],ROW(A402))
 ),
 ""
)</f>
        <v/>
      </c>
      <c r="B404" s="376" t="str" cm="1">
        <f t="array" ref="B404">IFERROR(INDEX(Cartera1017[Nombre del Requerimiento],ROW(A402)),"")</f>
        <v/>
      </c>
      <c r="C404" s="376" t="str" cm="1">
        <f t="array" ref="C404">IFERROR(INDEX(Cartera1017[indicador de Avance],ROW(A402)),"")</f>
        <v/>
      </c>
      <c r="D404" s="376" t="str" cm="1">
        <f t="array" ref="D404">IFERROR(INDEX(Cartera1017[Gerencia],ROW(A402)),"")</f>
        <v/>
      </c>
      <c r="E404" s="376" t="str" cm="1">
        <f t="array" ref="E404">IFERROR(INDEX(Cartera1017[Subgerencia],ROW(A402)),"")</f>
        <v/>
      </c>
      <c r="F404" s="376" t="str" cm="1">
        <f t="array" ref="F404">IFERROR(INDEX(Cartera1017[Sección],ROW(A402)),"")</f>
        <v/>
      </c>
      <c r="G404" s="376" t="str" cm="1">
        <f t="array" ref="G404">IFERROR(INDEX(Cartera1017[Estado TI],ROW(A402)),"")</f>
        <v/>
      </c>
      <c r="H404" s="463" t="str" cm="1">
        <f t="array" ref="H404">IFERROR(
 IF(
   INDEX(Cartera1017[Comienzo Desarrollo],ROW(A402))=0,
   "",
   INDEX(Cartera1017[Comienzo Desarrollo],ROW(A402))
 ),
 ""
)</f>
        <v/>
      </c>
      <c r="I404" s="463" t="str" cm="1">
        <f t="array" ref="I404">IFERROR(
 IF(
   INDEX(Cartera1017[Fin Producción],ROW(A402))=0,
   "",
   INDEX(Cartera1017[Fin Producción],ROW(A402))
 ),
 ""
)</f>
        <v/>
      </c>
    </row>
    <row r="405" spans="1:9">
      <c r="A405" s="376" t="str" cm="1">
        <f t="array" ref="A405">IFERROR(
 IF(
   INDEX(Cartera1017[ID Mantenimiento],ROW(A403))=0,
   "",
   INDEX(Cartera1017[ID Mantenimiento],ROW(A403))
 ),
 ""
)</f>
        <v/>
      </c>
      <c r="B405" s="376" t="str" cm="1">
        <f t="array" ref="B405">IFERROR(INDEX(Cartera1017[Nombre del Requerimiento],ROW(A403)),"")</f>
        <v/>
      </c>
      <c r="C405" s="376" t="str" cm="1">
        <f t="array" ref="C405">IFERROR(INDEX(Cartera1017[indicador de Avance],ROW(A403)),"")</f>
        <v/>
      </c>
      <c r="D405" s="376" t="str" cm="1">
        <f t="array" ref="D405">IFERROR(INDEX(Cartera1017[Gerencia],ROW(A403)),"")</f>
        <v/>
      </c>
      <c r="E405" s="376" t="str" cm="1">
        <f t="array" ref="E405">IFERROR(INDEX(Cartera1017[Subgerencia],ROW(A403)),"")</f>
        <v/>
      </c>
      <c r="F405" s="376" t="str" cm="1">
        <f t="array" ref="F405">IFERROR(INDEX(Cartera1017[Sección],ROW(A403)),"")</f>
        <v/>
      </c>
      <c r="G405" s="376" t="str" cm="1">
        <f t="array" ref="G405">IFERROR(INDEX(Cartera1017[Estado TI],ROW(A403)),"")</f>
        <v/>
      </c>
      <c r="H405" s="463" t="str" cm="1">
        <f t="array" ref="H405">IFERROR(
 IF(
   INDEX(Cartera1017[Comienzo Desarrollo],ROW(A403))=0,
   "",
   INDEX(Cartera1017[Comienzo Desarrollo],ROW(A403))
 ),
 ""
)</f>
        <v/>
      </c>
      <c r="I405" s="463" t="str" cm="1">
        <f t="array" ref="I405">IFERROR(
 IF(
   INDEX(Cartera1017[Fin Producción],ROW(A403))=0,
   "",
   INDEX(Cartera1017[Fin Producción],ROW(A403))
 ),
 ""
)</f>
        <v/>
      </c>
    </row>
    <row r="406" spans="1:9">
      <c r="A406" s="376" t="str" cm="1">
        <f t="array" ref="A406">IFERROR(
 IF(
   INDEX(Cartera1017[ID Mantenimiento],ROW(A404))=0,
   "",
   INDEX(Cartera1017[ID Mantenimiento],ROW(A404))
 ),
 ""
)</f>
        <v/>
      </c>
      <c r="B406" s="376" t="str" cm="1">
        <f t="array" ref="B406">IFERROR(INDEX(Cartera1017[Nombre del Requerimiento],ROW(A404)),"")</f>
        <v/>
      </c>
      <c r="C406" s="376" t="str" cm="1">
        <f t="array" ref="C406">IFERROR(INDEX(Cartera1017[indicador de Avance],ROW(A404)),"")</f>
        <v/>
      </c>
      <c r="D406" s="376" t="str" cm="1">
        <f t="array" ref="D406">IFERROR(INDEX(Cartera1017[Gerencia],ROW(A404)),"")</f>
        <v/>
      </c>
      <c r="E406" s="376" t="str" cm="1">
        <f t="array" ref="E406">IFERROR(INDEX(Cartera1017[Subgerencia],ROW(A404)),"")</f>
        <v/>
      </c>
      <c r="F406" s="376" t="str" cm="1">
        <f t="array" ref="F406">IFERROR(INDEX(Cartera1017[Sección],ROW(A404)),"")</f>
        <v/>
      </c>
      <c r="G406" s="376" t="str" cm="1">
        <f t="array" ref="G406">IFERROR(INDEX(Cartera1017[Estado TI],ROW(A404)),"")</f>
        <v/>
      </c>
      <c r="H406" s="463" t="str" cm="1">
        <f t="array" ref="H406">IFERROR(
 IF(
   INDEX(Cartera1017[Comienzo Desarrollo],ROW(A404))=0,
   "",
   INDEX(Cartera1017[Comienzo Desarrollo],ROW(A404))
 ),
 ""
)</f>
        <v/>
      </c>
      <c r="I406" s="463" t="str" cm="1">
        <f t="array" ref="I406">IFERROR(
 IF(
   INDEX(Cartera1017[Fin Producción],ROW(A404))=0,
   "",
   INDEX(Cartera1017[Fin Producción],ROW(A404))
 ),
 ""
)</f>
        <v/>
      </c>
    </row>
    <row r="407" spans="1:9">
      <c r="A407" s="376" t="str" cm="1">
        <f t="array" ref="A407">IFERROR(
 IF(
   INDEX(Cartera1017[ID Mantenimiento],ROW(A405))=0,
   "",
   INDEX(Cartera1017[ID Mantenimiento],ROW(A405))
 ),
 ""
)</f>
        <v/>
      </c>
      <c r="B407" s="376" t="str" cm="1">
        <f t="array" ref="B407">IFERROR(INDEX(Cartera1017[Nombre del Requerimiento],ROW(A405)),"")</f>
        <v/>
      </c>
      <c r="C407" s="376" t="str" cm="1">
        <f t="array" ref="C407">IFERROR(INDEX(Cartera1017[indicador de Avance],ROW(A405)),"")</f>
        <v/>
      </c>
      <c r="D407" s="376" t="str" cm="1">
        <f t="array" ref="D407">IFERROR(INDEX(Cartera1017[Gerencia],ROW(A405)),"")</f>
        <v/>
      </c>
      <c r="E407" s="376" t="str" cm="1">
        <f t="array" ref="E407">IFERROR(INDEX(Cartera1017[Subgerencia],ROW(A405)),"")</f>
        <v/>
      </c>
      <c r="F407" s="376" t="str" cm="1">
        <f t="array" ref="F407">IFERROR(INDEX(Cartera1017[Sección],ROW(A405)),"")</f>
        <v/>
      </c>
      <c r="G407" s="376" t="str" cm="1">
        <f t="array" ref="G407">IFERROR(INDEX(Cartera1017[Estado TI],ROW(A405)),"")</f>
        <v/>
      </c>
      <c r="H407" s="463" t="str" cm="1">
        <f t="array" ref="H407">IFERROR(
 IF(
   INDEX(Cartera1017[Comienzo Desarrollo],ROW(A405))=0,
   "",
   INDEX(Cartera1017[Comienzo Desarrollo],ROW(A405))
 ),
 ""
)</f>
        <v/>
      </c>
      <c r="I407" s="463" t="str" cm="1">
        <f t="array" ref="I407">IFERROR(
 IF(
   INDEX(Cartera1017[Fin Producción],ROW(A405))=0,
   "",
   INDEX(Cartera1017[Fin Producción],ROW(A405))
 ),
 ""
)</f>
        <v/>
      </c>
    </row>
    <row r="408" spans="1:9">
      <c r="A408" s="376" t="str" cm="1">
        <f t="array" ref="A408">IFERROR(
 IF(
   INDEX(Cartera1017[ID Mantenimiento],ROW(A406))=0,
   "",
   INDEX(Cartera1017[ID Mantenimiento],ROW(A406))
 ),
 ""
)</f>
        <v/>
      </c>
      <c r="B408" s="376" t="str" cm="1">
        <f t="array" ref="B408">IFERROR(INDEX(Cartera1017[Nombre del Requerimiento],ROW(A406)),"")</f>
        <v/>
      </c>
      <c r="C408" s="376" t="str" cm="1">
        <f t="array" ref="C408">IFERROR(INDEX(Cartera1017[indicador de Avance],ROW(A406)),"")</f>
        <v/>
      </c>
      <c r="D408" s="376" t="str" cm="1">
        <f t="array" ref="D408">IFERROR(INDEX(Cartera1017[Gerencia],ROW(A406)),"")</f>
        <v/>
      </c>
      <c r="E408" s="376" t="str" cm="1">
        <f t="array" ref="E408">IFERROR(INDEX(Cartera1017[Subgerencia],ROW(A406)),"")</f>
        <v/>
      </c>
      <c r="F408" s="376" t="str" cm="1">
        <f t="array" ref="F408">IFERROR(INDEX(Cartera1017[Sección],ROW(A406)),"")</f>
        <v/>
      </c>
      <c r="G408" s="376" t="str" cm="1">
        <f t="array" ref="G408">IFERROR(INDEX(Cartera1017[Estado TI],ROW(A406)),"")</f>
        <v/>
      </c>
      <c r="H408" s="463" t="str" cm="1">
        <f t="array" ref="H408">IFERROR(
 IF(
   INDEX(Cartera1017[Comienzo Desarrollo],ROW(A406))=0,
   "",
   INDEX(Cartera1017[Comienzo Desarrollo],ROW(A406))
 ),
 ""
)</f>
        <v/>
      </c>
      <c r="I408" s="463" t="str" cm="1">
        <f t="array" ref="I408">IFERROR(
 IF(
   INDEX(Cartera1017[Fin Producción],ROW(A406))=0,
   "",
   INDEX(Cartera1017[Fin Producción],ROW(A406))
 ),
 ""
)</f>
        <v/>
      </c>
    </row>
    <row r="409" spans="1:9">
      <c r="A409" s="376" t="str" cm="1">
        <f t="array" ref="A409">IFERROR(
 IF(
   INDEX(Cartera1017[ID Mantenimiento],ROW(A407))=0,
   "",
   INDEX(Cartera1017[ID Mantenimiento],ROW(A407))
 ),
 ""
)</f>
        <v/>
      </c>
      <c r="B409" s="376" t="str" cm="1">
        <f t="array" ref="B409">IFERROR(INDEX(Cartera1017[Nombre del Requerimiento],ROW(A407)),"")</f>
        <v/>
      </c>
      <c r="C409" s="376" t="str" cm="1">
        <f t="array" ref="C409">IFERROR(INDEX(Cartera1017[indicador de Avance],ROW(A407)),"")</f>
        <v/>
      </c>
      <c r="D409" s="376" t="str" cm="1">
        <f t="array" ref="D409">IFERROR(INDEX(Cartera1017[Gerencia],ROW(A407)),"")</f>
        <v/>
      </c>
      <c r="E409" s="376" t="str" cm="1">
        <f t="array" ref="E409">IFERROR(INDEX(Cartera1017[Subgerencia],ROW(A407)),"")</f>
        <v/>
      </c>
      <c r="F409" s="376" t="str" cm="1">
        <f t="array" ref="F409">IFERROR(INDEX(Cartera1017[Sección],ROW(A407)),"")</f>
        <v/>
      </c>
      <c r="G409" s="376" t="str" cm="1">
        <f t="array" ref="G409">IFERROR(INDEX(Cartera1017[Estado TI],ROW(A407)),"")</f>
        <v/>
      </c>
      <c r="H409" s="463" t="str" cm="1">
        <f t="array" ref="H409">IFERROR(
 IF(
   INDEX(Cartera1017[Comienzo Desarrollo],ROW(A407))=0,
   "",
   INDEX(Cartera1017[Comienzo Desarrollo],ROW(A407))
 ),
 ""
)</f>
        <v/>
      </c>
      <c r="I409" s="463" t="str" cm="1">
        <f t="array" ref="I409">IFERROR(
 IF(
   INDEX(Cartera1017[Fin Producción],ROW(A407))=0,
   "",
   INDEX(Cartera1017[Fin Producción],ROW(A407))
 ),
 ""
)</f>
        <v/>
      </c>
    </row>
    <row r="410" spans="1:9">
      <c r="A410" s="376" t="str" cm="1">
        <f t="array" ref="A410">IFERROR(
 IF(
   INDEX(Cartera1017[ID Mantenimiento],ROW(A408))=0,
   "",
   INDEX(Cartera1017[ID Mantenimiento],ROW(A408))
 ),
 ""
)</f>
        <v/>
      </c>
      <c r="B410" s="376" t="str" cm="1">
        <f t="array" ref="B410">IFERROR(INDEX(Cartera1017[Nombre del Requerimiento],ROW(A408)),"")</f>
        <v/>
      </c>
      <c r="C410" s="376" t="str" cm="1">
        <f t="array" ref="C410">IFERROR(INDEX(Cartera1017[indicador de Avance],ROW(A408)),"")</f>
        <v/>
      </c>
      <c r="D410" s="376" t="str" cm="1">
        <f t="array" ref="D410">IFERROR(INDEX(Cartera1017[Gerencia],ROW(A408)),"")</f>
        <v/>
      </c>
      <c r="E410" s="376" t="str" cm="1">
        <f t="array" ref="E410">IFERROR(INDEX(Cartera1017[Subgerencia],ROW(A408)),"")</f>
        <v/>
      </c>
      <c r="F410" s="376" t="str" cm="1">
        <f t="array" ref="F410">IFERROR(INDEX(Cartera1017[Sección],ROW(A408)),"")</f>
        <v/>
      </c>
      <c r="G410" s="376" t="str" cm="1">
        <f t="array" ref="G410">IFERROR(INDEX(Cartera1017[Estado TI],ROW(A408)),"")</f>
        <v/>
      </c>
      <c r="H410" s="463" t="str" cm="1">
        <f t="array" ref="H410">IFERROR(
 IF(
   INDEX(Cartera1017[Comienzo Desarrollo],ROW(A408))=0,
   "",
   INDEX(Cartera1017[Comienzo Desarrollo],ROW(A408))
 ),
 ""
)</f>
        <v/>
      </c>
      <c r="I410" s="463" t="str" cm="1">
        <f t="array" ref="I410">IFERROR(
 IF(
   INDEX(Cartera1017[Fin Producción],ROW(A408))=0,
   "",
   INDEX(Cartera1017[Fin Producción],ROW(A408))
 ),
 ""
)</f>
        <v/>
      </c>
    </row>
    <row r="411" spans="1:9">
      <c r="A411" s="376" t="str" cm="1">
        <f t="array" ref="A411">IFERROR(
 IF(
   INDEX(Cartera1017[ID Mantenimiento],ROW(A409))=0,
   "",
   INDEX(Cartera1017[ID Mantenimiento],ROW(A409))
 ),
 ""
)</f>
        <v/>
      </c>
      <c r="B411" s="376" t="str" cm="1">
        <f t="array" ref="B411">IFERROR(INDEX(Cartera1017[Nombre del Requerimiento],ROW(A409)),"")</f>
        <v/>
      </c>
      <c r="C411" s="376" t="str" cm="1">
        <f t="array" ref="C411">IFERROR(INDEX(Cartera1017[indicador de Avance],ROW(A409)),"")</f>
        <v/>
      </c>
      <c r="D411" s="376" t="str" cm="1">
        <f t="array" ref="D411">IFERROR(INDEX(Cartera1017[Gerencia],ROW(A409)),"")</f>
        <v/>
      </c>
      <c r="E411" s="376" t="str" cm="1">
        <f t="array" ref="E411">IFERROR(INDEX(Cartera1017[Subgerencia],ROW(A409)),"")</f>
        <v/>
      </c>
      <c r="F411" s="376" t="str" cm="1">
        <f t="array" ref="F411">IFERROR(INDEX(Cartera1017[Sección],ROW(A409)),"")</f>
        <v/>
      </c>
      <c r="G411" s="376" t="str" cm="1">
        <f t="array" ref="G411">IFERROR(INDEX(Cartera1017[Estado TI],ROW(A409)),"")</f>
        <v/>
      </c>
      <c r="H411" s="463" t="str" cm="1">
        <f t="array" ref="H411">IFERROR(
 IF(
   INDEX(Cartera1017[Comienzo Desarrollo],ROW(A409))=0,
   "",
   INDEX(Cartera1017[Comienzo Desarrollo],ROW(A409))
 ),
 ""
)</f>
        <v/>
      </c>
      <c r="I411" s="463" t="str" cm="1">
        <f t="array" ref="I411">IFERROR(
 IF(
   INDEX(Cartera1017[Fin Producción],ROW(A409))=0,
   "",
   INDEX(Cartera1017[Fin Producción],ROW(A409))
 ),
 ""
)</f>
        <v/>
      </c>
    </row>
    <row r="412" spans="1:9">
      <c r="A412" s="376" t="str" cm="1">
        <f t="array" ref="A412">IFERROR(
 IF(
   INDEX(Cartera1017[ID Mantenimiento],ROW(A410))=0,
   "",
   INDEX(Cartera1017[ID Mantenimiento],ROW(A410))
 ),
 ""
)</f>
        <v/>
      </c>
      <c r="B412" s="376" t="str" cm="1">
        <f t="array" ref="B412">IFERROR(INDEX(Cartera1017[Nombre del Requerimiento],ROW(A410)),"")</f>
        <v/>
      </c>
      <c r="C412" s="376" t="str" cm="1">
        <f t="array" ref="C412">IFERROR(INDEX(Cartera1017[indicador de Avance],ROW(A410)),"")</f>
        <v/>
      </c>
      <c r="D412" s="376" t="str" cm="1">
        <f t="array" ref="D412">IFERROR(INDEX(Cartera1017[Gerencia],ROW(A410)),"")</f>
        <v/>
      </c>
      <c r="E412" s="376" t="str" cm="1">
        <f t="array" ref="E412">IFERROR(INDEX(Cartera1017[Subgerencia],ROW(A410)),"")</f>
        <v/>
      </c>
      <c r="F412" s="376" t="str" cm="1">
        <f t="array" ref="F412">IFERROR(INDEX(Cartera1017[Sección],ROW(A410)),"")</f>
        <v/>
      </c>
      <c r="G412" s="376" t="str" cm="1">
        <f t="array" ref="G412">IFERROR(INDEX(Cartera1017[Estado TI],ROW(A410)),"")</f>
        <v/>
      </c>
      <c r="H412" s="463" t="str" cm="1">
        <f t="array" ref="H412">IFERROR(
 IF(
   INDEX(Cartera1017[Comienzo Desarrollo],ROW(A410))=0,
   "",
   INDEX(Cartera1017[Comienzo Desarrollo],ROW(A410))
 ),
 ""
)</f>
        <v/>
      </c>
      <c r="I412" s="463" t="str" cm="1">
        <f t="array" ref="I412">IFERROR(
 IF(
   INDEX(Cartera1017[Fin Producción],ROW(A410))=0,
   "",
   INDEX(Cartera1017[Fin Producción],ROW(A410))
 ),
 ""
)</f>
        <v/>
      </c>
    </row>
    <row r="413" spans="1:9">
      <c r="A413" s="376" t="str" cm="1">
        <f t="array" ref="A413">IFERROR(
 IF(
   INDEX(Cartera1017[ID Mantenimiento],ROW(A411))=0,
   "",
   INDEX(Cartera1017[ID Mantenimiento],ROW(A411))
 ),
 ""
)</f>
        <v/>
      </c>
      <c r="B413" s="376" t="str" cm="1">
        <f t="array" ref="B413">IFERROR(INDEX(Cartera1017[Nombre del Requerimiento],ROW(A411)),"")</f>
        <v/>
      </c>
      <c r="C413" s="376" t="str" cm="1">
        <f t="array" ref="C413">IFERROR(INDEX(Cartera1017[indicador de Avance],ROW(A411)),"")</f>
        <v/>
      </c>
      <c r="D413" s="376" t="str" cm="1">
        <f t="array" ref="D413">IFERROR(INDEX(Cartera1017[Gerencia],ROW(A411)),"")</f>
        <v/>
      </c>
      <c r="E413" s="376" t="str" cm="1">
        <f t="array" ref="E413">IFERROR(INDEX(Cartera1017[Subgerencia],ROW(A411)),"")</f>
        <v/>
      </c>
      <c r="F413" s="376" t="str" cm="1">
        <f t="array" ref="F413">IFERROR(INDEX(Cartera1017[Sección],ROW(A411)),"")</f>
        <v/>
      </c>
      <c r="G413" s="376" t="str" cm="1">
        <f t="array" ref="G413">IFERROR(INDEX(Cartera1017[Estado TI],ROW(A411)),"")</f>
        <v/>
      </c>
      <c r="H413" s="463" t="str" cm="1">
        <f t="array" ref="H413">IFERROR(
 IF(
   INDEX(Cartera1017[Comienzo Desarrollo],ROW(A411))=0,
   "",
   INDEX(Cartera1017[Comienzo Desarrollo],ROW(A411))
 ),
 ""
)</f>
        <v/>
      </c>
      <c r="I413" s="463" t="str" cm="1">
        <f t="array" ref="I413">IFERROR(
 IF(
   INDEX(Cartera1017[Fin Producción],ROW(A411))=0,
   "",
   INDEX(Cartera1017[Fin Producción],ROW(A411))
 ),
 ""
)</f>
        <v/>
      </c>
    </row>
    <row r="414" spans="1:9">
      <c r="A414" s="376" t="str" cm="1">
        <f t="array" ref="A414">IFERROR(
 IF(
   INDEX(Cartera1017[ID Mantenimiento],ROW(A412))=0,
   "",
   INDEX(Cartera1017[ID Mantenimiento],ROW(A412))
 ),
 ""
)</f>
        <v/>
      </c>
      <c r="B414" s="376" t="str" cm="1">
        <f t="array" ref="B414">IFERROR(INDEX(Cartera1017[Nombre del Requerimiento],ROW(A412)),"")</f>
        <v/>
      </c>
      <c r="C414" s="376" t="str" cm="1">
        <f t="array" ref="C414">IFERROR(INDEX(Cartera1017[indicador de Avance],ROW(A412)),"")</f>
        <v/>
      </c>
      <c r="D414" s="376" t="str" cm="1">
        <f t="array" ref="D414">IFERROR(INDEX(Cartera1017[Gerencia],ROW(A412)),"")</f>
        <v/>
      </c>
      <c r="E414" s="376" t="str" cm="1">
        <f t="array" ref="E414">IFERROR(INDEX(Cartera1017[Subgerencia],ROW(A412)),"")</f>
        <v/>
      </c>
      <c r="F414" s="376" t="str" cm="1">
        <f t="array" ref="F414">IFERROR(INDEX(Cartera1017[Sección],ROW(A412)),"")</f>
        <v/>
      </c>
      <c r="G414" s="376" t="str" cm="1">
        <f t="array" ref="G414">IFERROR(INDEX(Cartera1017[Estado TI],ROW(A412)),"")</f>
        <v/>
      </c>
      <c r="H414" s="463" t="str" cm="1">
        <f t="array" ref="H414">IFERROR(
 IF(
   INDEX(Cartera1017[Comienzo Desarrollo],ROW(A412))=0,
   "",
   INDEX(Cartera1017[Comienzo Desarrollo],ROW(A412))
 ),
 ""
)</f>
        <v/>
      </c>
      <c r="I414" s="463" t="str" cm="1">
        <f t="array" ref="I414">IFERROR(
 IF(
   INDEX(Cartera1017[Fin Producción],ROW(A412))=0,
   "",
   INDEX(Cartera1017[Fin Producción],ROW(A412))
 ),
 ""
)</f>
        <v/>
      </c>
    </row>
    <row r="415" spans="1:9">
      <c r="A415" s="376" t="str" cm="1">
        <f t="array" ref="A415">IFERROR(
 IF(
   INDEX(Cartera1017[ID Mantenimiento],ROW(A413))=0,
   "",
   INDEX(Cartera1017[ID Mantenimiento],ROW(A413))
 ),
 ""
)</f>
        <v/>
      </c>
      <c r="B415" s="376" t="str" cm="1">
        <f t="array" ref="B415">IFERROR(INDEX(Cartera1017[Nombre del Requerimiento],ROW(A413)),"")</f>
        <v/>
      </c>
      <c r="C415" s="376" t="str" cm="1">
        <f t="array" ref="C415">IFERROR(INDEX(Cartera1017[indicador de Avance],ROW(A413)),"")</f>
        <v/>
      </c>
      <c r="D415" s="376" t="str" cm="1">
        <f t="array" ref="D415">IFERROR(INDEX(Cartera1017[Gerencia],ROW(A413)),"")</f>
        <v/>
      </c>
      <c r="E415" s="376" t="str" cm="1">
        <f t="array" ref="E415">IFERROR(INDEX(Cartera1017[Subgerencia],ROW(A413)),"")</f>
        <v/>
      </c>
      <c r="F415" s="376" t="str" cm="1">
        <f t="array" ref="F415">IFERROR(INDEX(Cartera1017[Sección],ROW(A413)),"")</f>
        <v/>
      </c>
      <c r="G415" s="376" t="str" cm="1">
        <f t="array" ref="G415">IFERROR(INDEX(Cartera1017[Estado TI],ROW(A413)),"")</f>
        <v/>
      </c>
      <c r="H415" s="463" t="str" cm="1">
        <f t="array" ref="H415">IFERROR(
 IF(
   INDEX(Cartera1017[Comienzo Desarrollo],ROW(A413))=0,
   "",
   INDEX(Cartera1017[Comienzo Desarrollo],ROW(A413))
 ),
 ""
)</f>
        <v/>
      </c>
      <c r="I415" s="463" t="str" cm="1">
        <f t="array" ref="I415">IFERROR(
 IF(
   INDEX(Cartera1017[Fin Producción],ROW(A413))=0,
   "",
   INDEX(Cartera1017[Fin Producción],ROW(A413))
 ),
 ""
)</f>
        <v/>
      </c>
    </row>
    <row r="416" spans="1:9">
      <c r="A416" s="376" t="str" cm="1">
        <f t="array" ref="A416">IFERROR(
 IF(
   INDEX(Cartera1017[ID Mantenimiento],ROW(A414))=0,
   "",
   INDEX(Cartera1017[ID Mantenimiento],ROW(A414))
 ),
 ""
)</f>
        <v/>
      </c>
      <c r="B416" s="376" t="str" cm="1">
        <f t="array" ref="B416">IFERROR(INDEX(Cartera1017[Nombre del Requerimiento],ROW(A414)),"")</f>
        <v/>
      </c>
      <c r="C416" s="376" t="str" cm="1">
        <f t="array" ref="C416">IFERROR(INDEX(Cartera1017[indicador de Avance],ROW(A414)),"")</f>
        <v/>
      </c>
      <c r="D416" s="376" t="str" cm="1">
        <f t="array" ref="D416">IFERROR(INDEX(Cartera1017[Gerencia],ROW(A414)),"")</f>
        <v/>
      </c>
      <c r="E416" s="376" t="str" cm="1">
        <f t="array" ref="E416">IFERROR(INDEX(Cartera1017[Subgerencia],ROW(A414)),"")</f>
        <v/>
      </c>
      <c r="F416" s="376" t="str" cm="1">
        <f t="array" ref="F416">IFERROR(INDEX(Cartera1017[Sección],ROW(A414)),"")</f>
        <v/>
      </c>
      <c r="G416" s="376" t="str" cm="1">
        <f t="array" ref="G416">IFERROR(INDEX(Cartera1017[Estado TI],ROW(A414)),"")</f>
        <v/>
      </c>
      <c r="H416" s="463" t="str" cm="1">
        <f t="array" ref="H416">IFERROR(
 IF(
   INDEX(Cartera1017[Comienzo Desarrollo],ROW(A414))=0,
   "",
   INDEX(Cartera1017[Comienzo Desarrollo],ROW(A414))
 ),
 ""
)</f>
        <v/>
      </c>
      <c r="I416" s="463" t="str" cm="1">
        <f t="array" ref="I416">IFERROR(
 IF(
   INDEX(Cartera1017[Fin Producción],ROW(A414))=0,
   "",
   INDEX(Cartera1017[Fin Producción],ROW(A414))
 ),
 ""
)</f>
        <v/>
      </c>
    </row>
    <row r="417" spans="1:9">
      <c r="A417" s="376" t="str" cm="1">
        <f t="array" ref="A417">IFERROR(
 IF(
   INDEX(Cartera1017[ID Mantenimiento],ROW(A415))=0,
   "",
   INDEX(Cartera1017[ID Mantenimiento],ROW(A415))
 ),
 ""
)</f>
        <v/>
      </c>
      <c r="B417" s="376" t="str" cm="1">
        <f t="array" ref="B417">IFERROR(INDEX(Cartera1017[Nombre del Requerimiento],ROW(A415)),"")</f>
        <v/>
      </c>
      <c r="C417" s="376" t="str" cm="1">
        <f t="array" ref="C417">IFERROR(INDEX(Cartera1017[indicador de Avance],ROW(A415)),"")</f>
        <v/>
      </c>
      <c r="D417" s="376" t="str" cm="1">
        <f t="array" ref="D417">IFERROR(INDEX(Cartera1017[Gerencia],ROW(A415)),"")</f>
        <v/>
      </c>
      <c r="E417" s="376" t="str" cm="1">
        <f t="array" ref="E417">IFERROR(INDEX(Cartera1017[Subgerencia],ROW(A415)),"")</f>
        <v/>
      </c>
      <c r="F417" s="376" t="str" cm="1">
        <f t="array" ref="F417">IFERROR(INDEX(Cartera1017[Sección],ROW(A415)),"")</f>
        <v/>
      </c>
      <c r="G417" s="376" t="str" cm="1">
        <f t="array" ref="G417">IFERROR(INDEX(Cartera1017[Estado TI],ROW(A415)),"")</f>
        <v/>
      </c>
      <c r="H417" s="463" t="str" cm="1">
        <f t="array" ref="H417">IFERROR(
 IF(
   INDEX(Cartera1017[Comienzo Desarrollo],ROW(A415))=0,
   "",
   INDEX(Cartera1017[Comienzo Desarrollo],ROW(A415))
 ),
 ""
)</f>
        <v/>
      </c>
      <c r="I417" s="463" t="str" cm="1">
        <f t="array" ref="I417">IFERROR(
 IF(
   INDEX(Cartera1017[Fin Producción],ROW(A415))=0,
   "",
   INDEX(Cartera1017[Fin Producción],ROW(A415))
 ),
 ""
)</f>
        <v/>
      </c>
    </row>
    <row r="418" spans="1:9">
      <c r="A418" s="376" t="str" cm="1">
        <f t="array" ref="A418">IFERROR(
 IF(
   INDEX(Cartera1017[ID Mantenimiento],ROW(A416))=0,
   "",
   INDEX(Cartera1017[ID Mantenimiento],ROW(A416))
 ),
 ""
)</f>
        <v/>
      </c>
      <c r="B418" s="376" t="str" cm="1">
        <f t="array" ref="B418">IFERROR(INDEX(Cartera1017[Nombre del Requerimiento],ROW(A416)),"")</f>
        <v/>
      </c>
      <c r="C418" s="376" t="str" cm="1">
        <f t="array" ref="C418">IFERROR(INDEX(Cartera1017[indicador de Avance],ROW(A416)),"")</f>
        <v/>
      </c>
      <c r="D418" s="376" t="str" cm="1">
        <f t="array" ref="D418">IFERROR(INDEX(Cartera1017[Gerencia],ROW(A416)),"")</f>
        <v/>
      </c>
      <c r="E418" s="376" t="str" cm="1">
        <f t="array" ref="E418">IFERROR(INDEX(Cartera1017[Subgerencia],ROW(A416)),"")</f>
        <v/>
      </c>
      <c r="F418" s="376" t="str" cm="1">
        <f t="array" ref="F418">IFERROR(INDEX(Cartera1017[Sección],ROW(A416)),"")</f>
        <v/>
      </c>
      <c r="G418" s="376" t="str" cm="1">
        <f t="array" ref="G418">IFERROR(INDEX(Cartera1017[Estado TI],ROW(A416)),"")</f>
        <v/>
      </c>
      <c r="H418" s="463" t="str" cm="1">
        <f t="array" ref="H418">IFERROR(
 IF(
   INDEX(Cartera1017[Comienzo Desarrollo],ROW(A416))=0,
   "",
   INDEX(Cartera1017[Comienzo Desarrollo],ROW(A416))
 ),
 ""
)</f>
        <v/>
      </c>
      <c r="I418" s="463" t="str" cm="1">
        <f t="array" ref="I418">IFERROR(
 IF(
   INDEX(Cartera1017[Fin Producción],ROW(A416))=0,
   "",
   INDEX(Cartera1017[Fin Producción],ROW(A416))
 ),
 ""
)</f>
        <v/>
      </c>
    </row>
    <row r="419" spans="1:9">
      <c r="A419" s="376" t="str" cm="1">
        <f t="array" ref="A419">IFERROR(
 IF(
   INDEX(Cartera1017[ID Mantenimiento],ROW(A417))=0,
   "",
   INDEX(Cartera1017[ID Mantenimiento],ROW(A417))
 ),
 ""
)</f>
        <v/>
      </c>
      <c r="B419" s="376" t="str" cm="1">
        <f t="array" ref="B419">IFERROR(INDEX(Cartera1017[Nombre del Requerimiento],ROW(A417)),"")</f>
        <v/>
      </c>
      <c r="C419" s="376" t="str" cm="1">
        <f t="array" ref="C419">IFERROR(INDEX(Cartera1017[indicador de Avance],ROW(A417)),"")</f>
        <v/>
      </c>
      <c r="D419" s="376" t="str" cm="1">
        <f t="array" ref="D419">IFERROR(INDEX(Cartera1017[Gerencia],ROW(A417)),"")</f>
        <v/>
      </c>
      <c r="E419" s="376" t="str" cm="1">
        <f t="array" ref="E419">IFERROR(INDEX(Cartera1017[Subgerencia],ROW(A417)),"")</f>
        <v/>
      </c>
      <c r="F419" s="376" t="str" cm="1">
        <f t="array" ref="F419">IFERROR(INDEX(Cartera1017[Sección],ROW(A417)),"")</f>
        <v/>
      </c>
      <c r="G419" s="376" t="str" cm="1">
        <f t="array" ref="G419">IFERROR(INDEX(Cartera1017[Estado TI],ROW(A417)),"")</f>
        <v/>
      </c>
      <c r="H419" s="463" t="str" cm="1">
        <f t="array" ref="H419">IFERROR(
 IF(
   INDEX(Cartera1017[Comienzo Desarrollo],ROW(A417))=0,
   "",
   INDEX(Cartera1017[Comienzo Desarrollo],ROW(A417))
 ),
 ""
)</f>
        <v/>
      </c>
      <c r="I419" s="463" t="str" cm="1">
        <f t="array" ref="I419">IFERROR(
 IF(
   INDEX(Cartera1017[Fin Producción],ROW(A417))=0,
   "",
   INDEX(Cartera1017[Fin Producción],ROW(A417))
 ),
 ""
)</f>
        <v/>
      </c>
    </row>
    <row r="420" spans="1:9">
      <c r="A420" s="376" t="str" cm="1">
        <f t="array" ref="A420">IFERROR(
 IF(
   INDEX(Cartera1017[ID Mantenimiento],ROW(A418))=0,
   "",
   INDEX(Cartera1017[ID Mantenimiento],ROW(A418))
 ),
 ""
)</f>
        <v/>
      </c>
      <c r="B420" s="376" t="str" cm="1">
        <f t="array" ref="B420">IFERROR(INDEX(Cartera1017[Nombre del Requerimiento],ROW(A418)),"")</f>
        <v/>
      </c>
      <c r="C420" s="376" t="str" cm="1">
        <f t="array" ref="C420">IFERROR(INDEX(Cartera1017[indicador de Avance],ROW(A418)),"")</f>
        <v/>
      </c>
      <c r="D420" s="376" t="str" cm="1">
        <f t="array" ref="D420">IFERROR(INDEX(Cartera1017[Gerencia],ROW(A418)),"")</f>
        <v/>
      </c>
      <c r="E420" s="376" t="str" cm="1">
        <f t="array" ref="E420">IFERROR(INDEX(Cartera1017[Subgerencia],ROW(A418)),"")</f>
        <v/>
      </c>
      <c r="F420" s="376" t="str" cm="1">
        <f t="array" ref="F420">IFERROR(INDEX(Cartera1017[Sección],ROW(A418)),"")</f>
        <v/>
      </c>
      <c r="G420" s="376" t="str" cm="1">
        <f t="array" ref="G420">IFERROR(INDEX(Cartera1017[Estado TI],ROW(A418)),"")</f>
        <v/>
      </c>
      <c r="H420" s="463" t="str" cm="1">
        <f t="array" ref="H420">IFERROR(
 IF(
   INDEX(Cartera1017[Comienzo Desarrollo],ROW(A418))=0,
   "",
   INDEX(Cartera1017[Comienzo Desarrollo],ROW(A418))
 ),
 ""
)</f>
        <v/>
      </c>
      <c r="I420" s="463" t="str" cm="1">
        <f t="array" ref="I420">IFERROR(
 IF(
   INDEX(Cartera1017[Fin Producción],ROW(A418))=0,
   "",
   INDEX(Cartera1017[Fin Producción],ROW(A418))
 ),
 ""
)</f>
        <v/>
      </c>
    </row>
    <row r="421" spans="1:9">
      <c r="A421" s="376" t="str" cm="1">
        <f t="array" ref="A421">IFERROR(
 IF(
   INDEX(Cartera1017[ID Mantenimiento],ROW(A419))=0,
   "",
   INDEX(Cartera1017[ID Mantenimiento],ROW(A419))
 ),
 ""
)</f>
        <v/>
      </c>
      <c r="B421" s="376" t="str" cm="1">
        <f t="array" ref="B421">IFERROR(INDEX(Cartera1017[Nombre del Requerimiento],ROW(A419)),"")</f>
        <v/>
      </c>
      <c r="C421" s="376" t="str" cm="1">
        <f t="array" ref="C421">IFERROR(INDEX(Cartera1017[indicador de Avance],ROW(A419)),"")</f>
        <v/>
      </c>
      <c r="D421" s="376" t="str" cm="1">
        <f t="array" ref="D421">IFERROR(INDEX(Cartera1017[Gerencia],ROW(A419)),"")</f>
        <v/>
      </c>
      <c r="E421" s="376" t="str" cm="1">
        <f t="array" ref="E421">IFERROR(INDEX(Cartera1017[Subgerencia],ROW(A419)),"")</f>
        <v/>
      </c>
      <c r="F421" s="376" t="str" cm="1">
        <f t="array" ref="F421">IFERROR(INDEX(Cartera1017[Sección],ROW(A419)),"")</f>
        <v/>
      </c>
      <c r="G421" s="376" t="str" cm="1">
        <f t="array" ref="G421">IFERROR(INDEX(Cartera1017[Estado TI],ROW(A419)),"")</f>
        <v/>
      </c>
      <c r="H421" s="463" t="str" cm="1">
        <f t="array" ref="H421">IFERROR(
 IF(
   INDEX(Cartera1017[Comienzo Desarrollo],ROW(A419))=0,
   "",
   INDEX(Cartera1017[Comienzo Desarrollo],ROW(A419))
 ),
 ""
)</f>
        <v/>
      </c>
      <c r="I421" s="463" t="str" cm="1">
        <f t="array" ref="I421">IFERROR(
 IF(
   INDEX(Cartera1017[Fin Producción],ROW(A419))=0,
   "",
   INDEX(Cartera1017[Fin Producción],ROW(A419))
 ),
 ""
)</f>
        <v/>
      </c>
    </row>
    <row r="422" spans="1:9">
      <c r="A422" s="376" t="str" cm="1">
        <f t="array" ref="A422">IFERROR(
 IF(
   INDEX(Cartera1017[ID Mantenimiento],ROW(A420))=0,
   "",
   INDEX(Cartera1017[ID Mantenimiento],ROW(A420))
 ),
 ""
)</f>
        <v/>
      </c>
      <c r="B422" s="376" t="str" cm="1">
        <f t="array" ref="B422">IFERROR(INDEX(Cartera1017[Nombre del Requerimiento],ROW(A420)),"")</f>
        <v/>
      </c>
      <c r="C422" s="376" t="str" cm="1">
        <f t="array" ref="C422">IFERROR(INDEX(Cartera1017[indicador de Avance],ROW(A420)),"")</f>
        <v/>
      </c>
      <c r="D422" s="376" t="str" cm="1">
        <f t="array" ref="D422">IFERROR(INDEX(Cartera1017[Gerencia],ROW(A420)),"")</f>
        <v/>
      </c>
      <c r="E422" s="376" t="str" cm="1">
        <f t="array" ref="E422">IFERROR(INDEX(Cartera1017[Subgerencia],ROW(A420)),"")</f>
        <v/>
      </c>
      <c r="F422" s="376" t="str" cm="1">
        <f t="array" ref="F422">IFERROR(INDEX(Cartera1017[Sección],ROW(A420)),"")</f>
        <v/>
      </c>
      <c r="G422" s="376" t="str" cm="1">
        <f t="array" ref="G422">IFERROR(INDEX(Cartera1017[Estado TI],ROW(A420)),"")</f>
        <v/>
      </c>
      <c r="H422" s="463" t="str" cm="1">
        <f t="array" ref="H422">IFERROR(
 IF(
   INDEX(Cartera1017[Comienzo Desarrollo],ROW(A420))=0,
   "",
   INDEX(Cartera1017[Comienzo Desarrollo],ROW(A420))
 ),
 ""
)</f>
        <v/>
      </c>
      <c r="I422" s="463" t="str" cm="1">
        <f t="array" ref="I422">IFERROR(
 IF(
   INDEX(Cartera1017[Fin Producción],ROW(A420))=0,
   "",
   INDEX(Cartera1017[Fin Producción],ROW(A420))
 ),
 ""
)</f>
        <v/>
      </c>
    </row>
    <row r="423" spans="1:9">
      <c r="A423" s="376" t="str" cm="1">
        <f t="array" ref="A423">IFERROR(
 IF(
   INDEX(Cartera1017[ID Mantenimiento],ROW(A421))=0,
   "",
   INDEX(Cartera1017[ID Mantenimiento],ROW(A421))
 ),
 ""
)</f>
        <v/>
      </c>
      <c r="B423" s="376" t="str" cm="1">
        <f t="array" ref="B423">IFERROR(INDEX(Cartera1017[Nombre del Requerimiento],ROW(A421)),"")</f>
        <v/>
      </c>
      <c r="C423" s="376" t="str" cm="1">
        <f t="array" ref="C423">IFERROR(INDEX(Cartera1017[indicador de Avance],ROW(A421)),"")</f>
        <v/>
      </c>
      <c r="D423" s="376" t="str" cm="1">
        <f t="array" ref="D423">IFERROR(INDEX(Cartera1017[Gerencia],ROW(A421)),"")</f>
        <v/>
      </c>
      <c r="E423" s="376" t="str" cm="1">
        <f t="array" ref="E423">IFERROR(INDEX(Cartera1017[Subgerencia],ROW(A421)),"")</f>
        <v/>
      </c>
      <c r="F423" s="376" t="str" cm="1">
        <f t="array" ref="F423">IFERROR(INDEX(Cartera1017[Sección],ROW(A421)),"")</f>
        <v/>
      </c>
      <c r="G423" s="376" t="str" cm="1">
        <f t="array" ref="G423">IFERROR(INDEX(Cartera1017[Estado TI],ROW(A421)),"")</f>
        <v/>
      </c>
      <c r="H423" s="463" t="str" cm="1">
        <f t="array" ref="H423">IFERROR(
 IF(
   INDEX(Cartera1017[Comienzo Desarrollo],ROW(A421))=0,
   "",
   INDEX(Cartera1017[Comienzo Desarrollo],ROW(A421))
 ),
 ""
)</f>
        <v/>
      </c>
      <c r="I423" s="463" t="str" cm="1">
        <f t="array" ref="I423">IFERROR(
 IF(
   INDEX(Cartera1017[Fin Producción],ROW(A421))=0,
   "",
   INDEX(Cartera1017[Fin Producción],ROW(A421))
 ),
 ""
)</f>
        <v/>
      </c>
    </row>
    <row r="424" spans="1:9">
      <c r="A424" s="376" t="str" cm="1">
        <f t="array" ref="A424">IFERROR(
 IF(
   INDEX(Cartera1017[ID Mantenimiento],ROW(A422))=0,
   "",
   INDEX(Cartera1017[ID Mantenimiento],ROW(A422))
 ),
 ""
)</f>
        <v/>
      </c>
      <c r="B424" s="376" t="str" cm="1">
        <f t="array" ref="B424">IFERROR(INDEX(Cartera1017[Nombre del Requerimiento],ROW(A422)),"")</f>
        <v/>
      </c>
      <c r="C424" s="376" t="str" cm="1">
        <f t="array" ref="C424">IFERROR(INDEX(Cartera1017[indicador de Avance],ROW(A422)),"")</f>
        <v/>
      </c>
      <c r="D424" s="376" t="str" cm="1">
        <f t="array" ref="D424">IFERROR(INDEX(Cartera1017[Gerencia],ROW(A422)),"")</f>
        <v/>
      </c>
      <c r="E424" s="376" t="str" cm="1">
        <f t="array" ref="E424">IFERROR(INDEX(Cartera1017[Subgerencia],ROW(A422)),"")</f>
        <v/>
      </c>
      <c r="F424" s="376" t="str" cm="1">
        <f t="array" ref="F424">IFERROR(INDEX(Cartera1017[Sección],ROW(A422)),"")</f>
        <v/>
      </c>
      <c r="G424" s="376" t="str" cm="1">
        <f t="array" ref="G424">IFERROR(INDEX(Cartera1017[Estado TI],ROW(A422)),"")</f>
        <v/>
      </c>
      <c r="H424" s="463" t="str" cm="1">
        <f t="array" ref="H424">IFERROR(
 IF(
   INDEX(Cartera1017[Comienzo Desarrollo],ROW(A422))=0,
   "",
   INDEX(Cartera1017[Comienzo Desarrollo],ROW(A422))
 ),
 ""
)</f>
        <v/>
      </c>
      <c r="I424" s="463" t="str" cm="1">
        <f t="array" ref="I424">IFERROR(
 IF(
   INDEX(Cartera1017[Fin Producción],ROW(A422))=0,
   "",
   INDEX(Cartera1017[Fin Producción],ROW(A422))
 ),
 ""
)</f>
        <v/>
      </c>
    </row>
    <row r="425" spans="1:9">
      <c r="A425" s="376" t="str" cm="1">
        <f t="array" ref="A425">IFERROR(
 IF(
   INDEX(Cartera1017[ID Mantenimiento],ROW(A423))=0,
   "",
   INDEX(Cartera1017[ID Mantenimiento],ROW(A423))
 ),
 ""
)</f>
        <v/>
      </c>
      <c r="B425" s="376" t="str" cm="1">
        <f t="array" ref="B425">IFERROR(INDEX(Cartera1017[Nombre del Requerimiento],ROW(A423)),"")</f>
        <v/>
      </c>
      <c r="C425" s="376" t="str" cm="1">
        <f t="array" ref="C425">IFERROR(INDEX(Cartera1017[indicador de Avance],ROW(A423)),"")</f>
        <v/>
      </c>
      <c r="D425" s="376" t="str" cm="1">
        <f t="array" ref="D425">IFERROR(INDEX(Cartera1017[Gerencia],ROW(A423)),"")</f>
        <v/>
      </c>
      <c r="E425" s="376" t="str" cm="1">
        <f t="array" ref="E425">IFERROR(INDEX(Cartera1017[Subgerencia],ROW(A423)),"")</f>
        <v/>
      </c>
      <c r="F425" s="376" t="str" cm="1">
        <f t="array" ref="F425">IFERROR(INDEX(Cartera1017[Sección],ROW(A423)),"")</f>
        <v/>
      </c>
      <c r="G425" s="376" t="str" cm="1">
        <f t="array" ref="G425">IFERROR(INDEX(Cartera1017[Estado TI],ROW(A423)),"")</f>
        <v/>
      </c>
      <c r="H425" s="463" t="str" cm="1">
        <f t="array" ref="H425">IFERROR(
 IF(
   INDEX(Cartera1017[Comienzo Desarrollo],ROW(A423))=0,
   "",
   INDEX(Cartera1017[Comienzo Desarrollo],ROW(A423))
 ),
 ""
)</f>
        <v/>
      </c>
      <c r="I425" s="463" t="str" cm="1">
        <f t="array" ref="I425">IFERROR(
 IF(
   INDEX(Cartera1017[Fin Producción],ROW(A423))=0,
   "",
   INDEX(Cartera1017[Fin Producción],ROW(A423))
 ),
 ""
)</f>
        <v/>
      </c>
    </row>
    <row r="426" spans="1:9">
      <c r="A426" s="376" t="str" cm="1">
        <f t="array" ref="A426">IFERROR(
 IF(
   INDEX(Cartera1017[ID Mantenimiento],ROW(A424))=0,
   "",
   INDEX(Cartera1017[ID Mantenimiento],ROW(A424))
 ),
 ""
)</f>
        <v/>
      </c>
      <c r="B426" s="376" t="str" cm="1">
        <f t="array" ref="B426">IFERROR(INDEX(Cartera1017[Nombre del Requerimiento],ROW(A424)),"")</f>
        <v/>
      </c>
      <c r="C426" s="376" t="str" cm="1">
        <f t="array" ref="C426">IFERROR(INDEX(Cartera1017[indicador de Avance],ROW(A424)),"")</f>
        <v/>
      </c>
      <c r="D426" s="376" t="str" cm="1">
        <f t="array" ref="D426">IFERROR(INDEX(Cartera1017[Gerencia],ROW(A424)),"")</f>
        <v/>
      </c>
      <c r="E426" s="376" t="str" cm="1">
        <f t="array" ref="E426">IFERROR(INDEX(Cartera1017[Subgerencia],ROW(A424)),"")</f>
        <v/>
      </c>
      <c r="F426" s="376" t="str" cm="1">
        <f t="array" ref="F426">IFERROR(INDEX(Cartera1017[Sección],ROW(A424)),"")</f>
        <v/>
      </c>
      <c r="G426" s="376" t="str" cm="1">
        <f t="array" ref="G426">IFERROR(INDEX(Cartera1017[Estado TI],ROW(A424)),"")</f>
        <v/>
      </c>
      <c r="H426" s="463" t="str" cm="1">
        <f t="array" ref="H426">IFERROR(
 IF(
   INDEX(Cartera1017[Comienzo Desarrollo],ROW(A424))=0,
   "",
   INDEX(Cartera1017[Comienzo Desarrollo],ROW(A424))
 ),
 ""
)</f>
        <v/>
      </c>
      <c r="I426" s="463" t="str" cm="1">
        <f t="array" ref="I426">IFERROR(
 IF(
   INDEX(Cartera1017[Fin Producción],ROW(A424))=0,
   "",
   INDEX(Cartera1017[Fin Producción],ROW(A424))
 ),
 ""
)</f>
        <v/>
      </c>
    </row>
    <row r="427" spans="1:9">
      <c r="A427" s="376" t="str" cm="1">
        <f t="array" ref="A427">IFERROR(
 IF(
   INDEX(Cartera1017[ID Mantenimiento],ROW(A425))=0,
   "",
   INDEX(Cartera1017[ID Mantenimiento],ROW(A425))
 ),
 ""
)</f>
        <v/>
      </c>
      <c r="B427" s="376" t="str" cm="1">
        <f t="array" ref="B427">IFERROR(INDEX(Cartera1017[Nombre del Requerimiento],ROW(A425)),"")</f>
        <v/>
      </c>
      <c r="C427" s="376" t="str" cm="1">
        <f t="array" ref="C427">IFERROR(INDEX(Cartera1017[indicador de Avance],ROW(A425)),"")</f>
        <v/>
      </c>
      <c r="D427" s="376" t="str" cm="1">
        <f t="array" ref="D427">IFERROR(INDEX(Cartera1017[Gerencia],ROW(A425)),"")</f>
        <v/>
      </c>
      <c r="E427" s="376" t="str" cm="1">
        <f t="array" ref="E427">IFERROR(INDEX(Cartera1017[Subgerencia],ROW(A425)),"")</f>
        <v/>
      </c>
      <c r="F427" s="376" t="str" cm="1">
        <f t="array" ref="F427">IFERROR(INDEX(Cartera1017[Sección],ROW(A425)),"")</f>
        <v/>
      </c>
      <c r="G427" s="376" t="str" cm="1">
        <f t="array" ref="G427">IFERROR(INDEX(Cartera1017[Estado TI],ROW(A425)),"")</f>
        <v/>
      </c>
      <c r="H427" s="463" t="str" cm="1">
        <f t="array" ref="H427">IFERROR(
 IF(
   INDEX(Cartera1017[Comienzo Desarrollo],ROW(A425))=0,
   "",
   INDEX(Cartera1017[Comienzo Desarrollo],ROW(A425))
 ),
 ""
)</f>
        <v/>
      </c>
      <c r="I427" s="463" t="str" cm="1">
        <f t="array" ref="I427">IFERROR(
 IF(
   INDEX(Cartera1017[Fin Producción],ROW(A425))=0,
   "",
   INDEX(Cartera1017[Fin Producción],ROW(A425))
 ),
 ""
)</f>
        <v/>
      </c>
    </row>
    <row r="428" spans="1:9">
      <c r="A428" s="376" t="str" cm="1">
        <f t="array" ref="A428">IFERROR(
 IF(
   INDEX(Cartera1017[ID Mantenimiento],ROW(A426))=0,
   "",
   INDEX(Cartera1017[ID Mantenimiento],ROW(A426))
 ),
 ""
)</f>
        <v/>
      </c>
      <c r="B428" s="376" t="str" cm="1">
        <f t="array" ref="B428">IFERROR(INDEX(Cartera1017[Nombre del Requerimiento],ROW(A426)),"")</f>
        <v/>
      </c>
      <c r="C428" s="376" t="str" cm="1">
        <f t="array" ref="C428">IFERROR(INDEX(Cartera1017[indicador de Avance],ROW(A426)),"")</f>
        <v/>
      </c>
      <c r="D428" s="376" t="str" cm="1">
        <f t="array" ref="D428">IFERROR(INDEX(Cartera1017[Gerencia],ROW(A426)),"")</f>
        <v/>
      </c>
      <c r="E428" s="376" t="str" cm="1">
        <f t="array" ref="E428">IFERROR(INDEX(Cartera1017[Subgerencia],ROW(A426)),"")</f>
        <v/>
      </c>
      <c r="F428" s="376" t="str" cm="1">
        <f t="array" ref="F428">IFERROR(INDEX(Cartera1017[Sección],ROW(A426)),"")</f>
        <v/>
      </c>
      <c r="G428" s="376" t="str" cm="1">
        <f t="array" ref="G428">IFERROR(INDEX(Cartera1017[Estado TI],ROW(A426)),"")</f>
        <v/>
      </c>
      <c r="H428" s="463" t="str" cm="1">
        <f t="array" ref="H428">IFERROR(
 IF(
   INDEX(Cartera1017[Comienzo Desarrollo],ROW(A426))=0,
   "",
   INDEX(Cartera1017[Comienzo Desarrollo],ROW(A426))
 ),
 ""
)</f>
        <v/>
      </c>
      <c r="I428" s="463" t="str" cm="1">
        <f t="array" ref="I428">IFERROR(
 IF(
   INDEX(Cartera1017[Fin Producción],ROW(A426))=0,
   "",
   INDEX(Cartera1017[Fin Producción],ROW(A426))
 ),
 ""
)</f>
        <v/>
      </c>
    </row>
    <row r="429" spans="1:9">
      <c r="A429" s="376" t="str" cm="1">
        <f t="array" ref="A429">IFERROR(
 IF(
   INDEX(Cartera1017[ID Mantenimiento],ROW(A427))=0,
   "",
   INDEX(Cartera1017[ID Mantenimiento],ROW(A427))
 ),
 ""
)</f>
        <v/>
      </c>
      <c r="B429" s="376" t="str" cm="1">
        <f t="array" ref="B429">IFERROR(INDEX(Cartera1017[Nombre del Requerimiento],ROW(A427)),"")</f>
        <v/>
      </c>
      <c r="C429" s="376" t="str" cm="1">
        <f t="array" ref="C429">IFERROR(INDEX(Cartera1017[indicador de Avance],ROW(A427)),"")</f>
        <v/>
      </c>
      <c r="D429" s="376" t="str" cm="1">
        <f t="array" ref="D429">IFERROR(INDEX(Cartera1017[Gerencia],ROW(A427)),"")</f>
        <v/>
      </c>
      <c r="E429" s="376" t="str" cm="1">
        <f t="array" ref="E429">IFERROR(INDEX(Cartera1017[Subgerencia],ROW(A427)),"")</f>
        <v/>
      </c>
      <c r="F429" s="376" t="str" cm="1">
        <f t="array" ref="F429">IFERROR(INDEX(Cartera1017[Sección],ROW(A427)),"")</f>
        <v/>
      </c>
      <c r="G429" s="376" t="str" cm="1">
        <f t="array" ref="G429">IFERROR(INDEX(Cartera1017[Estado TI],ROW(A427)),"")</f>
        <v/>
      </c>
      <c r="H429" s="463" t="str" cm="1">
        <f t="array" ref="H429">IFERROR(
 IF(
   INDEX(Cartera1017[Comienzo Desarrollo],ROW(A427))=0,
   "",
   INDEX(Cartera1017[Comienzo Desarrollo],ROW(A427))
 ),
 ""
)</f>
        <v/>
      </c>
      <c r="I429" s="463" t="str" cm="1">
        <f t="array" ref="I429">IFERROR(
 IF(
   INDEX(Cartera1017[Fin Producción],ROW(A427))=0,
   "",
   INDEX(Cartera1017[Fin Producción],ROW(A427))
 ),
 ""
)</f>
        <v/>
      </c>
    </row>
    <row r="430" spans="1:9">
      <c r="A430" s="376" t="str" cm="1">
        <f t="array" ref="A430">IFERROR(
 IF(
   INDEX(Cartera1017[ID Mantenimiento],ROW(A428))=0,
   "",
   INDEX(Cartera1017[ID Mantenimiento],ROW(A428))
 ),
 ""
)</f>
        <v/>
      </c>
      <c r="B430" s="376" t="str" cm="1">
        <f t="array" ref="B430">IFERROR(INDEX(Cartera1017[Nombre del Requerimiento],ROW(A428)),"")</f>
        <v/>
      </c>
      <c r="C430" s="376" t="str" cm="1">
        <f t="array" ref="C430">IFERROR(INDEX(Cartera1017[indicador de Avance],ROW(A428)),"")</f>
        <v/>
      </c>
      <c r="D430" s="376" t="str" cm="1">
        <f t="array" ref="D430">IFERROR(INDEX(Cartera1017[Gerencia],ROW(A428)),"")</f>
        <v/>
      </c>
      <c r="E430" s="376" t="str" cm="1">
        <f t="array" ref="E430">IFERROR(INDEX(Cartera1017[Subgerencia],ROW(A428)),"")</f>
        <v/>
      </c>
      <c r="F430" s="376" t="str" cm="1">
        <f t="array" ref="F430">IFERROR(INDEX(Cartera1017[Sección],ROW(A428)),"")</f>
        <v/>
      </c>
      <c r="G430" s="376" t="str" cm="1">
        <f t="array" ref="G430">IFERROR(INDEX(Cartera1017[Estado TI],ROW(A428)),"")</f>
        <v/>
      </c>
      <c r="H430" s="463" t="str" cm="1">
        <f t="array" ref="H430">IFERROR(
 IF(
   INDEX(Cartera1017[Comienzo Desarrollo],ROW(A428))=0,
   "",
   INDEX(Cartera1017[Comienzo Desarrollo],ROW(A428))
 ),
 ""
)</f>
        <v/>
      </c>
      <c r="I430" s="463" t="str" cm="1">
        <f t="array" ref="I430">IFERROR(
 IF(
   INDEX(Cartera1017[Fin Producción],ROW(A428))=0,
   "",
   INDEX(Cartera1017[Fin Producción],ROW(A428))
 ),
 ""
)</f>
        <v/>
      </c>
    </row>
    <row r="431" spans="1:9">
      <c r="A431" s="376" t="str" cm="1">
        <f t="array" ref="A431">IFERROR(
 IF(
   INDEX(Cartera1017[ID Mantenimiento],ROW(A429))=0,
   "",
   INDEX(Cartera1017[ID Mantenimiento],ROW(A429))
 ),
 ""
)</f>
        <v/>
      </c>
      <c r="B431" s="376" t="str" cm="1">
        <f t="array" ref="B431">IFERROR(INDEX(Cartera1017[Nombre del Requerimiento],ROW(A429)),"")</f>
        <v/>
      </c>
      <c r="C431" s="376" t="str" cm="1">
        <f t="array" ref="C431">IFERROR(INDEX(Cartera1017[indicador de Avance],ROW(A429)),"")</f>
        <v/>
      </c>
      <c r="D431" s="376" t="str" cm="1">
        <f t="array" ref="D431">IFERROR(INDEX(Cartera1017[Gerencia],ROW(A429)),"")</f>
        <v/>
      </c>
      <c r="E431" s="376" t="str" cm="1">
        <f t="array" ref="E431">IFERROR(INDEX(Cartera1017[Subgerencia],ROW(A429)),"")</f>
        <v/>
      </c>
      <c r="F431" s="376" t="str" cm="1">
        <f t="array" ref="F431">IFERROR(INDEX(Cartera1017[Sección],ROW(A429)),"")</f>
        <v/>
      </c>
      <c r="G431" s="376" t="str" cm="1">
        <f t="array" ref="G431">IFERROR(INDEX(Cartera1017[Estado TI],ROW(A429)),"")</f>
        <v/>
      </c>
      <c r="H431" s="463" t="str" cm="1">
        <f t="array" ref="H431">IFERROR(
 IF(
   INDEX(Cartera1017[Comienzo Desarrollo],ROW(A429))=0,
   "",
   INDEX(Cartera1017[Comienzo Desarrollo],ROW(A429))
 ),
 ""
)</f>
        <v/>
      </c>
      <c r="I431" s="463" t="str" cm="1">
        <f t="array" ref="I431">IFERROR(
 IF(
   INDEX(Cartera1017[Fin Producción],ROW(A429))=0,
   "",
   INDEX(Cartera1017[Fin Producción],ROW(A429))
 ),
 ""
)</f>
        <v/>
      </c>
    </row>
    <row r="432" spans="1:9">
      <c r="A432" s="376" t="str" cm="1">
        <f t="array" ref="A432">IFERROR(
 IF(
   INDEX(Cartera1017[ID Mantenimiento],ROW(A430))=0,
   "",
   INDEX(Cartera1017[ID Mantenimiento],ROW(A430))
 ),
 ""
)</f>
        <v/>
      </c>
      <c r="B432" s="376" t="str" cm="1">
        <f t="array" ref="B432">IFERROR(INDEX(Cartera1017[Nombre del Requerimiento],ROW(A430)),"")</f>
        <v/>
      </c>
      <c r="C432" s="376" t="str" cm="1">
        <f t="array" ref="C432">IFERROR(INDEX(Cartera1017[indicador de Avance],ROW(A430)),"")</f>
        <v/>
      </c>
      <c r="D432" s="376" t="str" cm="1">
        <f t="array" ref="D432">IFERROR(INDEX(Cartera1017[Gerencia],ROW(A430)),"")</f>
        <v/>
      </c>
      <c r="E432" s="376" t="str" cm="1">
        <f t="array" ref="E432">IFERROR(INDEX(Cartera1017[Subgerencia],ROW(A430)),"")</f>
        <v/>
      </c>
      <c r="F432" s="376" t="str" cm="1">
        <f t="array" ref="F432">IFERROR(INDEX(Cartera1017[Sección],ROW(A430)),"")</f>
        <v/>
      </c>
      <c r="G432" s="376" t="str" cm="1">
        <f t="array" ref="G432">IFERROR(INDEX(Cartera1017[Estado TI],ROW(A430)),"")</f>
        <v/>
      </c>
      <c r="H432" s="463" t="str" cm="1">
        <f t="array" ref="H432">IFERROR(
 IF(
   INDEX(Cartera1017[Comienzo Desarrollo],ROW(A430))=0,
   "",
   INDEX(Cartera1017[Comienzo Desarrollo],ROW(A430))
 ),
 ""
)</f>
        <v/>
      </c>
      <c r="I432" s="463" t="str" cm="1">
        <f t="array" ref="I432">IFERROR(
 IF(
   INDEX(Cartera1017[Fin Producción],ROW(A430))=0,
   "",
   INDEX(Cartera1017[Fin Producción],ROW(A430))
 ),
 ""
)</f>
        <v/>
      </c>
    </row>
    <row r="433" spans="1:9">
      <c r="A433" s="376" t="str" cm="1">
        <f t="array" ref="A433">IFERROR(
 IF(
   INDEX(Cartera1017[ID Mantenimiento],ROW(A431))=0,
   "",
   INDEX(Cartera1017[ID Mantenimiento],ROW(A431))
 ),
 ""
)</f>
        <v/>
      </c>
      <c r="B433" s="376" t="str" cm="1">
        <f t="array" ref="B433">IFERROR(INDEX(Cartera1017[Nombre del Requerimiento],ROW(A431)),"")</f>
        <v/>
      </c>
      <c r="C433" s="376" t="str" cm="1">
        <f t="array" ref="C433">IFERROR(INDEX(Cartera1017[indicador de Avance],ROW(A431)),"")</f>
        <v/>
      </c>
      <c r="D433" s="376" t="str" cm="1">
        <f t="array" ref="D433">IFERROR(INDEX(Cartera1017[Gerencia],ROW(A431)),"")</f>
        <v/>
      </c>
      <c r="E433" s="376" t="str" cm="1">
        <f t="array" ref="E433">IFERROR(INDEX(Cartera1017[Subgerencia],ROW(A431)),"")</f>
        <v/>
      </c>
      <c r="F433" s="376" t="str" cm="1">
        <f t="array" ref="F433">IFERROR(INDEX(Cartera1017[Sección],ROW(A431)),"")</f>
        <v/>
      </c>
      <c r="G433" s="376" t="str" cm="1">
        <f t="array" ref="G433">IFERROR(INDEX(Cartera1017[Estado TI],ROW(A431)),"")</f>
        <v/>
      </c>
      <c r="H433" s="463" t="str" cm="1">
        <f t="array" ref="H433">IFERROR(
 IF(
   INDEX(Cartera1017[Comienzo Desarrollo],ROW(A431))=0,
   "",
   INDEX(Cartera1017[Comienzo Desarrollo],ROW(A431))
 ),
 ""
)</f>
        <v/>
      </c>
      <c r="I433" s="463" t="str" cm="1">
        <f t="array" ref="I433">IFERROR(
 IF(
   INDEX(Cartera1017[Fin Producción],ROW(A431))=0,
   "",
   INDEX(Cartera1017[Fin Producción],ROW(A431))
 ),
 ""
)</f>
        <v/>
      </c>
    </row>
    <row r="434" spans="1:9">
      <c r="A434" s="376" t="str" cm="1">
        <f t="array" ref="A434">IFERROR(
 IF(
   INDEX(Cartera1017[ID Mantenimiento],ROW(A432))=0,
   "",
   INDEX(Cartera1017[ID Mantenimiento],ROW(A432))
 ),
 ""
)</f>
        <v/>
      </c>
      <c r="B434" s="376" t="str" cm="1">
        <f t="array" ref="B434">IFERROR(INDEX(Cartera1017[Nombre del Requerimiento],ROW(A432)),"")</f>
        <v/>
      </c>
      <c r="C434" s="376" t="str" cm="1">
        <f t="array" ref="C434">IFERROR(INDEX(Cartera1017[indicador de Avance],ROW(A432)),"")</f>
        <v/>
      </c>
      <c r="D434" s="376" t="str" cm="1">
        <f t="array" ref="D434">IFERROR(INDEX(Cartera1017[Gerencia],ROW(A432)),"")</f>
        <v/>
      </c>
      <c r="E434" s="376" t="str" cm="1">
        <f t="array" ref="E434">IFERROR(INDEX(Cartera1017[Subgerencia],ROW(A432)),"")</f>
        <v/>
      </c>
      <c r="F434" s="376" t="str" cm="1">
        <f t="array" ref="F434">IFERROR(INDEX(Cartera1017[Sección],ROW(A432)),"")</f>
        <v/>
      </c>
      <c r="G434" s="376" t="str" cm="1">
        <f t="array" ref="G434">IFERROR(INDEX(Cartera1017[Estado TI],ROW(A432)),"")</f>
        <v/>
      </c>
      <c r="H434" s="463" t="str" cm="1">
        <f t="array" ref="H434">IFERROR(
 IF(
   INDEX(Cartera1017[Comienzo Desarrollo],ROW(A432))=0,
   "",
   INDEX(Cartera1017[Comienzo Desarrollo],ROW(A432))
 ),
 ""
)</f>
        <v/>
      </c>
      <c r="I434" s="463" t="str" cm="1">
        <f t="array" ref="I434">IFERROR(
 IF(
   INDEX(Cartera1017[Fin Producción],ROW(A432))=0,
   "",
   INDEX(Cartera1017[Fin Producción],ROW(A432))
 ),
 ""
)</f>
        <v/>
      </c>
    </row>
    <row r="435" spans="1:9">
      <c r="A435" s="376" t="str" cm="1">
        <f t="array" ref="A435">IFERROR(
 IF(
   INDEX(Cartera1017[ID Mantenimiento],ROW(A433))=0,
   "",
   INDEX(Cartera1017[ID Mantenimiento],ROW(A433))
 ),
 ""
)</f>
        <v/>
      </c>
      <c r="B435" s="376" t="str" cm="1">
        <f t="array" ref="B435">IFERROR(INDEX(Cartera1017[Nombre del Requerimiento],ROW(A433)),"")</f>
        <v/>
      </c>
      <c r="C435" s="376" t="str" cm="1">
        <f t="array" ref="C435">IFERROR(INDEX(Cartera1017[indicador de Avance],ROW(A433)),"")</f>
        <v/>
      </c>
      <c r="D435" s="376" t="str" cm="1">
        <f t="array" ref="D435">IFERROR(INDEX(Cartera1017[Gerencia],ROW(A433)),"")</f>
        <v/>
      </c>
      <c r="E435" s="376" t="str" cm="1">
        <f t="array" ref="E435">IFERROR(INDEX(Cartera1017[Subgerencia],ROW(A433)),"")</f>
        <v/>
      </c>
      <c r="F435" s="376" t="str" cm="1">
        <f t="array" ref="F435">IFERROR(INDEX(Cartera1017[Sección],ROW(A433)),"")</f>
        <v/>
      </c>
      <c r="G435" s="376" t="str" cm="1">
        <f t="array" ref="G435">IFERROR(INDEX(Cartera1017[Estado TI],ROW(A433)),"")</f>
        <v/>
      </c>
      <c r="H435" s="463" t="str" cm="1">
        <f t="array" ref="H435">IFERROR(
 IF(
   INDEX(Cartera1017[Comienzo Desarrollo],ROW(A433))=0,
   "",
   INDEX(Cartera1017[Comienzo Desarrollo],ROW(A433))
 ),
 ""
)</f>
        <v/>
      </c>
      <c r="I435" s="463" t="str" cm="1">
        <f t="array" ref="I435">IFERROR(
 IF(
   INDEX(Cartera1017[Fin Producción],ROW(A433))=0,
   "",
   INDEX(Cartera1017[Fin Producción],ROW(A433))
 ),
 ""
)</f>
        <v/>
      </c>
    </row>
    <row r="436" spans="1:9">
      <c r="A436" s="376" t="str" cm="1">
        <f t="array" ref="A436">IFERROR(
 IF(
   INDEX(Cartera1017[ID Mantenimiento],ROW(A434))=0,
   "",
   INDEX(Cartera1017[ID Mantenimiento],ROW(A434))
 ),
 ""
)</f>
        <v/>
      </c>
      <c r="B436" s="376" t="str" cm="1">
        <f t="array" ref="B436">IFERROR(INDEX(Cartera1017[Nombre del Requerimiento],ROW(A434)),"")</f>
        <v/>
      </c>
      <c r="C436" s="376" t="str" cm="1">
        <f t="array" ref="C436">IFERROR(INDEX(Cartera1017[indicador de Avance],ROW(A434)),"")</f>
        <v/>
      </c>
      <c r="D436" s="376" t="str" cm="1">
        <f t="array" ref="D436">IFERROR(INDEX(Cartera1017[Gerencia],ROW(A434)),"")</f>
        <v/>
      </c>
      <c r="E436" s="376" t="str" cm="1">
        <f t="array" ref="E436">IFERROR(INDEX(Cartera1017[Subgerencia],ROW(A434)),"")</f>
        <v/>
      </c>
      <c r="F436" s="376" t="str" cm="1">
        <f t="array" ref="F436">IFERROR(INDEX(Cartera1017[Sección],ROW(A434)),"")</f>
        <v/>
      </c>
      <c r="G436" s="376" t="str" cm="1">
        <f t="array" ref="G436">IFERROR(INDEX(Cartera1017[Estado TI],ROW(A434)),"")</f>
        <v/>
      </c>
      <c r="H436" s="463" t="str" cm="1">
        <f t="array" ref="H436">IFERROR(
 IF(
   INDEX(Cartera1017[Comienzo Desarrollo],ROW(A434))=0,
   "",
   INDEX(Cartera1017[Comienzo Desarrollo],ROW(A434))
 ),
 ""
)</f>
        <v/>
      </c>
      <c r="I436" s="463" t="str" cm="1">
        <f t="array" ref="I436">IFERROR(
 IF(
   INDEX(Cartera1017[Fin Producción],ROW(A434))=0,
   "",
   INDEX(Cartera1017[Fin Producción],ROW(A434))
 ),
 ""
)</f>
        <v/>
      </c>
    </row>
    <row r="437" spans="1:9">
      <c r="A437" s="376" t="str" cm="1">
        <f t="array" ref="A437">IFERROR(
 IF(
   INDEX(Cartera1017[ID Mantenimiento],ROW(A435))=0,
   "",
   INDEX(Cartera1017[ID Mantenimiento],ROW(A435))
 ),
 ""
)</f>
        <v/>
      </c>
      <c r="B437" s="376" t="str" cm="1">
        <f t="array" ref="B437">IFERROR(INDEX(Cartera1017[Nombre del Requerimiento],ROW(A435)),"")</f>
        <v/>
      </c>
      <c r="C437" s="376" t="str" cm="1">
        <f t="array" ref="C437">IFERROR(INDEX(Cartera1017[indicador de Avance],ROW(A435)),"")</f>
        <v/>
      </c>
      <c r="D437" s="376" t="str" cm="1">
        <f t="array" ref="D437">IFERROR(INDEX(Cartera1017[Gerencia],ROW(A435)),"")</f>
        <v/>
      </c>
      <c r="E437" s="376" t="str" cm="1">
        <f t="array" ref="E437">IFERROR(INDEX(Cartera1017[Subgerencia],ROW(A435)),"")</f>
        <v/>
      </c>
      <c r="F437" s="376" t="str" cm="1">
        <f t="array" ref="F437">IFERROR(INDEX(Cartera1017[Sección],ROW(A435)),"")</f>
        <v/>
      </c>
      <c r="G437" s="376" t="str" cm="1">
        <f t="array" ref="G437">IFERROR(INDEX(Cartera1017[Estado TI],ROW(A435)),"")</f>
        <v/>
      </c>
      <c r="H437" s="463" t="str" cm="1">
        <f t="array" ref="H437">IFERROR(
 IF(
   INDEX(Cartera1017[Comienzo Desarrollo],ROW(A435))=0,
   "",
   INDEX(Cartera1017[Comienzo Desarrollo],ROW(A435))
 ),
 ""
)</f>
        <v/>
      </c>
      <c r="I437" s="463" t="str" cm="1">
        <f t="array" ref="I437">IFERROR(
 IF(
   INDEX(Cartera1017[Fin Producción],ROW(A435))=0,
   "",
   INDEX(Cartera1017[Fin Producción],ROW(A435))
 ),
 ""
)</f>
        <v/>
      </c>
    </row>
    <row r="438" spans="1:9">
      <c r="A438" s="376" t="str" cm="1">
        <f t="array" ref="A438">IFERROR(
 IF(
   INDEX(Cartera1017[ID Mantenimiento],ROW(A436))=0,
   "",
   INDEX(Cartera1017[ID Mantenimiento],ROW(A436))
 ),
 ""
)</f>
        <v/>
      </c>
      <c r="B438" s="376" t="str" cm="1">
        <f t="array" ref="B438">IFERROR(INDEX(Cartera1017[Nombre del Requerimiento],ROW(A436)),"")</f>
        <v/>
      </c>
      <c r="C438" s="376" t="str" cm="1">
        <f t="array" ref="C438">IFERROR(INDEX(Cartera1017[indicador de Avance],ROW(A436)),"")</f>
        <v/>
      </c>
      <c r="D438" s="376" t="str" cm="1">
        <f t="array" ref="D438">IFERROR(INDEX(Cartera1017[Gerencia],ROW(A436)),"")</f>
        <v/>
      </c>
      <c r="E438" s="376" t="str" cm="1">
        <f t="array" ref="E438">IFERROR(INDEX(Cartera1017[Subgerencia],ROW(A436)),"")</f>
        <v/>
      </c>
      <c r="F438" s="376" t="str" cm="1">
        <f t="array" ref="F438">IFERROR(INDEX(Cartera1017[Sección],ROW(A436)),"")</f>
        <v/>
      </c>
      <c r="G438" s="376" t="str" cm="1">
        <f t="array" ref="G438">IFERROR(INDEX(Cartera1017[Estado TI],ROW(A436)),"")</f>
        <v/>
      </c>
      <c r="H438" s="463" t="str" cm="1">
        <f t="array" ref="H438">IFERROR(
 IF(
   INDEX(Cartera1017[Comienzo Desarrollo],ROW(A436))=0,
   "",
   INDEX(Cartera1017[Comienzo Desarrollo],ROW(A436))
 ),
 ""
)</f>
        <v/>
      </c>
      <c r="I438" s="463" t="str" cm="1">
        <f t="array" ref="I438">IFERROR(
 IF(
   INDEX(Cartera1017[Fin Producción],ROW(A436))=0,
   "",
   INDEX(Cartera1017[Fin Producción],ROW(A436))
 ),
 ""
)</f>
        <v/>
      </c>
    </row>
    <row r="439" spans="1:9">
      <c r="A439" s="376" t="str" cm="1">
        <f t="array" ref="A439">IFERROR(
 IF(
   INDEX(Cartera1017[ID Mantenimiento],ROW(A437))=0,
   "",
   INDEX(Cartera1017[ID Mantenimiento],ROW(A437))
 ),
 ""
)</f>
        <v/>
      </c>
      <c r="B439" s="376" t="str" cm="1">
        <f t="array" ref="B439">IFERROR(INDEX(Cartera1017[Nombre del Requerimiento],ROW(A437)),"")</f>
        <v/>
      </c>
      <c r="C439" s="376" t="str" cm="1">
        <f t="array" ref="C439">IFERROR(INDEX(Cartera1017[indicador de Avance],ROW(A437)),"")</f>
        <v/>
      </c>
      <c r="D439" s="376" t="str" cm="1">
        <f t="array" ref="D439">IFERROR(INDEX(Cartera1017[Gerencia],ROW(A437)),"")</f>
        <v/>
      </c>
      <c r="E439" s="376" t="str" cm="1">
        <f t="array" ref="E439">IFERROR(INDEX(Cartera1017[Subgerencia],ROW(A437)),"")</f>
        <v/>
      </c>
      <c r="F439" s="376" t="str" cm="1">
        <f t="array" ref="F439">IFERROR(INDEX(Cartera1017[Sección],ROW(A437)),"")</f>
        <v/>
      </c>
      <c r="G439" s="376" t="str" cm="1">
        <f t="array" ref="G439">IFERROR(INDEX(Cartera1017[Estado TI],ROW(A437)),"")</f>
        <v/>
      </c>
      <c r="H439" s="463" t="str" cm="1">
        <f t="array" ref="H439">IFERROR(
 IF(
   INDEX(Cartera1017[Comienzo Desarrollo],ROW(A437))=0,
   "",
   INDEX(Cartera1017[Comienzo Desarrollo],ROW(A437))
 ),
 ""
)</f>
        <v/>
      </c>
      <c r="I439" s="463" t="str" cm="1">
        <f t="array" ref="I439">IFERROR(
 IF(
   INDEX(Cartera1017[Fin Producción],ROW(A437))=0,
   "",
   INDEX(Cartera1017[Fin Producción],ROW(A437))
 ),
 ""
)</f>
        <v/>
      </c>
    </row>
    <row r="440" spans="1:9">
      <c r="A440" s="376" t="str" cm="1">
        <f t="array" ref="A440">IFERROR(
 IF(
   INDEX(Cartera1017[ID Mantenimiento],ROW(A438))=0,
   "",
   INDEX(Cartera1017[ID Mantenimiento],ROW(A438))
 ),
 ""
)</f>
        <v/>
      </c>
      <c r="B440" s="376" t="str" cm="1">
        <f t="array" ref="B440">IFERROR(INDEX(Cartera1017[Nombre del Requerimiento],ROW(A438)),"")</f>
        <v/>
      </c>
      <c r="C440" s="376" t="str" cm="1">
        <f t="array" ref="C440">IFERROR(INDEX(Cartera1017[indicador de Avance],ROW(A438)),"")</f>
        <v/>
      </c>
      <c r="D440" s="376" t="str" cm="1">
        <f t="array" ref="D440">IFERROR(INDEX(Cartera1017[Gerencia],ROW(A438)),"")</f>
        <v/>
      </c>
      <c r="E440" s="376" t="str" cm="1">
        <f t="array" ref="E440">IFERROR(INDEX(Cartera1017[Subgerencia],ROW(A438)),"")</f>
        <v/>
      </c>
      <c r="F440" s="376" t="str" cm="1">
        <f t="array" ref="F440">IFERROR(INDEX(Cartera1017[Sección],ROW(A438)),"")</f>
        <v/>
      </c>
      <c r="G440" s="376" t="str" cm="1">
        <f t="array" ref="G440">IFERROR(INDEX(Cartera1017[Estado TI],ROW(A438)),"")</f>
        <v/>
      </c>
      <c r="H440" s="463" t="str" cm="1">
        <f t="array" ref="H440">IFERROR(
 IF(
   INDEX(Cartera1017[Comienzo Desarrollo],ROW(A438))=0,
   "",
   INDEX(Cartera1017[Comienzo Desarrollo],ROW(A438))
 ),
 ""
)</f>
        <v/>
      </c>
      <c r="I440" s="463" t="str" cm="1">
        <f t="array" ref="I440">IFERROR(
 IF(
   INDEX(Cartera1017[Fin Producción],ROW(A438))=0,
   "",
   INDEX(Cartera1017[Fin Producción],ROW(A438))
 ),
 ""
)</f>
        <v/>
      </c>
    </row>
    <row r="441" spans="1:9">
      <c r="A441" s="376" t="str" cm="1">
        <f t="array" ref="A441">IFERROR(
 IF(
   INDEX(Cartera1017[ID Mantenimiento],ROW(A439))=0,
   "",
   INDEX(Cartera1017[ID Mantenimiento],ROW(A439))
 ),
 ""
)</f>
        <v/>
      </c>
      <c r="B441" s="376" t="str" cm="1">
        <f t="array" ref="B441">IFERROR(INDEX(Cartera1017[Nombre del Requerimiento],ROW(A439)),"")</f>
        <v/>
      </c>
      <c r="C441" s="376" t="str" cm="1">
        <f t="array" ref="C441">IFERROR(INDEX(Cartera1017[indicador de Avance],ROW(A439)),"")</f>
        <v/>
      </c>
      <c r="D441" s="376" t="str" cm="1">
        <f t="array" ref="D441">IFERROR(INDEX(Cartera1017[Gerencia],ROW(A439)),"")</f>
        <v/>
      </c>
      <c r="E441" s="376" t="str" cm="1">
        <f t="array" ref="E441">IFERROR(INDEX(Cartera1017[Subgerencia],ROW(A439)),"")</f>
        <v/>
      </c>
      <c r="F441" s="376" t="str" cm="1">
        <f t="array" ref="F441">IFERROR(INDEX(Cartera1017[Sección],ROW(A439)),"")</f>
        <v/>
      </c>
      <c r="G441" s="376" t="str" cm="1">
        <f t="array" ref="G441">IFERROR(INDEX(Cartera1017[Estado TI],ROW(A439)),"")</f>
        <v/>
      </c>
      <c r="H441" s="463" t="str" cm="1">
        <f t="array" ref="H441">IFERROR(
 IF(
   INDEX(Cartera1017[Comienzo Desarrollo],ROW(A439))=0,
   "",
   INDEX(Cartera1017[Comienzo Desarrollo],ROW(A439))
 ),
 ""
)</f>
        <v/>
      </c>
      <c r="I441" s="463" t="str" cm="1">
        <f t="array" ref="I441">IFERROR(
 IF(
   INDEX(Cartera1017[Fin Producción],ROW(A439))=0,
   "",
   INDEX(Cartera1017[Fin Producción],ROW(A439))
 ),
 ""
)</f>
        <v/>
      </c>
    </row>
    <row r="442" spans="1:9">
      <c r="A442" s="376" t="str" cm="1">
        <f t="array" ref="A442">IFERROR(
 IF(
   INDEX(Cartera1017[ID Mantenimiento],ROW(A440))=0,
   "",
   INDEX(Cartera1017[ID Mantenimiento],ROW(A440))
 ),
 ""
)</f>
        <v/>
      </c>
      <c r="B442" s="376" t="str" cm="1">
        <f t="array" ref="B442">IFERROR(INDEX(Cartera1017[Nombre del Requerimiento],ROW(A440)),"")</f>
        <v/>
      </c>
      <c r="C442" s="376" t="str" cm="1">
        <f t="array" ref="C442">IFERROR(INDEX(Cartera1017[indicador de Avance],ROW(A440)),"")</f>
        <v/>
      </c>
      <c r="D442" s="376" t="str" cm="1">
        <f t="array" ref="D442">IFERROR(INDEX(Cartera1017[Gerencia],ROW(A440)),"")</f>
        <v/>
      </c>
      <c r="E442" s="376" t="str" cm="1">
        <f t="array" ref="E442">IFERROR(INDEX(Cartera1017[Subgerencia],ROW(A440)),"")</f>
        <v/>
      </c>
      <c r="F442" s="376" t="str" cm="1">
        <f t="array" ref="F442">IFERROR(INDEX(Cartera1017[Sección],ROW(A440)),"")</f>
        <v/>
      </c>
      <c r="G442" s="376" t="str" cm="1">
        <f t="array" ref="G442">IFERROR(INDEX(Cartera1017[Estado TI],ROW(A440)),"")</f>
        <v/>
      </c>
      <c r="H442" s="463" t="str" cm="1">
        <f t="array" ref="H442">IFERROR(
 IF(
   INDEX(Cartera1017[Comienzo Desarrollo],ROW(A440))=0,
   "",
   INDEX(Cartera1017[Comienzo Desarrollo],ROW(A440))
 ),
 ""
)</f>
        <v/>
      </c>
      <c r="I442" s="463" t="str" cm="1">
        <f t="array" ref="I442">IFERROR(
 IF(
   INDEX(Cartera1017[Fin Producción],ROW(A440))=0,
   "",
   INDEX(Cartera1017[Fin Producción],ROW(A440))
 ),
 ""
)</f>
        <v/>
      </c>
    </row>
    <row r="443" spans="1:9">
      <c r="A443" s="376" t="str" cm="1">
        <f t="array" ref="A443">IFERROR(
 IF(
   INDEX(Cartera1017[ID Mantenimiento],ROW(A441))=0,
   "",
   INDEX(Cartera1017[ID Mantenimiento],ROW(A441))
 ),
 ""
)</f>
        <v/>
      </c>
      <c r="B443" s="376" t="str" cm="1">
        <f t="array" ref="B443">IFERROR(INDEX(Cartera1017[Nombre del Requerimiento],ROW(A441)),"")</f>
        <v/>
      </c>
      <c r="C443" s="376" t="str" cm="1">
        <f t="array" ref="C443">IFERROR(INDEX(Cartera1017[indicador de Avance],ROW(A441)),"")</f>
        <v/>
      </c>
      <c r="D443" s="376" t="str" cm="1">
        <f t="array" ref="D443">IFERROR(INDEX(Cartera1017[Gerencia],ROW(A441)),"")</f>
        <v/>
      </c>
      <c r="E443" s="376" t="str" cm="1">
        <f t="array" ref="E443">IFERROR(INDEX(Cartera1017[Subgerencia],ROW(A441)),"")</f>
        <v/>
      </c>
      <c r="F443" s="376" t="str" cm="1">
        <f t="array" ref="F443">IFERROR(INDEX(Cartera1017[Sección],ROW(A441)),"")</f>
        <v/>
      </c>
      <c r="G443" s="376" t="str" cm="1">
        <f t="array" ref="G443">IFERROR(INDEX(Cartera1017[Estado TI],ROW(A441)),"")</f>
        <v/>
      </c>
      <c r="H443" s="463" t="str" cm="1">
        <f t="array" ref="H443">IFERROR(
 IF(
   INDEX(Cartera1017[Comienzo Desarrollo],ROW(A441))=0,
   "",
   INDEX(Cartera1017[Comienzo Desarrollo],ROW(A441))
 ),
 ""
)</f>
        <v/>
      </c>
      <c r="I443" s="463" t="str" cm="1">
        <f t="array" ref="I443">IFERROR(
 IF(
   INDEX(Cartera1017[Fin Producción],ROW(A441))=0,
   "",
   INDEX(Cartera1017[Fin Producción],ROW(A441))
 ),
 ""
)</f>
        <v/>
      </c>
    </row>
    <row r="444" spans="1:9">
      <c r="A444" s="376" t="str" cm="1">
        <f t="array" ref="A444">IFERROR(
 IF(
   INDEX(Cartera1017[ID Mantenimiento],ROW(A442))=0,
   "",
   INDEX(Cartera1017[ID Mantenimiento],ROW(A442))
 ),
 ""
)</f>
        <v/>
      </c>
      <c r="B444" s="376" t="str" cm="1">
        <f t="array" ref="B444">IFERROR(INDEX(Cartera1017[Nombre del Requerimiento],ROW(A442)),"")</f>
        <v/>
      </c>
      <c r="C444" s="376" t="str" cm="1">
        <f t="array" ref="C444">IFERROR(INDEX(Cartera1017[indicador de Avance],ROW(A442)),"")</f>
        <v/>
      </c>
      <c r="D444" s="376" t="str" cm="1">
        <f t="array" ref="D444">IFERROR(INDEX(Cartera1017[Gerencia],ROW(A442)),"")</f>
        <v/>
      </c>
      <c r="E444" s="376" t="str" cm="1">
        <f t="array" ref="E444">IFERROR(INDEX(Cartera1017[Subgerencia],ROW(A442)),"")</f>
        <v/>
      </c>
      <c r="F444" s="376" t="str" cm="1">
        <f t="array" ref="F444">IFERROR(INDEX(Cartera1017[Sección],ROW(A442)),"")</f>
        <v/>
      </c>
      <c r="G444" s="376" t="str" cm="1">
        <f t="array" ref="G444">IFERROR(INDEX(Cartera1017[Estado TI],ROW(A442)),"")</f>
        <v/>
      </c>
      <c r="H444" s="463" t="str" cm="1">
        <f t="array" ref="H444">IFERROR(
 IF(
   INDEX(Cartera1017[Comienzo Desarrollo],ROW(A442))=0,
   "",
   INDEX(Cartera1017[Comienzo Desarrollo],ROW(A442))
 ),
 ""
)</f>
        <v/>
      </c>
      <c r="I444" s="463" t="str" cm="1">
        <f t="array" ref="I444">IFERROR(
 IF(
   INDEX(Cartera1017[Fin Producción],ROW(A442))=0,
   "",
   INDEX(Cartera1017[Fin Producción],ROW(A442))
 ),
 ""
)</f>
        <v/>
      </c>
    </row>
    <row r="445" spans="1:9">
      <c r="A445" s="376" t="str" cm="1">
        <f t="array" ref="A445">IFERROR(
 IF(
   INDEX(Cartera1017[ID Mantenimiento],ROW(A443))=0,
   "",
   INDEX(Cartera1017[ID Mantenimiento],ROW(A443))
 ),
 ""
)</f>
        <v/>
      </c>
      <c r="B445" s="376" t="str" cm="1">
        <f t="array" ref="B445">IFERROR(INDEX(Cartera1017[Nombre del Requerimiento],ROW(A443)),"")</f>
        <v/>
      </c>
      <c r="C445" s="376" t="str" cm="1">
        <f t="array" ref="C445">IFERROR(INDEX(Cartera1017[indicador de Avance],ROW(A443)),"")</f>
        <v/>
      </c>
      <c r="D445" s="376" t="str" cm="1">
        <f t="array" ref="D445">IFERROR(INDEX(Cartera1017[Gerencia],ROW(A443)),"")</f>
        <v/>
      </c>
      <c r="E445" s="376" t="str" cm="1">
        <f t="array" ref="E445">IFERROR(INDEX(Cartera1017[Subgerencia],ROW(A443)),"")</f>
        <v/>
      </c>
      <c r="F445" s="376" t="str" cm="1">
        <f t="array" ref="F445">IFERROR(INDEX(Cartera1017[Sección],ROW(A443)),"")</f>
        <v/>
      </c>
      <c r="G445" s="376" t="str" cm="1">
        <f t="array" ref="G445">IFERROR(INDEX(Cartera1017[Estado TI],ROW(A443)),"")</f>
        <v/>
      </c>
      <c r="H445" s="463" t="str" cm="1">
        <f t="array" ref="H445">IFERROR(
 IF(
   INDEX(Cartera1017[Comienzo Desarrollo],ROW(A443))=0,
   "",
   INDEX(Cartera1017[Comienzo Desarrollo],ROW(A443))
 ),
 ""
)</f>
        <v/>
      </c>
      <c r="I445" s="463" t="str" cm="1">
        <f t="array" ref="I445">IFERROR(
 IF(
   INDEX(Cartera1017[Fin Producción],ROW(A443))=0,
   "",
   INDEX(Cartera1017[Fin Producción],ROW(A443))
 ),
 ""
)</f>
        <v/>
      </c>
    </row>
    <row r="446" spans="1:9">
      <c r="A446" s="376" t="str" cm="1">
        <f t="array" ref="A446">IFERROR(
 IF(
   INDEX(Cartera1017[ID Mantenimiento],ROW(A444))=0,
   "",
   INDEX(Cartera1017[ID Mantenimiento],ROW(A444))
 ),
 ""
)</f>
        <v/>
      </c>
      <c r="B446" s="376" t="str" cm="1">
        <f t="array" ref="B446">IFERROR(INDEX(Cartera1017[Nombre del Requerimiento],ROW(A444)),"")</f>
        <v/>
      </c>
      <c r="C446" s="376" t="str" cm="1">
        <f t="array" ref="C446">IFERROR(INDEX(Cartera1017[indicador de Avance],ROW(A444)),"")</f>
        <v/>
      </c>
      <c r="D446" s="376" t="str" cm="1">
        <f t="array" ref="D446">IFERROR(INDEX(Cartera1017[Gerencia],ROW(A444)),"")</f>
        <v/>
      </c>
      <c r="E446" s="376" t="str" cm="1">
        <f t="array" ref="E446">IFERROR(INDEX(Cartera1017[Subgerencia],ROW(A444)),"")</f>
        <v/>
      </c>
      <c r="F446" s="376" t="str" cm="1">
        <f t="array" ref="F446">IFERROR(INDEX(Cartera1017[Sección],ROW(A444)),"")</f>
        <v/>
      </c>
      <c r="G446" s="376" t="str" cm="1">
        <f t="array" ref="G446">IFERROR(INDEX(Cartera1017[Estado TI],ROW(A444)),"")</f>
        <v/>
      </c>
      <c r="H446" s="463" t="str" cm="1">
        <f t="array" ref="H446">IFERROR(
 IF(
   INDEX(Cartera1017[Comienzo Desarrollo],ROW(A444))=0,
   "",
   INDEX(Cartera1017[Comienzo Desarrollo],ROW(A444))
 ),
 ""
)</f>
        <v/>
      </c>
      <c r="I446" s="463" t="str" cm="1">
        <f t="array" ref="I446">IFERROR(
 IF(
   INDEX(Cartera1017[Fin Producción],ROW(A444))=0,
   "",
   INDEX(Cartera1017[Fin Producción],ROW(A444))
 ),
 ""
)</f>
        <v/>
      </c>
    </row>
    <row r="447" spans="1:9">
      <c r="A447" s="376" t="str" cm="1">
        <f t="array" ref="A447">IFERROR(
 IF(
   INDEX(Cartera1017[ID Mantenimiento],ROW(A445))=0,
   "",
   INDEX(Cartera1017[ID Mantenimiento],ROW(A445))
 ),
 ""
)</f>
        <v/>
      </c>
      <c r="B447" s="376" t="str" cm="1">
        <f t="array" ref="B447">IFERROR(INDEX(Cartera1017[Nombre del Requerimiento],ROW(A445)),"")</f>
        <v/>
      </c>
      <c r="C447" s="376" t="str" cm="1">
        <f t="array" ref="C447">IFERROR(INDEX(Cartera1017[indicador de Avance],ROW(A445)),"")</f>
        <v/>
      </c>
      <c r="D447" s="376" t="str" cm="1">
        <f t="array" ref="D447">IFERROR(INDEX(Cartera1017[Gerencia],ROW(A445)),"")</f>
        <v/>
      </c>
      <c r="E447" s="376" t="str" cm="1">
        <f t="array" ref="E447">IFERROR(INDEX(Cartera1017[Subgerencia],ROW(A445)),"")</f>
        <v/>
      </c>
      <c r="F447" s="376" t="str" cm="1">
        <f t="array" ref="F447">IFERROR(INDEX(Cartera1017[Sección],ROW(A445)),"")</f>
        <v/>
      </c>
      <c r="G447" s="376" t="str" cm="1">
        <f t="array" ref="G447">IFERROR(INDEX(Cartera1017[Estado TI],ROW(A445)),"")</f>
        <v/>
      </c>
      <c r="H447" s="463" t="str" cm="1">
        <f t="array" ref="H447">IFERROR(
 IF(
   INDEX(Cartera1017[Comienzo Desarrollo],ROW(A445))=0,
   "",
   INDEX(Cartera1017[Comienzo Desarrollo],ROW(A445))
 ),
 ""
)</f>
        <v/>
      </c>
      <c r="I447" s="463" t="str" cm="1">
        <f t="array" ref="I447">IFERROR(
 IF(
   INDEX(Cartera1017[Fin Producción],ROW(A445))=0,
   "",
   INDEX(Cartera1017[Fin Producción],ROW(A445))
 ),
 ""
)</f>
        <v/>
      </c>
    </row>
    <row r="448" spans="1:9">
      <c r="A448" s="376" t="str" cm="1">
        <f t="array" ref="A448">IFERROR(
 IF(
   INDEX(Cartera1017[ID Mantenimiento],ROW(A446))=0,
   "",
   INDEX(Cartera1017[ID Mantenimiento],ROW(A446))
 ),
 ""
)</f>
        <v/>
      </c>
      <c r="B448" s="376" t="str" cm="1">
        <f t="array" ref="B448">IFERROR(INDEX(Cartera1017[Nombre del Requerimiento],ROW(A446)),"")</f>
        <v/>
      </c>
      <c r="C448" s="376" t="str" cm="1">
        <f t="array" ref="C448">IFERROR(INDEX(Cartera1017[indicador de Avance],ROW(A446)),"")</f>
        <v/>
      </c>
      <c r="D448" s="376" t="str" cm="1">
        <f t="array" ref="D448">IFERROR(INDEX(Cartera1017[Gerencia],ROW(A446)),"")</f>
        <v/>
      </c>
      <c r="E448" s="376" t="str" cm="1">
        <f t="array" ref="E448">IFERROR(INDEX(Cartera1017[Subgerencia],ROW(A446)),"")</f>
        <v/>
      </c>
      <c r="F448" s="376" t="str" cm="1">
        <f t="array" ref="F448">IFERROR(INDEX(Cartera1017[Sección],ROW(A446)),"")</f>
        <v/>
      </c>
      <c r="G448" s="376" t="str" cm="1">
        <f t="array" ref="G448">IFERROR(INDEX(Cartera1017[Estado TI],ROW(A446)),"")</f>
        <v/>
      </c>
      <c r="H448" s="463" t="str" cm="1">
        <f t="array" ref="H448">IFERROR(
 IF(
   INDEX(Cartera1017[Comienzo Desarrollo],ROW(A446))=0,
   "",
   INDEX(Cartera1017[Comienzo Desarrollo],ROW(A446))
 ),
 ""
)</f>
        <v/>
      </c>
      <c r="I448" s="463" t="str" cm="1">
        <f t="array" ref="I448">IFERROR(
 IF(
   INDEX(Cartera1017[Fin Producción],ROW(A446))=0,
   "",
   INDEX(Cartera1017[Fin Producción],ROW(A446))
 ),
 ""
)</f>
        <v/>
      </c>
    </row>
    <row r="449" spans="1:9">
      <c r="A449" s="376" t="str" cm="1">
        <f t="array" ref="A449">IFERROR(
 IF(
   INDEX(Cartera1017[ID Mantenimiento],ROW(A447))=0,
   "",
   INDEX(Cartera1017[ID Mantenimiento],ROW(A447))
 ),
 ""
)</f>
        <v/>
      </c>
      <c r="B449" s="376" t="str" cm="1">
        <f t="array" ref="B449">IFERROR(INDEX(Cartera1017[Nombre del Requerimiento],ROW(A447)),"")</f>
        <v/>
      </c>
      <c r="C449" s="376" t="str" cm="1">
        <f t="array" ref="C449">IFERROR(INDEX(Cartera1017[indicador de Avance],ROW(A447)),"")</f>
        <v/>
      </c>
      <c r="D449" s="376" t="str" cm="1">
        <f t="array" ref="D449">IFERROR(INDEX(Cartera1017[Gerencia],ROW(A447)),"")</f>
        <v/>
      </c>
      <c r="E449" s="376" t="str" cm="1">
        <f t="array" ref="E449">IFERROR(INDEX(Cartera1017[Subgerencia],ROW(A447)),"")</f>
        <v/>
      </c>
      <c r="F449" s="376" t="str" cm="1">
        <f t="array" ref="F449">IFERROR(INDEX(Cartera1017[Sección],ROW(A447)),"")</f>
        <v/>
      </c>
      <c r="G449" s="376" t="str" cm="1">
        <f t="array" ref="G449">IFERROR(INDEX(Cartera1017[Estado TI],ROW(A447)),"")</f>
        <v/>
      </c>
      <c r="H449" s="463" t="str" cm="1">
        <f t="array" ref="H449">IFERROR(
 IF(
   INDEX(Cartera1017[Comienzo Desarrollo],ROW(A447))=0,
   "",
   INDEX(Cartera1017[Comienzo Desarrollo],ROW(A447))
 ),
 ""
)</f>
        <v/>
      </c>
      <c r="I449" s="463" t="str" cm="1">
        <f t="array" ref="I449">IFERROR(
 IF(
   INDEX(Cartera1017[Fin Producción],ROW(A447))=0,
   "",
   INDEX(Cartera1017[Fin Producción],ROW(A447))
 ),
 ""
)</f>
        <v/>
      </c>
    </row>
    <row r="450" spans="1:9">
      <c r="A450" s="376" t="str" cm="1">
        <f t="array" ref="A450">IFERROR(
 IF(
   INDEX(Cartera1017[ID Mantenimiento],ROW(A448))=0,
   "",
   INDEX(Cartera1017[ID Mantenimiento],ROW(A448))
 ),
 ""
)</f>
        <v/>
      </c>
      <c r="B450" s="376" t="str" cm="1">
        <f t="array" ref="B450">IFERROR(INDEX(Cartera1017[Nombre del Requerimiento],ROW(A448)),"")</f>
        <v/>
      </c>
      <c r="C450" s="376" t="str" cm="1">
        <f t="array" ref="C450">IFERROR(INDEX(Cartera1017[indicador de Avance],ROW(A448)),"")</f>
        <v/>
      </c>
      <c r="D450" s="376" t="str" cm="1">
        <f t="array" ref="D450">IFERROR(INDEX(Cartera1017[Gerencia],ROW(A448)),"")</f>
        <v/>
      </c>
      <c r="E450" s="376" t="str" cm="1">
        <f t="array" ref="E450">IFERROR(INDEX(Cartera1017[Subgerencia],ROW(A448)),"")</f>
        <v/>
      </c>
      <c r="F450" s="376" t="str" cm="1">
        <f t="array" ref="F450">IFERROR(INDEX(Cartera1017[Sección],ROW(A448)),"")</f>
        <v/>
      </c>
      <c r="G450" s="376" t="str" cm="1">
        <f t="array" ref="G450">IFERROR(INDEX(Cartera1017[Estado TI],ROW(A448)),"")</f>
        <v/>
      </c>
      <c r="H450" s="463" t="str" cm="1">
        <f t="array" ref="H450">IFERROR(
 IF(
   INDEX(Cartera1017[Comienzo Desarrollo],ROW(A448))=0,
   "",
   INDEX(Cartera1017[Comienzo Desarrollo],ROW(A448))
 ),
 ""
)</f>
        <v/>
      </c>
      <c r="I450" s="463" t="str" cm="1">
        <f t="array" ref="I450">IFERROR(
 IF(
   INDEX(Cartera1017[Fin Producción],ROW(A448))=0,
   "",
   INDEX(Cartera1017[Fin Producción],ROW(A448))
 ),
 ""
)</f>
        <v/>
      </c>
    </row>
    <row r="451" spans="1:9">
      <c r="A451" s="376" t="str" cm="1">
        <f t="array" ref="A451">IFERROR(
 IF(
   INDEX(Cartera1017[ID Mantenimiento],ROW(A449))=0,
   "",
   INDEX(Cartera1017[ID Mantenimiento],ROW(A449))
 ),
 ""
)</f>
        <v/>
      </c>
      <c r="B451" s="376" t="str" cm="1">
        <f t="array" ref="B451">IFERROR(INDEX(Cartera1017[Nombre del Requerimiento],ROW(A449)),"")</f>
        <v/>
      </c>
      <c r="C451" s="376" t="str" cm="1">
        <f t="array" ref="C451">IFERROR(INDEX(Cartera1017[indicador de Avance],ROW(A449)),"")</f>
        <v/>
      </c>
      <c r="D451" s="376" t="str" cm="1">
        <f t="array" ref="D451">IFERROR(INDEX(Cartera1017[Gerencia],ROW(A449)),"")</f>
        <v/>
      </c>
      <c r="E451" s="376" t="str" cm="1">
        <f t="array" ref="E451">IFERROR(INDEX(Cartera1017[Subgerencia],ROW(A449)),"")</f>
        <v/>
      </c>
      <c r="F451" s="376" t="str" cm="1">
        <f t="array" ref="F451">IFERROR(INDEX(Cartera1017[Sección],ROW(A449)),"")</f>
        <v/>
      </c>
      <c r="G451" s="376" t="str" cm="1">
        <f t="array" ref="G451">IFERROR(INDEX(Cartera1017[Estado TI],ROW(A449)),"")</f>
        <v/>
      </c>
      <c r="H451" s="463" t="str" cm="1">
        <f t="array" ref="H451">IFERROR(
 IF(
   INDEX(Cartera1017[Comienzo Desarrollo],ROW(A449))=0,
   "",
   INDEX(Cartera1017[Comienzo Desarrollo],ROW(A449))
 ),
 ""
)</f>
        <v/>
      </c>
      <c r="I451" s="463" t="str" cm="1">
        <f t="array" ref="I451">IFERROR(
 IF(
   INDEX(Cartera1017[Fin Producción],ROW(A449))=0,
   "",
   INDEX(Cartera1017[Fin Producción],ROW(A449))
 ),
 ""
)</f>
        <v/>
      </c>
    </row>
    <row r="452" spans="1:9">
      <c r="A452" s="376" t="str" cm="1">
        <f t="array" ref="A452">IFERROR(
 IF(
   INDEX(Cartera1017[ID Mantenimiento],ROW(A450))=0,
   "",
   INDEX(Cartera1017[ID Mantenimiento],ROW(A450))
 ),
 ""
)</f>
        <v/>
      </c>
      <c r="B452" s="376" t="str" cm="1">
        <f t="array" ref="B452">IFERROR(INDEX(Cartera1017[Nombre del Requerimiento],ROW(A450)),"")</f>
        <v/>
      </c>
      <c r="C452" s="376" t="str" cm="1">
        <f t="array" ref="C452">IFERROR(INDEX(Cartera1017[indicador de Avance],ROW(A450)),"")</f>
        <v/>
      </c>
      <c r="D452" s="376" t="str" cm="1">
        <f t="array" ref="D452">IFERROR(INDEX(Cartera1017[Gerencia],ROW(A450)),"")</f>
        <v/>
      </c>
      <c r="E452" s="376" t="str" cm="1">
        <f t="array" ref="E452">IFERROR(INDEX(Cartera1017[Subgerencia],ROW(A450)),"")</f>
        <v/>
      </c>
      <c r="F452" s="376" t="str" cm="1">
        <f t="array" ref="F452">IFERROR(INDEX(Cartera1017[Sección],ROW(A450)),"")</f>
        <v/>
      </c>
      <c r="G452" s="376" t="str" cm="1">
        <f t="array" ref="G452">IFERROR(INDEX(Cartera1017[Estado TI],ROW(A450)),"")</f>
        <v/>
      </c>
      <c r="H452" s="463" t="str" cm="1">
        <f t="array" ref="H452">IFERROR(
 IF(
   INDEX(Cartera1017[Comienzo Desarrollo],ROW(A450))=0,
   "",
   INDEX(Cartera1017[Comienzo Desarrollo],ROW(A450))
 ),
 ""
)</f>
        <v/>
      </c>
      <c r="I452" s="463" t="str" cm="1">
        <f t="array" ref="I452">IFERROR(
 IF(
   INDEX(Cartera1017[Fin Producción],ROW(A450))=0,
   "",
   INDEX(Cartera1017[Fin Producción],ROW(A450))
 ),
 ""
)</f>
        <v/>
      </c>
    </row>
    <row r="453" spans="1:9">
      <c r="A453" s="376" t="str" cm="1">
        <f t="array" ref="A453">IFERROR(
 IF(
   INDEX(Cartera1017[ID Mantenimiento],ROW(A451))=0,
   "",
   INDEX(Cartera1017[ID Mantenimiento],ROW(A451))
 ),
 ""
)</f>
        <v/>
      </c>
      <c r="B453" s="376" t="str" cm="1">
        <f t="array" ref="B453">IFERROR(INDEX(Cartera1017[Nombre del Requerimiento],ROW(A451)),"")</f>
        <v/>
      </c>
      <c r="C453" s="376" t="str" cm="1">
        <f t="array" ref="C453">IFERROR(INDEX(Cartera1017[indicador de Avance],ROW(A451)),"")</f>
        <v/>
      </c>
      <c r="D453" s="376" t="str" cm="1">
        <f t="array" ref="D453">IFERROR(INDEX(Cartera1017[Gerencia],ROW(A451)),"")</f>
        <v/>
      </c>
      <c r="E453" s="376" t="str" cm="1">
        <f t="array" ref="E453">IFERROR(INDEX(Cartera1017[Subgerencia],ROW(A451)),"")</f>
        <v/>
      </c>
      <c r="F453" s="376" t="str" cm="1">
        <f t="array" ref="F453">IFERROR(INDEX(Cartera1017[Sección],ROW(A451)),"")</f>
        <v/>
      </c>
      <c r="G453" s="376" t="str" cm="1">
        <f t="array" ref="G453">IFERROR(INDEX(Cartera1017[Estado TI],ROW(A451)),"")</f>
        <v/>
      </c>
      <c r="H453" s="463" t="str" cm="1">
        <f t="array" ref="H453">IFERROR(
 IF(
   INDEX(Cartera1017[Comienzo Desarrollo],ROW(A451))=0,
   "",
   INDEX(Cartera1017[Comienzo Desarrollo],ROW(A451))
 ),
 ""
)</f>
        <v/>
      </c>
      <c r="I453" s="463" t="str" cm="1">
        <f t="array" ref="I453">IFERROR(
 IF(
   INDEX(Cartera1017[Fin Producción],ROW(A451))=0,
   "",
   INDEX(Cartera1017[Fin Producción],ROW(A451))
 ),
 ""
)</f>
        <v/>
      </c>
    </row>
    <row r="454" spans="1:9">
      <c r="A454" s="376" t="str" cm="1">
        <f t="array" ref="A454">IFERROR(
 IF(
   INDEX(Cartera1017[ID Mantenimiento],ROW(A452))=0,
   "",
   INDEX(Cartera1017[ID Mantenimiento],ROW(A452))
 ),
 ""
)</f>
        <v/>
      </c>
      <c r="B454" s="376" t="str" cm="1">
        <f t="array" ref="B454">IFERROR(INDEX(Cartera1017[Nombre del Requerimiento],ROW(A452)),"")</f>
        <v/>
      </c>
      <c r="C454" s="376" t="str" cm="1">
        <f t="array" ref="C454">IFERROR(INDEX(Cartera1017[indicador de Avance],ROW(A452)),"")</f>
        <v/>
      </c>
      <c r="D454" s="376" t="str" cm="1">
        <f t="array" ref="D454">IFERROR(INDEX(Cartera1017[Gerencia],ROW(A452)),"")</f>
        <v/>
      </c>
      <c r="E454" s="376" t="str" cm="1">
        <f t="array" ref="E454">IFERROR(INDEX(Cartera1017[Subgerencia],ROW(A452)),"")</f>
        <v/>
      </c>
      <c r="F454" s="376" t="str" cm="1">
        <f t="array" ref="F454">IFERROR(INDEX(Cartera1017[Sección],ROW(A452)),"")</f>
        <v/>
      </c>
      <c r="G454" s="376" t="str" cm="1">
        <f t="array" ref="G454">IFERROR(INDEX(Cartera1017[Estado TI],ROW(A452)),"")</f>
        <v/>
      </c>
      <c r="H454" s="463" t="str" cm="1">
        <f t="array" ref="H454">IFERROR(
 IF(
   INDEX(Cartera1017[Comienzo Desarrollo],ROW(A452))=0,
   "",
   INDEX(Cartera1017[Comienzo Desarrollo],ROW(A452))
 ),
 ""
)</f>
        <v/>
      </c>
      <c r="I454" s="463" t="str" cm="1">
        <f t="array" ref="I454">IFERROR(
 IF(
   INDEX(Cartera1017[Fin Producción],ROW(A452))=0,
   "",
   INDEX(Cartera1017[Fin Producción],ROW(A452))
 ),
 ""
)</f>
        <v/>
      </c>
    </row>
    <row r="455" spans="1:9">
      <c r="A455" s="376" t="str" cm="1">
        <f t="array" ref="A455">IFERROR(
 IF(
   INDEX(Cartera1017[ID Mantenimiento],ROW(A453))=0,
   "",
   INDEX(Cartera1017[ID Mantenimiento],ROW(A453))
 ),
 ""
)</f>
        <v/>
      </c>
      <c r="B455" s="376" t="str" cm="1">
        <f t="array" ref="B455">IFERROR(INDEX(Cartera1017[Nombre del Requerimiento],ROW(A453)),"")</f>
        <v/>
      </c>
      <c r="C455" s="376" t="str" cm="1">
        <f t="array" ref="C455">IFERROR(INDEX(Cartera1017[indicador de Avance],ROW(A453)),"")</f>
        <v/>
      </c>
      <c r="D455" s="376" t="str" cm="1">
        <f t="array" ref="D455">IFERROR(INDEX(Cartera1017[Gerencia],ROW(A453)),"")</f>
        <v/>
      </c>
      <c r="E455" s="376" t="str" cm="1">
        <f t="array" ref="E455">IFERROR(INDEX(Cartera1017[Subgerencia],ROW(A453)),"")</f>
        <v/>
      </c>
      <c r="F455" s="376" t="str" cm="1">
        <f t="array" ref="F455">IFERROR(INDEX(Cartera1017[Sección],ROW(A453)),"")</f>
        <v/>
      </c>
      <c r="G455" s="376" t="str" cm="1">
        <f t="array" ref="G455">IFERROR(INDEX(Cartera1017[Estado TI],ROW(A453)),"")</f>
        <v/>
      </c>
      <c r="H455" s="463" t="str" cm="1">
        <f t="array" ref="H455">IFERROR(
 IF(
   INDEX(Cartera1017[Comienzo Desarrollo],ROW(A453))=0,
   "",
   INDEX(Cartera1017[Comienzo Desarrollo],ROW(A453))
 ),
 ""
)</f>
        <v/>
      </c>
      <c r="I455" s="463" t="str" cm="1">
        <f t="array" ref="I455">IFERROR(
 IF(
   INDEX(Cartera1017[Fin Producción],ROW(A453))=0,
   "",
   INDEX(Cartera1017[Fin Producción],ROW(A453))
 ),
 ""
)</f>
        <v/>
      </c>
    </row>
    <row r="456" spans="1:9">
      <c r="A456" s="376" t="str" cm="1">
        <f t="array" ref="A456">IFERROR(
 IF(
   INDEX(Cartera1017[ID Mantenimiento],ROW(A454))=0,
   "",
   INDEX(Cartera1017[ID Mantenimiento],ROW(A454))
 ),
 ""
)</f>
        <v/>
      </c>
      <c r="B456" s="376" t="str" cm="1">
        <f t="array" ref="B456">IFERROR(INDEX(Cartera1017[Nombre del Requerimiento],ROW(A454)),"")</f>
        <v/>
      </c>
      <c r="C456" s="376" t="str" cm="1">
        <f t="array" ref="C456">IFERROR(INDEX(Cartera1017[indicador de Avance],ROW(A454)),"")</f>
        <v/>
      </c>
      <c r="D456" s="376" t="str" cm="1">
        <f t="array" ref="D456">IFERROR(INDEX(Cartera1017[Gerencia],ROW(A454)),"")</f>
        <v/>
      </c>
      <c r="E456" s="376" t="str" cm="1">
        <f t="array" ref="E456">IFERROR(INDEX(Cartera1017[Subgerencia],ROW(A454)),"")</f>
        <v/>
      </c>
      <c r="F456" s="376" t="str" cm="1">
        <f t="array" ref="F456">IFERROR(INDEX(Cartera1017[Sección],ROW(A454)),"")</f>
        <v/>
      </c>
      <c r="G456" s="376" t="str" cm="1">
        <f t="array" ref="G456">IFERROR(INDEX(Cartera1017[Estado TI],ROW(A454)),"")</f>
        <v/>
      </c>
      <c r="H456" s="463" t="str" cm="1">
        <f t="array" ref="H456">IFERROR(
 IF(
   INDEX(Cartera1017[Comienzo Desarrollo],ROW(A454))=0,
   "",
   INDEX(Cartera1017[Comienzo Desarrollo],ROW(A454))
 ),
 ""
)</f>
        <v/>
      </c>
      <c r="I456" s="463" t="str" cm="1">
        <f t="array" ref="I456">IFERROR(
 IF(
   INDEX(Cartera1017[Fin Producción],ROW(A454))=0,
   "",
   INDEX(Cartera1017[Fin Producción],ROW(A454))
 ),
 ""
)</f>
        <v/>
      </c>
    </row>
    <row r="457" spans="1:9">
      <c r="A457" s="376" t="str" cm="1">
        <f t="array" ref="A457">IFERROR(
 IF(
   INDEX(Cartera1017[ID Mantenimiento],ROW(A455))=0,
   "",
   INDEX(Cartera1017[ID Mantenimiento],ROW(A455))
 ),
 ""
)</f>
        <v/>
      </c>
      <c r="B457" s="376" t="str" cm="1">
        <f t="array" ref="B457">IFERROR(INDEX(Cartera1017[Nombre del Requerimiento],ROW(A455)),"")</f>
        <v/>
      </c>
      <c r="C457" s="376" t="str" cm="1">
        <f t="array" ref="C457">IFERROR(INDEX(Cartera1017[indicador de Avance],ROW(A455)),"")</f>
        <v/>
      </c>
      <c r="D457" s="376" t="str" cm="1">
        <f t="array" ref="D457">IFERROR(INDEX(Cartera1017[Gerencia],ROW(A455)),"")</f>
        <v/>
      </c>
      <c r="E457" s="376" t="str" cm="1">
        <f t="array" ref="E457">IFERROR(INDEX(Cartera1017[Subgerencia],ROW(A455)),"")</f>
        <v/>
      </c>
      <c r="F457" s="376" t="str" cm="1">
        <f t="array" ref="F457">IFERROR(INDEX(Cartera1017[Sección],ROW(A455)),"")</f>
        <v/>
      </c>
      <c r="G457" s="376" t="str" cm="1">
        <f t="array" ref="G457">IFERROR(INDEX(Cartera1017[Estado TI],ROW(A455)),"")</f>
        <v/>
      </c>
      <c r="H457" s="463" t="str" cm="1">
        <f t="array" ref="H457">IFERROR(
 IF(
   INDEX(Cartera1017[Comienzo Desarrollo],ROW(A455))=0,
   "",
   INDEX(Cartera1017[Comienzo Desarrollo],ROW(A455))
 ),
 ""
)</f>
        <v/>
      </c>
      <c r="I457" s="463" t="str" cm="1">
        <f t="array" ref="I457">IFERROR(
 IF(
   INDEX(Cartera1017[Fin Producción],ROW(A455))=0,
   "",
   INDEX(Cartera1017[Fin Producción],ROW(A455))
 ),
 ""
)</f>
        <v/>
      </c>
    </row>
    <row r="458" spans="1:9">
      <c r="A458" s="376" t="str" cm="1">
        <f t="array" ref="A458">IFERROR(
 IF(
   INDEX(Cartera1017[ID Mantenimiento],ROW(A456))=0,
   "",
   INDEX(Cartera1017[ID Mantenimiento],ROW(A456))
 ),
 ""
)</f>
        <v/>
      </c>
      <c r="B458" s="376" t="str" cm="1">
        <f t="array" ref="B458">IFERROR(INDEX(Cartera1017[Nombre del Requerimiento],ROW(A456)),"")</f>
        <v/>
      </c>
      <c r="C458" s="376" t="str" cm="1">
        <f t="array" ref="C458">IFERROR(INDEX(Cartera1017[indicador de Avance],ROW(A456)),"")</f>
        <v/>
      </c>
      <c r="D458" s="376" t="str" cm="1">
        <f t="array" ref="D458">IFERROR(INDEX(Cartera1017[Gerencia],ROW(A456)),"")</f>
        <v/>
      </c>
      <c r="E458" s="376" t="str" cm="1">
        <f t="array" ref="E458">IFERROR(INDEX(Cartera1017[Subgerencia],ROW(A456)),"")</f>
        <v/>
      </c>
      <c r="F458" s="376" t="str" cm="1">
        <f t="array" ref="F458">IFERROR(INDEX(Cartera1017[Sección],ROW(A456)),"")</f>
        <v/>
      </c>
      <c r="G458" s="376" t="str" cm="1">
        <f t="array" ref="G458">IFERROR(INDEX(Cartera1017[Estado TI],ROW(A456)),"")</f>
        <v/>
      </c>
      <c r="H458" s="463" t="str" cm="1">
        <f t="array" ref="H458">IFERROR(
 IF(
   INDEX(Cartera1017[Comienzo Desarrollo],ROW(A456))=0,
   "",
   INDEX(Cartera1017[Comienzo Desarrollo],ROW(A456))
 ),
 ""
)</f>
        <v/>
      </c>
      <c r="I458" s="463" t="str" cm="1">
        <f t="array" ref="I458">IFERROR(
 IF(
   INDEX(Cartera1017[Fin Producción],ROW(A456))=0,
   "",
   INDEX(Cartera1017[Fin Producción],ROW(A456))
 ),
 ""
)</f>
        <v/>
      </c>
    </row>
    <row r="459" spans="1:9">
      <c r="A459" s="376" t="str" cm="1">
        <f t="array" ref="A459">IFERROR(
 IF(
   INDEX(Cartera1017[ID Mantenimiento],ROW(A457))=0,
   "",
   INDEX(Cartera1017[ID Mantenimiento],ROW(A457))
 ),
 ""
)</f>
        <v/>
      </c>
      <c r="B459" s="376" t="str" cm="1">
        <f t="array" ref="B459">IFERROR(INDEX(Cartera1017[Nombre del Requerimiento],ROW(A457)),"")</f>
        <v/>
      </c>
      <c r="C459" s="376" t="str" cm="1">
        <f t="array" ref="C459">IFERROR(INDEX(Cartera1017[indicador de Avance],ROW(A457)),"")</f>
        <v/>
      </c>
      <c r="D459" s="376" t="str" cm="1">
        <f t="array" ref="D459">IFERROR(INDEX(Cartera1017[Gerencia],ROW(A457)),"")</f>
        <v/>
      </c>
      <c r="E459" s="376" t="str" cm="1">
        <f t="array" ref="E459">IFERROR(INDEX(Cartera1017[Subgerencia],ROW(A457)),"")</f>
        <v/>
      </c>
      <c r="F459" s="376" t="str" cm="1">
        <f t="array" ref="F459">IFERROR(INDEX(Cartera1017[Sección],ROW(A457)),"")</f>
        <v/>
      </c>
      <c r="G459" s="376" t="str" cm="1">
        <f t="array" ref="G459">IFERROR(INDEX(Cartera1017[Estado TI],ROW(A457)),"")</f>
        <v/>
      </c>
      <c r="H459" s="463" t="str" cm="1">
        <f t="array" ref="H459">IFERROR(
 IF(
   INDEX(Cartera1017[Comienzo Desarrollo],ROW(A457))=0,
   "",
   INDEX(Cartera1017[Comienzo Desarrollo],ROW(A457))
 ),
 ""
)</f>
        <v/>
      </c>
      <c r="I459" s="463" t="str" cm="1">
        <f t="array" ref="I459">IFERROR(
 IF(
   INDEX(Cartera1017[Fin Producción],ROW(A457))=0,
   "",
   INDEX(Cartera1017[Fin Producción],ROW(A457))
 ),
 ""
)</f>
        <v/>
      </c>
    </row>
    <row r="460" spans="1:9">
      <c r="A460" s="376" t="str" cm="1">
        <f t="array" ref="A460">IFERROR(
 IF(
   INDEX(Cartera1017[ID Mantenimiento],ROW(A458))=0,
   "",
   INDEX(Cartera1017[ID Mantenimiento],ROW(A458))
 ),
 ""
)</f>
        <v/>
      </c>
      <c r="B460" s="376" t="str" cm="1">
        <f t="array" ref="B460">IFERROR(INDEX(Cartera1017[Nombre del Requerimiento],ROW(A458)),"")</f>
        <v/>
      </c>
      <c r="C460" s="376" t="str" cm="1">
        <f t="array" ref="C460">IFERROR(INDEX(Cartera1017[indicador de Avance],ROW(A458)),"")</f>
        <v/>
      </c>
      <c r="D460" s="376" t="str" cm="1">
        <f t="array" ref="D460">IFERROR(INDEX(Cartera1017[Gerencia],ROW(A458)),"")</f>
        <v/>
      </c>
      <c r="E460" s="376" t="str" cm="1">
        <f t="array" ref="E460">IFERROR(INDEX(Cartera1017[Subgerencia],ROW(A458)),"")</f>
        <v/>
      </c>
      <c r="F460" s="376" t="str" cm="1">
        <f t="array" ref="F460">IFERROR(INDEX(Cartera1017[Sección],ROW(A458)),"")</f>
        <v/>
      </c>
      <c r="G460" s="376" t="str" cm="1">
        <f t="array" ref="G460">IFERROR(INDEX(Cartera1017[Estado TI],ROW(A458)),"")</f>
        <v/>
      </c>
      <c r="H460" s="463" t="str" cm="1">
        <f t="array" ref="H460">IFERROR(
 IF(
   INDEX(Cartera1017[Comienzo Desarrollo],ROW(A458))=0,
   "",
   INDEX(Cartera1017[Comienzo Desarrollo],ROW(A458))
 ),
 ""
)</f>
        <v/>
      </c>
      <c r="I460" s="463" t="str" cm="1">
        <f t="array" ref="I460">IFERROR(
 IF(
   INDEX(Cartera1017[Fin Producción],ROW(A458))=0,
   "",
   INDEX(Cartera1017[Fin Producción],ROW(A458))
 ),
 ""
)</f>
        <v/>
      </c>
    </row>
    <row r="461" spans="1:9">
      <c r="A461" s="376" t="str" cm="1">
        <f t="array" ref="A461">IFERROR(
 IF(
   INDEX(Cartera1017[ID Mantenimiento],ROW(A459))=0,
   "",
   INDEX(Cartera1017[ID Mantenimiento],ROW(A459))
 ),
 ""
)</f>
        <v/>
      </c>
      <c r="B461" s="376" t="str" cm="1">
        <f t="array" ref="B461">IFERROR(INDEX(Cartera1017[Nombre del Requerimiento],ROW(A459)),"")</f>
        <v/>
      </c>
      <c r="C461" s="376" t="str" cm="1">
        <f t="array" ref="C461">IFERROR(INDEX(Cartera1017[indicador de Avance],ROW(A459)),"")</f>
        <v/>
      </c>
      <c r="D461" s="376" t="str" cm="1">
        <f t="array" ref="D461">IFERROR(INDEX(Cartera1017[Gerencia],ROW(A459)),"")</f>
        <v/>
      </c>
      <c r="E461" s="376" t="str" cm="1">
        <f t="array" ref="E461">IFERROR(INDEX(Cartera1017[Subgerencia],ROW(A459)),"")</f>
        <v/>
      </c>
      <c r="F461" s="376" t="str" cm="1">
        <f t="array" ref="F461">IFERROR(INDEX(Cartera1017[Sección],ROW(A459)),"")</f>
        <v/>
      </c>
      <c r="G461" s="376" t="str" cm="1">
        <f t="array" ref="G461">IFERROR(INDEX(Cartera1017[Estado TI],ROW(A459)),"")</f>
        <v/>
      </c>
      <c r="H461" s="463" t="str" cm="1">
        <f t="array" ref="H461">IFERROR(
 IF(
   INDEX(Cartera1017[Comienzo Desarrollo],ROW(A459))=0,
   "",
   INDEX(Cartera1017[Comienzo Desarrollo],ROW(A459))
 ),
 ""
)</f>
        <v/>
      </c>
      <c r="I461" s="463" t="str" cm="1">
        <f t="array" ref="I461">IFERROR(
 IF(
   INDEX(Cartera1017[Fin Producción],ROW(A459))=0,
   "",
   INDEX(Cartera1017[Fin Producción],ROW(A459))
 ),
 ""
)</f>
        <v/>
      </c>
    </row>
    <row r="462" spans="1:9">
      <c r="A462" s="376" t="str" cm="1">
        <f t="array" ref="A462">IFERROR(
 IF(
   INDEX(Cartera1017[ID Mantenimiento],ROW(A460))=0,
   "",
   INDEX(Cartera1017[ID Mantenimiento],ROW(A460))
 ),
 ""
)</f>
        <v/>
      </c>
      <c r="B462" s="376" t="str" cm="1">
        <f t="array" ref="B462">IFERROR(INDEX(Cartera1017[Nombre del Requerimiento],ROW(A460)),"")</f>
        <v/>
      </c>
      <c r="C462" s="376" t="str" cm="1">
        <f t="array" ref="C462">IFERROR(INDEX(Cartera1017[indicador de Avance],ROW(A460)),"")</f>
        <v/>
      </c>
      <c r="D462" s="376" t="str" cm="1">
        <f t="array" ref="D462">IFERROR(INDEX(Cartera1017[Gerencia],ROW(A460)),"")</f>
        <v/>
      </c>
      <c r="E462" s="376" t="str" cm="1">
        <f t="array" ref="E462">IFERROR(INDEX(Cartera1017[Subgerencia],ROW(A460)),"")</f>
        <v/>
      </c>
      <c r="F462" s="376" t="str" cm="1">
        <f t="array" ref="F462">IFERROR(INDEX(Cartera1017[Sección],ROW(A460)),"")</f>
        <v/>
      </c>
      <c r="G462" s="376" t="str" cm="1">
        <f t="array" ref="G462">IFERROR(INDEX(Cartera1017[Estado TI],ROW(A460)),"")</f>
        <v/>
      </c>
      <c r="H462" s="463" t="str" cm="1">
        <f t="array" ref="H462">IFERROR(
 IF(
   INDEX(Cartera1017[Comienzo Desarrollo],ROW(A460))=0,
   "",
   INDEX(Cartera1017[Comienzo Desarrollo],ROW(A460))
 ),
 ""
)</f>
        <v/>
      </c>
      <c r="I462" s="463" t="str" cm="1">
        <f t="array" ref="I462">IFERROR(
 IF(
   INDEX(Cartera1017[Fin Producción],ROW(A460))=0,
   "",
   INDEX(Cartera1017[Fin Producción],ROW(A460))
 ),
 ""
)</f>
        <v/>
      </c>
    </row>
    <row r="463" spans="1:9">
      <c r="A463" s="376" t="str" cm="1">
        <f t="array" ref="A463">IFERROR(
 IF(
   INDEX(Cartera1017[ID Mantenimiento],ROW(A461))=0,
   "",
   INDEX(Cartera1017[ID Mantenimiento],ROW(A461))
 ),
 ""
)</f>
        <v/>
      </c>
      <c r="B463" s="376" t="str" cm="1">
        <f t="array" ref="B463">IFERROR(INDEX(Cartera1017[Nombre del Requerimiento],ROW(A461)),"")</f>
        <v/>
      </c>
      <c r="C463" s="376" t="str" cm="1">
        <f t="array" ref="C463">IFERROR(INDEX(Cartera1017[indicador de Avance],ROW(A461)),"")</f>
        <v/>
      </c>
      <c r="D463" s="376" t="str" cm="1">
        <f t="array" ref="D463">IFERROR(INDEX(Cartera1017[Gerencia],ROW(A461)),"")</f>
        <v/>
      </c>
      <c r="E463" s="376" t="str" cm="1">
        <f t="array" ref="E463">IFERROR(INDEX(Cartera1017[Subgerencia],ROW(A461)),"")</f>
        <v/>
      </c>
      <c r="F463" s="376" t="str" cm="1">
        <f t="array" ref="F463">IFERROR(INDEX(Cartera1017[Sección],ROW(A461)),"")</f>
        <v/>
      </c>
      <c r="G463" s="376" t="str" cm="1">
        <f t="array" ref="G463">IFERROR(INDEX(Cartera1017[Estado TI],ROW(A461)),"")</f>
        <v/>
      </c>
      <c r="H463" s="463" t="str" cm="1">
        <f t="array" ref="H463">IFERROR(
 IF(
   INDEX(Cartera1017[Comienzo Desarrollo],ROW(A461))=0,
   "",
   INDEX(Cartera1017[Comienzo Desarrollo],ROW(A461))
 ),
 ""
)</f>
        <v/>
      </c>
      <c r="I463" s="463" t="str" cm="1">
        <f t="array" ref="I463">IFERROR(
 IF(
   INDEX(Cartera1017[Fin Producción],ROW(A461))=0,
   "",
   INDEX(Cartera1017[Fin Producción],ROW(A461))
 ),
 ""
)</f>
        <v/>
      </c>
    </row>
    <row r="464" spans="1:9">
      <c r="A464" s="376" t="str" cm="1">
        <f t="array" ref="A464">IFERROR(
 IF(
   INDEX(Cartera1017[ID Mantenimiento],ROW(A462))=0,
   "",
   INDEX(Cartera1017[ID Mantenimiento],ROW(A462))
 ),
 ""
)</f>
        <v/>
      </c>
      <c r="B464" s="376" t="str" cm="1">
        <f t="array" ref="B464">IFERROR(INDEX(Cartera1017[Nombre del Requerimiento],ROW(A462)),"")</f>
        <v/>
      </c>
      <c r="C464" s="376" t="str" cm="1">
        <f t="array" ref="C464">IFERROR(INDEX(Cartera1017[indicador de Avance],ROW(A462)),"")</f>
        <v/>
      </c>
      <c r="D464" s="376" t="str" cm="1">
        <f t="array" ref="D464">IFERROR(INDEX(Cartera1017[Gerencia],ROW(A462)),"")</f>
        <v/>
      </c>
      <c r="E464" s="376" t="str" cm="1">
        <f t="array" ref="E464">IFERROR(INDEX(Cartera1017[Subgerencia],ROW(A462)),"")</f>
        <v/>
      </c>
      <c r="F464" s="376" t="str" cm="1">
        <f t="array" ref="F464">IFERROR(INDEX(Cartera1017[Sección],ROW(A462)),"")</f>
        <v/>
      </c>
      <c r="G464" s="376" t="str" cm="1">
        <f t="array" ref="G464">IFERROR(INDEX(Cartera1017[Estado TI],ROW(A462)),"")</f>
        <v/>
      </c>
      <c r="H464" s="463" t="str" cm="1">
        <f t="array" ref="H464">IFERROR(
 IF(
   INDEX(Cartera1017[Comienzo Desarrollo],ROW(A462))=0,
   "",
   INDEX(Cartera1017[Comienzo Desarrollo],ROW(A462))
 ),
 ""
)</f>
        <v/>
      </c>
      <c r="I464" s="463" t="str" cm="1">
        <f t="array" ref="I464">IFERROR(
 IF(
   INDEX(Cartera1017[Fin Producción],ROW(A462))=0,
   "",
   INDEX(Cartera1017[Fin Producción],ROW(A462))
 ),
 ""
)</f>
        <v/>
      </c>
    </row>
    <row r="465" spans="1:9">
      <c r="A465" s="376" t="str" cm="1">
        <f t="array" ref="A465">IFERROR(
 IF(
   INDEX(Cartera1017[ID Mantenimiento],ROW(A463))=0,
   "",
   INDEX(Cartera1017[ID Mantenimiento],ROW(A463))
 ),
 ""
)</f>
        <v/>
      </c>
      <c r="B465" s="376" t="str" cm="1">
        <f t="array" ref="B465">IFERROR(INDEX(Cartera1017[Nombre del Requerimiento],ROW(A463)),"")</f>
        <v/>
      </c>
      <c r="C465" s="376" t="str" cm="1">
        <f t="array" ref="C465">IFERROR(INDEX(Cartera1017[indicador de Avance],ROW(A463)),"")</f>
        <v/>
      </c>
      <c r="D465" s="376" t="str" cm="1">
        <f t="array" ref="D465">IFERROR(INDEX(Cartera1017[Gerencia],ROW(A463)),"")</f>
        <v/>
      </c>
      <c r="E465" s="376" t="str" cm="1">
        <f t="array" ref="E465">IFERROR(INDEX(Cartera1017[Subgerencia],ROW(A463)),"")</f>
        <v/>
      </c>
      <c r="F465" s="376" t="str" cm="1">
        <f t="array" ref="F465">IFERROR(INDEX(Cartera1017[Sección],ROW(A463)),"")</f>
        <v/>
      </c>
      <c r="G465" s="376" t="str" cm="1">
        <f t="array" ref="G465">IFERROR(INDEX(Cartera1017[Estado TI],ROW(A463)),"")</f>
        <v/>
      </c>
      <c r="H465" s="463" t="str" cm="1">
        <f t="array" ref="H465">IFERROR(
 IF(
   INDEX(Cartera1017[Comienzo Desarrollo],ROW(A463))=0,
   "",
   INDEX(Cartera1017[Comienzo Desarrollo],ROW(A463))
 ),
 ""
)</f>
        <v/>
      </c>
      <c r="I465" s="463" t="str" cm="1">
        <f t="array" ref="I465">IFERROR(
 IF(
   INDEX(Cartera1017[Fin Producción],ROW(A463))=0,
   "",
   INDEX(Cartera1017[Fin Producción],ROW(A463))
 ),
 ""
)</f>
        <v/>
      </c>
    </row>
    <row r="466" spans="1:9">
      <c r="A466" s="376" t="str" cm="1">
        <f t="array" ref="A466">IFERROR(
 IF(
   INDEX(Cartera1017[ID Mantenimiento],ROW(A464))=0,
   "",
   INDEX(Cartera1017[ID Mantenimiento],ROW(A464))
 ),
 ""
)</f>
        <v/>
      </c>
      <c r="B466" s="376" t="str" cm="1">
        <f t="array" ref="B466">IFERROR(INDEX(Cartera1017[Nombre del Requerimiento],ROW(A464)),"")</f>
        <v/>
      </c>
      <c r="C466" s="376" t="str" cm="1">
        <f t="array" ref="C466">IFERROR(INDEX(Cartera1017[indicador de Avance],ROW(A464)),"")</f>
        <v/>
      </c>
      <c r="D466" s="376" t="str" cm="1">
        <f t="array" ref="D466">IFERROR(INDEX(Cartera1017[Gerencia],ROW(A464)),"")</f>
        <v/>
      </c>
      <c r="E466" s="376" t="str" cm="1">
        <f t="array" ref="E466">IFERROR(INDEX(Cartera1017[Subgerencia],ROW(A464)),"")</f>
        <v/>
      </c>
      <c r="F466" s="376" t="str" cm="1">
        <f t="array" ref="F466">IFERROR(INDEX(Cartera1017[Sección],ROW(A464)),"")</f>
        <v/>
      </c>
      <c r="G466" s="376" t="str" cm="1">
        <f t="array" ref="G466">IFERROR(INDEX(Cartera1017[Estado TI],ROW(A464)),"")</f>
        <v/>
      </c>
      <c r="H466" s="463" t="str" cm="1">
        <f t="array" ref="H466">IFERROR(
 IF(
   INDEX(Cartera1017[Comienzo Desarrollo],ROW(A464))=0,
   "",
   INDEX(Cartera1017[Comienzo Desarrollo],ROW(A464))
 ),
 ""
)</f>
        <v/>
      </c>
      <c r="I466" s="463" t="str" cm="1">
        <f t="array" ref="I466">IFERROR(
 IF(
   INDEX(Cartera1017[Fin Producción],ROW(A464))=0,
   "",
   INDEX(Cartera1017[Fin Producción],ROW(A464))
 ),
 ""
)</f>
        <v/>
      </c>
    </row>
    <row r="467" spans="1:9">
      <c r="A467" s="376" t="str" cm="1">
        <f t="array" ref="A467">IFERROR(
 IF(
   INDEX(Cartera1017[ID Mantenimiento],ROW(A465))=0,
   "",
   INDEX(Cartera1017[ID Mantenimiento],ROW(A465))
 ),
 ""
)</f>
        <v/>
      </c>
      <c r="B467" s="376" t="str" cm="1">
        <f t="array" ref="B467">IFERROR(INDEX(Cartera1017[Nombre del Requerimiento],ROW(A465)),"")</f>
        <v/>
      </c>
      <c r="C467" s="376" t="str" cm="1">
        <f t="array" ref="C467">IFERROR(INDEX(Cartera1017[indicador de Avance],ROW(A465)),"")</f>
        <v/>
      </c>
      <c r="D467" s="376" t="str" cm="1">
        <f t="array" ref="D467">IFERROR(INDEX(Cartera1017[Gerencia],ROW(A465)),"")</f>
        <v/>
      </c>
      <c r="E467" s="376" t="str" cm="1">
        <f t="array" ref="E467">IFERROR(INDEX(Cartera1017[Subgerencia],ROW(A465)),"")</f>
        <v/>
      </c>
      <c r="F467" s="376" t="str" cm="1">
        <f t="array" ref="F467">IFERROR(INDEX(Cartera1017[Sección],ROW(A465)),"")</f>
        <v/>
      </c>
      <c r="G467" s="376" t="str" cm="1">
        <f t="array" ref="G467">IFERROR(INDEX(Cartera1017[Estado TI],ROW(A465)),"")</f>
        <v/>
      </c>
      <c r="H467" s="463" t="str" cm="1">
        <f t="array" ref="H467">IFERROR(
 IF(
   INDEX(Cartera1017[Comienzo Desarrollo],ROW(A465))=0,
   "",
   INDEX(Cartera1017[Comienzo Desarrollo],ROW(A465))
 ),
 ""
)</f>
        <v/>
      </c>
      <c r="I467" s="463" t="str" cm="1">
        <f t="array" ref="I467">IFERROR(
 IF(
   INDEX(Cartera1017[Fin Producción],ROW(A465))=0,
   "",
   INDEX(Cartera1017[Fin Producción],ROW(A465))
 ),
 ""
)</f>
        <v/>
      </c>
    </row>
    <row r="468" spans="1:9">
      <c r="A468" s="376" t="str" cm="1">
        <f t="array" ref="A468">IFERROR(
 IF(
   INDEX(Cartera1017[ID Mantenimiento],ROW(A466))=0,
   "",
   INDEX(Cartera1017[ID Mantenimiento],ROW(A466))
 ),
 ""
)</f>
        <v/>
      </c>
      <c r="B468" s="376" t="str" cm="1">
        <f t="array" ref="B468">IFERROR(INDEX(Cartera1017[Nombre del Requerimiento],ROW(A466)),"")</f>
        <v/>
      </c>
      <c r="C468" s="376" t="str" cm="1">
        <f t="array" ref="C468">IFERROR(INDEX(Cartera1017[indicador de Avance],ROW(A466)),"")</f>
        <v/>
      </c>
      <c r="D468" s="376" t="str" cm="1">
        <f t="array" ref="D468">IFERROR(INDEX(Cartera1017[Gerencia],ROW(A466)),"")</f>
        <v/>
      </c>
      <c r="E468" s="376" t="str" cm="1">
        <f t="array" ref="E468">IFERROR(INDEX(Cartera1017[Subgerencia],ROW(A466)),"")</f>
        <v/>
      </c>
      <c r="F468" s="376" t="str" cm="1">
        <f t="array" ref="F468">IFERROR(INDEX(Cartera1017[Sección],ROW(A466)),"")</f>
        <v/>
      </c>
      <c r="G468" s="376" t="str" cm="1">
        <f t="array" ref="G468">IFERROR(INDEX(Cartera1017[Estado TI],ROW(A466)),"")</f>
        <v/>
      </c>
      <c r="H468" s="463" t="str" cm="1">
        <f t="array" ref="H468">IFERROR(
 IF(
   INDEX(Cartera1017[Comienzo Desarrollo],ROW(A466))=0,
   "",
   INDEX(Cartera1017[Comienzo Desarrollo],ROW(A466))
 ),
 ""
)</f>
        <v/>
      </c>
      <c r="I468" s="463" t="str" cm="1">
        <f t="array" ref="I468">IFERROR(
 IF(
   INDEX(Cartera1017[Fin Producción],ROW(A466))=0,
   "",
   INDEX(Cartera1017[Fin Producción],ROW(A466))
 ),
 ""
)</f>
        <v/>
      </c>
    </row>
    <row r="469" spans="1:9">
      <c r="A469" s="376" t="str" cm="1">
        <f t="array" ref="A469">IFERROR(
 IF(
   INDEX(Cartera1017[ID Mantenimiento],ROW(A467))=0,
   "",
   INDEX(Cartera1017[ID Mantenimiento],ROW(A467))
 ),
 ""
)</f>
        <v/>
      </c>
      <c r="B469" s="376" t="str" cm="1">
        <f t="array" ref="B469">IFERROR(INDEX(Cartera1017[Nombre del Requerimiento],ROW(A467)),"")</f>
        <v/>
      </c>
      <c r="C469" s="376" t="str" cm="1">
        <f t="array" ref="C469">IFERROR(INDEX(Cartera1017[indicador de Avance],ROW(A467)),"")</f>
        <v/>
      </c>
      <c r="D469" s="376" t="str" cm="1">
        <f t="array" ref="D469">IFERROR(INDEX(Cartera1017[Gerencia],ROW(A467)),"")</f>
        <v/>
      </c>
      <c r="E469" s="376" t="str" cm="1">
        <f t="array" ref="E469">IFERROR(INDEX(Cartera1017[Subgerencia],ROW(A467)),"")</f>
        <v/>
      </c>
      <c r="F469" s="376" t="str" cm="1">
        <f t="array" ref="F469">IFERROR(INDEX(Cartera1017[Sección],ROW(A467)),"")</f>
        <v/>
      </c>
      <c r="G469" s="376" t="str" cm="1">
        <f t="array" ref="G469">IFERROR(INDEX(Cartera1017[Estado TI],ROW(A467)),"")</f>
        <v/>
      </c>
      <c r="H469" s="463" t="str" cm="1">
        <f t="array" ref="H469">IFERROR(
 IF(
   INDEX(Cartera1017[Comienzo Desarrollo],ROW(A467))=0,
   "",
   INDEX(Cartera1017[Comienzo Desarrollo],ROW(A467))
 ),
 ""
)</f>
        <v/>
      </c>
      <c r="I469" s="463" t="str" cm="1">
        <f t="array" ref="I469">IFERROR(
 IF(
   INDEX(Cartera1017[Fin Producción],ROW(A467))=0,
   "",
   INDEX(Cartera1017[Fin Producción],ROW(A467))
 ),
 ""
)</f>
        <v/>
      </c>
    </row>
    <row r="470" spans="1:9">
      <c r="A470" s="376" t="str" cm="1">
        <f t="array" ref="A470">IFERROR(
 IF(
   INDEX(Cartera1017[ID Mantenimiento],ROW(A468))=0,
   "",
   INDEX(Cartera1017[ID Mantenimiento],ROW(A468))
 ),
 ""
)</f>
        <v/>
      </c>
      <c r="B470" s="376" t="str" cm="1">
        <f t="array" ref="B470">IFERROR(INDEX(Cartera1017[Nombre del Requerimiento],ROW(A468)),"")</f>
        <v/>
      </c>
      <c r="C470" s="376" t="str" cm="1">
        <f t="array" ref="C470">IFERROR(INDEX(Cartera1017[indicador de Avance],ROW(A468)),"")</f>
        <v/>
      </c>
      <c r="D470" s="376" t="str" cm="1">
        <f t="array" ref="D470">IFERROR(INDEX(Cartera1017[Gerencia],ROW(A468)),"")</f>
        <v/>
      </c>
      <c r="E470" s="376" t="str" cm="1">
        <f t="array" ref="E470">IFERROR(INDEX(Cartera1017[Subgerencia],ROW(A468)),"")</f>
        <v/>
      </c>
      <c r="F470" s="376" t="str" cm="1">
        <f t="array" ref="F470">IFERROR(INDEX(Cartera1017[Sección],ROW(A468)),"")</f>
        <v/>
      </c>
      <c r="G470" s="376" t="str" cm="1">
        <f t="array" ref="G470">IFERROR(INDEX(Cartera1017[Estado TI],ROW(A468)),"")</f>
        <v/>
      </c>
      <c r="H470" s="463" t="str" cm="1">
        <f t="array" ref="H470">IFERROR(
 IF(
   INDEX(Cartera1017[Comienzo Desarrollo],ROW(A468))=0,
   "",
   INDEX(Cartera1017[Comienzo Desarrollo],ROW(A468))
 ),
 ""
)</f>
        <v/>
      </c>
      <c r="I470" s="463" t="str" cm="1">
        <f t="array" ref="I470">IFERROR(
 IF(
   INDEX(Cartera1017[Fin Producción],ROW(A468))=0,
   "",
   INDEX(Cartera1017[Fin Producción],ROW(A468))
 ),
 ""
)</f>
        <v/>
      </c>
    </row>
    <row r="471" spans="1:9">
      <c r="A471" s="376" t="str" cm="1">
        <f t="array" ref="A471">IFERROR(
 IF(
   INDEX(Cartera1017[ID Mantenimiento],ROW(A469))=0,
   "",
   INDEX(Cartera1017[ID Mantenimiento],ROW(A469))
 ),
 ""
)</f>
        <v/>
      </c>
      <c r="B471" s="376" t="str" cm="1">
        <f t="array" ref="B471">IFERROR(INDEX(Cartera1017[Nombre del Requerimiento],ROW(A469)),"")</f>
        <v/>
      </c>
      <c r="C471" s="376" t="str" cm="1">
        <f t="array" ref="C471">IFERROR(INDEX(Cartera1017[indicador de Avance],ROW(A469)),"")</f>
        <v/>
      </c>
      <c r="D471" s="376" t="str" cm="1">
        <f t="array" ref="D471">IFERROR(INDEX(Cartera1017[Gerencia],ROW(A469)),"")</f>
        <v/>
      </c>
      <c r="E471" s="376" t="str" cm="1">
        <f t="array" ref="E471">IFERROR(INDEX(Cartera1017[Subgerencia],ROW(A469)),"")</f>
        <v/>
      </c>
      <c r="F471" s="376" t="str" cm="1">
        <f t="array" ref="F471">IFERROR(INDEX(Cartera1017[Sección],ROW(A469)),"")</f>
        <v/>
      </c>
      <c r="G471" s="376" t="str" cm="1">
        <f t="array" ref="G471">IFERROR(INDEX(Cartera1017[Estado TI],ROW(A469)),"")</f>
        <v/>
      </c>
      <c r="H471" s="463" t="str" cm="1">
        <f t="array" ref="H471">IFERROR(
 IF(
   INDEX(Cartera1017[Comienzo Desarrollo],ROW(A469))=0,
   "",
   INDEX(Cartera1017[Comienzo Desarrollo],ROW(A469))
 ),
 ""
)</f>
        <v/>
      </c>
      <c r="I471" s="463" t="str" cm="1">
        <f t="array" ref="I471">IFERROR(
 IF(
   INDEX(Cartera1017[Fin Producción],ROW(A469))=0,
   "",
   INDEX(Cartera1017[Fin Producción],ROW(A469))
 ),
 ""
)</f>
        <v/>
      </c>
    </row>
    <row r="472" spans="1:9">
      <c r="A472" s="376" t="str" cm="1">
        <f t="array" ref="A472">IFERROR(
 IF(
   INDEX(Cartera1017[ID Mantenimiento],ROW(A470))=0,
   "",
   INDEX(Cartera1017[ID Mantenimiento],ROW(A470))
 ),
 ""
)</f>
        <v/>
      </c>
      <c r="B472" s="376" t="str" cm="1">
        <f t="array" ref="B472">IFERROR(INDEX(Cartera1017[Nombre del Requerimiento],ROW(A470)),"")</f>
        <v/>
      </c>
      <c r="C472" s="376" t="str" cm="1">
        <f t="array" ref="C472">IFERROR(INDEX(Cartera1017[indicador de Avance],ROW(A470)),"")</f>
        <v/>
      </c>
      <c r="D472" s="376" t="str" cm="1">
        <f t="array" ref="D472">IFERROR(INDEX(Cartera1017[Gerencia],ROW(A470)),"")</f>
        <v/>
      </c>
      <c r="E472" s="376" t="str" cm="1">
        <f t="array" ref="E472">IFERROR(INDEX(Cartera1017[Subgerencia],ROW(A470)),"")</f>
        <v/>
      </c>
      <c r="F472" s="376" t="str" cm="1">
        <f t="array" ref="F472">IFERROR(INDEX(Cartera1017[Sección],ROW(A470)),"")</f>
        <v/>
      </c>
      <c r="G472" s="376" t="str" cm="1">
        <f t="array" ref="G472">IFERROR(INDEX(Cartera1017[Estado TI],ROW(A470)),"")</f>
        <v/>
      </c>
      <c r="H472" s="463" t="str" cm="1">
        <f t="array" ref="H472">IFERROR(
 IF(
   INDEX(Cartera1017[Comienzo Desarrollo],ROW(A470))=0,
   "",
   INDEX(Cartera1017[Comienzo Desarrollo],ROW(A470))
 ),
 ""
)</f>
        <v/>
      </c>
      <c r="I472" s="463" t="str" cm="1">
        <f t="array" ref="I472">IFERROR(
 IF(
   INDEX(Cartera1017[Fin Producción],ROW(A470))=0,
   "",
   INDEX(Cartera1017[Fin Producción],ROW(A470))
 ),
 ""
)</f>
        <v/>
      </c>
    </row>
    <row r="473" spans="1:9">
      <c r="A473" s="376" t="str" cm="1">
        <f t="array" ref="A473">IFERROR(
 IF(
   INDEX(Cartera1017[ID Mantenimiento],ROW(A471))=0,
   "",
   INDEX(Cartera1017[ID Mantenimiento],ROW(A471))
 ),
 ""
)</f>
        <v/>
      </c>
      <c r="B473" s="376" t="str" cm="1">
        <f t="array" ref="B473">IFERROR(INDEX(Cartera1017[Nombre del Requerimiento],ROW(A471)),"")</f>
        <v/>
      </c>
      <c r="C473" s="376" t="str" cm="1">
        <f t="array" ref="C473">IFERROR(INDEX(Cartera1017[indicador de Avance],ROW(A471)),"")</f>
        <v/>
      </c>
      <c r="D473" s="376" t="str" cm="1">
        <f t="array" ref="D473">IFERROR(INDEX(Cartera1017[Gerencia],ROW(A471)),"")</f>
        <v/>
      </c>
      <c r="E473" s="376" t="str" cm="1">
        <f t="array" ref="E473">IFERROR(INDEX(Cartera1017[Subgerencia],ROW(A471)),"")</f>
        <v/>
      </c>
      <c r="F473" s="376" t="str" cm="1">
        <f t="array" ref="F473">IFERROR(INDEX(Cartera1017[Sección],ROW(A471)),"")</f>
        <v/>
      </c>
      <c r="G473" s="376" t="str" cm="1">
        <f t="array" ref="G473">IFERROR(INDEX(Cartera1017[Estado TI],ROW(A471)),"")</f>
        <v/>
      </c>
      <c r="H473" s="463" t="str" cm="1">
        <f t="array" ref="H473">IFERROR(
 IF(
   INDEX(Cartera1017[Comienzo Desarrollo],ROW(A471))=0,
   "",
   INDEX(Cartera1017[Comienzo Desarrollo],ROW(A471))
 ),
 ""
)</f>
        <v/>
      </c>
      <c r="I473" s="463" t="str" cm="1">
        <f t="array" ref="I473">IFERROR(
 IF(
   INDEX(Cartera1017[Fin Producción],ROW(A471))=0,
   "",
   INDEX(Cartera1017[Fin Producción],ROW(A471))
 ),
 ""
)</f>
        <v/>
      </c>
    </row>
    <row r="474" spans="1:9">
      <c r="A474" s="376" t="str" cm="1">
        <f t="array" ref="A474">IFERROR(
 IF(
   INDEX(Cartera1017[ID Mantenimiento],ROW(A472))=0,
   "",
   INDEX(Cartera1017[ID Mantenimiento],ROW(A472))
 ),
 ""
)</f>
        <v/>
      </c>
      <c r="B474" s="376" t="str" cm="1">
        <f t="array" ref="B474">IFERROR(INDEX(Cartera1017[Nombre del Requerimiento],ROW(A472)),"")</f>
        <v/>
      </c>
      <c r="C474" s="376" t="str" cm="1">
        <f t="array" ref="C474">IFERROR(INDEX(Cartera1017[indicador de Avance],ROW(A472)),"")</f>
        <v/>
      </c>
      <c r="D474" s="376" t="str" cm="1">
        <f t="array" ref="D474">IFERROR(INDEX(Cartera1017[Gerencia],ROW(A472)),"")</f>
        <v/>
      </c>
      <c r="E474" s="376" t="str" cm="1">
        <f t="array" ref="E474">IFERROR(INDEX(Cartera1017[Subgerencia],ROW(A472)),"")</f>
        <v/>
      </c>
      <c r="F474" s="376" t="str" cm="1">
        <f t="array" ref="F474">IFERROR(INDEX(Cartera1017[Sección],ROW(A472)),"")</f>
        <v/>
      </c>
      <c r="G474" s="376" t="str" cm="1">
        <f t="array" ref="G474">IFERROR(INDEX(Cartera1017[Estado TI],ROW(A472)),"")</f>
        <v/>
      </c>
      <c r="H474" s="463" t="str" cm="1">
        <f t="array" ref="H474">IFERROR(
 IF(
   INDEX(Cartera1017[Comienzo Desarrollo],ROW(A472))=0,
   "",
   INDEX(Cartera1017[Comienzo Desarrollo],ROW(A472))
 ),
 ""
)</f>
        <v/>
      </c>
      <c r="I474" s="463" t="str" cm="1">
        <f t="array" ref="I474">IFERROR(
 IF(
   INDEX(Cartera1017[Fin Producción],ROW(A472))=0,
   "",
   INDEX(Cartera1017[Fin Producción],ROW(A472))
 ),
 ""
)</f>
        <v/>
      </c>
    </row>
    <row r="475" spans="1:9">
      <c r="A475" s="376" t="str" cm="1">
        <f t="array" ref="A475">IFERROR(
 IF(
   INDEX(Cartera1017[ID Mantenimiento],ROW(A473))=0,
   "",
   INDEX(Cartera1017[ID Mantenimiento],ROW(A473))
 ),
 ""
)</f>
        <v/>
      </c>
      <c r="B475" s="376" t="str" cm="1">
        <f t="array" ref="B475">IFERROR(INDEX(Cartera1017[Nombre del Requerimiento],ROW(A473)),"")</f>
        <v/>
      </c>
      <c r="C475" s="376" t="str" cm="1">
        <f t="array" ref="C475">IFERROR(INDEX(Cartera1017[indicador de Avance],ROW(A473)),"")</f>
        <v/>
      </c>
      <c r="D475" s="376" t="str" cm="1">
        <f t="array" ref="D475">IFERROR(INDEX(Cartera1017[Gerencia],ROW(A473)),"")</f>
        <v/>
      </c>
      <c r="E475" s="376" t="str" cm="1">
        <f t="array" ref="E475">IFERROR(INDEX(Cartera1017[Subgerencia],ROW(A473)),"")</f>
        <v/>
      </c>
      <c r="F475" s="376" t="str" cm="1">
        <f t="array" ref="F475">IFERROR(INDEX(Cartera1017[Sección],ROW(A473)),"")</f>
        <v/>
      </c>
      <c r="G475" s="376" t="str" cm="1">
        <f t="array" ref="G475">IFERROR(INDEX(Cartera1017[Estado TI],ROW(A473)),"")</f>
        <v/>
      </c>
      <c r="H475" s="463" t="str" cm="1">
        <f t="array" ref="H475">IFERROR(
 IF(
   INDEX(Cartera1017[Comienzo Desarrollo],ROW(A473))=0,
   "",
   INDEX(Cartera1017[Comienzo Desarrollo],ROW(A473))
 ),
 ""
)</f>
        <v/>
      </c>
      <c r="I475" s="463" t="str" cm="1">
        <f t="array" ref="I475">IFERROR(
 IF(
   INDEX(Cartera1017[Fin Producción],ROW(A473))=0,
   "",
   INDEX(Cartera1017[Fin Producción],ROW(A473))
 ),
 ""
)</f>
        <v/>
      </c>
    </row>
    <row r="476" spans="1:9">
      <c r="A476" s="376" t="str" cm="1">
        <f t="array" ref="A476">IFERROR(
 IF(
   INDEX(Cartera1017[ID Mantenimiento],ROW(A474))=0,
   "",
   INDEX(Cartera1017[ID Mantenimiento],ROW(A474))
 ),
 ""
)</f>
        <v/>
      </c>
      <c r="B476" s="376" t="str" cm="1">
        <f t="array" ref="B476">IFERROR(INDEX(Cartera1017[Nombre del Requerimiento],ROW(A474)),"")</f>
        <v/>
      </c>
      <c r="C476" s="376" t="str" cm="1">
        <f t="array" ref="C476">IFERROR(INDEX(Cartera1017[indicador de Avance],ROW(A474)),"")</f>
        <v/>
      </c>
      <c r="D476" s="376" t="str" cm="1">
        <f t="array" ref="D476">IFERROR(INDEX(Cartera1017[Gerencia],ROW(A474)),"")</f>
        <v/>
      </c>
      <c r="E476" s="376" t="str" cm="1">
        <f t="array" ref="E476">IFERROR(INDEX(Cartera1017[Subgerencia],ROW(A474)),"")</f>
        <v/>
      </c>
      <c r="F476" s="376" t="str" cm="1">
        <f t="array" ref="F476">IFERROR(INDEX(Cartera1017[Sección],ROW(A474)),"")</f>
        <v/>
      </c>
      <c r="G476" s="376" t="str" cm="1">
        <f t="array" ref="G476">IFERROR(INDEX(Cartera1017[Estado TI],ROW(A474)),"")</f>
        <v/>
      </c>
      <c r="H476" s="463" t="str" cm="1">
        <f t="array" ref="H476">IFERROR(
 IF(
   INDEX(Cartera1017[Comienzo Desarrollo],ROW(A474))=0,
   "",
   INDEX(Cartera1017[Comienzo Desarrollo],ROW(A474))
 ),
 ""
)</f>
        <v/>
      </c>
      <c r="I476" s="463" t="str" cm="1">
        <f t="array" ref="I476">IFERROR(
 IF(
   INDEX(Cartera1017[Fin Producción],ROW(A474))=0,
   "",
   INDEX(Cartera1017[Fin Producción],ROW(A474))
 ),
 ""
)</f>
        <v/>
      </c>
    </row>
    <row r="477" spans="1:9">
      <c r="A477" s="376" t="str" cm="1">
        <f t="array" ref="A477">IFERROR(
 IF(
   INDEX(Cartera1017[ID Mantenimiento],ROW(A475))=0,
   "",
   INDEX(Cartera1017[ID Mantenimiento],ROW(A475))
 ),
 ""
)</f>
        <v/>
      </c>
      <c r="B477" s="376" t="str" cm="1">
        <f t="array" ref="B477">IFERROR(INDEX(Cartera1017[Nombre del Requerimiento],ROW(A475)),"")</f>
        <v/>
      </c>
      <c r="C477" s="376" t="str" cm="1">
        <f t="array" ref="C477">IFERROR(INDEX(Cartera1017[indicador de Avance],ROW(A475)),"")</f>
        <v/>
      </c>
      <c r="D477" s="376" t="str" cm="1">
        <f t="array" ref="D477">IFERROR(INDEX(Cartera1017[Gerencia],ROW(A475)),"")</f>
        <v/>
      </c>
      <c r="E477" s="376" t="str" cm="1">
        <f t="array" ref="E477">IFERROR(INDEX(Cartera1017[Subgerencia],ROW(A475)),"")</f>
        <v/>
      </c>
      <c r="F477" s="376" t="str" cm="1">
        <f t="array" ref="F477">IFERROR(INDEX(Cartera1017[Sección],ROW(A475)),"")</f>
        <v/>
      </c>
      <c r="G477" s="376" t="str" cm="1">
        <f t="array" ref="G477">IFERROR(INDEX(Cartera1017[Estado TI],ROW(A475)),"")</f>
        <v/>
      </c>
      <c r="H477" s="463" t="str" cm="1">
        <f t="array" ref="H477">IFERROR(
 IF(
   INDEX(Cartera1017[Comienzo Desarrollo],ROW(A475))=0,
   "",
   INDEX(Cartera1017[Comienzo Desarrollo],ROW(A475))
 ),
 ""
)</f>
        <v/>
      </c>
      <c r="I477" s="463" t="str" cm="1">
        <f t="array" ref="I477">IFERROR(
 IF(
   INDEX(Cartera1017[Fin Producción],ROW(A475))=0,
   "",
   INDEX(Cartera1017[Fin Producción],ROW(A475))
 ),
 ""
)</f>
        <v/>
      </c>
    </row>
    <row r="478" spans="1:9">
      <c r="A478" s="376" t="str" cm="1">
        <f t="array" ref="A478">IFERROR(
 IF(
   INDEX(Cartera1017[ID Mantenimiento],ROW(A476))=0,
   "",
   INDEX(Cartera1017[ID Mantenimiento],ROW(A476))
 ),
 ""
)</f>
        <v/>
      </c>
      <c r="B478" s="376" t="str" cm="1">
        <f t="array" ref="B478">IFERROR(INDEX(Cartera1017[Nombre del Requerimiento],ROW(A476)),"")</f>
        <v/>
      </c>
      <c r="C478" s="376" t="str" cm="1">
        <f t="array" ref="C478">IFERROR(INDEX(Cartera1017[indicador de Avance],ROW(A476)),"")</f>
        <v/>
      </c>
      <c r="D478" s="376" t="str" cm="1">
        <f t="array" ref="D478">IFERROR(INDEX(Cartera1017[Gerencia],ROW(A476)),"")</f>
        <v/>
      </c>
      <c r="E478" s="376" t="str" cm="1">
        <f t="array" ref="E478">IFERROR(INDEX(Cartera1017[Subgerencia],ROW(A476)),"")</f>
        <v/>
      </c>
      <c r="F478" s="376" t="str" cm="1">
        <f t="array" ref="F478">IFERROR(INDEX(Cartera1017[Sección],ROW(A476)),"")</f>
        <v/>
      </c>
      <c r="G478" s="376" t="str" cm="1">
        <f t="array" ref="G478">IFERROR(INDEX(Cartera1017[Estado TI],ROW(A476)),"")</f>
        <v/>
      </c>
      <c r="H478" s="463" t="str" cm="1">
        <f t="array" ref="H478">IFERROR(
 IF(
   INDEX(Cartera1017[Comienzo Desarrollo],ROW(A476))=0,
   "",
   INDEX(Cartera1017[Comienzo Desarrollo],ROW(A476))
 ),
 ""
)</f>
        <v/>
      </c>
      <c r="I478" s="463" t="str" cm="1">
        <f t="array" ref="I478">IFERROR(
 IF(
   INDEX(Cartera1017[Fin Producción],ROW(A476))=0,
   "",
   INDEX(Cartera1017[Fin Producción],ROW(A476))
 ),
 ""
)</f>
        <v/>
      </c>
    </row>
    <row r="479" spans="1:9">
      <c r="A479" s="376" t="str" cm="1">
        <f t="array" ref="A479">IFERROR(
 IF(
   INDEX(Cartera1017[ID Mantenimiento],ROW(A477))=0,
   "",
   INDEX(Cartera1017[ID Mantenimiento],ROW(A477))
 ),
 ""
)</f>
        <v/>
      </c>
      <c r="B479" s="376" t="str" cm="1">
        <f t="array" ref="B479">IFERROR(INDEX(Cartera1017[Nombre del Requerimiento],ROW(A477)),"")</f>
        <v/>
      </c>
      <c r="C479" s="376" t="str" cm="1">
        <f t="array" ref="C479">IFERROR(INDEX(Cartera1017[indicador de Avance],ROW(A477)),"")</f>
        <v/>
      </c>
      <c r="D479" s="376" t="str" cm="1">
        <f t="array" ref="D479">IFERROR(INDEX(Cartera1017[Gerencia],ROW(A477)),"")</f>
        <v/>
      </c>
      <c r="E479" s="376" t="str" cm="1">
        <f t="array" ref="E479">IFERROR(INDEX(Cartera1017[Subgerencia],ROW(A477)),"")</f>
        <v/>
      </c>
      <c r="F479" s="376" t="str" cm="1">
        <f t="array" ref="F479">IFERROR(INDEX(Cartera1017[Sección],ROW(A477)),"")</f>
        <v/>
      </c>
      <c r="G479" s="376" t="str" cm="1">
        <f t="array" ref="G479">IFERROR(INDEX(Cartera1017[Estado TI],ROW(A477)),"")</f>
        <v/>
      </c>
      <c r="H479" s="463" t="str" cm="1">
        <f t="array" ref="H479">IFERROR(
 IF(
   INDEX(Cartera1017[Comienzo Desarrollo],ROW(A477))=0,
   "",
   INDEX(Cartera1017[Comienzo Desarrollo],ROW(A477))
 ),
 ""
)</f>
        <v/>
      </c>
      <c r="I479" s="463" t="str" cm="1">
        <f t="array" ref="I479">IFERROR(
 IF(
   INDEX(Cartera1017[Fin Producción],ROW(A477))=0,
   "",
   INDEX(Cartera1017[Fin Producción],ROW(A477))
 ),
 ""
)</f>
        <v/>
      </c>
    </row>
    <row r="480" spans="1:9">
      <c r="A480" s="376" t="str" cm="1">
        <f t="array" ref="A480">IFERROR(
 IF(
   INDEX(Cartera1017[ID Mantenimiento],ROW(A478))=0,
   "",
   INDEX(Cartera1017[ID Mantenimiento],ROW(A478))
 ),
 ""
)</f>
        <v/>
      </c>
      <c r="B480" s="376" t="str" cm="1">
        <f t="array" ref="B480">IFERROR(INDEX(Cartera1017[Nombre del Requerimiento],ROW(A478)),"")</f>
        <v/>
      </c>
      <c r="C480" s="376" t="str" cm="1">
        <f t="array" ref="C480">IFERROR(INDEX(Cartera1017[indicador de Avance],ROW(A478)),"")</f>
        <v/>
      </c>
      <c r="D480" s="376" t="str" cm="1">
        <f t="array" ref="D480">IFERROR(INDEX(Cartera1017[Gerencia],ROW(A478)),"")</f>
        <v/>
      </c>
      <c r="E480" s="376" t="str" cm="1">
        <f t="array" ref="E480">IFERROR(INDEX(Cartera1017[Subgerencia],ROW(A478)),"")</f>
        <v/>
      </c>
      <c r="F480" s="376" t="str" cm="1">
        <f t="array" ref="F480">IFERROR(INDEX(Cartera1017[Sección],ROW(A478)),"")</f>
        <v/>
      </c>
      <c r="G480" s="376" t="str" cm="1">
        <f t="array" ref="G480">IFERROR(INDEX(Cartera1017[Estado TI],ROW(A478)),"")</f>
        <v/>
      </c>
      <c r="H480" s="463" t="str" cm="1">
        <f t="array" ref="H480">IFERROR(
 IF(
   INDEX(Cartera1017[Comienzo Desarrollo],ROW(A478))=0,
   "",
   INDEX(Cartera1017[Comienzo Desarrollo],ROW(A478))
 ),
 ""
)</f>
        <v/>
      </c>
      <c r="I480" s="463" t="str" cm="1">
        <f t="array" ref="I480">IFERROR(
 IF(
   INDEX(Cartera1017[Fin Producción],ROW(A478))=0,
   "",
   INDEX(Cartera1017[Fin Producción],ROW(A478))
 ),
 ""
)</f>
        <v/>
      </c>
    </row>
    <row r="481" spans="1:9">
      <c r="A481" s="376" t="str" cm="1">
        <f t="array" ref="A481">IFERROR(
 IF(
   INDEX(Cartera1017[ID Mantenimiento],ROW(A479))=0,
   "",
   INDEX(Cartera1017[ID Mantenimiento],ROW(A479))
 ),
 ""
)</f>
        <v/>
      </c>
      <c r="B481" s="376" t="str" cm="1">
        <f t="array" ref="B481">IFERROR(INDEX(Cartera1017[Nombre del Requerimiento],ROW(A479)),"")</f>
        <v/>
      </c>
      <c r="C481" s="376" t="str" cm="1">
        <f t="array" ref="C481">IFERROR(INDEX(Cartera1017[indicador de Avance],ROW(A479)),"")</f>
        <v/>
      </c>
      <c r="D481" s="376" t="str" cm="1">
        <f t="array" ref="D481">IFERROR(INDEX(Cartera1017[Gerencia],ROW(A479)),"")</f>
        <v/>
      </c>
      <c r="E481" s="376" t="str" cm="1">
        <f t="array" ref="E481">IFERROR(INDEX(Cartera1017[Subgerencia],ROW(A479)),"")</f>
        <v/>
      </c>
      <c r="F481" s="376" t="str" cm="1">
        <f t="array" ref="F481">IFERROR(INDEX(Cartera1017[Sección],ROW(A479)),"")</f>
        <v/>
      </c>
      <c r="G481" s="376" t="str" cm="1">
        <f t="array" ref="G481">IFERROR(INDEX(Cartera1017[Estado TI],ROW(A479)),"")</f>
        <v/>
      </c>
      <c r="H481" s="463" t="str" cm="1">
        <f t="array" ref="H481">IFERROR(
 IF(
   INDEX(Cartera1017[Comienzo Desarrollo],ROW(A479))=0,
   "",
   INDEX(Cartera1017[Comienzo Desarrollo],ROW(A479))
 ),
 ""
)</f>
        <v/>
      </c>
      <c r="I481" s="463" t="str" cm="1">
        <f t="array" ref="I481">IFERROR(
 IF(
   INDEX(Cartera1017[Fin Producción],ROW(A479))=0,
   "",
   INDEX(Cartera1017[Fin Producción],ROW(A479))
 ),
 ""
)</f>
        <v/>
      </c>
    </row>
    <row r="482" spans="1:9">
      <c r="A482" s="376" t="str" cm="1">
        <f t="array" ref="A482">IFERROR(
 IF(
   INDEX(Cartera1017[ID Mantenimiento],ROW(A480))=0,
   "",
   INDEX(Cartera1017[ID Mantenimiento],ROW(A480))
 ),
 ""
)</f>
        <v/>
      </c>
      <c r="B482" s="376" t="str" cm="1">
        <f t="array" ref="B482">IFERROR(INDEX(Cartera1017[Nombre del Requerimiento],ROW(A480)),"")</f>
        <v/>
      </c>
      <c r="C482" s="376" t="str" cm="1">
        <f t="array" ref="C482">IFERROR(INDEX(Cartera1017[indicador de Avance],ROW(A480)),"")</f>
        <v/>
      </c>
      <c r="D482" s="376" t="str" cm="1">
        <f t="array" ref="D482">IFERROR(INDEX(Cartera1017[Gerencia],ROW(A480)),"")</f>
        <v/>
      </c>
      <c r="E482" s="376" t="str" cm="1">
        <f t="array" ref="E482">IFERROR(INDEX(Cartera1017[Subgerencia],ROW(A480)),"")</f>
        <v/>
      </c>
      <c r="F482" s="376" t="str" cm="1">
        <f t="array" ref="F482">IFERROR(INDEX(Cartera1017[Sección],ROW(A480)),"")</f>
        <v/>
      </c>
      <c r="G482" s="376" t="str" cm="1">
        <f t="array" ref="G482">IFERROR(INDEX(Cartera1017[Estado TI],ROW(A480)),"")</f>
        <v/>
      </c>
      <c r="H482" s="463" t="str" cm="1">
        <f t="array" ref="H482">IFERROR(
 IF(
   INDEX(Cartera1017[Comienzo Desarrollo],ROW(A480))=0,
   "",
   INDEX(Cartera1017[Comienzo Desarrollo],ROW(A480))
 ),
 ""
)</f>
        <v/>
      </c>
      <c r="I482" s="463" t="str" cm="1">
        <f t="array" ref="I482">IFERROR(
 IF(
   INDEX(Cartera1017[Fin Producción],ROW(A480))=0,
   "",
   INDEX(Cartera1017[Fin Producción],ROW(A480))
 ),
 ""
)</f>
        <v/>
      </c>
    </row>
    <row r="483" spans="1:9">
      <c r="A483" s="376" t="str" cm="1">
        <f t="array" ref="A483">IFERROR(
 IF(
   INDEX(Cartera1017[ID Mantenimiento],ROW(A481))=0,
   "",
   INDEX(Cartera1017[ID Mantenimiento],ROW(A481))
 ),
 ""
)</f>
        <v/>
      </c>
      <c r="B483" s="376" t="str" cm="1">
        <f t="array" ref="B483">IFERROR(INDEX(Cartera1017[Nombre del Requerimiento],ROW(A481)),"")</f>
        <v/>
      </c>
      <c r="C483" s="376" t="str" cm="1">
        <f t="array" ref="C483">IFERROR(INDEX(Cartera1017[indicador de Avance],ROW(A481)),"")</f>
        <v/>
      </c>
      <c r="D483" s="376" t="str" cm="1">
        <f t="array" ref="D483">IFERROR(INDEX(Cartera1017[Gerencia],ROW(A481)),"")</f>
        <v/>
      </c>
      <c r="E483" s="376" t="str" cm="1">
        <f t="array" ref="E483">IFERROR(INDEX(Cartera1017[Subgerencia],ROW(A481)),"")</f>
        <v/>
      </c>
      <c r="F483" s="376" t="str" cm="1">
        <f t="array" ref="F483">IFERROR(INDEX(Cartera1017[Sección],ROW(A481)),"")</f>
        <v/>
      </c>
      <c r="G483" s="376" t="str" cm="1">
        <f t="array" ref="G483">IFERROR(INDEX(Cartera1017[Estado TI],ROW(A481)),"")</f>
        <v/>
      </c>
      <c r="H483" s="463" t="str" cm="1">
        <f t="array" ref="H483">IFERROR(
 IF(
   INDEX(Cartera1017[Comienzo Desarrollo],ROW(A481))=0,
   "",
   INDEX(Cartera1017[Comienzo Desarrollo],ROW(A481))
 ),
 ""
)</f>
        <v/>
      </c>
      <c r="I483" s="463" t="str" cm="1">
        <f t="array" ref="I483">IFERROR(
 IF(
   INDEX(Cartera1017[Fin Producción],ROW(A481))=0,
   "",
   INDEX(Cartera1017[Fin Producción],ROW(A481))
 ),
 ""
)</f>
        <v/>
      </c>
    </row>
    <row r="484" spans="1:9">
      <c r="A484" s="376" t="str" cm="1">
        <f t="array" ref="A484">IFERROR(
 IF(
   INDEX(Cartera1017[ID Mantenimiento],ROW(A482))=0,
   "",
   INDEX(Cartera1017[ID Mantenimiento],ROW(A482))
 ),
 ""
)</f>
        <v/>
      </c>
      <c r="B484" s="376" t="str" cm="1">
        <f t="array" ref="B484">IFERROR(INDEX(Cartera1017[Nombre del Requerimiento],ROW(A482)),"")</f>
        <v/>
      </c>
      <c r="C484" s="376" t="str" cm="1">
        <f t="array" ref="C484">IFERROR(INDEX(Cartera1017[indicador de Avance],ROW(A482)),"")</f>
        <v/>
      </c>
      <c r="D484" s="376" t="str" cm="1">
        <f t="array" ref="D484">IFERROR(INDEX(Cartera1017[Gerencia],ROW(A482)),"")</f>
        <v/>
      </c>
      <c r="E484" s="376" t="str" cm="1">
        <f t="array" ref="E484">IFERROR(INDEX(Cartera1017[Subgerencia],ROW(A482)),"")</f>
        <v/>
      </c>
      <c r="F484" s="376" t="str" cm="1">
        <f t="array" ref="F484">IFERROR(INDEX(Cartera1017[Sección],ROW(A482)),"")</f>
        <v/>
      </c>
      <c r="G484" s="376" t="str" cm="1">
        <f t="array" ref="G484">IFERROR(INDEX(Cartera1017[Estado TI],ROW(A482)),"")</f>
        <v/>
      </c>
      <c r="H484" s="463" t="str" cm="1">
        <f t="array" ref="H484">IFERROR(
 IF(
   INDEX(Cartera1017[Comienzo Desarrollo],ROW(A482))=0,
   "",
   INDEX(Cartera1017[Comienzo Desarrollo],ROW(A482))
 ),
 ""
)</f>
        <v/>
      </c>
      <c r="I484" s="463" t="str" cm="1">
        <f t="array" ref="I484">IFERROR(
 IF(
   INDEX(Cartera1017[Fin Producción],ROW(A482))=0,
   "",
   INDEX(Cartera1017[Fin Producción],ROW(A482))
 ),
 ""
)</f>
        <v/>
      </c>
    </row>
    <row r="485" spans="1:9">
      <c r="A485" s="376" t="str" cm="1">
        <f t="array" ref="A485">IFERROR(
 IF(
   INDEX(Cartera1017[ID Mantenimiento],ROW(A483))=0,
   "",
   INDEX(Cartera1017[ID Mantenimiento],ROW(A483))
 ),
 ""
)</f>
        <v/>
      </c>
      <c r="B485" s="376" t="str" cm="1">
        <f t="array" ref="B485">IFERROR(INDEX(Cartera1017[Nombre del Requerimiento],ROW(A483)),"")</f>
        <v/>
      </c>
      <c r="C485" s="376" t="str" cm="1">
        <f t="array" ref="C485">IFERROR(INDEX(Cartera1017[indicador de Avance],ROW(A483)),"")</f>
        <v/>
      </c>
      <c r="D485" s="376" t="str" cm="1">
        <f t="array" ref="D485">IFERROR(INDEX(Cartera1017[Gerencia],ROW(A483)),"")</f>
        <v/>
      </c>
      <c r="E485" s="376" t="str" cm="1">
        <f t="array" ref="E485">IFERROR(INDEX(Cartera1017[Subgerencia],ROW(A483)),"")</f>
        <v/>
      </c>
      <c r="F485" s="376" t="str" cm="1">
        <f t="array" ref="F485">IFERROR(INDEX(Cartera1017[Sección],ROW(A483)),"")</f>
        <v/>
      </c>
      <c r="G485" s="376" t="str" cm="1">
        <f t="array" ref="G485">IFERROR(INDEX(Cartera1017[Estado TI],ROW(A483)),"")</f>
        <v/>
      </c>
      <c r="H485" s="463" t="str" cm="1">
        <f t="array" ref="H485">IFERROR(
 IF(
   INDEX(Cartera1017[Comienzo Desarrollo],ROW(A483))=0,
   "",
   INDEX(Cartera1017[Comienzo Desarrollo],ROW(A483))
 ),
 ""
)</f>
        <v/>
      </c>
      <c r="I485" s="463" t="str" cm="1">
        <f t="array" ref="I485">IFERROR(
 IF(
   INDEX(Cartera1017[Fin Producción],ROW(A483))=0,
   "",
   INDEX(Cartera1017[Fin Producción],ROW(A483))
 ),
 ""
)</f>
        <v/>
      </c>
    </row>
    <row r="486" spans="1:9">
      <c r="A486" s="376" t="str" cm="1">
        <f t="array" ref="A486">IFERROR(
 IF(
   INDEX(Cartera1017[ID Mantenimiento],ROW(A484))=0,
   "",
   INDEX(Cartera1017[ID Mantenimiento],ROW(A484))
 ),
 ""
)</f>
        <v/>
      </c>
      <c r="B486" s="376" t="str" cm="1">
        <f t="array" ref="B486">IFERROR(INDEX(Cartera1017[Nombre del Requerimiento],ROW(A484)),"")</f>
        <v/>
      </c>
      <c r="C486" s="376" t="str" cm="1">
        <f t="array" ref="C486">IFERROR(INDEX(Cartera1017[indicador de Avance],ROW(A484)),"")</f>
        <v/>
      </c>
      <c r="D486" s="376" t="str" cm="1">
        <f t="array" ref="D486">IFERROR(INDEX(Cartera1017[Gerencia],ROW(A484)),"")</f>
        <v/>
      </c>
      <c r="E486" s="376" t="str" cm="1">
        <f t="array" ref="E486">IFERROR(INDEX(Cartera1017[Subgerencia],ROW(A484)),"")</f>
        <v/>
      </c>
      <c r="F486" s="376" t="str" cm="1">
        <f t="array" ref="F486">IFERROR(INDEX(Cartera1017[Sección],ROW(A484)),"")</f>
        <v/>
      </c>
      <c r="G486" s="376" t="str" cm="1">
        <f t="array" ref="G486">IFERROR(INDEX(Cartera1017[Estado TI],ROW(A484)),"")</f>
        <v/>
      </c>
      <c r="H486" s="463" t="str" cm="1">
        <f t="array" ref="H486">IFERROR(
 IF(
   INDEX(Cartera1017[Comienzo Desarrollo],ROW(A484))=0,
   "",
   INDEX(Cartera1017[Comienzo Desarrollo],ROW(A484))
 ),
 ""
)</f>
        <v/>
      </c>
      <c r="I486" s="463" t="str" cm="1">
        <f t="array" ref="I486">IFERROR(
 IF(
   INDEX(Cartera1017[Fin Producción],ROW(A484))=0,
   "",
   INDEX(Cartera1017[Fin Producción],ROW(A484))
 ),
 ""
)</f>
        <v/>
      </c>
    </row>
    <row r="487" spans="1:9">
      <c r="A487" s="376" t="str" cm="1">
        <f t="array" ref="A487">IFERROR(
 IF(
   INDEX(Cartera1017[ID Mantenimiento],ROW(A485))=0,
   "",
   INDEX(Cartera1017[ID Mantenimiento],ROW(A485))
 ),
 ""
)</f>
        <v/>
      </c>
      <c r="B487" s="376" t="str" cm="1">
        <f t="array" ref="B487">IFERROR(INDEX(Cartera1017[Nombre del Requerimiento],ROW(A485)),"")</f>
        <v/>
      </c>
      <c r="C487" s="376" t="str" cm="1">
        <f t="array" ref="C487">IFERROR(INDEX(Cartera1017[indicador de Avance],ROW(A485)),"")</f>
        <v/>
      </c>
      <c r="D487" s="376" t="str" cm="1">
        <f t="array" ref="D487">IFERROR(INDEX(Cartera1017[Gerencia],ROW(A485)),"")</f>
        <v/>
      </c>
      <c r="E487" s="376" t="str" cm="1">
        <f t="array" ref="E487">IFERROR(INDEX(Cartera1017[Subgerencia],ROW(A485)),"")</f>
        <v/>
      </c>
      <c r="F487" s="376" t="str" cm="1">
        <f t="array" ref="F487">IFERROR(INDEX(Cartera1017[Sección],ROW(A485)),"")</f>
        <v/>
      </c>
      <c r="G487" s="376" t="str" cm="1">
        <f t="array" ref="G487">IFERROR(INDEX(Cartera1017[Estado TI],ROW(A485)),"")</f>
        <v/>
      </c>
      <c r="H487" s="463" t="str" cm="1">
        <f t="array" ref="H487">IFERROR(
 IF(
   INDEX(Cartera1017[Comienzo Desarrollo],ROW(A485))=0,
   "",
   INDEX(Cartera1017[Comienzo Desarrollo],ROW(A485))
 ),
 ""
)</f>
        <v/>
      </c>
      <c r="I487" s="463" t="str" cm="1">
        <f t="array" ref="I487">IFERROR(
 IF(
   INDEX(Cartera1017[Fin Producción],ROW(A485))=0,
   "",
   INDEX(Cartera1017[Fin Producción],ROW(A485))
 ),
 ""
)</f>
        <v/>
      </c>
    </row>
    <row r="488" spans="1:9">
      <c r="A488" s="376" t="str" cm="1">
        <f t="array" ref="A488">IFERROR(
 IF(
   INDEX(Cartera1017[ID Mantenimiento],ROW(A486))=0,
   "",
   INDEX(Cartera1017[ID Mantenimiento],ROW(A486))
 ),
 ""
)</f>
        <v/>
      </c>
      <c r="B488" s="376" t="str" cm="1">
        <f t="array" ref="B488">IFERROR(INDEX(Cartera1017[Nombre del Requerimiento],ROW(A486)),"")</f>
        <v/>
      </c>
      <c r="C488" s="376" t="str" cm="1">
        <f t="array" ref="C488">IFERROR(INDEX(Cartera1017[indicador de Avance],ROW(A486)),"")</f>
        <v/>
      </c>
      <c r="D488" s="376" t="str" cm="1">
        <f t="array" ref="D488">IFERROR(INDEX(Cartera1017[Gerencia],ROW(A486)),"")</f>
        <v/>
      </c>
      <c r="E488" s="376" t="str" cm="1">
        <f t="array" ref="E488">IFERROR(INDEX(Cartera1017[Subgerencia],ROW(A486)),"")</f>
        <v/>
      </c>
      <c r="F488" s="376" t="str" cm="1">
        <f t="array" ref="F488">IFERROR(INDEX(Cartera1017[Sección],ROW(A486)),"")</f>
        <v/>
      </c>
      <c r="G488" s="376" t="str" cm="1">
        <f t="array" ref="G488">IFERROR(INDEX(Cartera1017[Estado TI],ROW(A486)),"")</f>
        <v/>
      </c>
      <c r="H488" s="463" t="str" cm="1">
        <f t="array" ref="H488">IFERROR(
 IF(
   INDEX(Cartera1017[Comienzo Desarrollo],ROW(A486))=0,
   "",
   INDEX(Cartera1017[Comienzo Desarrollo],ROW(A486))
 ),
 ""
)</f>
        <v/>
      </c>
      <c r="I488" s="463" t="str" cm="1">
        <f t="array" ref="I488">IFERROR(
 IF(
   INDEX(Cartera1017[Fin Producción],ROW(A486))=0,
   "",
   INDEX(Cartera1017[Fin Producción],ROW(A486))
 ),
 ""
)</f>
        <v/>
      </c>
    </row>
    <row r="489" spans="1:9">
      <c r="A489" s="376" t="str" cm="1">
        <f t="array" ref="A489">IFERROR(
 IF(
   INDEX(Cartera1017[ID Mantenimiento],ROW(A487))=0,
   "",
   INDEX(Cartera1017[ID Mantenimiento],ROW(A487))
 ),
 ""
)</f>
        <v/>
      </c>
      <c r="B489" s="376" t="str" cm="1">
        <f t="array" ref="B489">IFERROR(INDEX(Cartera1017[Nombre del Requerimiento],ROW(A487)),"")</f>
        <v/>
      </c>
      <c r="C489" s="376" t="str" cm="1">
        <f t="array" ref="C489">IFERROR(INDEX(Cartera1017[indicador de Avance],ROW(A487)),"")</f>
        <v/>
      </c>
      <c r="D489" s="376" t="str" cm="1">
        <f t="array" ref="D489">IFERROR(INDEX(Cartera1017[Gerencia],ROW(A487)),"")</f>
        <v/>
      </c>
      <c r="E489" s="376" t="str" cm="1">
        <f t="array" ref="E489">IFERROR(INDEX(Cartera1017[Subgerencia],ROW(A487)),"")</f>
        <v/>
      </c>
      <c r="F489" s="376" t="str" cm="1">
        <f t="array" ref="F489">IFERROR(INDEX(Cartera1017[Sección],ROW(A487)),"")</f>
        <v/>
      </c>
      <c r="G489" s="376" t="str" cm="1">
        <f t="array" ref="G489">IFERROR(INDEX(Cartera1017[Estado TI],ROW(A487)),"")</f>
        <v/>
      </c>
      <c r="H489" s="463" t="str" cm="1">
        <f t="array" ref="H489">IFERROR(
 IF(
   INDEX(Cartera1017[Comienzo Desarrollo],ROW(A487))=0,
   "",
   INDEX(Cartera1017[Comienzo Desarrollo],ROW(A487))
 ),
 ""
)</f>
        <v/>
      </c>
      <c r="I489" s="463" t="str" cm="1">
        <f t="array" ref="I489">IFERROR(
 IF(
   INDEX(Cartera1017[Fin Producción],ROW(A487))=0,
   "",
   INDEX(Cartera1017[Fin Producción],ROW(A487))
 ),
 ""
)</f>
        <v/>
      </c>
    </row>
    <row r="490" spans="1:9">
      <c r="A490" s="376" t="str" cm="1">
        <f t="array" ref="A490">IFERROR(
 IF(
   INDEX(Cartera1017[ID Mantenimiento],ROW(A488))=0,
   "",
   INDEX(Cartera1017[ID Mantenimiento],ROW(A488))
 ),
 ""
)</f>
        <v/>
      </c>
      <c r="B490" s="376" t="str" cm="1">
        <f t="array" ref="B490">IFERROR(INDEX(Cartera1017[Nombre del Requerimiento],ROW(A488)),"")</f>
        <v/>
      </c>
      <c r="C490" s="376" t="str" cm="1">
        <f t="array" ref="C490">IFERROR(INDEX(Cartera1017[indicador de Avance],ROW(A488)),"")</f>
        <v/>
      </c>
      <c r="D490" s="376" t="str" cm="1">
        <f t="array" ref="D490">IFERROR(INDEX(Cartera1017[Gerencia],ROW(A488)),"")</f>
        <v/>
      </c>
      <c r="E490" s="376" t="str" cm="1">
        <f t="array" ref="E490">IFERROR(INDEX(Cartera1017[Subgerencia],ROW(A488)),"")</f>
        <v/>
      </c>
      <c r="F490" s="376" t="str" cm="1">
        <f t="array" ref="F490">IFERROR(INDEX(Cartera1017[Sección],ROW(A488)),"")</f>
        <v/>
      </c>
      <c r="G490" s="376" t="str" cm="1">
        <f t="array" ref="G490">IFERROR(INDEX(Cartera1017[Estado TI],ROW(A488)),"")</f>
        <v/>
      </c>
      <c r="H490" s="463" t="str" cm="1">
        <f t="array" ref="H490">IFERROR(
 IF(
   INDEX(Cartera1017[Comienzo Desarrollo],ROW(A488))=0,
   "",
   INDEX(Cartera1017[Comienzo Desarrollo],ROW(A488))
 ),
 ""
)</f>
        <v/>
      </c>
      <c r="I490" s="463" t="str" cm="1">
        <f t="array" ref="I490">IFERROR(
 IF(
   INDEX(Cartera1017[Fin Producción],ROW(A488))=0,
   "",
   INDEX(Cartera1017[Fin Producción],ROW(A488))
 ),
 ""
)</f>
        <v/>
      </c>
    </row>
    <row r="491" spans="1:9">
      <c r="A491" s="376" t="str" cm="1">
        <f t="array" ref="A491">IFERROR(
 IF(
   INDEX(Cartera1017[ID Mantenimiento],ROW(A489))=0,
   "",
   INDEX(Cartera1017[ID Mantenimiento],ROW(A489))
 ),
 ""
)</f>
        <v/>
      </c>
      <c r="B491" s="376" t="str" cm="1">
        <f t="array" ref="B491">IFERROR(INDEX(Cartera1017[Nombre del Requerimiento],ROW(A489)),"")</f>
        <v/>
      </c>
      <c r="C491" s="376" t="str" cm="1">
        <f t="array" ref="C491">IFERROR(INDEX(Cartera1017[indicador de Avance],ROW(A489)),"")</f>
        <v/>
      </c>
      <c r="D491" s="376" t="str" cm="1">
        <f t="array" ref="D491">IFERROR(INDEX(Cartera1017[Gerencia],ROW(A489)),"")</f>
        <v/>
      </c>
      <c r="E491" s="376" t="str" cm="1">
        <f t="array" ref="E491">IFERROR(INDEX(Cartera1017[Subgerencia],ROW(A489)),"")</f>
        <v/>
      </c>
      <c r="F491" s="376" t="str" cm="1">
        <f t="array" ref="F491">IFERROR(INDEX(Cartera1017[Sección],ROW(A489)),"")</f>
        <v/>
      </c>
      <c r="G491" s="376" t="str" cm="1">
        <f t="array" ref="G491">IFERROR(INDEX(Cartera1017[Estado TI],ROW(A489)),"")</f>
        <v/>
      </c>
      <c r="H491" s="463" t="str" cm="1">
        <f t="array" ref="H491">IFERROR(
 IF(
   INDEX(Cartera1017[Comienzo Desarrollo],ROW(A489))=0,
   "",
   INDEX(Cartera1017[Comienzo Desarrollo],ROW(A489))
 ),
 ""
)</f>
        <v/>
      </c>
      <c r="I491" s="463" t="str" cm="1">
        <f t="array" ref="I491">IFERROR(
 IF(
   INDEX(Cartera1017[Fin Producción],ROW(A489))=0,
   "",
   INDEX(Cartera1017[Fin Producción],ROW(A489))
 ),
 ""
)</f>
        <v/>
      </c>
    </row>
    <row r="492" spans="1:9">
      <c r="A492" s="376" t="str" cm="1">
        <f t="array" ref="A492">IFERROR(
 IF(
   INDEX(Cartera1017[ID Mantenimiento],ROW(A490))=0,
   "",
   INDEX(Cartera1017[ID Mantenimiento],ROW(A490))
 ),
 ""
)</f>
        <v/>
      </c>
      <c r="B492" s="376" t="str" cm="1">
        <f t="array" ref="B492">IFERROR(INDEX(Cartera1017[Nombre del Requerimiento],ROW(A490)),"")</f>
        <v/>
      </c>
      <c r="C492" s="376" t="str" cm="1">
        <f t="array" ref="C492">IFERROR(INDEX(Cartera1017[indicador de Avance],ROW(A490)),"")</f>
        <v/>
      </c>
      <c r="D492" s="376" t="str" cm="1">
        <f t="array" ref="D492">IFERROR(INDEX(Cartera1017[Gerencia],ROW(A490)),"")</f>
        <v/>
      </c>
      <c r="E492" s="376" t="str" cm="1">
        <f t="array" ref="E492">IFERROR(INDEX(Cartera1017[Subgerencia],ROW(A490)),"")</f>
        <v/>
      </c>
      <c r="F492" s="376" t="str" cm="1">
        <f t="array" ref="F492">IFERROR(INDEX(Cartera1017[Sección],ROW(A490)),"")</f>
        <v/>
      </c>
      <c r="G492" s="376" t="str" cm="1">
        <f t="array" ref="G492">IFERROR(INDEX(Cartera1017[Estado TI],ROW(A490)),"")</f>
        <v/>
      </c>
      <c r="H492" s="463" t="str" cm="1">
        <f t="array" ref="H492">IFERROR(
 IF(
   INDEX(Cartera1017[Comienzo Desarrollo],ROW(A490))=0,
   "",
   INDEX(Cartera1017[Comienzo Desarrollo],ROW(A490))
 ),
 ""
)</f>
        <v/>
      </c>
      <c r="I492" s="463" t="str" cm="1">
        <f t="array" ref="I492">IFERROR(
 IF(
   INDEX(Cartera1017[Fin Producción],ROW(A490))=0,
   "",
   INDEX(Cartera1017[Fin Producción],ROW(A490))
 ),
 ""
)</f>
        <v/>
      </c>
    </row>
    <row r="493" spans="1:9">
      <c r="A493" s="376" t="str" cm="1">
        <f t="array" ref="A493">IFERROR(
 IF(
   INDEX(Cartera1017[ID Mantenimiento],ROW(A491))=0,
   "",
   INDEX(Cartera1017[ID Mantenimiento],ROW(A491))
 ),
 ""
)</f>
        <v/>
      </c>
      <c r="B493" s="376" t="str" cm="1">
        <f t="array" ref="B493">IFERROR(INDEX(Cartera1017[Nombre del Requerimiento],ROW(A491)),"")</f>
        <v/>
      </c>
      <c r="C493" s="376" t="str" cm="1">
        <f t="array" ref="C493">IFERROR(INDEX(Cartera1017[indicador de Avance],ROW(A491)),"")</f>
        <v/>
      </c>
      <c r="D493" s="376" t="str" cm="1">
        <f t="array" ref="D493">IFERROR(INDEX(Cartera1017[Gerencia],ROW(A491)),"")</f>
        <v/>
      </c>
      <c r="E493" s="376" t="str" cm="1">
        <f t="array" ref="E493">IFERROR(INDEX(Cartera1017[Subgerencia],ROW(A491)),"")</f>
        <v/>
      </c>
      <c r="F493" s="376" t="str" cm="1">
        <f t="array" ref="F493">IFERROR(INDEX(Cartera1017[Sección],ROW(A491)),"")</f>
        <v/>
      </c>
      <c r="G493" s="376" t="str" cm="1">
        <f t="array" ref="G493">IFERROR(INDEX(Cartera1017[Estado TI],ROW(A491)),"")</f>
        <v/>
      </c>
      <c r="H493" s="463" t="str" cm="1">
        <f t="array" ref="H493">IFERROR(
 IF(
   INDEX(Cartera1017[Comienzo Desarrollo],ROW(A491))=0,
   "",
   INDEX(Cartera1017[Comienzo Desarrollo],ROW(A491))
 ),
 ""
)</f>
        <v/>
      </c>
      <c r="I493" s="463" t="str" cm="1">
        <f t="array" ref="I493">IFERROR(
 IF(
   INDEX(Cartera1017[Fin Producción],ROW(A491))=0,
   "",
   INDEX(Cartera1017[Fin Producción],ROW(A491))
 ),
 ""
)</f>
        <v/>
      </c>
    </row>
    <row r="494" spans="1:9">
      <c r="A494" s="376" t="str" cm="1">
        <f t="array" ref="A494">IFERROR(
 IF(
   INDEX(Cartera1017[ID Mantenimiento],ROW(A492))=0,
   "",
   INDEX(Cartera1017[ID Mantenimiento],ROW(A492))
 ),
 ""
)</f>
        <v/>
      </c>
      <c r="B494" s="376" t="str" cm="1">
        <f t="array" ref="B494">IFERROR(INDEX(Cartera1017[Nombre del Requerimiento],ROW(A492)),"")</f>
        <v/>
      </c>
      <c r="C494" s="376" t="str" cm="1">
        <f t="array" ref="C494">IFERROR(INDEX(Cartera1017[indicador de Avance],ROW(A492)),"")</f>
        <v/>
      </c>
      <c r="D494" s="376" t="str" cm="1">
        <f t="array" ref="D494">IFERROR(INDEX(Cartera1017[Gerencia],ROW(A492)),"")</f>
        <v/>
      </c>
      <c r="E494" s="376" t="str" cm="1">
        <f t="array" ref="E494">IFERROR(INDEX(Cartera1017[Subgerencia],ROW(A492)),"")</f>
        <v/>
      </c>
      <c r="F494" s="376" t="str" cm="1">
        <f t="array" ref="F494">IFERROR(INDEX(Cartera1017[Sección],ROW(A492)),"")</f>
        <v/>
      </c>
      <c r="G494" s="376" t="str" cm="1">
        <f t="array" ref="G494">IFERROR(INDEX(Cartera1017[Estado TI],ROW(A492)),"")</f>
        <v/>
      </c>
      <c r="H494" s="463" t="str" cm="1">
        <f t="array" ref="H494">IFERROR(
 IF(
   INDEX(Cartera1017[Comienzo Desarrollo],ROW(A492))=0,
   "",
   INDEX(Cartera1017[Comienzo Desarrollo],ROW(A492))
 ),
 ""
)</f>
        <v/>
      </c>
      <c r="I494" s="463" t="str" cm="1">
        <f t="array" ref="I494">IFERROR(
 IF(
   INDEX(Cartera1017[Fin Producción],ROW(A492))=0,
   "",
   INDEX(Cartera1017[Fin Producción],ROW(A492))
 ),
 ""
)</f>
        <v/>
      </c>
    </row>
    <row r="495" spans="1:9">
      <c r="A495" s="376" t="str" cm="1">
        <f t="array" ref="A495">IFERROR(
 IF(
   INDEX(Cartera1017[ID Mantenimiento],ROW(A493))=0,
   "",
   INDEX(Cartera1017[ID Mantenimiento],ROW(A493))
 ),
 ""
)</f>
        <v/>
      </c>
      <c r="B495" s="376" t="str" cm="1">
        <f t="array" ref="B495">IFERROR(INDEX(Cartera1017[Nombre del Requerimiento],ROW(A493)),"")</f>
        <v/>
      </c>
      <c r="C495" s="376" t="str" cm="1">
        <f t="array" ref="C495">IFERROR(INDEX(Cartera1017[indicador de Avance],ROW(A493)),"")</f>
        <v/>
      </c>
      <c r="D495" s="376" t="str" cm="1">
        <f t="array" ref="D495">IFERROR(INDEX(Cartera1017[Gerencia],ROW(A493)),"")</f>
        <v/>
      </c>
      <c r="E495" s="376" t="str" cm="1">
        <f t="array" ref="E495">IFERROR(INDEX(Cartera1017[Subgerencia],ROW(A493)),"")</f>
        <v/>
      </c>
      <c r="F495" s="376" t="str" cm="1">
        <f t="array" ref="F495">IFERROR(INDEX(Cartera1017[Sección],ROW(A493)),"")</f>
        <v/>
      </c>
      <c r="G495" s="376" t="str" cm="1">
        <f t="array" ref="G495">IFERROR(INDEX(Cartera1017[Estado TI],ROW(A493)),"")</f>
        <v/>
      </c>
      <c r="H495" s="463" t="str" cm="1">
        <f t="array" ref="H495">IFERROR(
 IF(
   INDEX(Cartera1017[Comienzo Desarrollo],ROW(A493))=0,
   "",
   INDEX(Cartera1017[Comienzo Desarrollo],ROW(A493))
 ),
 ""
)</f>
        <v/>
      </c>
      <c r="I495" s="463" t="str" cm="1">
        <f t="array" ref="I495">IFERROR(
 IF(
   INDEX(Cartera1017[Fin Producción],ROW(A493))=0,
   "",
   INDEX(Cartera1017[Fin Producción],ROW(A493))
 ),
 ""
)</f>
        <v/>
      </c>
    </row>
    <row r="496" spans="1:9">
      <c r="A496" s="376" t="str" cm="1">
        <f t="array" ref="A496">IFERROR(
 IF(
   INDEX(Cartera1017[ID Mantenimiento],ROW(A494))=0,
   "",
   INDEX(Cartera1017[ID Mantenimiento],ROW(A494))
 ),
 ""
)</f>
        <v/>
      </c>
      <c r="B496" s="376" t="str" cm="1">
        <f t="array" ref="B496">IFERROR(INDEX(Cartera1017[Nombre del Requerimiento],ROW(A494)),"")</f>
        <v/>
      </c>
      <c r="C496" s="376" t="str" cm="1">
        <f t="array" ref="C496">IFERROR(INDEX(Cartera1017[indicador de Avance],ROW(A494)),"")</f>
        <v/>
      </c>
      <c r="D496" s="376" t="str" cm="1">
        <f t="array" ref="D496">IFERROR(INDEX(Cartera1017[Gerencia],ROW(A494)),"")</f>
        <v/>
      </c>
      <c r="E496" s="376" t="str" cm="1">
        <f t="array" ref="E496">IFERROR(INDEX(Cartera1017[Subgerencia],ROW(A494)),"")</f>
        <v/>
      </c>
      <c r="F496" s="376" t="str" cm="1">
        <f t="array" ref="F496">IFERROR(INDEX(Cartera1017[Sección],ROW(A494)),"")</f>
        <v/>
      </c>
      <c r="G496" s="376" t="str" cm="1">
        <f t="array" ref="G496">IFERROR(INDEX(Cartera1017[Estado TI],ROW(A494)),"")</f>
        <v/>
      </c>
      <c r="H496" s="463" t="str" cm="1">
        <f t="array" ref="H496">IFERROR(
 IF(
   INDEX(Cartera1017[Comienzo Desarrollo],ROW(A494))=0,
   "",
   INDEX(Cartera1017[Comienzo Desarrollo],ROW(A494))
 ),
 ""
)</f>
        <v/>
      </c>
      <c r="I496" s="463" t="str" cm="1">
        <f t="array" ref="I496">IFERROR(
 IF(
   INDEX(Cartera1017[Fin Producción],ROW(A494))=0,
   "",
   INDEX(Cartera1017[Fin Producción],ROW(A494))
 ),
 ""
)</f>
        <v/>
      </c>
    </row>
    <row r="497" spans="1:9">
      <c r="A497" s="376" t="str" cm="1">
        <f t="array" ref="A497">IFERROR(
 IF(
   INDEX(Cartera1017[ID Mantenimiento],ROW(A495))=0,
   "",
   INDEX(Cartera1017[ID Mantenimiento],ROW(A495))
 ),
 ""
)</f>
        <v/>
      </c>
      <c r="B497" s="376" t="str" cm="1">
        <f t="array" ref="B497">IFERROR(INDEX(Cartera1017[Nombre del Requerimiento],ROW(A495)),"")</f>
        <v/>
      </c>
      <c r="C497" s="376" t="str" cm="1">
        <f t="array" ref="C497">IFERROR(INDEX(Cartera1017[indicador de Avance],ROW(A495)),"")</f>
        <v/>
      </c>
      <c r="D497" s="376" t="str" cm="1">
        <f t="array" ref="D497">IFERROR(INDEX(Cartera1017[Gerencia],ROW(A495)),"")</f>
        <v/>
      </c>
      <c r="E497" s="376" t="str" cm="1">
        <f t="array" ref="E497">IFERROR(INDEX(Cartera1017[Subgerencia],ROW(A495)),"")</f>
        <v/>
      </c>
      <c r="F497" s="376" t="str" cm="1">
        <f t="array" ref="F497">IFERROR(INDEX(Cartera1017[Sección],ROW(A495)),"")</f>
        <v/>
      </c>
      <c r="G497" s="376" t="str" cm="1">
        <f t="array" ref="G497">IFERROR(INDEX(Cartera1017[Estado TI],ROW(A495)),"")</f>
        <v/>
      </c>
      <c r="H497" s="463" t="str" cm="1">
        <f t="array" ref="H497">IFERROR(
 IF(
   INDEX(Cartera1017[Comienzo Desarrollo],ROW(A495))=0,
   "",
   INDEX(Cartera1017[Comienzo Desarrollo],ROW(A495))
 ),
 ""
)</f>
        <v/>
      </c>
      <c r="I497" s="463" t="str" cm="1">
        <f t="array" ref="I497">IFERROR(
 IF(
   INDEX(Cartera1017[Fin Producción],ROW(A495))=0,
   "",
   INDEX(Cartera1017[Fin Producción],ROW(A495))
 ),
 ""
)</f>
        <v/>
      </c>
    </row>
    <row r="498" spans="1:9">
      <c r="A498" s="376" t="str" cm="1">
        <f t="array" ref="A498">IFERROR(
 IF(
   INDEX(Cartera1017[ID Mantenimiento],ROW(A496))=0,
   "",
   INDEX(Cartera1017[ID Mantenimiento],ROW(A496))
 ),
 ""
)</f>
        <v/>
      </c>
      <c r="B498" s="376" t="str" cm="1">
        <f t="array" ref="B498">IFERROR(INDEX(Cartera1017[Nombre del Requerimiento],ROW(A496)),"")</f>
        <v/>
      </c>
      <c r="C498" s="376" t="str" cm="1">
        <f t="array" ref="C498">IFERROR(INDEX(Cartera1017[indicador de Avance],ROW(A496)),"")</f>
        <v/>
      </c>
      <c r="D498" s="376" t="str" cm="1">
        <f t="array" ref="D498">IFERROR(INDEX(Cartera1017[Gerencia],ROW(A496)),"")</f>
        <v/>
      </c>
      <c r="E498" s="376" t="str" cm="1">
        <f t="array" ref="E498">IFERROR(INDEX(Cartera1017[Subgerencia],ROW(A496)),"")</f>
        <v/>
      </c>
      <c r="F498" s="376" t="str" cm="1">
        <f t="array" ref="F498">IFERROR(INDEX(Cartera1017[Sección],ROW(A496)),"")</f>
        <v/>
      </c>
      <c r="G498" s="376" t="str" cm="1">
        <f t="array" ref="G498">IFERROR(INDEX(Cartera1017[Estado TI],ROW(A496)),"")</f>
        <v/>
      </c>
      <c r="H498" s="463" t="str" cm="1">
        <f t="array" ref="H498">IFERROR(
 IF(
   INDEX(Cartera1017[Comienzo Desarrollo],ROW(A496))=0,
   "",
   INDEX(Cartera1017[Comienzo Desarrollo],ROW(A496))
 ),
 ""
)</f>
        <v/>
      </c>
      <c r="I498" s="463" t="str" cm="1">
        <f t="array" ref="I498">IFERROR(
 IF(
   INDEX(Cartera1017[Fin Producción],ROW(A496))=0,
   "",
   INDEX(Cartera1017[Fin Producción],ROW(A496))
 ),
 ""
)</f>
        <v/>
      </c>
    </row>
    <row r="499" spans="1:9">
      <c r="A499" s="376" t="str" cm="1">
        <f t="array" ref="A499">IFERROR(
 IF(
   INDEX(Cartera1017[ID Mantenimiento],ROW(A497))=0,
   "",
   INDEX(Cartera1017[ID Mantenimiento],ROW(A497))
 ),
 ""
)</f>
        <v/>
      </c>
      <c r="B499" s="376" t="str" cm="1">
        <f t="array" ref="B499">IFERROR(INDEX(Cartera1017[Nombre del Requerimiento],ROW(A497)),"")</f>
        <v/>
      </c>
      <c r="C499" s="376" t="str" cm="1">
        <f t="array" ref="C499">IFERROR(INDEX(Cartera1017[indicador de Avance],ROW(A497)),"")</f>
        <v/>
      </c>
      <c r="D499" s="376" t="str" cm="1">
        <f t="array" ref="D499">IFERROR(INDEX(Cartera1017[Gerencia],ROW(A497)),"")</f>
        <v/>
      </c>
      <c r="E499" s="376" t="str" cm="1">
        <f t="array" ref="E499">IFERROR(INDEX(Cartera1017[Subgerencia],ROW(A497)),"")</f>
        <v/>
      </c>
      <c r="F499" s="376" t="str" cm="1">
        <f t="array" ref="F499">IFERROR(INDEX(Cartera1017[Sección],ROW(A497)),"")</f>
        <v/>
      </c>
      <c r="G499" s="376" t="str" cm="1">
        <f t="array" ref="G499">IFERROR(INDEX(Cartera1017[Estado TI],ROW(A497)),"")</f>
        <v/>
      </c>
      <c r="H499" s="463" t="str" cm="1">
        <f t="array" ref="H499">IFERROR(
 IF(
   INDEX(Cartera1017[Comienzo Desarrollo],ROW(A497))=0,
   "",
   INDEX(Cartera1017[Comienzo Desarrollo],ROW(A497))
 ),
 ""
)</f>
        <v/>
      </c>
      <c r="I499" s="463" t="str" cm="1">
        <f t="array" ref="I499">IFERROR(
 IF(
   INDEX(Cartera1017[Fin Producción],ROW(A497))=0,
   "",
   INDEX(Cartera1017[Fin Producción],ROW(A497))
 ),
 ""
)</f>
        <v/>
      </c>
    </row>
    <row r="500" spans="1:9">
      <c r="A500" s="376" t="str" cm="1">
        <f t="array" ref="A500">IFERROR(
 IF(
   INDEX(Cartera1017[ID Mantenimiento],ROW(A498))=0,
   "",
   INDEX(Cartera1017[ID Mantenimiento],ROW(A498))
 ),
 ""
)</f>
        <v/>
      </c>
      <c r="B500" s="376" t="str" cm="1">
        <f t="array" ref="B500">IFERROR(INDEX(Cartera1017[Nombre del Requerimiento],ROW(A498)),"")</f>
        <v/>
      </c>
      <c r="C500" s="376" t="str" cm="1">
        <f t="array" ref="C500">IFERROR(INDEX(Cartera1017[indicador de Avance],ROW(A498)),"")</f>
        <v/>
      </c>
      <c r="D500" s="376" t="str" cm="1">
        <f t="array" ref="D500">IFERROR(INDEX(Cartera1017[Gerencia],ROW(A498)),"")</f>
        <v/>
      </c>
      <c r="E500" s="376" t="str" cm="1">
        <f t="array" ref="E500">IFERROR(INDEX(Cartera1017[Subgerencia],ROW(A498)),"")</f>
        <v/>
      </c>
      <c r="F500" s="376" t="str" cm="1">
        <f t="array" ref="F500">IFERROR(INDEX(Cartera1017[Sección],ROW(A498)),"")</f>
        <v/>
      </c>
      <c r="G500" s="376" t="str" cm="1">
        <f t="array" ref="G500">IFERROR(INDEX(Cartera1017[Estado TI],ROW(A498)),"")</f>
        <v/>
      </c>
      <c r="H500" s="463" t="str" cm="1">
        <f t="array" ref="H500">IFERROR(
 IF(
   INDEX(Cartera1017[Comienzo Desarrollo],ROW(A498))=0,
   "",
   INDEX(Cartera1017[Comienzo Desarrollo],ROW(A498))
 ),
 ""
)</f>
        <v/>
      </c>
      <c r="I500" s="463" t="str" cm="1">
        <f t="array" ref="I500">IFERROR(
 IF(
   INDEX(Cartera1017[Fin Producción],ROW(A498))=0,
   "",
   INDEX(Cartera1017[Fin Producción],ROW(A498))
 ),
 ""
)</f>
        <v/>
      </c>
    </row>
    <row r="501" spans="1:9">
      <c r="A501" s="376" t="str" cm="1">
        <f t="array" ref="A501">IFERROR(
 IF(
   INDEX(Cartera1017[ID Mantenimiento],ROW(A499))=0,
   "",
   INDEX(Cartera1017[ID Mantenimiento],ROW(A499))
 ),
 ""
)</f>
        <v/>
      </c>
      <c r="B501" s="376" t="str" cm="1">
        <f t="array" ref="B501">IFERROR(INDEX(Cartera1017[Nombre del Requerimiento],ROW(A499)),"")</f>
        <v/>
      </c>
      <c r="C501" s="376" t="str" cm="1">
        <f t="array" ref="C501">IFERROR(INDEX(Cartera1017[indicador de Avance],ROW(A499)),"")</f>
        <v/>
      </c>
      <c r="D501" s="376" t="str" cm="1">
        <f t="array" ref="D501">IFERROR(INDEX(Cartera1017[Gerencia],ROW(A499)),"")</f>
        <v/>
      </c>
      <c r="E501" s="376" t="str" cm="1">
        <f t="array" ref="E501">IFERROR(INDEX(Cartera1017[Subgerencia],ROW(A499)),"")</f>
        <v/>
      </c>
      <c r="F501" s="376" t="str" cm="1">
        <f t="array" ref="F501">IFERROR(INDEX(Cartera1017[Sección],ROW(A499)),"")</f>
        <v/>
      </c>
      <c r="G501" s="376" t="str" cm="1">
        <f t="array" ref="G501">IFERROR(INDEX(Cartera1017[Estado TI],ROW(A499)),"")</f>
        <v/>
      </c>
      <c r="H501" s="463" t="str" cm="1">
        <f t="array" ref="H501">IFERROR(
 IF(
   INDEX(Cartera1017[Comienzo Desarrollo],ROW(A499))=0,
   "",
   INDEX(Cartera1017[Comienzo Desarrollo],ROW(A499))
 ),
 ""
)</f>
        <v/>
      </c>
      <c r="I501" s="463" t="str" cm="1">
        <f t="array" ref="I501">IFERROR(
 IF(
   INDEX(Cartera1017[Fin Producción],ROW(A499))=0,
   "",
   INDEX(Cartera1017[Fin Producción],ROW(A499))
 ),
 ""
)</f>
        <v/>
      </c>
    </row>
    <row r="542" spans="2:3">
      <c r="B542" s="463" cm="1">
        <f t="array" ref="B542">IFERROR(
 IF(
   INDEX(Cartera1017[Fin Producción],ROW(A117))=0,
   "",
   INDEX(Cartera1017[Fin Producción],ROW(A117))
 ),
 ""
)</f>
        <v>46108</v>
      </c>
      <c r="C542" s="463"/>
    </row>
  </sheetData>
  <autoFilter ref="A2:I501" xr:uid="{FF6D14DC-6D85-4966-B755-15C2A37E3D71}"/>
  <mergeCells count="3">
    <mergeCell ref="K1:L1"/>
    <mergeCell ref="M1:R1"/>
    <mergeCell ref="S1:X1"/>
  </mergeCells>
  <conditionalFormatting sqref="J3:X118 J120:X235">
    <cfRule type="expression" dxfId="419" priority="1">
      <formula>AND(  J$2&gt;=DATE(YEAR($H3),MONTH($H3),1),  J$2&lt;=IF(       $I3="",       DATE(YEAR(TODAY()),MONTH(TODAY()),1),       DATE(YEAR($I3),MONTH($I3),1)  ) )</formula>
    </cfRule>
  </conditionalFormatting>
  <conditionalFormatting sqref="J119:X119">
    <cfRule type="expression" dxfId="418" priority="6506">
      <formula>AND(  J$2&gt;=DATE(YEAR($H119),MONTH($H119),1),  J$2&lt;=IF(       $B542="",       DATE(YEAR(TODAY()),MONTH(TODAY()),1),       DATE(YEAR($B542),MONTH($B542),1)  ) )</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D4D45-D1AB-4D8B-AD36-BFC8F904049C}">
  <sheetPr codeName="Hoja10"/>
  <dimension ref="A1:H75"/>
  <sheetViews>
    <sheetView workbookViewId="0">
      <selection activeCell="B28" sqref="B28"/>
    </sheetView>
  </sheetViews>
  <sheetFormatPr defaultColWidth="11.42578125" defaultRowHeight="15"/>
  <cols>
    <col min="1" max="1" width="19.7109375" bestFit="1" customWidth="1"/>
    <col min="2" max="2" width="32" bestFit="1" customWidth="1"/>
    <col min="3" max="3" width="14" bestFit="1" customWidth="1"/>
    <col min="7" max="7" width="32" bestFit="1" customWidth="1"/>
    <col min="8" max="8" width="27.140625" bestFit="1" customWidth="1"/>
  </cols>
  <sheetData>
    <row r="1" spans="1:8">
      <c r="A1" t="s">
        <v>3</v>
      </c>
      <c r="B1" t="s">
        <v>16</v>
      </c>
      <c r="C1" t="s">
        <v>2346</v>
      </c>
    </row>
    <row r="2" spans="1:8">
      <c r="A2" t="s">
        <v>44</v>
      </c>
      <c r="B2" t="s">
        <v>49</v>
      </c>
      <c r="C2">
        <v>1.6</v>
      </c>
    </row>
    <row r="3" spans="1:8">
      <c r="A3" t="s">
        <v>57</v>
      </c>
      <c r="B3" t="s">
        <v>49</v>
      </c>
      <c r="C3">
        <v>1.6</v>
      </c>
    </row>
    <row r="4" spans="1:8">
      <c r="A4" t="s">
        <v>97</v>
      </c>
      <c r="B4" t="s">
        <v>49</v>
      </c>
      <c r="C4">
        <v>1.6</v>
      </c>
      <c r="G4" s="24" t="s">
        <v>2347</v>
      </c>
      <c r="H4" t="s">
        <v>2348</v>
      </c>
    </row>
    <row r="5" spans="1:8">
      <c r="A5" t="s">
        <v>222</v>
      </c>
      <c r="B5" t="s">
        <v>49</v>
      </c>
      <c r="C5">
        <v>1.6</v>
      </c>
      <c r="G5" s="25" t="s">
        <v>30</v>
      </c>
      <c r="H5">
        <v>11</v>
      </c>
    </row>
    <row r="6" spans="1:8">
      <c r="A6" t="s">
        <v>55</v>
      </c>
      <c r="B6" t="s">
        <v>54</v>
      </c>
      <c r="C6">
        <v>1.1428571428571428</v>
      </c>
      <c r="G6" s="25" t="s">
        <v>54</v>
      </c>
      <c r="H6">
        <v>7</v>
      </c>
    </row>
    <row r="7" spans="1:8">
      <c r="A7" t="s">
        <v>68</v>
      </c>
      <c r="B7" t="s">
        <v>54</v>
      </c>
      <c r="C7">
        <v>1.1428571428571428</v>
      </c>
      <c r="G7" s="25" t="s">
        <v>43</v>
      </c>
      <c r="H7">
        <v>7</v>
      </c>
    </row>
    <row r="8" spans="1:8">
      <c r="A8" t="s">
        <v>218</v>
      </c>
      <c r="B8" t="s">
        <v>54</v>
      </c>
      <c r="C8">
        <v>1.1428571428571428</v>
      </c>
      <c r="G8" s="25" t="s">
        <v>150</v>
      </c>
      <c r="H8">
        <v>5</v>
      </c>
    </row>
    <row r="9" spans="1:8">
      <c r="A9" t="s">
        <v>232</v>
      </c>
      <c r="B9" t="s">
        <v>54</v>
      </c>
      <c r="C9">
        <v>1.1428571428571428</v>
      </c>
      <c r="G9" s="25" t="s">
        <v>49</v>
      </c>
      <c r="H9">
        <v>5</v>
      </c>
    </row>
    <row r="10" spans="1:8">
      <c r="A10" t="s">
        <v>92</v>
      </c>
      <c r="B10" t="s">
        <v>153</v>
      </c>
      <c r="C10">
        <v>2</v>
      </c>
      <c r="G10" s="25" t="s">
        <v>210</v>
      </c>
      <c r="H10">
        <v>4</v>
      </c>
    </row>
    <row r="11" spans="1:8">
      <c r="A11" t="s">
        <v>203</v>
      </c>
      <c r="B11" t="s">
        <v>153</v>
      </c>
      <c r="C11">
        <v>2</v>
      </c>
      <c r="G11" s="25" t="s">
        <v>153</v>
      </c>
      <c r="H11">
        <v>4</v>
      </c>
    </row>
    <row r="12" spans="1:8">
      <c r="A12" t="s">
        <v>206</v>
      </c>
      <c r="B12" t="s">
        <v>153</v>
      </c>
      <c r="C12">
        <v>2</v>
      </c>
      <c r="G12" s="25" t="s">
        <v>139</v>
      </c>
      <c r="H12">
        <v>4</v>
      </c>
    </row>
    <row r="13" spans="1:8">
      <c r="A13" t="s">
        <v>92</v>
      </c>
      <c r="B13" t="s">
        <v>139</v>
      </c>
      <c r="C13">
        <v>2</v>
      </c>
      <c r="G13" s="25" t="s">
        <v>105</v>
      </c>
      <c r="H13">
        <v>3</v>
      </c>
    </row>
    <row r="14" spans="1:8">
      <c r="A14" t="s">
        <v>137</v>
      </c>
      <c r="B14" t="s">
        <v>139</v>
      </c>
      <c r="C14">
        <v>2</v>
      </c>
      <c r="G14" s="25" t="s">
        <v>123</v>
      </c>
      <c r="H14">
        <v>3</v>
      </c>
    </row>
    <row r="15" spans="1:8">
      <c r="A15" t="s">
        <v>203</v>
      </c>
      <c r="B15" t="s">
        <v>139</v>
      </c>
      <c r="C15">
        <v>2</v>
      </c>
      <c r="G15" s="25" t="s">
        <v>190</v>
      </c>
      <c r="H15">
        <v>3</v>
      </c>
    </row>
    <row r="16" spans="1:8">
      <c r="A16" t="s">
        <v>103</v>
      </c>
      <c r="B16" t="s">
        <v>105</v>
      </c>
      <c r="C16">
        <v>2.6666666666666665</v>
      </c>
      <c r="G16" s="25" t="s">
        <v>37</v>
      </c>
      <c r="H16">
        <v>2</v>
      </c>
    </row>
    <row r="17" spans="1:8">
      <c r="A17" t="s">
        <v>119</v>
      </c>
      <c r="B17" t="s">
        <v>43</v>
      </c>
      <c r="C17">
        <v>1.1428571428571428</v>
      </c>
      <c r="G17" s="25" t="s">
        <v>76</v>
      </c>
      <c r="H17">
        <v>2</v>
      </c>
    </row>
    <row r="18" spans="1:8">
      <c r="A18" t="s">
        <v>156</v>
      </c>
      <c r="B18" t="s">
        <v>43</v>
      </c>
      <c r="C18">
        <v>1.1428571428571428</v>
      </c>
      <c r="G18" s="25" t="s">
        <v>2349</v>
      </c>
      <c r="H18">
        <v>2</v>
      </c>
    </row>
    <row r="19" spans="1:8">
      <c r="A19" t="s">
        <v>124</v>
      </c>
      <c r="B19" t="s">
        <v>126</v>
      </c>
      <c r="C19">
        <v>4</v>
      </c>
      <c r="G19" s="25" t="s">
        <v>126</v>
      </c>
      <c r="H19">
        <v>2</v>
      </c>
    </row>
    <row r="20" spans="1:8">
      <c r="A20" t="s">
        <v>176</v>
      </c>
      <c r="B20" t="s">
        <v>126</v>
      </c>
      <c r="C20">
        <v>4</v>
      </c>
      <c r="G20" s="25" t="s">
        <v>324</v>
      </c>
      <c r="H20">
        <v>2</v>
      </c>
    </row>
    <row r="21" spans="1:8">
      <c r="A21" t="s">
        <v>174</v>
      </c>
      <c r="B21" t="s">
        <v>123</v>
      </c>
      <c r="C21">
        <v>2.6666666666666665</v>
      </c>
      <c r="G21" s="25" t="s">
        <v>2350</v>
      </c>
      <c r="H21">
        <v>1</v>
      </c>
    </row>
    <row r="22" spans="1:8">
      <c r="A22" t="s">
        <v>176</v>
      </c>
      <c r="B22" t="s">
        <v>150</v>
      </c>
      <c r="C22">
        <v>1.6</v>
      </c>
      <c r="G22" s="25" t="s">
        <v>133</v>
      </c>
      <c r="H22">
        <v>1</v>
      </c>
    </row>
    <row r="23" spans="1:8">
      <c r="A23" t="s">
        <v>186</v>
      </c>
      <c r="B23" t="s">
        <v>84</v>
      </c>
      <c r="C23">
        <v>8</v>
      </c>
      <c r="G23" s="25" t="s">
        <v>165</v>
      </c>
      <c r="H23">
        <v>1</v>
      </c>
    </row>
    <row r="24" spans="1:8">
      <c r="A24" t="s">
        <v>203</v>
      </c>
      <c r="B24" t="s">
        <v>2351</v>
      </c>
      <c r="C24">
        <v>8</v>
      </c>
      <c r="G24" s="25" t="s">
        <v>84</v>
      </c>
      <c r="H24">
        <v>1</v>
      </c>
    </row>
    <row r="25" spans="1:8">
      <c r="A25" t="s">
        <v>208</v>
      </c>
      <c r="B25" t="s">
        <v>210</v>
      </c>
      <c r="C25">
        <v>2</v>
      </c>
      <c r="G25" s="25" t="s">
        <v>217</v>
      </c>
      <c r="H25">
        <v>1</v>
      </c>
    </row>
    <row r="26" spans="1:8">
      <c r="A26" t="s">
        <v>215</v>
      </c>
      <c r="B26" t="s">
        <v>217</v>
      </c>
      <c r="C26">
        <v>8</v>
      </c>
      <c r="G26" s="25" t="s">
        <v>356</v>
      </c>
      <c r="H26">
        <v>1</v>
      </c>
    </row>
    <row r="27" spans="1:8">
      <c r="A27" t="s">
        <v>237</v>
      </c>
      <c r="B27" t="s">
        <v>123</v>
      </c>
      <c r="C27">
        <v>2.6666666666666665</v>
      </c>
      <c r="G27" s="25" t="s">
        <v>2351</v>
      </c>
      <c r="H27">
        <v>1</v>
      </c>
    </row>
    <row r="28" spans="1:8">
      <c r="A28" t="s">
        <v>241</v>
      </c>
      <c r="B28" t="s">
        <v>30</v>
      </c>
      <c r="C28">
        <v>0.72727272727272729</v>
      </c>
      <c r="G28" s="25" t="s">
        <v>317</v>
      </c>
      <c r="H28">
        <v>1</v>
      </c>
    </row>
    <row r="29" spans="1:8">
      <c r="A29" t="s">
        <v>251</v>
      </c>
      <c r="B29" t="s">
        <v>190</v>
      </c>
      <c r="C29">
        <v>2.6666666666666665</v>
      </c>
      <c r="G29" s="25" t="s">
        <v>2318</v>
      </c>
      <c r="H29">
        <v>74</v>
      </c>
    </row>
    <row r="30" spans="1:8">
      <c r="A30" t="s">
        <v>258</v>
      </c>
      <c r="B30" t="s">
        <v>43</v>
      </c>
      <c r="C30">
        <v>1.1428571428571428</v>
      </c>
    </row>
    <row r="31" spans="1:8">
      <c r="A31" t="s">
        <v>260</v>
      </c>
      <c r="B31" t="s">
        <v>30</v>
      </c>
      <c r="C31">
        <v>0.72727272727272729</v>
      </c>
    </row>
    <row r="32" spans="1:8">
      <c r="A32" t="s">
        <v>262</v>
      </c>
      <c r="B32" t="s">
        <v>30</v>
      </c>
      <c r="C32">
        <v>0.72727272727272729</v>
      </c>
    </row>
    <row r="33" spans="1:3">
      <c r="A33" t="s">
        <v>268</v>
      </c>
      <c r="B33" t="s">
        <v>43</v>
      </c>
      <c r="C33">
        <v>1.1428571428571428</v>
      </c>
    </row>
    <row r="34" spans="1:3">
      <c r="A34" t="s">
        <v>274</v>
      </c>
      <c r="B34" t="s">
        <v>150</v>
      </c>
      <c r="C34">
        <v>1.6</v>
      </c>
    </row>
    <row r="35" spans="1:3">
      <c r="A35" t="s">
        <v>276</v>
      </c>
      <c r="B35" t="s">
        <v>150</v>
      </c>
      <c r="C35">
        <v>1.6</v>
      </c>
    </row>
    <row r="36" spans="1:3">
      <c r="A36" t="s">
        <v>286</v>
      </c>
      <c r="B36" t="s">
        <v>105</v>
      </c>
      <c r="C36">
        <v>2.6666666666666665</v>
      </c>
    </row>
    <row r="37" spans="1:3">
      <c r="A37" t="s">
        <v>290</v>
      </c>
      <c r="B37" t="s">
        <v>150</v>
      </c>
      <c r="C37">
        <v>1.6</v>
      </c>
    </row>
    <row r="38" spans="1:3">
      <c r="A38" t="s">
        <v>292</v>
      </c>
      <c r="B38" t="s">
        <v>49</v>
      </c>
      <c r="C38">
        <v>1.6</v>
      </c>
    </row>
    <row r="39" spans="1:3">
      <c r="A39" t="s">
        <v>298</v>
      </c>
      <c r="B39" t="s">
        <v>30</v>
      </c>
      <c r="C39">
        <v>0.72727272727272729</v>
      </c>
    </row>
    <row r="40" spans="1:3">
      <c r="A40" t="s">
        <v>300</v>
      </c>
      <c r="B40" t="s">
        <v>54</v>
      </c>
      <c r="C40">
        <v>1.1428571428571428</v>
      </c>
    </row>
    <row r="41" spans="1:3">
      <c r="A41" t="s">
        <v>302</v>
      </c>
      <c r="B41" t="s">
        <v>54</v>
      </c>
      <c r="C41">
        <v>1.1428571428571428</v>
      </c>
    </row>
    <row r="42" spans="1:3">
      <c r="A42" t="s">
        <v>313</v>
      </c>
      <c r="B42" t="s">
        <v>30</v>
      </c>
      <c r="C42">
        <v>0.72727272727272729</v>
      </c>
    </row>
    <row r="43" spans="1:3">
      <c r="A43" t="s">
        <v>320</v>
      </c>
      <c r="B43" t="s">
        <v>54</v>
      </c>
      <c r="C43">
        <v>1.1428571428571428</v>
      </c>
    </row>
    <row r="44" spans="1:3">
      <c r="A44" t="s">
        <v>325</v>
      </c>
      <c r="B44" t="s">
        <v>210</v>
      </c>
      <c r="C44">
        <v>2</v>
      </c>
    </row>
    <row r="45" spans="1:3">
      <c r="A45" t="s">
        <v>333</v>
      </c>
      <c r="B45" t="s">
        <v>30</v>
      </c>
      <c r="C45">
        <v>0.72727272727272729</v>
      </c>
    </row>
    <row r="46" spans="1:3">
      <c r="A46" t="s">
        <v>343</v>
      </c>
      <c r="B46" t="s">
        <v>317</v>
      </c>
      <c r="C46">
        <v>8</v>
      </c>
    </row>
    <row r="47" spans="1:3">
      <c r="A47" t="s">
        <v>345</v>
      </c>
      <c r="B47" t="s">
        <v>150</v>
      </c>
      <c r="C47">
        <v>1.6</v>
      </c>
    </row>
    <row r="48" spans="1:3">
      <c r="A48" t="s">
        <v>352</v>
      </c>
      <c r="B48" t="s">
        <v>324</v>
      </c>
      <c r="C48">
        <v>4</v>
      </c>
    </row>
    <row r="49" spans="1:3">
      <c r="A49" t="s">
        <v>357</v>
      </c>
      <c r="B49" t="s">
        <v>324</v>
      </c>
      <c r="C49">
        <v>4</v>
      </c>
    </row>
    <row r="50" spans="1:3">
      <c r="A50" t="s">
        <v>371</v>
      </c>
      <c r="B50" t="s">
        <v>37</v>
      </c>
      <c r="C50">
        <v>4</v>
      </c>
    </row>
    <row r="51" spans="1:3">
      <c r="A51" t="s">
        <v>1708</v>
      </c>
      <c r="B51" t="s">
        <v>30</v>
      </c>
      <c r="C51">
        <v>0.72727272727272729</v>
      </c>
    </row>
    <row r="52" spans="1:3">
      <c r="A52" t="s">
        <v>1722</v>
      </c>
      <c r="B52" t="s">
        <v>123</v>
      </c>
      <c r="C52">
        <v>2.6666666666666665</v>
      </c>
    </row>
    <row r="53" spans="1:3">
      <c r="A53" t="s">
        <v>1783</v>
      </c>
      <c r="B53" t="s">
        <v>43</v>
      </c>
      <c r="C53">
        <v>1.1428571428571428</v>
      </c>
    </row>
    <row r="54" spans="1:3">
      <c r="A54" t="s">
        <v>1808</v>
      </c>
      <c r="B54" t="s">
        <v>190</v>
      </c>
      <c r="C54">
        <v>2.6666666666666665</v>
      </c>
    </row>
    <row r="55" spans="1:3">
      <c r="A55" t="s">
        <v>1814</v>
      </c>
      <c r="B55" t="s">
        <v>153</v>
      </c>
      <c r="C55">
        <v>2</v>
      </c>
    </row>
    <row r="56" spans="1:3">
      <c r="A56" t="s">
        <v>1814</v>
      </c>
      <c r="B56" t="s">
        <v>139</v>
      </c>
      <c r="C56">
        <v>2</v>
      </c>
    </row>
    <row r="57" spans="1:3">
      <c r="A57" t="s">
        <v>1826</v>
      </c>
      <c r="B57" t="s">
        <v>30</v>
      </c>
      <c r="C57">
        <v>0.72727272727272729</v>
      </c>
    </row>
    <row r="58" spans="1:3">
      <c r="A58" t="s">
        <v>1835</v>
      </c>
      <c r="B58" t="s">
        <v>356</v>
      </c>
      <c r="C58">
        <v>8</v>
      </c>
    </row>
    <row r="59" spans="1:3">
      <c r="A59" t="s">
        <v>1835</v>
      </c>
      <c r="B59" t="s">
        <v>2350</v>
      </c>
      <c r="C59">
        <v>8</v>
      </c>
    </row>
    <row r="60" spans="1:3">
      <c r="A60" t="s">
        <v>1867</v>
      </c>
      <c r="B60" t="s">
        <v>37</v>
      </c>
      <c r="C60">
        <v>4</v>
      </c>
    </row>
    <row r="61" spans="1:3">
      <c r="A61" t="s">
        <v>1874</v>
      </c>
      <c r="B61" t="s">
        <v>105</v>
      </c>
      <c r="C61">
        <v>2.6666666666666665</v>
      </c>
    </row>
    <row r="62" spans="1:3">
      <c r="A62" t="s">
        <v>1874</v>
      </c>
      <c r="B62" t="s">
        <v>210</v>
      </c>
      <c r="C62">
        <v>2</v>
      </c>
    </row>
    <row r="63" spans="1:3">
      <c r="A63" t="s">
        <v>1905</v>
      </c>
      <c r="B63" t="s">
        <v>30</v>
      </c>
      <c r="C63">
        <v>0.72727272727272729</v>
      </c>
    </row>
    <row r="64" spans="1:3">
      <c r="A64" t="s">
        <v>1912</v>
      </c>
      <c r="B64" t="s">
        <v>43</v>
      </c>
      <c r="C64">
        <v>1.1428571428571428</v>
      </c>
    </row>
    <row r="65" spans="1:3">
      <c r="A65" t="s">
        <v>1918</v>
      </c>
      <c r="B65" t="s">
        <v>43</v>
      </c>
      <c r="C65">
        <v>1.1428571428571428</v>
      </c>
    </row>
    <row r="66" spans="1:3">
      <c r="A66" t="s">
        <v>1924</v>
      </c>
      <c r="B66" t="s">
        <v>190</v>
      </c>
      <c r="C66">
        <v>2.6666666666666665</v>
      </c>
    </row>
    <row r="67" spans="1:3">
      <c r="A67" t="s">
        <v>1935</v>
      </c>
      <c r="B67" t="s">
        <v>30</v>
      </c>
      <c r="C67">
        <v>0.72727272727272729</v>
      </c>
    </row>
    <row r="68" spans="1:3">
      <c r="A68" t="s">
        <v>1949</v>
      </c>
      <c r="B68" t="s">
        <v>165</v>
      </c>
      <c r="C68">
        <v>8</v>
      </c>
    </row>
    <row r="69" spans="1:3">
      <c r="A69" t="s">
        <v>1996</v>
      </c>
      <c r="C69">
        <v>8</v>
      </c>
    </row>
    <row r="70" spans="1:3">
      <c r="A70" t="s">
        <v>2016</v>
      </c>
      <c r="B70" t="s">
        <v>210</v>
      </c>
      <c r="C70">
        <v>2</v>
      </c>
    </row>
    <row r="71" spans="1:3">
      <c r="A71" t="s">
        <v>2029</v>
      </c>
      <c r="B71" t="s">
        <v>30</v>
      </c>
      <c r="C71">
        <v>0.72727272727272729</v>
      </c>
    </row>
    <row r="72" spans="1:3">
      <c r="A72" t="s">
        <v>2083</v>
      </c>
      <c r="C72">
        <v>8</v>
      </c>
    </row>
    <row r="73" spans="1:3">
      <c r="A73" t="s">
        <v>2088</v>
      </c>
      <c r="B73" t="s">
        <v>76</v>
      </c>
      <c r="C73">
        <v>4</v>
      </c>
    </row>
    <row r="74" spans="1:3">
      <c r="A74" t="s">
        <v>2094</v>
      </c>
      <c r="B74" t="s">
        <v>76</v>
      </c>
      <c r="C74">
        <v>4</v>
      </c>
    </row>
    <row r="75" spans="1:3">
      <c r="A75" t="s">
        <v>131</v>
      </c>
      <c r="B75" t="s">
        <v>133</v>
      </c>
      <c r="C75">
        <v>8</v>
      </c>
    </row>
  </sheetData>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A053E-D352-48BB-A9E5-4886EA4A17A6}">
  <sheetPr codeName="Hoja22"/>
  <dimension ref="A1:B68"/>
  <sheetViews>
    <sheetView workbookViewId="0">
      <selection activeCell="D23" sqref="D23"/>
    </sheetView>
  </sheetViews>
  <sheetFormatPr defaultColWidth="11.42578125" defaultRowHeight="15"/>
  <cols>
    <col min="1" max="1" width="19.7109375" bestFit="1" customWidth="1"/>
    <col min="2" max="2" width="12" bestFit="1" customWidth="1"/>
  </cols>
  <sheetData>
    <row r="1" spans="1:2">
      <c r="A1" t="s">
        <v>3</v>
      </c>
      <c r="B1" t="s">
        <v>2352</v>
      </c>
    </row>
    <row r="2" spans="1:2">
      <c r="A2" t="s">
        <v>44</v>
      </c>
      <c r="B2">
        <v>1.6</v>
      </c>
    </row>
    <row r="3" spans="1:2">
      <c r="A3" t="s">
        <v>57</v>
      </c>
      <c r="B3">
        <v>1.6</v>
      </c>
    </row>
    <row r="4" spans="1:2">
      <c r="A4" t="s">
        <v>97</v>
      </c>
      <c r="B4">
        <v>1.6</v>
      </c>
    </row>
    <row r="5" spans="1:2">
      <c r="A5" t="s">
        <v>222</v>
      </c>
      <c r="B5">
        <v>1.6</v>
      </c>
    </row>
    <row r="6" spans="1:2">
      <c r="A6" t="s">
        <v>55</v>
      </c>
      <c r="B6">
        <v>1.1428571428571428</v>
      </c>
    </row>
    <row r="7" spans="1:2">
      <c r="A7" t="s">
        <v>68</v>
      </c>
      <c r="B7">
        <v>1.1428571428571428</v>
      </c>
    </row>
    <row r="8" spans="1:2">
      <c r="A8" t="s">
        <v>218</v>
      </c>
      <c r="B8">
        <v>1.1428571428571428</v>
      </c>
    </row>
    <row r="9" spans="1:2">
      <c r="A9" t="s">
        <v>232</v>
      </c>
      <c r="B9">
        <v>1.1428571428571428</v>
      </c>
    </row>
    <row r="10" spans="1:2">
      <c r="A10" t="s">
        <v>92</v>
      </c>
      <c r="B10">
        <v>4</v>
      </c>
    </row>
    <row r="11" spans="1:2">
      <c r="A11" t="s">
        <v>203</v>
      </c>
      <c r="B11">
        <v>12</v>
      </c>
    </row>
    <row r="12" spans="1:2">
      <c r="A12" t="s">
        <v>206</v>
      </c>
      <c r="B12">
        <v>2</v>
      </c>
    </row>
    <row r="13" spans="1:2">
      <c r="A13" t="s">
        <v>137</v>
      </c>
      <c r="B13">
        <v>2</v>
      </c>
    </row>
    <row r="14" spans="1:2">
      <c r="A14" t="s">
        <v>103</v>
      </c>
      <c r="B14">
        <v>2.6666666666666665</v>
      </c>
    </row>
    <row r="15" spans="1:2">
      <c r="A15" t="s">
        <v>119</v>
      </c>
      <c r="B15">
        <v>1.1428571428571428</v>
      </c>
    </row>
    <row r="16" spans="1:2">
      <c r="A16" t="s">
        <v>156</v>
      </c>
      <c r="B16">
        <v>1.1428571428571428</v>
      </c>
    </row>
    <row r="17" spans="1:2">
      <c r="A17" t="s">
        <v>124</v>
      </c>
      <c r="B17">
        <v>4</v>
      </c>
    </row>
    <row r="18" spans="1:2">
      <c r="A18" t="s">
        <v>176</v>
      </c>
      <c r="B18">
        <v>5.6</v>
      </c>
    </row>
    <row r="19" spans="1:2">
      <c r="A19" t="s">
        <v>174</v>
      </c>
      <c r="B19">
        <v>2.6666666666666665</v>
      </c>
    </row>
    <row r="20" spans="1:2">
      <c r="A20" t="s">
        <v>186</v>
      </c>
      <c r="B20">
        <v>8</v>
      </c>
    </row>
    <row r="21" spans="1:2">
      <c r="A21" t="s">
        <v>208</v>
      </c>
      <c r="B21">
        <v>2</v>
      </c>
    </row>
    <row r="22" spans="1:2">
      <c r="A22" t="s">
        <v>215</v>
      </c>
      <c r="B22">
        <v>8</v>
      </c>
    </row>
    <row r="23" spans="1:2">
      <c r="A23" t="s">
        <v>237</v>
      </c>
      <c r="B23">
        <v>2.6666666666666665</v>
      </c>
    </row>
    <row r="24" spans="1:2">
      <c r="A24" t="s">
        <v>241</v>
      </c>
      <c r="B24">
        <v>0.72727272727272729</v>
      </c>
    </row>
    <row r="25" spans="1:2">
      <c r="A25" t="s">
        <v>251</v>
      </c>
      <c r="B25">
        <v>2.6666666666666665</v>
      </c>
    </row>
    <row r="26" spans="1:2">
      <c r="A26" t="s">
        <v>258</v>
      </c>
      <c r="B26">
        <v>1.1428571428571428</v>
      </c>
    </row>
    <row r="27" spans="1:2">
      <c r="A27" t="s">
        <v>260</v>
      </c>
      <c r="B27">
        <v>0.72727272727272729</v>
      </c>
    </row>
    <row r="28" spans="1:2">
      <c r="A28" t="s">
        <v>262</v>
      </c>
      <c r="B28">
        <v>0.72727272727272729</v>
      </c>
    </row>
    <row r="29" spans="1:2">
      <c r="A29" t="s">
        <v>268</v>
      </c>
      <c r="B29">
        <v>1.1428571428571428</v>
      </c>
    </row>
    <row r="30" spans="1:2">
      <c r="A30" t="s">
        <v>274</v>
      </c>
      <c r="B30">
        <v>1.6</v>
      </c>
    </row>
    <row r="31" spans="1:2">
      <c r="A31" t="s">
        <v>276</v>
      </c>
      <c r="B31">
        <v>1.6</v>
      </c>
    </row>
    <row r="32" spans="1:2">
      <c r="A32" t="s">
        <v>286</v>
      </c>
      <c r="B32">
        <v>2.6666666666666665</v>
      </c>
    </row>
    <row r="33" spans="1:2">
      <c r="A33" t="s">
        <v>290</v>
      </c>
      <c r="B33">
        <v>1.6</v>
      </c>
    </row>
    <row r="34" spans="1:2">
      <c r="A34" t="s">
        <v>292</v>
      </c>
      <c r="B34">
        <v>1.6</v>
      </c>
    </row>
    <row r="35" spans="1:2">
      <c r="A35" t="s">
        <v>298</v>
      </c>
      <c r="B35">
        <v>0.72727272727272729</v>
      </c>
    </row>
    <row r="36" spans="1:2">
      <c r="A36" t="s">
        <v>300</v>
      </c>
      <c r="B36">
        <v>1.1428571428571428</v>
      </c>
    </row>
    <row r="37" spans="1:2">
      <c r="A37" t="s">
        <v>302</v>
      </c>
      <c r="B37">
        <v>1.1428571428571428</v>
      </c>
    </row>
    <row r="38" spans="1:2">
      <c r="A38" t="s">
        <v>313</v>
      </c>
      <c r="B38">
        <v>0.72727272727272729</v>
      </c>
    </row>
    <row r="39" spans="1:2">
      <c r="A39" t="s">
        <v>320</v>
      </c>
      <c r="B39">
        <v>1.1428571428571428</v>
      </c>
    </row>
    <row r="40" spans="1:2">
      <c r="A40" t="s">
        <v>325</v>
      </c>
      <c r="B40">
        <v>2</v>
      </c>
    </row>
    <row r="41" spans="1:2">
      <c r="A41" t="s">
        <v>333</v>
      </c>
      <c r="B41">
        <v>0.72727272727272729</v>
      </c>
    </row>
    <row r="42" spans="1:2">
      <c r="A42" t="s">
        <v>343</v>
      </c>
      <c r="B42">
        <v>8</v>
      </c>
    </row>
    <row r="43" spans="1:2">
      <c r="A43" t="s">
        <v>345</v>
      </c>
      <c r="B43">
        <v>1.6</v>
      </c>
    </row>
    <row r="44" spans="1:2">
      <c r="A44" t="s">
        <v>352</v>
      </c>
      <c r="B44">
        <v>4</v>
      </c>
    </row>
    <row r="45" spans="1:2">
      <c r="A45" t="s">
        <v>357</v>
      </c>
      <c r="B45">
        <v>4</v>
      </c>
    </row>
    <row r="46" spans="1:2">
      <c r="A46" t="s">
        <v>371</v>
      </c>
      <c r="B46">
        <v>4</v>
      </c>
    </row>
    <row r="47" spans="1:2">
      <c r="A47" t="s">
        <v>1708</v>
      </c>
      <c r="B47">
        <v>0.72727272727272729</v>
      </c>
    </row>
    <row r="48" spans="1:2">
      <c r="A48" t="s">
        <v>1722</v>
      </c>
      <c r="B48">
        <v>2.6666666666666665</v>
      </c>
    </row>
    <row r="49" spans="1:2">
      <c r="A49" t="s">
        <v>1783</v>
      </c>
      <c r="B49">
        <v>1.1428571428571428</v>
      </c>
    </row>
    <row r="50" spans="1:2">
      <c r="A50" t="s">
        <v>1808</v>
      </c>
      <c r="B50">
        <v>2.6666666666666665</v>
      </c>
    </row>
    <row r="51" spans="1:2">
      <c r="A51" t="s">
        <v>1814</v>
      </c>
      <c r="B51">
        <v>4</v>
      </c>
    </row>
    <row r="52" spans="1:2">
      <c r="A52" t="s">
        <v>1826</v>
      </c>
      <c r="B52">
        <v>0.72727272727272729</v>
      </c>
    </row>
    <row r="53" spans="1:2">
      <c r="A53" t="s">
        <v>1835</v>
      </c>
      <c r="B53">
        <v>16</v>
      </c>
    </row>
    <row r="54" spans="1:2">
      <c r="A54" t="s">
        <v>1867</v>
      </c>
      <c r="B54">
        <v>4</v>
      </c>
    </row>
    <row r="55" spans="1:2">
      <c r="A55" t="s">
        <v>1874</v>
      </c>
      <c r="B55">
        <v>4.6666666666666661</v>
      </c>
    </row>
    <row r="56" spans="1:2">
      <c r="A56" t="s">
        <v>1905</v>
      </c>
      <c r="B56">
        <v>0.72727272727272729</v>
      </c>
    </row>
    <row r="57" spans="1:2">
      <c r="A57" t="s">
        <v>1912</v>
      </c>
      <c r="B57">
        <v>1.1428571428571428</v>
      </c>
    </row>
    <row r="58" spans="1:2">
      <c r="A58" t="s">
        <v>1918</v>
      </c>
      <c r="B58">
        <v>1.1428571428571428</v>
      </c>
    </row>
    <row r="59" spans="1:2">
      <c r="A59" t="s">
        <v>1924</v>
      </c>
      <c r="B59">
        <v>2.6666666666666665</v>
      </c>
    </row>
    <row r="60" spans="1:2">
      <c r="A60" t="s">
        <v>1935</v>
      </c>
      <c r="B60">
        <v>0.72727272727272729</v>
      </c>
    </row>
    <row r="61" spans="1:2">
      <c r="A61" t="s">
        <v>1949</v>
      </c>
      <c r="B61">
        <v>8</v>
      </c>
    </row>
    <row r="62" spans="1:2">
      <c r="A62" t="s">
        <v>1996</v>
      </c>
      <c r="B62">
        <v>8</v>
      </c>
    </row>
    <row r="63" spans="1:2">
      <c r="A63" t="s">
        <v>2016</v>
      </c>
      <c r="B63">
        <v>2</v>
      </c>
    </row>
    <row r="64" spans="1:2">
      <c r="A64" t="s">
        <v>2029</v>
      </c>
      <c r="B64">
        <v>0.72727272727272729</v>
      </c>
    </row>
    <row r="65" spans="1:2">
      <c r="A65" t="s">
        <v>2083</v>
      </c>
      <c r="B65">
        <v>8</v>
      </c>
    </row>
    <row r="66" spans="1:2">
      <c r="A66" t="s">
        <v>2088</v>
      </c>
      <c r="B66">
        <v>4</v>
      </c>
    </row>
    <row r="67" spans="1:2">
      <c r="A67" t="s">
        <v>2094</v>
      </c>
      <c r="B67">
        <v>4</v>
      </c>
    </row>
    <row r="68" spans="1:2">
      <c r="A68" t="s">
        <v>131</v>
      </c>
      <c r="B68">
        <v>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D2564-66BA-478D-961C-418DC67A3A92}">
  <sheetPr codeName="Hoja24"/>
  <dimension ref="A1:M106"/>
  <sheetViews>
    <sheetView workbookViewId="0">
      <selection activeCell="F32" sqref="F32"/>
    </sheetView>
  </sheetViews>
  <sheetFormatPr defaultColWidth="9.140625" defaultRowHeight="15"/>
  <cols>
    <col min="1" max="1" width="29.85546875" bestFit="1" customWidth="1"/>
    <col min="2" max="2" width="21.28515625" bestFit="1" customWidth="1"/>
    <col min="3" max="3" width="16.5703125" bestFit="1" customWidth="1"/>
    <col min="4" max="4" width="27.28515625" bestFit="1" customWidth="1"/>
    <col min="5" max="5" width="11.42578125" bestFit="1" customWidth="1"/>
    <col min="6" max="6" width="29.85546875" bestFit="1" customWidth="1"/>
    <col min="12" max="12" width="32.42578125" bestFit="1" customWidth="1"/>
    <col min="13" max="13" width="20.85546875" bestFit="1" customWidth="1"/>
  </cols>
  <sheetData>
    <row r="1" spans="1:13">
      <c r="A1" t="s">
        <v>3</v>
      </c>
      <c r="B1" t="s">
        <v>2353</v>
      </c>
      <c r="C1" t="s">
        <v>2354</v>
      </c>
      <c r="D1" t="s">
        <v>2355</v>
      </c>
      <c r="E1" t="s">
        <v>2356</v>
      </c>
      <c r="F1" t="s">
        <v>5</v>
      </c>
      <c r="G1" t="s">
        <v>2357</v>
      </c>
    </row>
    <row r="2" spans="1:13">
      <c r="A2" t="s">
        <v>2358</v>
      </c>
      <c r="B2" t="s">
        <v>592</v>
      </c>
      <c r="C2" s="160">
        <v>46148</v>
      </c>
      <c r="D2" s="160">
        <v>46148</v>
      </c>
      <c r="E2">
        <v>1</v>
      </c>
      <c r="F2" t="s">
        <v>108</v>
      </c>
      <c r="G2">
        <f>VLOOKUP(INCIDENCIAS[[#This Row],[Gerencia]],$L$3:$M$12,2,FALSE)*8</f>
        <v>27.636363636363637</v>
      </c>
      <c r="L2" s="24" t="s">
        <v>5</v>
      </c>
      <c r="M2" t="s">
        <v>2359</v>
      </c>
    </row>
    <row r="3" spans="1:13">
      <c r="A3" t="s">
        <v>2360</v>
      </c>
      <c r="B3" t="s">
        <v>592</v>
      </c>
      <c r="C3" s="160">
        <v>46134</v>
      </c>
      <c r="D3" s="160">
        <v>46134</v>
      </c>
      <c r="E3">
        <v>1</v>
      </c>
      <c r="F3" t="s">
        <v>108</v>
      </c>
      <c r="G3">
        <f>VLOOKUP(INCIDENCIAS[[#This Row],[Gerencia]],$L$3:$M$12,2,FALSE)*8</f>
        <v>27.636363636363637</v>
      </c>
      <c r="L3" t="s">
        <v>26</v>
      </c>
      <c r="M3">
        <v>1</v>
      </c>
    </row>
    <row r="4" spans="1:13">
      <c r="A4" t="s">
        <v>2361</v>
      </c>
      <c r="B4" t="s">
        <v>592</v>
      </c>
      <c r="C4" s="160">
        <v>46066</v>
      </c>
      <c r="D4" s="160">
        <v>46066</v>
      </c>
      <c r="E4">
        <v>1</v>
      </c>
      <c r="F4" t="s">
        <v>108</v>
      </c>
      <c r="G4">
        <f>VLOOKUP(INCIDENCIAS[[#This Row],[Gerencia]],$L$3:$M$12,2,FALSE)*8</f>
        <v>27.636363636363637</v>
      </c>
      <c r="L4" t="s">
        <v>52</v>
      </c>
      <c r="M4">
        <v>26.9375</v>
      </c>
    </row>
    <row r="5" spans="1:13">
      <c r="A5" t="s">
        <v>2362</v>
      </c>
      <c r="B5" t="s">
        <v>592</v>
      </c>
      <c r="C5" s="160">
        <v>46063</v>
      </c>
      <c r="D5" s="160">
        <v>46063</v>
      </c>
      <c r="E5">
        <v>1</v>
      </c>
      <c r="F5" t="s">
        <v>108</v>
      </c>
      <c r="G5">
        <f>VLOOKUP(INCIDENCIAS[[#This Row],[Gerencia]],$L$3:$M$12,2,FALSE)*8</f>
        <v>27.636363636363637</v>
      </c>
      <c r="L5" t="s">
        <v>40</v>
      </c>
      <c r="M5">
        <v>7.4444444444444446</v>
      </c>
    </row>
    <row r="6" spans="1:13">
      <c r="A6" t="s">
        <v>2363</v>
      </c>
      <c r="B6" t="s">
        <v>592</v>
      </c>
      <c r="C6" s="160">
        <v>46027</v>
      </c>
      <c r="D6" s="160">
        <v>46027</v>
      </c>
      <c r="E6">
        <v>1</v>
      </c>
      <c r="F6" t="s">
        <v>108</v>
      </c>
      <c r="G6">
        <f>VLOOKUP(INCIDENCIAS[[#This Row],[Gerencia]],$L$3:$M$12,2,FALSE)*8</f>
        <v>27.636363636363637</v>
      </c>
      <c r="L6" t="s">
        <v>33</v>
      </c>
      <c r="M6">
        <v>11.8</v>
      </c>
    </row>
    <row r="7" spans="1:13">
      <c r="A7" t="s">
        <v>2364</v>
      </c>
      <c r="B7" t="s">
        <v>592</v>
      </c>
      <c r="C7" s="160">
        <v>45996</v>
      </c>
      <c r="D7" s="160">
        <v>45996</v>
      </c>
      <c r="E7">
        <v>1</v>
      </c>
      <c r="F7" t="s">
        <v>108</v>
      </c>
      <c r="G7">
        <f>VLOOKUP(INCIDENCIAS[[#This Row],[Gerencia]],$L$3:$M$12,2,FALSE)*8</f>
        <v>27.636363636363637</v>
      </c>
      <c r="L7" t="s">
        <v>59</v>
      </c>
      <c r="M7">
        <v>17.827586206896552</v>
      </c>
    </row>
    <row r="8" spans="1:13">
      <c r="A8" t="s">
        <v>2365</v>
      </c>
      <c r="B8" t="s">
        <v>592</v>
      </c>
      <c r="C8" s="160">
        <v>45903</v>
      </c>
      <c r="D8" s="160">
        <v>45903</v>
      </c>
      <c r="E8">
        <v>1</v>
      </c>
      <c r="F8" t="s">
        <v>108</v>
      </c>
      <c r="G8">
        <f>VLOOKUP(INCIDENCIAS[[#This Row],[Gerencia]],$L$3:$M$12,2,FALSE)*8</f>
        <v>27.636363636363637</v>
      </c>
      <c r="L8" t="s">
        <v>108</v>
      </c>
      <c r="M8">
        <v>3.4545454545454546</v>
      </c>
    </row>
    <row r="9" spans="1:13">
      <c r="A9" t="s">
        <v>2366</v>
      </c>
      <c r="B9" t="s">
        <v>592</v>
      </c>
      <c r="C9" s="160">
        <v>46146</v>
      </c>
      <c r="D9" s="160">
        <v>46146</v>
      </c>
      <c r="E9">
        <v>1</v>
      </c>
      <c r="F9" t="s">
        <v>59</v>
      </c>
      <c r="G9">
        <f>VLOOKUP(INCIDENCIAS[[#This Row],[Gerencia]],$L$3:$M$12,2,FALSE)*8</f>
        <v>142.62068965517241</v>
      </c>
      <c r="L9" t="s">
        <v>2315</v>
      </c>
      <c r="M9">
        <v>1</v>
      </c>
    </row>
    <row r="10" spans="1:13">
      <c r="A10" t="s">
        <v>2367</v>
      </c>
      <c r="B10" t="s">
        <v>592</v>
      </c>
      <c r="C10" s="160">
        <v>45754</v>
      </c>
      <c r="D10" s="160">
        <v>45993</v>
      </c>
      <c r="E10">
        <v>172</v>
      </c>
      <c r="F10" t="s">
        <v>59</v>
      </c>
      <c r="G10">
        <f>VLOOKUP(INCIDENCIAS[[#This Row],[Gerencia]],$L$3:$M$12,2,FALSE)*8</f>
        <v>142.62068965517241</v>
      </c>
      <c r="L10" t="s">
        <v>2316</v>
      </c>
      <c r="M10">
        <v>1</v>
      </c>
    </row>
    <row r="11" spans="1:13">
      <c r="A11" t="s">
        <v>2368</v>
      </c>
      <c r="B11" t="s">
        <v>592</v>
      </c>
      <c r="C11" s="160">
        <v>46139</v>
      </c>
      <c r="D11" s="160">
        <v>46139</v>
      </c>
      <c r="E11">
        <v>1</v>
      </c>
      <c r="F11" t="s">
        <v>108</v>
      </c>
      <c r="G11">
        <f>VLOOKUP(INCIDENCIAS[[#This Row],[Gerencia]],$L$3:$M$12,2,FALSE)*8</f>
        <v>27.636363636363637</v>
      </c>
      <c r="L11" t="s">
        <v>2317</v>
      </c>
      <c r="M11">
        <v>1</v>
      </c>
    </row>
    <row r="12" spans="1:13">
      <c r="A12" t="s">
        <v>2369</v>
      </c>
      <c r="B12" t="s">
        <v>592</v>
      </c>
      <c r="C12" s="160">
        <v>46022</v>
      </c>
      <c r="D12" s="160">
        <v>46022</v>
      </c>
      <c r="E12">
        <v>1</v>
      </c>
      <c r="F12" t="s">
        <v>108</v>
      </c>
      <c r="G12">
        <f>VLOOKUP(INCIDENCIAS[[#This Row],[Gerencia]],$L$3:$M$12,2,FALSE)*8</f>
        <v>27.636363636363637</v>
      </c>
      <c r="L12" t="s">
        <v>82</v>
      </c>
      <c r="M12">
        <v>1</v>
      </c>
    </row>
    <row r="13" spans="1:13">
      <c r="A13" t="s">
        <v>2370</v>
      </c>
      <c r="B13" t="s">
        <v>592</v>
      </c>
      <c r="C13" s="160">
        <v>45973</v>
      </c>
      <c r="D13" s="160">
        <v>46139</v>
      </c>
      <c r="E13">
        <v>119</v>
      </c>
      <c r="F13" t="s">
        <v>52</v>
      </c>
      <c r="G13">
        <f>VLOOKUP(INCIDENCIAS[[#This Row],[Gerencia]],$L$3:$M$12,2,FALSE)*8</f>
        <v>215.5</v>
      </c>
      <c r="L13" t="s">
        <v>2318</v>
      </c>
      <c r="M13">
        <v>12.285714285714286</v>
      </c>
    </row>
    <row r="14" spans="1:13">
      <c r="A14" t="s">
        <v>2371</v>
      </c>
      <c r="B14" t="s">
        <v>592</v>
      </c>
      <c r="C14" s="160">
        <v>46108</v>
      </c>
      <c r="D14" s="160">
        <v>46108</v>
      </c>
      <c r="E14">
        <v>1</v>
      </c>
      <c r="F14" t="s">
        <v>33</v>
      </c>
      <c r="G14">
        <f>VLOOKUP(INCIDENCIAS[[#This Row],[Gerencia]],$L$3:$M$12,2,FALSE)*8</f>
        <v>94.4</v>
      </c>
    </row>
    <row r="15" spans="1:13">
      <c r="A15" t="s">
        <v>2372</v>
      </c>
      <c r="B15" t="s">
        <v>592</v>
      </c>
      <c r="C15" s="160">
        <v>45922</v>
      </c>
      <c r="D15" s="160">
        <v>45922</v>
      </c>
      <c r="E15">
        <v>1</v>
      </c>
      <c r="F15" t="s">
        <v>33</v>
      </c>
      <c r="G15">
        <f>VLOOKUP(INCIDENCIAS[[#This Row],[Gerencia]],$L$3:$M$12,2,FALSE)*8</f>
        <v>94.4</v>
      </c>
    </row>
    <row r="16" spans="1:13">
      <c r="A16" t="s">
        <v>2373</v>
      </c>
      <c r="B16" t="s">
        <v>592</v>
      </c>
      <c r="C16" s="160">
        <v>46134</v>
      </c>
      <c r="D16" s="160">
        <v>46134</v>
      </c>
      <c r="E16">
        <v>1</v>
      </c>
      <c r="F16" t="s">
        <v>108</v>
      </c>
      <c r="G16">
        <f>VLOOKUP(INCIDENCIAS[[#This Row],[Gerencia]],$L$3:$M$12,2,FALSE)*8</f>
        <v>27.636363636363637</v>
      </c>
    </row>
    <row r="17" spans="1:7">
      <c r="A17" t="s">
        <v>2374</v>
      </c>
      <c r="B17" t="s">
        <v>581</v>
      </c>
      <c r="C17" s="160">
        <v>46049</v>
      </c>
      <c r="D17" s="160">
        <v>46125</v>
      </c>
      <c r="E17">
        <v>55</v>
      </c>
      <c r="F17" t="s">
        <v>33</v>
      </c>
      <c r="G17">
        <f>VLOOKUP(INCIDENCIAS[[#This Row],[Gerencia]],$L$3:$M$12,2,FALSE)*8</f>
        <v>94.4</v>
      </c>
    </row>
    <row r="18" spans="1:7">
      <c r="A18" t="s">
        <v>2375</v>
      </c>
      <c r="B18" t="s">
        <v>2000</v>
      </c>
      <c r="C18" s="160">
        <v>46106</v>
      </c>
      <c r="D18" s="160">
        <v>46106</v>
      </c>
      <c r="E18">
        <v>1</v>
      </c>
      <c r="F18" t="s">
        <v>59</v>
      </c>
      <c r="G18">
        <f>VLOOKUP(INCIDENCIAS[[#This Row],[Gerencia]],$L$3:$M$12,2,FALSE)*8</f>
        <v>142.62068965517241</v>
      </c>
    </row>
    <row r="19" spans="1:7">
      <c r="A19" t="s">
        <v>2376</v>
      </c>
      <c r="B19" t="s">
        <v>581</v>
      </c>
      <c r="C19" s="160">
        <v>45915</v>
      </c>
      <c r="D19" s="160">
        <v>46100</v>
      </c>
      <c r="E19">
        <v>134</v>
      </c>
      <c r="F19" t="s">
        <v>59</v>
      </c>
      <c r="G19">
        <f>VLOOKUP(INCIDENCIAS[[#This Row],[Gerencia]],$L$3:$M$12,2,FALSE)*8</f>
        <v>142.62068965517241</v>
      </c>
    </row>
    <row r="20" spans="1:7">
      <c r="A20" t="s">
        <v>2377</v>
      </c>
      <c r="B20" t="s">
        <v>592</v>
      </c>
      <c r="C20" s="160">
        <v>46038</v>
      </c>
      <c r="D20" s="160">
        <v>46038</v>
      </c>
      <c r="E20">
        <v>1</v>
      </c>
      <c r="F20" t="s">
        <v>59</v>
      </c>
      <c r="G20">
        <f>VLOOKUP(INCIDENCIAS[[#This Row],[Gerencia]],$L$3:$M$12,2,FALSE)*8</f>
        <v>142.62068965517241</v>
      </c>
    </row>
    <row r="21" spans="1:7">
      <c r="A21" t="s">
        <v>2378</v>
      </c>
      <c r="B21" t="s">
        <v>592</v>
      </c>
      <c r="C21" s="160">
        <v>46006</v>
      </c>
      <c r="D21" s="160">
        <v>46006</v>
      </c>
      <c r="E21">
        <v>1</v>
      </c>
      <c r="F21" t="s">
        <v>59</v>
      </c>
      <c r="G21">
        <f>VLOOKUP(INCIDENCIAS[[#This Row],[Gerencia]],$L$3:$M$12,2,FALSE)*8</f>
        <v>142.62068965517241</v>
      </c>
    </row>
    <row r="22" spans="1:7">
      <c r="A22" t="s">
        <v>2379</v>
      </c>
      <c r="B22" t="s">
        <v>592</v>
      </c>
      <c r="C22" s="160">
        <v>45960</v>
      </c>
      <c r="D22" s="160">
        <v>45960</v>
      </c>
      <c r="E22">
        <v>1</v>
      </c>
      <c r="F22" t="s">
        <v>59</v>
      </c>
      <c r="G22">
        <f>VLOOKUP(INCIDENCIAS[[#This Row],[Gerencia]],$L$3:$M$12,2,FALSE)*8</f>
        <v>142.62068965517241</v>
      </c>
    </row>
    <row r="23" spans="1:7">
      <c r="A23" t="s">
        <v>2380</v>
      </c>
      <c r="B23" t="s">
        <v>2000</v>
      </c>
      <c r="C23" s="160">
        <v>45919</v>
      </c>
      <c r="D23" s="160">
        <v>45919</v>
      </c>
      <c r="E23">
        <v>1</v>
      </c>
      <c r="F23" t="s">
        <v>59</v>
      </c>
      <c r="G23">
        <f>VLOOKUP(INCIDENCIAS[[#This Row],[Gerencia]],$L$3:$M$12,2,FALSE)*8</f>
        <v>142.62068965517241</v>
      </c>
    </row>
    <row r="24" spans="1:7">
      <c r="A24" t="s">
        <v>2381</v>
      </c>
      <c r="B24" t="s">
        <v>2000</v>
      </c>
      <c r="C24" s="160">
        <v>46132</v>
      </c>
      <c r="D24" s="160">
        <v>46132</v>
      </c>
      <c r="E24">
        <v>1</v>
      </c>
      <c r="F24" t="s">
        <v>59</v>
      </c>
      <c r="G24">
        <f>VLOOKUP(INCIDENCIAS[[#This Row],[Gerencia]],$L$3:$M$12,2,FALSE)*8</f>
        <v>142.62068965517241</v>
      </c>
    </row>
    <row r="25" spans="1:7">
      <c r="A25" t="s">
        <v>2382</v>
      </c>
      <c r="B25" t="s">
        <v>592</v>
      </c>
      <c r="C25" s="160">
        <v>46097</v>
      </c>
      <c r="D25" s="160">
        <v>46097</v>
      </c>
      <c r="E25">
        <v>1</v>
      </c>
      <c r="F25" t="s">
        <v>52</v>
      </c>
      <c r="G25">
        <f>VLOOKUP(INCIDENCIAS[[#This Row],[Gerencia]],$L$3:$M$12,2,FALSE)*8</f>
        <v>215.5</v>
      </c>
    </row>
    <row r="26" spans="1:7">
      <c r="A26" t="s">
        <v>2383</v>
      </c>
      <c r="B26" t="s">
        <v>592</v>
      </c>
      <c r="C26" s="160">
        <v>46031</v>
      </c>
      <c r="D26" s="160">
        <v>46031</v>
      </c>
      <c r="E26">
        <v>1</v>
      </c>
      <c r="F26" t="s">
        <v>52</v>
      </c>
      <c r="G26">
        <f>VLOOKUP(INCIDENCIAS[[#This Row],[Gerencia]],$L$3:$M$12,2,FALSE)*8</f>
        <v>215.5</v>
      </c>
    </row>
    <row r="27" spans="1:7">
      <c r="A27" t="s">
        <v>2384</v>
      </c>
      <c r="B27" t="s">
        <v>592</v>
      </c>
      <c r="C27" s="160">
        <v>45901</v>
      </c>
      <c r="D27" s="160">
        <v>45901</v>
      </c>
      <c r="E27">
        <v>1</v>
      </c>
      <c r="F27" t="s">
        <v>52</v>
      </c>
      <c r="G27">
        <f>VLOOKUP(INCIDENCIAS[[#This Row],[Gerencia]],$L$3:$M$12,2,FALSE)*8</f>
        <v>215.5</v>
      </c>
    </row>
    <row r="28" spans="1:7">
      <c r="A28" t="s">
        <v>2385</v>
      </c>
      <c r="B28" t="s">
        <v>592</v>
      </c>
      <c r="C28" s="160">
        <v>46112</v>
      </c>
      <c r="D28" s="160">
        <v>46112</v>
      </c>
      <c r="E28">
        <v>1</v>
      </c>
      <c r="F28" t="s">
        <v>40</v>
      </c>
      <c r="G28">
        <f>VLOOKUP(INCIDENCIAS[[#This Row],[Gerencia]],$L$3:$M$12,2,FALSE)*8</f>
        <v>59.555555555555557</v>
      </c>
    </row>
    <row r="29" spans="1:7">
      <c r="A29" t="s">
        <v>2386</v>
      </c>
      <c r="B29" t="s">
        <v>592</v>
      </c>
      <c r="C29" s="160">
        <v>46044</v>
      </c>
      <c r="D29" s="160">
        <v>46045</v>
      </c>
      <c r="E29">
        <v>2</v>
      </c>
      <c r="F29" t="s">
        <v>40</v>
      </c>
      <c r="G29">
        <f>VLOOKUP(INCIDENCIAS[[#This Row],[Gerencia]],$L$3:$M$12,2,FALSE)*8</f>
        <v>59.555555555555557</v>
      </c>
    </row>
    <row r="30" spans="1:7">
      <c r="A30" t="s">
        <v>2387</v>
      </c>
      <c r="B30" t="s">
        <v>592</v>
      </c>
      <c r="C30" s="160">
        <v>45908</v>
      </c>
      <c r="D30" s="160">
        <v>45908</v>
      </c>
      <c r="E30">
        <v>1</v>
      </c>
      <c r="F30" t="s">
        <v>40</v>
      </c>
      <c r="G30">
        <f>VLOOKUP(INCIDENCIAS[[#This Row],[Gerencia]],$L$3:$M$12,2,FALSE)*8</f>
        <v>59.555555555555557</v>
      </c>
    </row>
    <row r="31" spans="1:7">
      <c r="A31" t="s">
        <v>2388</v>
      </c>
      <c r="B31" t="s">
        <v>2000</v>
      </c>
      <c r="C31" s="160">
        <v>45877</v>
      </c>
      <c r="D31" s="160">
        <v>45877</v>
      </c>
      <c r="E31">
        <v>1</v>
      </c>
      <c r="F31" t="s">
        <v>40</v>
      </c>
      <c r="G31">
        <f>VLOOKUP(INCIDENCIAS[[#This Row],[Gerencia]],$L$3:$M$12,2,FALSE)*8</f>
        <v>59.555555555555557</v>
      </c>
    </row>
    <row r="32" spans="1:7">
      <c r="A32" t="s">
        <v>2389</v>
      </c>
      <c r="B32" t="s">
        <v>592</v>
      </c>
      <c r="C32" s="160">
        <v>46108</v>
      </c>
      <c r="D32" s="160">
        <v>46108</v>
      </c>
      <c r="E32">
        <v>1</v>
      </c>
      <c r="F32" t="s">
        <v>33</v>
      </c>
      <c r="G32">
        <f>VLOOKUP(INCIDENCIAS[[#This Row],[Gerencia]],$L$3:$M$12,2,FALSE)*8</f>
        <v>94.4</v>
      </c>
    </row>
    <row r="33" spans="1:7">
      <c r="A33" t="s">
        <v>2390</v>
      </c>
      <c r="B33" t="s">
        <v>592</v>
      </c>
      <c r="C33" s="160">
        <v>46105</v>
      </c>
      <c r="D33" s="160">
        <v>46106</v>
      </c>
      <c r="E33">
        <v>2</v>
      </c>
      <c r="F33" t="s">
        <v>40</v>
      </c>
      <c r="G33">
        <f>VLOOKUP(INCIDENCIAS[[#This Row],[Gerencia]],$L$3:$M$12,2,FALSE)*8</f>
        <v>59.555555555555557</v>
      </c>
    </row>
    <row r="34" spans="1:7">
      <c r="A34" t="s">
        <v>2391</v>
      </c>
      <c r="B34" t="s">
        <v>581</v>
      </c>
      <c r="C34" s="160">
        <v>45713</v>
      </c>
      <c r="D34" s="160">
        <v>45890</v>
      </c>
      <c r="E34">
        <v>128</v>
      </c>
      <c r="F34" t="s">
        <v>40</v>
      </c>
      <c r="G34">
        <f>VLOOKUP(INCIDENCIAS[[#This Row],[Gerencia]],$L$3:$M$12,2,FALSE)*8</f>
        <v>59.555555555555557</v>
      </c>
    </row>
    <row r="35" spans="1:7">
      <c r="A35" t="s">
        <v>2392</v>
      </c>
      <c r="B35" t="s">
        <v>592</v>
      </c>
      <c r="C35" s="160">
        <v>46087</v>
      </c>
      <c r="D35" s="160">
        <v>46087</v>
      </c>
      <c r="E35">
        <v>1</v>
      </c>
      <c r="F35" t="s">
        <v>108</v>
      </c>
      <c r="G35">
        <f>VLOOKUP(INCIDENCIAS[[#This Row],[Gerencia]],$L$3:$M$12,2,FALSE)*8</f>
        <v>27.636363636363637</v>
      </c>
    </row>
    <row r="36" spans="1:7">
      <c r="A36" t="s">
        <v>2393</v>
      </c>
      <c r="B36" t="s">
        <v>592</v>
      </c>
      <c r="C36" s="160">
        <v>46051</v>
      </c>
      <c r="D36" s="160">
        <v>46051</v>
      </c>
      <c r="E36">
        <v>1</v>
      </c>
      <c r="F36" t="s">
        <v>40</v>
      </c>
      <c r="G36">
        <f>VLOOKUP(INCIDENCIAS[[#This Row],[Gerencia]],$L$3:$M$12,2,FALSE)*8</f>
        <v>59.555555555555557</v>
      </c>
    </row>
    <row r="37" spans="1:7">
      <c r="A37" t="s">
        <v>2394</v>
      </c>
      <c r="B37" t="s">
        <v>592</v>
      </c>
      <c r="C37" s="160">
        <v>46008</v>
      </c>
      <c r="D37" s="160">
        <v>46008</v>
      </c>
      <c r="E37">
        <v>1</v>
      </c>
      <c r="F37" t="s">
        <v>40</v>
      </c>
      <c r="G37">
        <f>VLOOKUP(INCIDENCIAS[[#This Row],[Gerencia]],$L$3:$M$12,2,FALSE)*8</f>
        <v>59.555555555555557</v>
      </c>
    </row>
    <row r="38" spans="1:7">
      <c r="A38" t="s">
        <v>2395</v>
      </c>
      <c r="B38" t="s">
        <v>592</v>
      </c>
      <c r="C38" s="160">
        <v>45847</v>
      </c>
      <c r="D38" s="160">
        <v>45909</v>
      </c>
      <c r="E38">
        <v>45</v>
      </c>
      <c r="F38" t="s">
        <v>40</v>
      </c>
      <c r="G38">
        <f>VLOOKUP(INCIDENCIAS[[#This Row],[Gerencia]],$L$3:$M$12,2,FALSE)*8</f>
        <v>59.555555555555557</v>
      </c>
    </row>
    <row r="39" spans="1:7">
      <c r="A39" t="s">
        <v>2396</v>
      </c>
      <c r="B39" t="s">
        <v>592</v>
      </c>
      <c r="C39" s="160">
        <v>46079</v>
      </c>
      <c r="D39" s="160">
        <v>46080</v>
      </c>
      <c r="E39">
        <v>2</v>
      </c>
      <c r="F39" t="s">
        <v>108</v>
      </c>
      <c r="G39">
        <f>VLOOKUP(INCIDENCIAS[[#This Row],[Gerencia]],$L$3:$M$12,2,FALSE)*8</f>
        <v>27.636363636363637</v>
      </c>
    </row>
    <row r="40" spans="1:7">
      <c r="A40" t="s">
        <v>2397</v>
      </c>
      <c r="B40" t="s">
        <v>581</v>
      </c>
      <c r="C40" s="160">
        <v>45807</v>
      </c>
      <c r="D40" s="160">
        <v>46045</v>
      </c>
      <c r="E40">
        <v>171</v>
      </c>
      <c r="F40" t="s">
        <v>59</v>
      </c>
      <c r="G40">
        <f>VLOOKUP(INCIDENCIAS[[#This Row],[Gerencia]],$L$3:$M$12,2,FALSE)*8</f>
        <v>142.62068965517241</v>
      </c>
    </row>
    <row r="41" spans="1:7">
      <c r="A41" t="s">
        <v>2398</v>
      </c>
      <c r="B41" t="s">
        <v>2000</v>
      </c>
      <c r="C41" s="160">
        <v>45876</v>
      </c>
      <c r="D41" s="160">
        <v>45876</v>
      </c>
      <c r="E41">
        <v>1</v>
      </c>
      <c r="F41" t="s">
        <v>59</v>
      </c>
      <c r="G41">
        <f>VLOOKUP(INCIDENCIAS[[#This Row],[Gerencia]],$L$3:$M$12,2,FALSE)*8</f>
        <v>142.62068965517241</v>
      </c>
    </row>
    <row r="42" spans="1:7">
      <c r="A42" t="s">
        <v>2399</v>
      </c>
      <c r="B42" t="s">
        <v>592</v>
      </c>
      <c r="C42" s="160">
        <v>45853</v>
      </c>
      <c r="D42" s="160">
        <v>45853</v>
      </c>
      <c r="E42">
        <v>1</v>
      </c>
      <c r="F42" t="s">
        <v>59</v>
      </c>
      <c r="G42">
        <f>VLOOKUP(INCIDENCIAS[[#This Row],[Gerencia]],$L$3:$M$12,2,FALSE)*8</f>
        <v>142.62068965517241</v>
      </c>
    </row>
    <row r="43" spans="1:7">
      <c r="A43" t="s">
        <v>2400</v>
      </c>
      <c r="B43" t="s">
        <v>592</v>
      </c>
      <c r="C43" s="160">
        <v>45980</v>
      </c>
      <c r="D43" s="160">
        <v>46051</v>
      </c>
      <c r="E43">
        <v>52</v>
      </c>
      <c r="F43" t="s">
        <v>108</v>
      </c>
      <c r="G43">
        <f>VLOOKUP(INCIDENCIAS[[#This Row],[Gerencia]],$L$3:$M$12,2,FALSE)*8</f>
        <v>27.636363636363637</v>
      </c>
    </row>
    <row r="44" spans="1:7">
      <c r="A44" t="s">
        <v>2401</v>
      </c>
      <c r="B44" t="s">
        <v>592</v>
      </c>
      <c r="C44" s="160">
        <v>45894</v>
      </c>
      <c r="D44" s="160">
        <v>45895</v>
      </c>
      <c r="E44">
        <v>2</v>
      </c>
      <c r="F44" t="s">
        <v>52</v>
      </c>
      <c r="G44">
        <f>VLOOKUP(INCIDENCIAS[[#This Row],[Gerencia]],$L$3:$M$12,2,FALSE)*8</f>
        <v>215.5</v>
      </c>
    </row>
    <row r="45" spans="1:7">
      <c r="A45" t="s">
        <v>2402</v>
      </c>
      <c r="B45" t="s">
        <v>592</v>
      </c>
      <c r="C45" s="160">
        <v>45894</v>
      </c>
      <c r="D45" s="160">
        <v>45895</v>
      </c>
      <c r="E45">
        <v>2</v>
      </c>
      <c r="F45" t="s">
        <v>52</v>
      </c>
      <c r="G45">
        <f>VLOOKUP(INCIDENCIAS[[#This Row],[Gerencia]],$L$3:$M$12,2,FALSE)*8</f>
        <v>215.5</v>
      </c>
    </row>
    <row r="46" spans="1:7">
      <c r="A46" t="s">
        <v>2403</v>
      </c>
      <c r="B46" t="s">
        <v>592</v>
      </c>
      <c r="C46" s="160">
        <v>45883</v>
      </c>
      <c r="D46" s="160">
        <v>45883</v>
      </c>
      <c r="E46">
        <v>1</v>
      </c>
      <c r="F46" t="s">
        <v>40</v>
      </c>
      <c r="G46">
        <f>VLOOKUP(INCIDENCIAS[[#This Row],[Gerencia]],$L$3:$M$12,2,FALSE)*8</f>
        <v>59.555555555555557</v>
      </c>
    </row>
    <row r="47" spans="1:7">
      <c r="A47" t="s">
        <v>2404</v>
      </c>
      <c r="B47" t="s">
        <v>2000</v>
      </c>
      <c r="C47" s="160">
        <v>46045</v>
      </c>
      <c r="D47" s="160">
        <v>46045</v>
      </c>
      <c r="E47">
        <v>1</v>
      </c>
      <c r="F47" t="s">
        <v>82</v>
      </c>
      <c r="G47">
        <f>VLOOKUP(INCIDENCIAS[[#This Row],[Gerencia]],$L$3:$M$12,2,FALSE)*8</f>
        <v>8</v>
      </c>
    </row>
    <row r="48" spans="1:7">
      <c r="A48" t="s">
        <v>2405</v>
      </c>
      <c r="B48" t="s">
        <v>592</v>
      </c>
      <c r="C48" s="160">
        <v>46034</v>
      </c>
      <c r="D48" s="160">
        <v>46034</v>
      </c>
      <c r="E48">
        <v>1</v>
      </c>
      <c r="F48" t="s">
        <v>52</v>
      </c>
      <c r="G48">
        <f>VLOOKUP(INCIDENCIAS[[#This Row],[Gerencia]],$L$3:$M$12,2,FALSE)*8</f>
        <v>215.5</v>
      </c>
    </row>
    <row r="49" spans="1:7">
      <c r="A49" t="s">
        <v>2406</v>
      </c>
      <c r="B49" t="s">
        <v>581</v>
      </c>
      <c r="C49" s="160">
        <v>45665</v>
      </c>
      <c r="D49" s="160">
        <v>46006</v>
      </c>
      <c r="E49">
        <v>244</v>
      </c>
      <c r="F49" t="s">
        <v>52</v>
      </c>
      <c r="G49">
        <f>VLOOKUP(INCIDENCIAS[[#This Row],[Gerencia]],$L$3:$M$12,2,FALSE)*8</f>
        <v>215.5</v>
      </c>
    </row>
    <row r="50" spans="1:7">
      <c r="A50" t="s">
        <v>2407</v>
      </c>
      <c r="B50" t="s">
        <v>592</v>
      </c>
      <c r="C50" s="160">
        <v>45902</v>
      </c>
      <c r="D50" s="160">
        <v>45903</v>
      </c>
      <c r="E50">
        <v>2</v>
      </c>
      <c r="F50" t="s">
        <v>52</v>
      </c>
      <c r="G50">
        <f>VLOOKUP(INCIDENCIAS[[#This Row],[Gerencia]],$L$3:$M$12,2,FALSE)*8</f>
        <v>215.5</v>
      </c>
    </row>
    <row r="51" spans="1:7">
      <c r="A51" t="s">
        <v>2408</v>
      </c>
      <c r="B51" t="s">
        <v>592</v>
      </c>
      <c r="C51" s="160">
        <v>45862</v>
      </c>
      <c r="D51" s="160">
        <v>45862</v>
      </c>
      <c r="E51">
        <v>1</v>
      </c>
      <c r="F51" t="s">
        <v>2315</v>
      </c>
      <c r="G51">
        <f>VLOOKUP(INCIDENCIAS[[#This Row],[Gerencia]],$L$3:$M$12,2,FALSE)*8</f>
        <v>8</v>
      </c>
    </row>
    <row r="52" spans="1:7">
      <c r="A52" t="s">
        <v>2409</v>
      </c>
      <c r="B52" t="s">
        <v>592</v>
      </c>
      <c r="C52" s="160">
        <v>46027</v>
      </c>
      <c r="D52" s="160">
        <v>46027</v>
      </c>
      <c r="E52">
        <v>1</v>
      </c>
      <c r="F52" t="s">
        <v>40</v>
      </c>
      <c r="G52">
        <f>VLOOKUP(INCIDENCIAS[[#This Row],[Gerencia]],$L$3:$M$12,2,FALSE)*8</f>
        <v>59.555555555555557</v>
      </c>
    </row>
    <row r="53" spans="1:7">
      <c r="A53" t="s">
        <v>2410</v>
      </c>
      <c r="B53" t="s">
        <v>2000</v>
      </c>
      <c r="C53" s="160">
        <v>45988</v>
      </c>
      <c r="D53" s="160">
        <v>45988</v>
      </c>
      <c r="E53">
        <v>1</v>
      </c>
      <c r="F53" t="s">
        <v>108</v>
      </c>
      <c r="G53">
        <f>VLOOKUP(INCIDENCIAS[[#This Row],[Gerencia]],$L$3:$M$12,2,FALSE)*8</f>
        <v>27.636363636363637</v>
      </c>
    </row>
    <row r="54" spans="1:7">
      <c r="A54" t="s">
        <v>2411</v>
      </c>
      <c r="B54" t="s">
        <v>592</v>
      </c>
      <c r="C54" s="160">
        <v>45853</v>
      </c>
      <c r="D54" s="160">
        <v>45853</v>
      </c>
      <c r="E54">
        <v>1</v>
      </c>
      <c r="F54" t="s">
        <v>40</v>
      </c>
      <c r="G54">
        <f>VLOOKUP(INCIDENCIAS[[#This Row],[Gerencia]],$L$3:$M$12,2,FALSE)*8</f>
        <v>59.555555555555557</v>
      </c>
    </row>
    <row r="55" spans="1:7">
      <c r="A55" t="s">
        <v>2412</v>
      </c>
      <c r="B55" t="s">
        <v>2000</v>
      </c>
      <c r="C55" s="160">
        <v>45849</v>
      </c>
      <c r="D55" s="160">
        <v>45849</v>
      </c>
      <c r="E55">
        <v>1</v>
      </c>
      <c r="F55" t="s">
        <v>40</v>
      </c>
      <c r="G55">
        <f>VLOOKUP(INCIDENCIAS[[#This Row],[Gerencia]],$L$3:$M$12,2,FALSE)*8</f>
        <v>59.555555555555557</v>
      </c>
    </row>
    <row r="56" spans="1:7">
      <c r="A56" t="s">
        <v>2413</v>
      </c>
      <c r="B56" t="s">
        <v>592</v>
      </c>
      <c r="C56" s="160">
        <v>45841</v>
      </c>
      <c r="D56" s="160">
        <v>45842</v>
      </c>
      <c r="E56">
        <v>2</v>
      </c>
      <c r="F56" t="s">
        <v>108</v>
      </c>
      <c r="G56">
        <f>VLOOKUP(INCIDENCIAS[[#This Row],[Gerencia]],$L$3:$M$12,2,FALSE)*8</f>
        <v>27.636363636363637</v>
      </c>
    </row>
    <row r="57" spans="1:7">
      <c r="A57" t="s">
        <v>2414</v>
      </c>
      <c r="B57" t="s">
        <v>592</v>
      </c>
      <c r="C57" s="160">
        <v>45841</v>
      </c>
      <c r="D57" s="160">
        <v>45841</v>
      </c>
      <c r="E57">
        <v>1</v>
      </c>
      <c r="F57" t="s">
        <v>40</v>
      </c>
      <c r="G57">
        <f>VLOOKUP(INCIDENCIAS[[#This Row],[Gerencia]],$L$3:$M$12,2,FALSE)*8</f>
        <v>59.555555555555557</v>
      </c>
    </row>
    <row r="58" spans="1:7">
      <c r="A58" t="s">
        <v>2415</v>
      </c>
      <c r="B58" t="s">
        <v>592</v>
      </c>
      <c r="C58" s="160">
        <v>45841</v>
      </c>
      <c r="D58" s="160">
        <v>45841</v>
      </c>
      <c r="E58">
        <v>1</v>
      </c>
      <c r="F58" t="s">
        <v>40</v>
      </c>
      <c r="G58">
        <f>VLOOKUP(INCIDENCIAS[[#This Row],[Gerencia]],$L$3:$M$12,2,FALSE)*8</f>
        <v>59.555555555555557</v>
      </c>
    </row>
    <row r="59" spans="1:7">
      <c r="A59" t="s">
        <v>2416</v>
      </c>
      <c r="B59" t="s">
        <v>2000</v>
      </c>
      <c r="C59" s="160">
        <v>45839</v>
      </c>
      <c r="D59" s="160">
        <v>45839</v>
      </c>
      <c r="E59">
        <v>1</v>
      </c>
      <c r="F59" t="s">
        <v>40</v>
      </c>
      <c r="G59">
        <f>VLOOKUP(INCIDENCIAS[[#This Row],[Gerencia]],$L$3:$M$12,2,FALSE)*8</f>
        <v>59.555555555555557</v>
      </c>
    </row>
    <row r="60" spans="1:7">
      <c r="A60" t="s">
        <v>2417</v>
      </c>
      <c r="B60" t="s">
        <v>592</v>
      </c>
      <c r="C60" s="160">
        <v>45825</v>
      </c>
      <c r="D60" s="160">
        <v>45826</v>
      </c>
      <c r="E60">
        <v>2</v>
      </c>
      <c r="F60" t="s">
        <v>40</v>
      </c>
      <c r="G60">
        <f>VLOOKUP(INCIDENCIAS[[#This Row],[Gerencia]],$L$3:$M$12,2,FALSE)*8</f>
        <v>59.555555555555557</v>
      </c>
    </row>
    <row r="61" spans="1:7">
      <c r="A61" t="s">
        <v>2418</v>
      </c>
      <c r="B61" t="s">
        <v>592</v>
      </c>
      <c r="C61" s="474">
        <v>45824</v>
      </c>
      <c r="D61" s="474">
        <v>45824</v>
      </c>
      <c r="E61">
        <v>1</v>
      </c>
      <c r="F61" t="s">
        <v>108</v>
      </c>
      <c r="G61">
        <f>VLOOKUP(INCIDENCIAS[[#This Row],[Gerencia]],$L$3:$M$12,2,FALSE)*8</f>
        <v>27.636363636363637</v>
      </c>
    </row>
    <row r="62" spans="1:7">
      <c r="A62" t="s">
        <v>2419</v>
      </c>
      <c r="B62" t="s">
        <v>2000</v>
      </c>
      <c r="C62" s="474">
        <v>45824</v>
      </c>
      <c r="D62" s="474">
        <v>45824</v>
      </c>
      <c r="E62">
        <v>1</v>
      </c>
      <c r="F62" t="s">
        <v>2315</v>
      </c>
      <c r="G62">
        <f>VLOOKUP(INCIDENCIAS[[#This Row],[Gerencia]],$L$3:$M$12,2,FALSE)*8</f>
        <v>8</v>
      </c>
    </row>
    <row r="63" spans="1:7">
      <c r="A63" t="s">
        <v>2420</v>
      </c>
      <c r="B63" t="s">
        <v>592</v>
      </c>
      <c r="C63" s="474">
        <v>45824</v>
      </c>
      <c r="D63" s="474">
        <v>45824</v>
      </c>
      <c r="E63">
        <v>1</v>
      </c>
      <c r="F63" t="s">
        <v>59</v>
      </c>
      <c r="G63">
        <f>VLOOKUP(INCIDENCIAS[[#This Row],[Gerencia]],$L$3:$M$12,2,FALSE)*8</f>
        <v>142.62068965517241</v>
      </c>
    </row>
    <row r="64" spans="1:7">
      <c r="A64" t="s">
        <v>2421</v>
      </c>
      <c r="B64" t="s">
        <v>592</v>
      </c>
      <c r="C64" s="474">
        <v>45812</v>
      </c>
      <c r="D64" s="474">
        <v>45812</v>
      </c>
      <c r="E64">
        <v>1</v>
      </c>
      <c r="F64" t="s">
        <v>108</v>
      </c>
      <c r="G64">
        <f>VLOOKUP(INCIDENCIAS[[#This Row],[Gerencia]],$L$3:$M$12,2,FALSE)*8</f>
        <v>27.636363636363637</v>
      </c>
    </row>
    <row r="65" spans="1:7">
      <c r="A65" t="s">
        <v>2422</v>
      </c>
      <c r="B65" t="s">
        <v>2000</v>
      </c>
      <c r="C65" s="474">
        <v>45811</v>
      </c>
      <c r="D65" s="474">
        <v>45811</v>
      </c>
      <c r="E65">
        <v>1</v>
      </c>
      <c r="F65" t="s">
        <v>26</v>
      </c>
      <c r="G65">
        <f>VLOOKUP(INCIDENCIAS[[#This Row],[Gerencia]],$L$3:$M$12,2,FALSE)*8</f>
        <v>8</v>
      </c>
    </row>
    <row r="66" spans="1:7">
      <c r="A66" t="s">
        <v>2423</v>
      </c>
      <c r="B66" t="s">
        <v>2000</v>
      </c>
      <c r="C66" s="474">
        <v>45807</v>
      </c>
      <c r="D66" s="474">
        <v>45807</v>
      </c>
      <c r="E66">
        <v>1</v>
      </c>
      <c r="F66" t="s">
        <v>59</v>
      </c>
      <c r="G66">
        <f>VLOOKUP(INCIDENCIAS[[#This Row],[Gerencia]],$L$3:$M$12,2,FALSE)*8</f>
        <v>142.62068965517241</v>
      </c>
    </row>
    <row r="67" spans="1:7">
      <c r="A67" t="s">
        <v>2424</v>
      </c>
      <c r="B67" t="s">
        <v>2000</v>
      </c>
      <c r="C67" s="474">
        <v>45803</v>
      </c>
      <c r="D67" s="474">
        <v>45803</v>
      </c>
      <c r="E67">
        <v>1</v>
      </c>
      <c r="F67" t="s">
        <v>59</v>
      </c>
      <c r="G67">
        <f>VLOOKUP(INCIDENCIAS[[#This Row],[Gerencia]],$L$3:$M$12,2,FALSE)*8</f>
        <v>142.62068965517241</v>
      </c>
    </row>
    <row r="68" spans="1:7">
      <c r="A68" t="s">
        <v>2425</v>
      </c>
      <c r="B68" t="s">
        <v>2000</v>
      </c>
      <c r="C68" s="474">
        <v>45803</v>
      </c>
      <c r="D68" s="474">
        <v>45803</v>
      </c>
      <c r="E68">
        <v>1</v>
      </c>
      <c r="F68" t="s">
        <v>59</v>
      </c>
      <c r="G68">
        <f>VLOOKUP(INCIDENCIAS[[#This Row],[Gerencia]],$L$3:$M$12,2,FALSE)*8</f>
        <v>142.62068965517241</v>
      </c>
    </row>
    <row r="69" spans="1:7">
      <c r="A69" t="s">
        <v>2426</v>
      </c>
      <c r="B69" t="s">
        <v>2000</v>
      </c>
      <c r="C69" s="474">
        <v>45803</v>
      </c>
      <c r="D69" s="474">
        <v>45803</v>
      </c>
      <c r="E69">
        <v>1</v>
      </c>
      <c r="F69" t="s">
        <v>59</v>
      </c>
      <c r="G69">
        <f>VLOOKUP(INCIDENCIAS[[#This Row],[Gerencia]],$L$3:$M$12,2,FALSE)*8</f>
        <v>142.62068965517241</v>
      </c>
    </row>
    <row r="70" spans="1:7">
      <c r="A70" t="s">
        <v>2427</v>
      </c>
      <c r="B70" t="s">
        <v>2000</v>
      </c>
      <c r="C70" s="474">
        <v>45799</v>
      </c>
      <c r="D70" s="474">
        <v>45799</v>
      </c>
      <c r="E70">
        <v>1</v>
      </c>
      <c r="F70" t="s">
        <v>40</v>
      </c>
      <c r="G70">
        <f>VLOOKUP(INCIDENCIAS[[#This Row],[Gerencia]],$L$3:$M$12,2,FALSE)*8</f>
        <v>59.555555555555557</v>
      </c>
    </row>
    <row r="71" spans="1:7">
      <c r="A71" t="s">
        <v>2428</v>
      </c>
      <c r="B71" t="s">
        <v>592</v>
      </c>
      <c r="C71" s="474">
        <v>45798</v>
      </c>
      <c r="D71" s="474">
        <v>45798</v>
      </c>
      <c r="E71">
        <v>1</v>
      </c>
      <c r="F71" t="s">
        <v>59</v>
      </c>
      <c r="G71">
        <f>VLOOKUP(INCIDENCIAS[[#This Row],[Gerencia]],$L$3:$M$12,2,FALSE)*8</f>
        <v>142.62068965517241</v>
      </c>
    </row>
    <row r="72" spans="1:7">
      <c r="A72" t="s">
        <v>2429</v>
      </c>
      <c r="B72" t="s">
        <v>2000</v>
      </c>
      <c r="C72" s="474">
        <v>45798</v>
      </c>
      <c r="D72" s="474">
        <v>45798</v>
      </c>
      <c r="E72">
        <v>1</v>
      </c>
      <c r="F72" t="s">
        <v>59</v>
      </c>
      <c r="G72">
        <f>VLOOKUP(INCIDENCIAS[[#This Row],[Gerencia]],$L$3:$M$12,2,FALSE)*8</f>
        <v>142.62068965517241</v>
      </c>
    </row>
    <row r="73" spans="1:7">
      <c r="A73" t="s">
        <v>2430</v>
      </c>
      <c r="B73" t="s">
        <v>592</v>
      </c>
      <c r="C73" s="474">
        <v>45785</v>
      </c>
      <c r="D73" s="474">
        <v>45785</v>
      </c>
      <c r="E73">
        <v>1</v>
      </c>
      <c r="F73" t="s">
        <v>108</v>
      </c>
      <c r="G73">
        <f>VLOOKUP(INCIDENCIAS[[#This Row],[Gerencia]],$L$3:$M$12,2,FALSE)*8</f>
        <v>27.636363636363637</v>
      </c>
    </row>
    <row r="74" spans="1:7">
      <c r="A74" t="s">
        <v>2431</v>
      </c>
      <c r="B74" t="s">
        <v>2000</v>
      </c>
      <c r="C74" s="474">
        <v>45782</v>
      </c>
      <c r="D74" s="474">
        <v>45782</v>
      </c>
      <c r="E74">
        <v>1</v>
      </c>
      <c r="F74" t="s">
        <v>2316</v>
      </c>
      <c r="G74">
        <f>VLOOKUP(INCIDENCIAS[[#This Row],[Gerencia]],$L$3:$M$12,2,FALSE)*8</f>
        <v>8</v>
      </c>
    </row>
    <row r="75" spans="1:7">
      <c r="A75" t="s">
        <v>2432</v>
      </c>
      <c r="B75" t="s">
        <v>592</v>
      </c>
      <c r="C75" s="474">
        <v>45782</v>
      </c>
      <c r="D75" s="474">
        <v>45782</v>
      </c>
      <c r="E75">
        <v>1</v>
      </c>
      <c r="F75" t="s">
        <v>108</v>
      </c>
      <c r="G75">
        <f>VLOOKUP(INCIDENCIAS[[#This Row],[Gerencia]],$L$3:$M$12,2,FALSE)*8</f>
        <v>27.636363636363637</v>
      </c>
    </row>
    <row r="76" spans="1:7">
      <c r="A76" t="s">
        <v>2433</v>
      </c>
      <c r="B76" t="s">
        <v>2000</v>
      </c>
      <c r="C76" s="474">
        <v>45776</v>
      </c>
      <c r="D76" s="474">
        <v>45776</v>
      </c>
      <c r="E76">
        <v>1</v>
      </c>
      <c r="F76" t="s">
        <v>59</v>
      </c>
      <c r="G76">
        <f>VLOOKUP(INCIDENCIAS[[#This Row],[Gerencia]],$L$3:$M$12,2,FALSE)*8</f>
        <v>142.62068965517241</v>
      </c>
    </row>
    <row r="77" spans="1:7">
      <c r="A77" t="s">
        <v>2434</v>
      </c>
      <c r="B77" t="s">
        <v>2000</v>
      </c>
      <c r="C77" s="474">
        <v>45776</v>
      </c>
      <c r="D77" s="474">
        <v>45776</v>
      </c>
      <c r="E77">
        <v>1</v>
      </c>
      <c r="F77" t="s">
        <v>59</v>
      </c>
      <c r="G77">
        <f>VLOOKUP(INCIDENCIAS[[#This Row],[Gerencia]],$L$3:$M$12,2,FALSE)*8</f>
        <v>142.62068965517241</v>
      </c>
    </row>
    <row r="78" spans="1:7">
      <c r="A78" t="s">
        <v>2435</v>
      </c>
      <c r="B78" t="s">
        <v>2000</v>
      </c>
      <c r="C78" s="474">
        <v>45776</v>
      </c>
      <c r="D78" s="474">
        <v>45776</v>
      </c>
      <c r="E78">
        <v>1</v>
      </c>
      <c r="F78" t="s">
        <v>40</v>
      </c>
      <c r="G78">
        <f>VLOOKUP(INCIDENCIAS[[#This Row],[Gerencia]],$L$3:$M$12,2,FALSE)*8</f>
        <v>59.555555555555557</v>
      </c>
    </row>
    <row r="79" spans="1:7">
      <c r="A79" t="s">
        <v>2436</v>
      </c>
      <c r="B79" t="s">
        <v>592</v>
      </c>
      <c r="C79" s="474">
        <v>45772</v>
      </c>
      <c r="D79" s="474">
        <v>45772</v>
      </c>
      <c r="E79">
        <v>1</v>
      </c>
      <c r="F79" t="s">
        <v>40</v>
      </c>
      <c r="G79">
        <f>VLOOKUP(INCIDENCIAS[[#This Row],[Gerencia]],$L$3:$M$12,2,FALSE)*8</f>
        <v>59.555555555555557</v>
      </c>
    </row>
    <row r="80" spans="1:7">
      <c r="A80" t="s">
        <v>2437</v>
      </c>
      <c r="B80" t="s">
        <v>2000</v>
      </c>
      <c r="C80" s="474">
        <v>45771</v>
      </c>
      <c r="D80" s="474">
        <v>45771</v>
      </c>
      <c r="E80">
        <v>1</v>
      </c>
      <c r="F80" t="s">
        <v>52</v>
      </c>
      <c r="G80">
        <f>VLOOKUP(INCIDENCIAS[[#This Row],[Gerencia]],$L$3:$M$12,2,FALSE)*8</f>
        <v>215.5</v>
      </c>
    </row>
    <row r="81" spans="1:7">
      <c r="A81" t="s">
        <v>2438</v>
      </c>
      <c r="B81" t="s">
        <v>592</v>
      </c>
      <c r="C81" s="474">
        <v>45763</v>
      </c>
      <c r="D81" s="474">
        <v>45768</v>
      </c>
      <c r="E81">
        <v>4</v>
      </c>
      <c r="F81" t="s">
        <v>52</v>
      </c>
      <c r="G81">
        <f>VLOOKUP(INCIDENCIAS[[#This Row],[Gerencia]],$L$3:$M$12,2,FALSE)*8</f>
        <v>215.5</v>
      </c>
    </row>
    <row r="82" spans="1:7">
      <c r="A82" t="s">
        <v>2439</v>
      </c>
      <c r="B82" t="s">
        <v>2000</v>
      </c>
      <c r="C82" s="474">
        <v>45763</v>
      </c>
      <c r="D82" s="474">
        <v>45763</v>
      </c>
      <c r="E82">
        <v>1</v>
      </c>
      <c r="F82" t="s">
        <v>52</v>
      </c>
      <c r="G82">
        <f>VLOOKUP(INCIDENCIAS[[#This Row],[Gerencia]],$L$3:$M$12,2,FALSE)*8</f>
        <v>215.5</v>
      </c>
    </row>
    <row r="83" spans="1:7">
      <c r="A83" t="s">
        <v>2440</v>
      </c>
      <c r="B83" t="s">
        <v>2000</v>
      </c>
      <c r="C83" s="474">
        <v>45761</v>
      </c>
      <c r="D83" s="474">
        <v>45761</v>
      </c>
      <c r="E83">
        <v>1</v>
      </c>
      <c r="F83" t="s">
        <v>2317</v>
      </c>
      <c r="G83">
        <f>VLOOKUP(INCIDENCIAS[[#This Row],[Gerencia]],$L$3:$M$12,2,FALSE)*8</f>
        <v>8</v>
      </c>
    </row>
    <row r="84" spans="1:7">
      <c r="A84" t="s">
        <v>2441</v>
      </c>
      <c r="B84" t="s">
        <v>581</v>
      </c>
      <c r="C84" s="474">
        <v>45741</v>
      </c>
      <c r="D84" s="474">
        <v>45761</v>
      </c>
      <c r="E84">
        <v>15</v>
      </c>
      <c r="F84" t="s">
        <v>59</v>
      </c>
      <c r="G84">
        <f>VLOOKUP(INCIDENCIAS[[#This Row],[Gerencia]],$L$3:$M$12,2,FALSE)*8</f>
        <v>142.62068965517241</v>
      </c>
    </row>
    <row r="85" spans="1:7">
      <c r="A85" t="s">
        <v>2442</v>
      </c>
      <c r="B85" t="s">
        <v>592</v>
      </c>
      <c r="C85" s="474">
        <v>45757</v>
      </c>
      <c r="D85" s="474">
        <v>45757</v>
      </c>
      <c r="E85">
        <v>1</v>
      </c>
      <c r="F85" t="s">
        <v>33</v>
      </c>
      <c r="G85">
        <f>VLOOKUP(INCIDENCIAS[[#This Row],[Gerencia]],$L$3:$M$12,2,FALSE)*8</f>
        <v>94.4</v>
      </c>
    </row>
    <row r="86" spans="1:7">
      <c r="A86" t="s">
        <v>2443</v>
      </c>
      <c r="B86" t="s">
        <v>592</v>
      </c>
      <c r="C86" s="474">
        <v>45747</v>
      </c>
      <c r="D86" s="474">
        <v>45749</v>
      </c>
      <c r="E86">
        <v>3</v>
      </c>
      <c r="F86" t="s">
        <v>52</v>
      </c>
      <c r="G86">
        <f>VLOOKUP(INCIDENCIAS[[#This Row],[Gerencia]],$L$3:$M$12,2,FALSE)*8</f>
        <v>215.5</v>
      </c>
    </row>
    <row r="87" spans="1:7">
      <c r="A87" t="s">
        <v>2444</v>
      </c>
      <c r="B87" t="s">
        <v>592</v>
      </c>
      <c r="C87" s="474">
        <v>45749</v>
      </c>
      <c r="D87" s="474">
        <v>45749</v>
      </c>
      <c r="E87">
        <v>1</v>
      </c>
      <c r="F87" t="s">
        <v>59</v>
      </c>
      <c r="G87">
        <f>VLOOKUP(INCIDENCIAS[[#This Row],[Gerencia]],$L$3:$M$12,2,FALSE)*8</f>
        <v>142.62068965517241</v>
      </c>
    </row>
    <row r="88" spans="1:7">
      <c r="A88" t="s">
        <v>2445</v>
      </c>
      <c r="B88" t="s">
        <v>592</v>
      </c>
      <c r="C88" s="474">
        <v>45742</v>
      </c>
      <c r="D88" s="474">
        <v>45742</v>
      </c>
      <c r="E88">
        <v>1</v>
      </c>
      <c r="F88" t="s">
        <v>40</v>
      </c>
      <c r="G88">
        <f>VLOOKUP(INCIDENCIAS[[#This Row],[Gerencia]],$L$3:$M$12,2,FALSE)*8</f>
        <v>59.555555555555557</v>
      </c>
    </row>
    <row r="89" spans="1:7">
      <c r="A89" t="s">
        <v>2446</v>
      </c>
      <c r="B89" t="s">
        <v>592</v>
      </c>
      <c r="C89" s="474">
        <v>45741</v>
      </c>
      <c r="D89" s="474">
        <v>45741</v>
      </c>
      <c r="E89">
        <v>1</v>
      </c>
      <c r="F89" t="s">
        <v>59</v>
      </c>
      <c r="G89">
        <f>VLOOKUP(INCIDENCIAS[[#This Row],[Gerencia]],$L$3:$M$12,2,FALSE)*8</f>
        <v>142.62068965517241</v>
      </c>
    </row>
    <row r="90" spans="1:7">
      <c r="A90" t="s">
        <v>2447</v>
      </c>
      <c r="B90" t="s">
        <v>592</v>
      </c>
      <c r="C90" s="474">
        <v>45737</v>
      </c>
      <c r="D90" s="474">
        <v>45737</v>
      </c>
      <c r="E90">
        <v>1</v>
      </c>
      <c r="F90" t="s">
        <v>59</v>
      </c>
      <c r="G90">
        <f>VLOOKUP(INCIDENCIAS[[#This Row],[Gerencia]],$L$3:$M$12,2,FALSE)*8</f>
        <v>142.62068965517241</v>
      </c>
    </row>
    <row r="91" spans="1:7">
      <c r="A91" t="s">
        <v>2448</v>
      </c>
      <c r="B91" t="s">
        <v>2000</v>
      </c>
      <c r="C91" s="474">
        <v>45736</v>
      </c>
      <c r="D91" s="474">
        <v>45736</v>
      </c>
      <c r="E91">
        <v>1</v>
      </c>
      <c r="F91" t="s">
        <v>52</v>
      </c>
      <c r="G91">
        <f>VLOOKUP(INCIDENCIAS[[#This Row],[Gerencia]],$L$3:$M$12,2,FALSE)*8</f>
        <v>215.5</v>
      </c>
    </row>
    <row r="92" spans="1:7">
      <c r="A92" t="s">
        <v>2449</v>
      </c>
      <c r="B92" t="s">
        <v>592</v>
      </c>
      <c r="C92" s="474">
        <v>45734</v>
      </c>
      <c r="D92" s="474">
        <v>45734</v>
      </c>
      <c r="E92">
        <v>1</v>
      </c>
      <c r="F92" t="s">
        <v>59</v>
      </c>
      <c r="G92">
        <f>VLOOKUP(INCIDENCIAS[[#This Row],[Gerencia]],$L$3:$M$12,2,FALSE)*8</f>
        <v>142.62068965517241</v>
      </c>
    </row>
    <row r="93" spans="1:7">
      <c r="A93" t="s">
        <v>2450</v>
      </c>
      <c r="B93" t="s">
        <v>592</v>
      </c>
      <c r="C93" s="474">
        <v>45734</v>
      </c>
      <c r="D93" s="474">
        <v>45734</v>
      </c>
      <c r="E93">
        <v>1</v>
      </c>
      <c r="F93" t="s">
        <v>40</v>
      </c>
      <c r="G93">
        <f>VLOOKUP(INCIDENCIAS[[#This Row],[Gerencia]],$L$3:$M$12,2,FALSE)*8</f>
        <v>59.555555555555557</v>
      </c>
    </row>
    <row r="94" spans="1:7">
      <c r="A94" t="s">
        <v>2451</v>
      </c>
      <c r="B94" t="s">
        <v>592</v>
      </c>
      <c r="C94" s="474">
        <v>45728</v>
      </c>
      <c r="D94" s="474">
        <v>45728</v>
      </c>
      <c r="E94">
        <v>1</v>
      </c>
      <c r="F94" t="s">
        <v>59</v>
      </c>
      <c r="G94">
        <f>VLOOKUP(INCIDENCIAS[[#This Row],[Gerencia]],$L$3:$M$12,2,FALSE)*8</f>
        <v>142.62068965517241</v>
      </c>
    </row>
    <row r="95" spans="1:7">
      <c r="A95" t="s">
        <v>2452</v>
      </c>
      <c r="B95" t="s">
        <v>592</v>
      </c>
      <c r="C95" s="474">
        <v>45660</v>
      </c>
      <c r="D95" s="474">
        <v>45726</v>
      </c>
      <c r="E95">
        <v>47</v>
      </c>
      <c r="F95" t="s">
        <v>52</v>
      </c>
      <c r="G95">
        <f>VLOOKUP(INCIDENCIAS[[#This Row],[Gerencia]],$L$3:$M$12,2,FALSE)*8</f>
        <v>215.5</v>
      </c>
    </row>
    <row r="96" spans="1:7">
      <c r="A96" t="s">
        <v>2453</v>
      </c>
      <c r="B96" t="s">
        <v>592</v>
      </c>
      <c r="C96" s="474">
        <v>45721</v>
      </c>
      <c r="D96" s="474">
        <v>45722</v>
      </c>
      <c r="E96">
        <v>2</v>
      </c>
      <c r="F96" t="s">
        <v>108</v>
      </c>
      <c r="G96">
        <f>VLOOKUP(INCIDENCIAS[[#This Row],[Gerencia]],$L$3:$M$12,2,FALSE)*8</f>
        <v>27.636363636363637</v>
      </c>
    </row>
    <row r="97" spans="1:7">
      <c r="A97" t="s">
        <v>2454</v>
      </c>
      <c r="B97" t="s">
        <v>592</v>
      </c>
      <c r="C97" s="474">
        <v>45721</v>
      </c>
      <c r="D97" s="474">
        <v>45721</v>
      </c>
      <c r="E97">
        <v>1</v>
      </c>
      <c r="F97" t="s">
        <v>40</v>
      </c>
      <c r="G97">
        <f>VLOOKUP(INCIDENCIAS[[#This Row],[Gerencia]],$L$3:$M$12,2,FALSE)*8</f>
        <v>59.555555555555557</v>
      </c>
    </row>
    <row r="98" spans="1:7">
      <c r="A98" t="s">
        <v>2455</v>
      </c>
      <c r="B98" t="s">
        <v>592</v>
      </c>
      <c r="C98" s="474">
        <v>45720</v>
      </c>
      <c r="D98" s="474">
        <v>45720</v>
      </c>
      <c r="E98">
        <v>1</v>
      </c>
      <c r="F98" t="s">
        <v>52</v>
      </c>
      <c r="G98">
        <f>VLOOKUP(INCIDENCIAS[[#This Row],[Gerencia]],$L$3:$M$12,2,FALSE)*8</f>
        <v>215.5</v>
      </c>
    </row>
    <row r="99" spans="1:7">
      <c r="A99" t="s">
        <v>2456</v>
      </c>
      <c r="B99" t="s">
        <v>592</v>
      </c>
      <c r="C99" s="474">
        <v>45713</v>
      </c>
      <c r="D99" s="474">
        <v>45713</v>
      </c>
      <c r="E99">
        <v>1</v>
      </c>
      <c r="F99" t="s">
        <v>59</v>
      </c>
      <c r="G99">
        <f>VLOOKUP(INCIDENCIAS[[#This Row],[Gerencia]],$L$3:$M$12,2,FALSE)*8</f>
        <v>142.62068965517241</v>
      </c>
    </row>
    <row r="100" spans="1:7">
      <c r="A100" t="s">
        <v>2457</v>
      </c>
      <c r="B100" t="s">
        <v>2000</v>
      </c>
      <c r="C100" s="474">
        <v>45712</v>
      </c>
      <c r="D100" s="474">
        <v>45712</v>
      </c>
      <c r="E100">
        <v>1</v>
      </c>
      <c r="F100" t="s">
        <v>40</v>
      </c>
      <c r="G100">
        <f>VLOOKUP(INCIDENCIAS[[#This Row],[Gerencia]],$L$3:$M$12,2,FALSE)*8</f>
        <v>59.555555555555557</v>
      </c>
    </row>
    <row r="101" spans="1:7">
      <c r="A101" t="s">
        <v>2458</v>
      </c>
      <c r="B101" t="s">
        <v>592</v>
      </c>
      <c r="C101" s="474">
        <v>45707</v>
      </c>
      <c r="D101" s="474">
        <v>45707</v>
      </c>
      <c r="E101">
        <v>1</v>
      </c>
      <c r="F101" t="s">
        <v>40</v>
      </c>
      <c r="G101">
        <f>VLOOKUP(INCIDENCIAS[[#This Row],[Gerencia]],$L$3:$M$12,2,FALSE)*8</f>
        <v>59.555555555555557</v>
      </c>
    </row>
    <row r="102" spans="1:7">
      <c r="A102" t="s">
        <v>2459</v>
      </c>
      <c r="B102" t="s">
        <v>2000</v>
      </c>
      <c r="C102" s="474">
        <v>45700</v>
      </c>
      <c r="D102" s="474">
        <v>45700</v>
      </c>
      <c r="E102">
        <v>1</v>
      </c>
      <c r="F102" t="s">
        <v>40</v>
      </c>
      <c r="G102">
        <f>VLOOKUP(INCIDENCIAS[[#This Row],[Gerencia]],$L$3:$M$12,2,FALSE)*8</f>
        <v>59.555555555555557</v>
      </c>
    </row>
    <row r="103" spans="1:7">
      <c r="A103" t="s">
        <v>2460</v>
      </c>
      <c r="B103" t="s">
        <v>592</v>
      </c>
      <c r="C103" s="474">
        <v>45681</v>
      </c>
      <c r="D103" s="474">
        <v>45681</v>
      </c>
      <c r="E103">
        <v>1</v>
      </c>
      <c r="F103" t="s">
        <v>59</v>
      </c>
      <c r="G103">
        <f>VLOOKUP(INCIDENCIAS[[#This Row],[Gerencia]],$L$3:$M$12,2,FALSE)*8</f>
        <v>142.62068965517241</v>
      </c>
    </row>
    <row r="104" spans="1:7">
      <c r="A104" t="s">
        <v>2461</v>
      </c>
      <c r="B104" t="s">
        <v>592</v>
      </c>
      <c r="C104" s="474">
        <v>45679</v>
      </c>
      <c r="D104" s="474">
        <v>45679</v>
      </c>
      <c r="E104">
        <v>1</v>
      </c>
      <c r="F104" t="s">
        <v>108</v>
      </c>
      <c r="G104">
        <f>VLOOKUP(INCIDENCIAS[[#This Row],[Gerencia]],$L$3:$M$12,2,FALSE)*8</f>
        <v>27.636363636363637</v>
      </c>
    </row>
    <row r="105" spans="1:7">
      <c r="A105" t="s">
        <v>2462</v>
      </c>
      <c r="B105" t="s">
        <v>592</v>
      </c>
      <c r="C105" s="474">
        <v>45674</v>
      </c>
      <c r="D105" s="474">
        <v>45674</v>
      </c>
      <c r="E105">
        <v>1</v>
      </c>
      <c r="F105" t="s">
        <v>108</v>
      </c>
      <c r="G105">
        <f>VLOOKUP(INCIDENCIAS[[#This Row],[Gerencia]],$L$3:$M$12,2,FALSE)*8</f>
        <v>27.636363636363637</v>
      </c>
    </row>
    <row r="106" spans="1:7">
      <c r="A106" t="s">
        <v>2463</v>
      </c>
      <c r="B106" t="s">
        <v>592</v>
      </c>
      <c r="C106" s="474">
        <v>45670</v>
      </c>
      <c r="D106" s="474">
        <v>45670</v>
      </c>
      <c r="E106">
        <v>1</v>
      </c>
      <c r="F106" t="s">
        <v>40</v>
      </c>
      <c r="G106">
        <f>VLOOKUP(INCIDENCIAS[[#This Row],[Gerencia]],$L$3:$M$12,2,FALSE)*8</f>
        <v>59.555555555555557</v>
      </c>
    </row>
  </sheetData>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EBDFF-11FA-4A57-86C8-C63787CA3D95}">
  <sheetPr codeName="Hoja23"/>
  <dimension ref="A1:C25"/>
  <sheetViews>
    <sheetView workbookViewId="0">
      <selection activeCell="E16" sqref="E16"/>
    </sheetView>
  </sheetViews>
  <sheetFormatPr defaultColWidth="11.42578125" defaultRowHeight="15"/>
  <cols>
    <col min="1" max="1" width="32" bestFit="1" customWidth="1"/>
    <col min="2" max="2" width="22.42578125" bestFit="1" customWidth="1"/>
    <col min="3" max="3" width="14" bestFit="1" customWidth="1"/>
  </cols>
  <sheetData>
    <row r="1" spans="1:3">
      <c r="A1" t="s">
        <v>16</v>
      </c>
      <c r="B1" t="s">
        <v>2464</v>
      </c>
      <c r="C1" t="s">
        <v>2346</v>
      </c>
    </row>
    <row r="2" spans="1:3">
      <c r="A2" t="s">
        <v>30</v>
      </c>
      <c r="B2">
        <v>11</v>
      </c>
      <c r="C2">
        <v>0.72727272727272729</v>
      </c>
    </row>
    <row r="3" spans="1:3">
      <c r="A3" t="s">
        <v>43</v>
      </c>
      <c r="B3">
        <v>7</v>
      </c>
      <c r="C3">
        <v>1.1428571428571428</v>
      </c>
    </row>
    <row r="4" spans="1:3">
      <c r="A4" t="s">
        <v>54</v>
      </c>
      <c r="B4">
        <v>7</v>
      </c>
      <c r="C4">
        <v>1.1428571428571428</v>
      </c>
    </row>
    <row r="5" spans="1:3">
      <c r="A5" t="s">
        <v>150</v>
      </c>
      <c r="B5">
        <v>5</v>
      </c>
      <c r="C5">
        <v>1.6</v>
      </c>
    </row>
    <row r="6" spans="1:3">
      <c r="A6" t="s">
        <v>49</v>
      </c>
      <c r="B6">
        <v>5</v>
      </c>
      <c r="C6">
        <v>1.6</v>
      </c>
    </row>
    <row r="7" spans="1:3">
      <c r="A7" t="s">
        <v>210</v>
      </c>
      <c r="B7">
        <v>4</v>
      </c>
      <c r="C7">
        <v>2</v>
      </c>
    </row>
    <row r="8" spans="1:3">
      <c r="A8" t="s">
        <v>139</v>
      </c>
      <c r="B8">
        <v>4</v>
      </c>
      <c r="C8">
        <v>2</v>
      </c>
    </row>
    <row r="9" spans="1:3">
      <c r="A9" t="s">
        <v>153</v>
      </c>
      <c r="B9">
        <v>4</v>
      </c>
      <c r="C9">
        <v>2</v>
      </c>
    </row>
    <row r="10" spans="1:3">
      <c r="A10" t="s">
        <v>190</v>
      </c>
      <c r="B10">
        <v>3</v>
      </c>
      <c r="C10">
        <v>2.6666666666666665</v>
      </c>
    </row>
    <row r="11" spans="1:3">
      <c r="A11" t="s">
        <v>123</v>
      </c>
      <c r="B11">
        <v>3</v>
      </c>
      <c r="C11">
        <v>2.6666666666666665</v>
      </c>
    </row>
    <row r="12" spans="1:3">
      <c r="A12" t="s">
        <v>105</v>
      </c>
      <c r="B12">
        <v>3</v>
      </c>
      <c r="C12">
        <v>2.6666666666666665</v>
      </c>
    </row>
    <row r="13" spans="1:3">
      <c r="A13" t="s">
        <v>76</v>
      </c>
      <c r="B13">
        <v>2</v>
      </c>
      <c r="C13">
        <v>4</v>
      </c>
    </row>
    <row r="14" spans="1:3">
      <c r="A14" t="s">
        <v>324</v>
      </c>
      <c r="B14">
        <v>2</v>
      </c>
      <c r="C14">
        <v>4</v>
      </c>
    </row>
    <row r="15" spans="1:3">
      <c r="A15" t="s">
        <v>37</v>
      </c>
      <c r="B15">
        <v>2</v>
      </c>
      <c r="C15">
        <v>4</v>
      </c>
    </row>
    <row r="16" spans="1:3">
      <c r="A16" t="s">
        <v>126</v>
      </c>
      <c r="B16">
        <v>2</v>
      </c>
      <c r="C16">
        <v>4</v>
      </c>
    </row>
    <row r="17" spans="1:3">
      <c r="B17">
        <v>1</v>
      </c>
      <c r="C17">
        <v>8</v>
      </c>
    </row>
    <row r="18" spans="1:3">
      <c r="A18" t="s">
        <v>165</v>
      </c>
      <c r="B18">
        <v>1</v>
      </c>
      <c r="C18">
        <v>8</v>
      </c>
    </row>
    <row r="19" spans="1:3">
      <c r="A19" t="s">
        <v>133</v>
      </c>
      <c r="B19">
        <v>1</v>
      </c>
      <c r="C19">
        <v>8</v>
      </c>
    </row>
    <row r="20" spans="1:3">
      <c r="A20" t="s">
        <v>84</v>
      </c>
      <c r="B20">
        <v>1</v>
      </c>
      <c r="C20">
        <v>8</v>
      </c>
    </row>
    <row r="21" spans="1:3">
      <c r="A21" t="s">
        <v>2350</v>
      </c>
      <c r="B21">
        <v>1</v>
      </c>
      <c r="C21">
        <v>8</v>
      </c>
    </row>
    <row r="22" spans="1:3">
      <c r="A22" t="s">
        <v>217</v>
      </c>
      <c r="B22">
        <v>1</v>
      </c>
      <c r="C22">
        <v>8</v>
      </c>
    </row>
    <row r="23" spans="1:3">
      <c r="A23" t="s">
        <v>317</v>
      </c>
      <c r="B23">
        <v>1</v>
      </c>
      <c r="C23">
        <v>8</v>
      </c>
    </row>
    <row r="24" spans="1:3">
      <c r="A24" t="s">
        <v>356</v>
      </c>
      <c r="B24">
        <v>1</v>
      </c>
      <c r="C24">
        <v>8</v>
      </c>
    </row>
    <row r="25" spans="1:3">
      <c r="A25" t="s">
        <v>2351</v>
      </c>
      <c r="B25">
        <v>1</v>
      </c>
      <c r="C25">
        <v>8</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8">
    <tabColor rgb="FFFF0000"/>
    <pageSetUpPr fitToPage="1"/>
  </sheetPr>
  <dimension ref="A1:BQ19"/>
  <sheetViews>
    <sheetView zoomScale="85" zoomScaleNormal="85" workbookViewId="0">
      <pane xSplit="6" ySplit="5" topLeftCell="G6" activePane="bottomRight" state="frozen"/>
      <selection pane="bottomRight" activeCell="E1" sqref="E1"/>
      <selection pane="bottomLeft" activeCell="A3" sqref="A3"/>
      <selection pane="topRight" activeCell="E1" sqref="E1"/>
    </sheetView>
  </sheetViews>
  <sheetFormatPr defaultColWidth="11.42578125" defaultRowHeight="12.75" customHeight="1" outlineLevelCol="1"/>
  <cols>
    <col min="1" max="1" width="9" customWidth="1"/>
    <col min="2" max="2" width="12.28515625" customWidth="1"/>
    <col min="3" max="3" width="11.85546875" customWidth="1"/>
    <col min="4" max="4" width="13.85546875" customWidth="1"/>
    <col min="5" max="5" width="17.7109375" customWidth="1"/>
    <col min="6" max="6" width="38.85546875" customWidth="1"/>
    <col min="7" max="7" width="33.28515625" customWidth="1"/>
    <col min="8" max="8" width="20.42578125" customWidth="1"/>
    <col min="9" max="9" width="25.85546875" customWidth="1" outlineLevel="1"/>
    <col min="10" max="10" width="15.5703125" customWidth="1" outlineLevel="1"/>
    <col min="11" max="11" width="24.7109375" customWidth="1" outlineLevel="1"/>
    <col min="12" max="12" width="16.42578125" customWidth="1" outlineLevel="1"/>
    <col min="13" max="13" width="19.28515625" customWidth="1" outlineLevel="1"/>
    <col min="14" max="15" width="16.42578125" customWidth="1" outlineLevel="1"/>
    <col min="16" max="16" width="23.5703125" customWidth="1"/>
    <col min="17" max="19" width="16.42578125" customWidth="1"/>
    <col min="20" max="21" width="21" customWidth="1"/>
    <col min="22" max="22" width="17.28515625" customWidth="1"/>
    <col min="23" max="23" width="13.85546875" customWidth="1"/>
    <col min="24" max="25" width="20.7109375" customWidth="1"/>
    <col min="26" max="26" width="18.85546875" customWidth="1"/>
    <col min="27" max="27" width="16.85546875" customWidth="1"/>
    <col min="28" max="28" width="16.85546875" customWidth="1" outlineLevel="1"/>
    <col min="29" max="29" width="14.42578125" customWidth="1" outlineLevel="1"/>
    <col min="30" max="30" width="16" customWidth="1" outlineLevel="1"/>
    <col min="31" max="32" width="14.42578125" customWidth="1" outlineLevel="1"/>
    <col min="33" max="33" width="17.28515625" customWidth="1" outlineLevel="1"/>
    <col min="34" max="35" width="14.42578125" customWidth="1" outlineLevel="1"/>
    <col min="36" max="36" width="14.42578125" customWidth="1"/>
    <col min="37" max="37" width="37.5703125" customWidth="1"/>
    <col min="38" max="38" width="14.7109375" customWidth="1"/>
    <col min="39" max="39" width="16" customWidth="1"/>
    <col min="40" max="41" width="16.7109375" customWidth="1"/>
    <col min="42" max="42" width="17.42578125" customWidth="1"/>
    <col min="43" max="43" width="14.7109375" customWidth="1"/>
    <col min="44" max="44" width="14" customWidth="1"/>
    <col min="45" max="45" width="17.7109375" customWidth="1"/>
    <col min="46" max="47" width="14.85546875" customWidth="1"/>
    <col min="48" max="48" width="13.7109375" bestFit="1" customWidth="1"/>
    <col min="49" max="49" width="13.42578125" bestFit="1" customWidth="1"/>
    <col min="50" max="50" width="13.42578125" customWidth="1"/>
    <col min="51" max="51" width="17.42578125" customWidth="1"/>
    <col min="52" max="52" width="15.5703125" customWidth="1"/>
    <col min="53" max="53" width="23" customWidth="1"/>
    <col min="54" max="54" width="21" customWidth="1"/>
    <col min="55" max="55" width="22.140625" customWidth="1"/>
    <col min="59" max="59" width="11.42578125" bestFit="1" customWidth="1"/>
    <col min="61" max="61" width="11.42578125" customWidth="1"/>
    <col min="62" max="62" width="11.42578125" style="101" customWidth="1"/>
    <col min="63" max="63" width="34.5703125" customWidth="1"/>
    <col min="64" max="66" width="11.42578125" customWidth="1"/>
    <col min="67" max="67" width="17.28515625" customWidth="1"/>
    <col min="68" max="68" width="14" customWidth="1"/>
  </cols>
  <sheetData>
    <row r="1" spans="1:69" s="8" customFormat="1" ht="20.25">
      <c r="A1" s="7" t="s">
        <v>0</v>
      </c>
      <c r="B1" s="7"/>
      <c r="C1" s="7"/>
      <c r="D1" s="26"/>
      <c r="E1" s="26"/>
      <c r="H1" s="26"/>
      <c r="I1" s="26"/>
      <c r="J1" s="26"/>
      <c r="K1" s="26"/>
      <c r="L1" s="26"/>
      <c r="M1" s="26"/>
      <c r="N1" s="26"/>
      <c r="O1" s="26"/>
      <c r="P1" s="26"/>
      <c r="Q1" s="26"/>
      <c r="R1" s="26"/>
      <c r="S1" s="26"/>
      <c r="T1" s="26"/>
      <c r="U1" s="26"/>
      <c r="V1" s="26"/>
      <c r="W1" s="26"/>
      <c r="X1" s="26"/>
      <c r="Y1" s="26"/>
      <c r="AB1" s="92"/>
      <c r="AC1" s="92"/>
      <c r="AD1" s="92"/>
      <c r="AE1" s="92"/>
      <c r="AF1" s="92"/>
      <c r="AG1" s="92"/>
      <c r="AH1" s="92"/>
      <c r="AI1" s="92"/>
      <c r="AJ1" s="92"/>
      <c r="AY1" s="37"/>
      <c r="AZ1" s="37"/>
      <c r="BJ1" s="92"/>
      <c r="BM1" s="84"/>
      <c r="BO1" s="91"/>
    </row>
    <row r="2" spans="1:69" s="8" customFormat="1" ht="20.25" customHeight="1">
      <c r="A2" s="585" t="s">
        <v>2465</v>
      </c>
      <c r="B2" s="585"/>
      <c r="C2" s="585"/>
      <c r="D2" s="27"/>
      <c r="E2" s="27"/>
      <c r="F2" s="9"/>
      <c r="G2" s="9"/>
      <c r="H2" s="27"/>
      <c r="I2" s="27"/>
      <c r="J2" s="27"/>
      <c r="K2" s="27"/>
      <c r="L2" s="27"/>
      <c r="M2" s="27"/>
      <c r="N2" s="27"/>
      <c r="O2" s="27"/>
      <c r="P2" s="26"/>
      <c r="Q2" s="26"/>
      <c r="R2" s="26"/>
      <c r="S2" s="26"/>
      <c r="T2" s="26"/>
      <c r="U2" s="26"/>
      <c r="V2" s="26"/>
      <c r="W2" s="26"/>
      <c r="X2" s="26"/>
      <c r="Y2" s="26"/>
      <c r="AB2" s="92"/>
      <c r="AC2" s="92"/>
      <c r="AD2" s="92"/>
      <c r="AE2" s="92"/>
      <c r="AF2" s="92"/>
      <c r="AG2" s="92"/>
      <c r="AH2" s="92"/>
      <c r="AI2" s="92"/>
      <c r="AJ2" s="92"/>
      <c r="AY2" s="37"/>
      <c r="AZ2" s="37"/>
      <c r="BJ2" s="92"/>
      <c r="BM2" s="84"/>
      <c r="BO2" s="91"/>
    </row>
    <row r="3" spans="1:69" s="10" customFormat="1" ht="41.25" customHeight="1">
      <c r="A3" s="586"/>
      <c r="B3" s="586"/>
      <c r="C3" s="586"/>
      <c r="D3" s="23"/>
      <c r="E3" s="23"/>
      <c r="H3" s="23"/>
      <c r="I3" s="23"/>
      <c r="J3" s="23"/>
      <c r="K3" s="23"/>
      <c r="L3" s="23"/>
      <c r="M3" s="23"/>
      <c r="N3" s="23"/>
      <c r="O3" s="23"/>
      <c r="P3" s="23"/>
      <c r="Q3" s="23"/>
      <c r="R3" s="23"/>
      <c r="S3" s="23"/>
      <c r="T3" s="23"/>
      <c r="U3" s="23"/>
      <c r="V3" s="23"/>
      <c r="W3" s="23"/>
      <c r="X3" s="23"/>
      <c r="Y3" s="23"/>
      <c r="AB3" s="93"/>
      <c r="AC3" s="93"/>
      <c r="AD3" s="93"/>
      <c r="AE3" s="93"/>
      <c r="AF3" s="93"/>
      <c r="AG3" s="93"/>
      <c r="AH3" s="93"/>
      <c r="AI3" s="93"/>
      <c r="AJ3" s="93"/>
      <c r="AY3" s="38"/>
      <c r="AZ3" s="38"/>
      <c r="BJ3" s="93"/>
      <c r="BM3" s="85"/>
      <c r="BO3" s="83"/>
    </row>
    <row r="4" spans="1:69" s="10" customFormat="1" ht="15" customHeight="1">
      <c r="A4" s="587" t="s">
        <v>375</v>
      </c>
      <c r="B4" s="588"/>
      <c r="C4" s="588"/>
      <c r="D4" s="588"/>
      <c r="E4" s="588"/>
      <c r="F4" s="588"/>
      <c r="G4" s="588"/>
      <c r="H4" s="588"/>
      <c r="I4" s="588"/>
      <c r="J4" s="588"/>
      <c r="K4" s="588"/>
      <c r="L4" s="588"/>
      <c r="M4" s="588"/>
      <c r="N4" s="588"/>
      <c r="O4" s="588"/>
      <c r="P4" s="588"/>
      <c r="Q4" s="587" t="s">
        <v>376</v>
      </c>
      <c r="R4" s="588"/>
      <c r="S4" s="588"/>
      <c r="T4" s="588"/>
      <c r="U4" s="588"/>
      <c r="V4" s="588"/>
      <c r="W4" s="588"/>
      <c r="X4" s="287" t="s">
        <v>377</v>
      </c>
      <c r="Y4" s="287"/>
      <c r="Z4" s="288"/>
      <c r="AA4" s="288"/>
      <c r="AB4" s="289"/>
      <c r="AC4" s="289"/>
      <c r="AD4" s="289"/>
      <c r="AE4" s="289"/>
      <c r="AF4" s="289"/>
      <c r="AG4" s="289"/>
      <c r="AH4" s="289"/>
      <c r="AI4" s="289"/>
      <c r="AJ4" s="289"/>
      <c r="AK4" s="288"/>
      <c r="AL4" s="589"/>
      <c r="AM4" s="590"/>
      <c r="AN4" s="290" t="s">
        <v>378</v>
      </c>
      <c r="AO4" s="288"/>
      <c r="AP4" s="288"/>
      <c r="AQ4" s="288"/>
      <c r="AR4" s="288"/>
      <c r="AS4" s="288"/>
      <c r="AT4" s="290"/>
      <c r="AU4" s="288"/>
      <c r="AV4" s="587" t="s">
        <v>2466</v>
      </c>
      <c r="AW4" s="588"/>
      <c r="AX4" s="588"/>
      <c r="AY4" s="591"/>
      <c r="AZ4" s="37"/>
      <c r="BC4" s="67"/>
      <c r="BD4" s="67"/>
      <c r="BJ4" s="93"/>
      <c r="BM4" s="85"/>
      <c r="BO4" s="83"/>
    </row>
    <row r="5" spans="1:69" s="10" customFormat="1" ht="41.25" customHeight="1">
      <c r="A5" s="11" t="s">
        <v>380</v>
      </c>
      <c r="B5" s="11" t="s">
        <v>381</v>
      </c>
      <c r="C5" s="11" t="s">
        <v>383</v>
      </c>
      <c r="D5" s="72" t="s">
        <v>3</v>
      </c>
      <c r="E5" s="11" t="s">
        <v>382</v>
      </c>
      <c r="F5" s="11" t="s">
        <v>4</v>
      </c>
      <c r="G5" s="11" t="s">
        <v>384</v>
      </c>
      <c r="H5" s="11" t="s">
        <v>5</v>
      </c>
      <c r="I5" s="11" t="s">
        <v>385</v>
      </c>
      <c r="J5" s="11" t="s">
        <v>386</v>
      </c>
      <c r="K5" s="11" t="s">
        <v>2467</v>
      </c>
      <c r="L5" s="11" t="s">
        <v>387</v>
      </c>
      <c r="M5" s="11" t="s">
        <v>388</v>
      </c>
      <c r="N5" s="88" t="s">
        <v>389</v>
      </c>
      <c r="O5" s="88" t="s">
        <v>390</v>
      </c>
      <c r="P5" s="11" t="s">
        <v>394</v>
      </c>
      <c r="Q5" s="11" t="s">
        <v>402</v>
      </c>
      <c r="R5" s="11" t="s">
        <v>403</v>
      </c>
      <c r="S5" s="11" t="s">
        <v>404</v>
      </c>
      <c r="T5" s="11" t="s">
        <v>405</v>
      </c>
      <c r="U5" s="88" t="s">
        <v>2468</v>
      </c>
      <c r="V5" s="88" t="s">
        <v>16</v>
      </c>
      <c r="W5" s="11" t="s">
        <v>6</v>
      </c>
      <c r="X5" s="11" t="s">
        <v>7</v>
      </c>
      <c r="Y5" s="88" t="s">
        <v>406</v>
      </c>
      <c r="Z5" s="13" t="s">
        <v>407</v>
      </c>
      <c r="AA5" s="11" t="s">
        <v>408</v>
      </c>
      <c r="AB5" s="94" t="s">
        <v>410</v>
      </c>
      <c r="AC5" s="94" t="s">
        <v>411</v>
      </c>
      <c r="AD5" s="95" t="s">
        <v>412</v>
      </c>
      <c r="AE5" s="94" t="s">
        <v>413</v>
      </c>
      <c r="AF5" s="94" t="s">
        <v>414</v>
      </c>
      <c r="AG5" s="95" t="s">
        <v>415</v>
      </c>
      <c r="AH5" s="94" t="s">
        <v>416</v>
      </c>
      <c r="AI5" s="94" t="s">
        <v>417</v>
      </c>
      <c r="AJ5" s="95" t="s">
        <v>418</v>
      </c>
      <c r="AK5" s="11" t="s">
        <v>419</v>
      </c>
      <c r="AL5" s="11" t="s">
        <v>2469</v>
      </c>
      <c r="AM5" s="11" t="s">
        <v>2470</v>
      </c>
      <c r="AN5" s="12" t="s">
        <v>420</v>
      </c>
      <c r="AO5" s="12" t="s">
        <v>421</v>
      </c>
      <c r="AP5" s="12" t="s">
        <v>2471</v>
      </c>
      <c r="AQ5" s="12" t="s">
        <v>422</v>
      </c>
      <c r="AR5" s="12" t="s">
        <v>423</v>
      </c>
      <c r="AS5" s="12" t="s">
        <v>424</v>
      </c>
      <c r="AT5" s="12" t="s">
        <v>425</v>
      </c>
      <c r="AU5" s="12" t="s">
        <v>426</v>
      </c>
      <c r="AV5" s="12" t="s">
        <v>2472</v>
      </c>
      <c r="AW5" s="12" t="s">
        <v>2473</v>
      </c>
      <c r="AX5" s="12" t="s">
        <v>2474</v>
      </c>
      <c r="AY5" s="12" t="s">
        <v>2475</v>
      </c>
      <c r="AZ5" s="78" t="s">
        <v>2476</v>
      </c>
      <c r="BA5" s="47" t="s">
        <v>2477</v>
      </c>
      <c r="BB5" s="47" t="s">
        <v>2478</v>
      </c>
      <c r="BC5" s="47" t="s">
        <v>2479</v>
      </c>
      <c r="BD5" s="64" t="s">
        <v>427</v>
      </c>
      <c r="BE5" s="64" t="s">
        <v>428</v>
      </c>
      <c r="BF5" s="64" t="s">
        <v>429</v>
      </c>
      <c r="BG5" s="64" t="s">
        <v>430</v>
      </c>
      <c r="BH5" s="11" t="s">
        <v>2480</v>
      </c>
      <c r="BI5" s="291" t="s">
        <v>2481</v>
      </c>
      <c r="BJ5" s="103" t="s">
        <v>2482</v>
      </c>
      <c r="BK5" s="89" t="s">
        <v>432</v>
      </c>
      <c r="BL5" s="82" t="s">
        <v>433</v>
      </c>
      <c r="BM5" s="86" t="s">
        <v>434</v>
      </c>
      <c r="BN5" s="58" t="s">
        <v>2483</v>
      </c>
      <c r="BO5" s="96" t="s">
        <v>2484</v>
      </c>
      <c r="BP5" s="96" t="s">
        <v>2485</v>
      </c>
      <c r="BQ5" s="102" t="s">
        <v>442</v>
      </c>
    </row>
    <row r="6" spans="1:69" s="48" customFormat="1" ht="24.75" customHeight="1">
      <c r="A6" s="14" t="s">
        <v>2486</v>
      </c>
      <c r="B6" s="14">
        <v>1137</v>
      </c>
      <c r="C6" s="18"/>
      <c r="D6" s="18" t="s">
        <v>2487</v>
      </c>
      <c r="E6" s="15" t="s">
        <v>2488</v>
      </c>
      <c r="F6" s="19" t="s">
        <v>2489</v>
      </c>
      <c r="G6" s="19" t="s">
        <v>2490</v>
      </c>
      <c r="H6" s="14" t="s">
        <v>26</v>
      </c>
      <c r="I6" s="18" t="s">
        <v>539</v>
      </c>
      <c r="J6" s="18" t="s">
        <v>554</v>
      </c>
      <c r="K6" s="18" t="s">
        <v>2491</v>
      </c>
      <c r="L6" s="20">
        <v>44788</v>
      </c>
      <c r="M6" s="43"/>
      <c r="N6" s="43"/>
      <c r="O6" s="43"/>
      <c r="P6" s="18" t="s">
        <v>497</v>
      </c>
      <c r="Q6" s="18" t="s">
        <v>532</v>
      </c>
      <c r="R6" s="81">
        <v>45271</v>
      </c>
      <c r="S6" s="18" t="s">
        <v>500</v>
      </c>
      <c r="T6" s="18"/>
      <c r="U6" s="18"/>
      <c r="V6" s="18" t="s">
        <v>2492</v>
      </c>
      <c r="W6" s="14" t="s">
        <v>2493</v>
      </c>
      <c r="X6" s="18" t="s">
        <v>42</v>
      </c>
      <c r="Y6" s="18" t="str">
        <f>VLOOKUP(X6,Tabla3[[Estado Requerimiento]:[Macro estado]],2,FALSE)</f>
        <v>02. En Proceso</v>
      </c>
      <c r="Z6" s="18"/>
      <c r="AA6" s="20"/>
      <c r="AB6" s="80"/>
      <c r="AC6" s="80"/>
      <c r="AD6" s="80"/>
      <c r="AE6" s="80"/>
      <c r="AF6" s="80"/>
      <c r="AG6" s="80" t="str">
        <f t="shared" ref="AG6" si="0">IF(AND(ISNUMBER(AB6),ISNUMBER(AD6)),AD6+(AD6- AB6)*0.4,IF(AND(ISNUMBER(AB6),ISNUMBER(AC6)),AC6+(AC6-AB6)*0.4,""))</f>
        <v/>
      </c>
      <c r="AH6" s="80"/>
      <c r="AI6" s="80"/>
      <c r="AJ6" s="80" t="str">
        <f t="shared" ref="AJ6" si="1">IF(ISNUMBER(AG6),AG6+7,"")</f>
        <v/>
      </c>
      <c r="AK6" s="19" t="s">
        <v>2494</v>
      </c>
      <c r="AL6" s="21" t="s">
        <v>2495</v>
      </c>
      <c r="AM6" s="21"/>
      <c r="AN6" s="44" t="str">
        <f>VLOOKUP(Cartera101774[[#This Row],[Gerencia]],tbGerencia[#All],3,FALSE)</f>
        <v>B.Digital</v>
      </c>
      <c r="AO6" s="98" t="str">
        <f>IFERROR(VLOOKUP(Cartera101774[[#This Row],[Subgerencia]],Definiciones!$A$90:$B$144,2,FALSE),"")</f>
        <v>CanalesAlternos</v>
      </c>
      <c r="AP6" s="44" t="str">
        <f>+VLOOKUP(Cartera101774[[#This Row],[Estado TI]],Definiciones!$A$4:$B$15,2,FALSE)</f>
        <v>02. En Proceso</v>
      </c>
      <c r="AQ6" s="44" t="str">
        <f>IF(OR(LEN(Cartera101774[[#This Row],[Fecha de Solicitud]])=0,(Cartera101774[[#This Row],[Fecha de Solicitud]])="No definido"),"No definido",IF(YEAR(Cartera101774[[#This Row],[Fecha de Solicitud]])&lt;2023," &lt;  2023",TEXT(Cartera101774[[#This Row],[Fecha de Solicitud]],"yyyy-mm")))</f>
        <v xml:space="preserve"> &lt;  2023</v>
      </c>
      <c r="AR6" s="44" t="str">
        <f>IF(Cartera101774[[#This Row],[Fecha de Priorización Comité]]="","No definido",TEXT(Cartera101774[[#This Row],[Fecha de Priorización Comité]],"yyyy-mm"))</f>
        <v>2023-12</v>
      </c>
      <c r="AS6" s="44" t="str">
        <f>IF(Cartera101774[[#This Row],[Fecha Fin- Desarrollo]]="","No definido",TEXT(AC6,"yyyy-mm"))</f>
        <v>No definido</v>
      </c>
      <c r="AT6" s="44" t="str">
        <f>IF(Cartera101774[[#This Row],[Fecha Fin- Producción]]="","No definido",TEXT(AI6,"yyyy-mm"))</f>
        <v>No definido</v>
      </c>
      <c r="AU6" s="44" t="str">
        <f>IF(Cartera101774[[#This Row],[Fecha Fin-Planificada]]="","No definido",TEXT(AJ6,"yyyy-mm"))</f>
        <v>No definido</v>
      </c>
      <c r="AV6" s="44" t="s">
        <v>2496</v>
      </c>
      <c r="AW6" s="44" t="str">
        <f>+VLOOKUP(Cartera101774[[#This Row],[Estado TI]],Definiciones!$A$5:$D$15,4,FALSE)</f>
        <v>Calidad</v>
      </c>
      <c r="AX6" s="44" t="str">
        <f>+IF(Cartera101774[[#This Row],[Categoría]]="Evolutivo","II","I")</f>
        <v>II</v>
      </c>
      <c r="AY6" s="14"/>
      <c r="AZ6" s="49"/>
      <c r="BA6" s="49"/>
      <c r="BB6" s="49"/>
      <c r="BC6" s="49"/>
      <c r="BD6" s="49"/>
      <c r="BE6" s="63"/>
      <c r="BF6" s="63"/>
      <c r="BG6" s="63"/>
      <c r="BH6" s="77"/>
      <c r="BI6" s="48" t="str">
        <f>+VLOOKUP(Cartera101774[[#This Row],[Gerencia]],tbGerencia[#All],4,FALSE)</f>
        <v>BANCA DIGITAL</v>
      </c>
      <c r="BJ6" s="292">
        <v>45271</v>
      </c>
      <c r="BK6" s="293" t="s">
        <v>695</v>
      </c>
      <c r="BM6" s="90"/>
      <c r="BN6" s="49"/>
      <c r="BO6" s="97" t="str">
        <f>IFERROR(VLOOKUP(D6,#REF!,4,FALSE),"")</f>
        <v/>
      </c>
      <c r="BP6" s="97" t="str">
        <f>IFERROR(VLOOKUP(D6,#REF!,12,FALSE),"")</f>
        <v/>
      </c>
      <c r="BQ6"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7" spans="1:69" s="48" customFormat="1" ht="24.75" customHeight="1">
      <c r="A7" s="14" t="s">
        <v>2497</v>
      </c>
      <c r="B7" s="14">
        <v>1456</v>
      </c>
      <c r="C7" s="18"/>
      <c r="D7" s="18" t="s">
        <v>2498</v>
      </c>
      <c r="E7" s="15" t="s">
        <v>2488</v>
      </c>
      <c r="F7" s="19" t="s">
        <v>2499</v>
      </c>
      <c r="G7" s="19" t="s">
        <v>2500</v>
      </c>
      <c r="H7" s="14" t="s">
        <v>26</v>
      </c>
      <c r="I7" s="18" t="s">
        <v>539</v>
      </c>
      <c r="J7" s="18" t="s">
        <v>554</v>
      </c>
      <c r="K7" s="18" t="s">
        <v>2501</v>
      </c>
      <c r="L7" s="20">
        <v>45019</v>
      </c>
      <c r="M7" s="43"/>
      <c r="N7" s="43"/>
      <c r="O7" s="43"/>
      <c r="P7" s="18" t="s">
        <v>497</v>
      </c>
      <c r="Q7" s="18" t="s">
        <v>532</v>
      </c>
      <c r="R7" s="81">
        <v>45271</v>
      </c>
      <c r="S7" s="18" t="s">
        <v>500</v>
      </c>
      <c r="T7" s="18"/>
      <c r="U7" s="18"/>
      <c r="V7" s="18"/>
      <c r="W7" s="14" t="s">
        <v>2493</v>
      </c>
      <c r="X7" s="18" t="s">
        <v>42</v>
      </c>
      <c r="Y7" s="18" t="str">
        <f>VLOOKUP(X7,Tabla3[[Estado Requerimiento]:[Macro estado]],2,FALSE)</f>
        <v>02. En Proceso</v>
      </c>
      <c r="Z7" s="18"/>
      <c r="AA7" s="20"/>
      <c r="AB7" s="80"/>
      <c r="AC7" s="80"/>
      <c r="AD7" s="80"/>
      <c r="AE7" s="80"/>
      <c r="AF7" s="80"/>
      <c r="AG7" s="80" t="str">
        <f t="shared" ref="AG7:AG8" si="2">IF(AND(ISNUMBER(AB7),ISNUMBER(AD7)),AD7+(AD7- AB7)*0.4,IF(AND(ISNUMBER(AB7),ISNUMBER(AC7)),AC7+(AC7-AB7)*0.4,""))</f>
        <v/>
      </c>
      <c r="AH7" s="80"/>
      <c r="AI7" s="80"/>
      <c r="AJ7" s="80" t="str">
        <f t="shared" ref="AJ7:AJ8" si="3">IF(ISNUMBER(AG7),AG7+7,"")</f>
        <v/>
      </c>
      <c r="AK7" s="19" t="s">
        <v>2502</v>
      </c>
      <c r="AL7" s="21" t="s">
        <v>2495</v>
      </c>
      <c r="AM7" s="21"/>
      <c r="AN7" s="44" t="str">
        <f>VLOOKUP(Cartera101774[[#This Row],[Gerencia]],tbGerencia[#All],3,FALSE)</f>
        <v>B.Digital</v>
      </c>
      <c r="AO7" s="98" t="str">
        <f>IFERROR(VLOOKUP(Cartera101774[[#This Row],[Subgerencia]],Definiciones!$A$90:$B$144,2,FALSE),"")</f>
        <v>CanalesAlternos</v>
      </c>
      <c r="AP7" s="44" t="str">
        <f>+VLOOKUP(Cartera101774[[#This Row],[Estado TI]],Definiciones!$A$4:$B$15,2,FALSE)</f>
        <v>02. En Proceso</v>
      </c>
      <c r="AQ7" s="44" t="str">
        <f>IF(OR(LEN(Cartera101774[[#This Row],[Fecha de Solicitud]])=0,(Cartera101774[[#This Row],[Fecha de Solicitud]])="No definido"),"No definido",IF(YEAR(Cartera101774[[#This Row],[Fecha de Solicitud]])&lt;2023," &lt;  2023",TEXT(Cartera101774[[#This Row],[Fecha de Solicitud]],"yyyy-mm")))</f>
        <v>2023-04</v>
      </c>
      <c r="AR7" s="44" t="str">
        <f>IF(Cartera101774[[#This Row],[Fecha de Priorización Comité]]="","No definido",TEXT(Cartera101774[[#This Row],[Fecha de Priorización Comité]],"yyyy-mm"))</f>
        <v>2023-12</v>
      </c>
      <c r="AS7" s="44" t="str">
        <f>IF(Cartera101774[[#This Row],[Fecha Fin- Desarrollo]]="","No definido",TEXT(AC7,"yyyy-mm"))</f>
        <v>No definido</v>
      </c>
      <c r="AT7" s="44" t="str">
        <f>IF(Cartera101774[[#This Row],[Fecha Fin- Producción]]="","No definido",TEXT(AI7,"yyyy-mm"))</f>
        <v>No definido</v>
      </c>
      <c r="AU7" s="44" t="str">
        <f>IF(Cartera101774[[#This Row],[Fecha Fin-Planificada]]="","No definido",TEXT(AJ7,"yyyy-mm"))</f>
        <v>No definido</v>
      </c>
      <c r="AV7" s="44" t="s">
        <v>2496</v>
      </c>
      <c r="AW7" s="44" t="str">
        <f>+VLOOKUP(Cartera101774[[#This Row],[Estado TI]],Definiciones!$A$5:$D$15,4,FALSE)</f>
        <v>Calidad</v>
      </c>
      <c r="AX7" s="44" t="str">
        <f>+IF(Cartera101774[[#This Row],[Categoría]]="Evolutivo","II","I")</f>
        <v>II</v>
      </c>
      <c r="AY7" s="14"/>
      <c r="AZ7" s="49"/>
      <c r="BA7" s="49"/>
      <c r="BB7" s="49"/>
      <c r="BC7" s="49"/>
      <c r="BD7" s="49"/>
      <c r="BE7" s="63"/>
      <c r="BF7" s="63"/>
      <c r="BG7" s="63"/>
      <c r="BH7" s="77"/>
      <c r="BI7" s="48" t="str">
        <f>+VLOOKUP(Cartera101774[[#This Row],[Gerencia]],tbGerencia[#All],4,FALSE)</f>
        <v>BANCA DIGITAL</v>
      </c>
      <c r="BJ7" s="292">
        <v>45271</v>
      </c>
      <c r="BK7" s="293" t="s">
        <v>695</v>
      </c>
      <c r="BM7" s="90"/>
      <c r="BN7" s="49"/>
      <c r="BO7" s="97" t="str">
        <f>IFERROR(VLOOKUP(D7,#REF!,4,FALSE),"")</f>
        <v/>
      </c>
      <c r="BP7" s="97" t="str">
        <f>IFERROR(VLOOKUP(D7,#REF!,12,FALSE),"")</f>
        <v/>
      </c>
      <c r="BQ7"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8" spans="1:69" s="48" customFormat="1" ht="24.75" customHeight="1">
      <c r="A8" s="14" t="s">
        <v>2503</v>
      </c>
      <c r="B8" s="14">
        <v>1458</v>
      </c>
      <c r="C8" s="18"/>
      <c r="D8" s="18" t="s">
        <v>2504</v>
      </c>
      <c r="E8" s="15" t="s">
        <v>2488</v>
      </c>
      <c r="F8" s="19" t="s">
        <v>2505</v>
      </c>
      <c r="G8" s="19" t="s">
        <v>2506</v>
      </c>
      <c r="H8" s="14" t="s">
        <v>26</v>
      </c>
      <c r="I8" s="18" t="s">
        <v>539</v>
      </c>
      <c r="J8" s="18" t="s">
        <v>554</v>
      </c>
      <c r="K8" s="18" t="s">
        <v>2507</v>
      </c>
      <c r="L8" s="20">
        <v>45019</v>
      </c>
      <c r="M8" s="43"/>
      <c r="N8" s="43"/>
      <c r="O8" s="43"/>
      <c r="P8" s="18" t="s">
        <v>497</v>
      </c>
      <c r="Q8" s="18" t="s">
        <v>532</v>
      </c>
      <c r="R8" s="81">
        <v>45271</v>
      </c>
      <c r="S8" s="18" t="s">
        <v>500</v>
      </c>
      <c r="T8" s="18"/>
      <c r="U8" s="18"/>
      <c r="V8" s="18"/>
      <c r="W8" s="14" t="s">
        <v>2493</v>
      </c>
      <c r="X8" s="18" t="s">
        <v>42</v>
      </c>
      <c r="Y8" s="18" t="str">
        <f>VLOOKUP(X8,Tabla3[[Estado Requerimiento]:[Macro estado]],2,FALSE)</f>
        <v>02. En Proceso</v>
      </c>
      <c r="Z8" s="18"/>
      <c r="AA8" s="20"/>
      <c r="AB8" s="80"/>
      <c r="AC8" s="80"/>
      <c r="AD8" s="80"/>
      <c r="AE8" s="80"/>
      <c r="AF8" s="80"/>
      <c r="AG8" s="80" t="str">
        <f t="shared" si="2"/>
        <v/>
      </c>
      <c r="AH8" s="80"/>
      <c r="AI8" s="80"/>
      <c r="AJ8" s="80" t="str">
        <f t="shared" si="3"/>
        <v/>
      </c>
      <c r="AK8" s="19" t="s">
        <v>2508</v>
      </c>
      <c r="AL8" s="21" t="s">
        <v>2495</v>
      </c>
      <c r="AM8" s="21"/>
      <c r="AN8" s="44" t="str">
        <f>VLOOKUP(Cartera101774[[#This Row],[Gerencia]],tbGerencia[#All],3,FALSE)</f>
        <v>B.Digital</v>
      </c>
      <c r="AO8" s="98" t="str">
        <f>IFERROR(VLOOKUP(Cartera101774[[#This Row],[Subgerencia]],Definiciones!$A$90:$B$144,2,FALSE),"")</f>
        <v>CanalesAlternos</v>
      </c>
      <c r="AP8" s="44" t="str">
        <f>+VLOOKUP(Cartera101774[[#This Row],[Estado TI]],Definiciones!$A$4:$B$15,2,FALSE)</f>
        <v>02. En Proceso</v>
      </c>
      <c r="AQ8" s="44" t="str">
        <f>IF(OR(LEN(Cartera101774[[#This Row],[Fecha de Solicitud]])=0,(Cartera101774[[#This Row],[Fecha de Solicitud]])="No definido"),"No definido",IF(YEAR(Cartera101774[[#This Row],[Fecha de Solicitud]])&lt;2023," &lt;  2023",TEXT(Cartera101774[[#This Row],[Fecha de Solicitud]],"yyyy-mm")))</f>
        <v>2023-04</v>
      </c>
      <c r="AR8" s="44" t="str">
        <f>IF(Cartera101774[[#This Row],[Fecha de Priorización Comité]]="","No definido",TEXT(Cartera101774[[#This Row],[Fecha de Priorización Comité]],"yyyy-mm"))</f>
        <v>2023-12</v>
      </c>
      <c r="AS8" s="44" t="str">
        <f>IF(Cartera101774[[#This Row],[Fecha Fin- Desarrollo]]="","No definido",TEXT(AC8,"yyyy-mm"))</f>
        <v>No definido</v>
      </c>
      <c r="AT8" s="44" t="str">
        <f>IF(Cartera101774[[#This Row],[Fecha Fin- Producción]]="","No definido",TEXT(AI8,"yyyy-mm"))</f>
        <v>No definido</v>
      </c>
      <c r="AU8" s="44" t="str">
        <f>IF(Cartera101774[[#This Row],[Fecha Fin-Planificada]]="","No definido",TEXT(AJ8,"yyyy-mm"))</f>
        <v>No definido</v>
      </c>
      <c r="AV8" s="44" t="s">
        <v>2496</v>
      </c>
      <c r="AW8" s="44" t="str">
        <f>+VLOOKUP(Cartera101774[[#This Row],[Estado TI]],Definiciones!$A$5:$D$15,4,FALSE)</f>
        <v>Calidad</v>
      </c>
      <c r="AX8" s="44" t="str">
        <f>+IF(Cartera101774[[#This Row],[Categoría]]="Evolutivo","II","I")</f>
        <v>II</v>
      </c>
      <c r="AY8" s="14"/>
      <c r="AZ8" s="49"/>
      <c r="BA8" s="49"/>
      <c r="BB8" s="49"/>
      <c r="BC8" s="49"/>
      <c r="BD8" s="49"/>
      <c r="BE8" s="63"/>
      <c r="BF8" s="63"/>
      <c r="BG8" s="63"/>
      <c r="BH8" s="77"/>
      <c r="BI8" s="48" t="str">
        <f>+VLOOKUP(Cartera101774[[#This Row],[Gerencia]],tbGerencia[#All],4,FALSE)</f>
        <v>BANCA DIGITAL</v>
      </c>
      <c r="BJ8" s="292">
        <v>45271</v>
      </c>
      <c r="BK8" s="293" t="s">
        <v>695</v>
      </c>
      <c r="BM8" s="90"/>
      <c r="BN8" s="49"/>
      <c r="BO8" s="97" t="str">
        <f>IFERROR(VLOOKUP(D8,#REF!,4,FALSE),"")</f>
        <v/>
      </c>
      <c r="BP8" s="97" t="str">
        <f>IFERROR(VLOOKUP(D8,#REF!,12,FALSE),"")</f>
        <v/>
      </c>
      <c r="BQ8"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9" spans="1:69" s="99" customFormat="1" ht="24.75" customHeight="1">
      <c r="A9" s="294" t="s">
        <v>2509</v>
      </c>
      <c r="B9" s="294">
        <v>1850</v>
      </c>
      <c r="C9" s="263"/>
      <c r="D9" s="263" t="s">
        <v>2510</v>
      </c>
      <c r="E9" s="295" t="s">
        <v>2488</v>
      </c>
      <c r="F9" s="265" t="s">
        <v>2511</v>
      </c>
      <c r="G9" s="265"/>
      <c r="H9" s="294" t="s">
        <v>2512</v>
      </c>
      <c r="I9" s="263" t="s">
        <v>1724</v>
      </c>
      <c r="J9" s="263" t="s">
        <v>2513</v>
      </c>
      <c r="K9" s="263"/>
      <c r="L9" s="266">
        <v>45271</v>
      </c>
      <c r="M9" s="267"/>
      <c r="N9" s="267"/>
      <c r="O9" s="267"/>
      <c r="P9" s="263" t="s">
        <v>497</v>
      </c>
      <c r="Q9" s="263" t="s">
        <v>532</v>
      </c>
      <c r="R9" s="296">
        <v>45271</v>
      </c>
      <c r="S9" s="263" t="s">
        <v>500</v>
      </c>
      <c r="T9" s="263"/>
      <c r="U9" s="263"/>
      <c r="V9" s="263"/>
      <c r="W9" s="14" t="s">
        <v>2493</v>
      </c>
      <c r="X9" s="263" t="s">
        <v>42</v>
      </c>
      <c r="Y9" s="18" t="str">
        <f>VLOOKUP(X9,Tabla3[[Estado Requerimiento]:[Macro estado]],2,FALSE)</f>
        <v>02. En Proceso</v>
      </c>
      <c r="Z9" s="18"/>
      <c r="AA9" s="266"/>
      <c r="AB9" s="268"/>
      <c r="AC9" s="268"/>
      <c r="AD9" s="268"/>
      <c r="AE9" s="268"/>
      <c r="AF9" s="268"/>
      <c r="AG9" s="80" t="str">
        <f t="shared" ref="AG9:AG12" si="4">IF(AND(ISNUMBER(AB9),ISNUMBER(AD9)),AD9+(AD9- AB9)*0.4,IF(AND(ISNUMBER(AB9),ISNUMBER(AC9)),AC9+(AC9-AB9)*0.4,""))</f>
        <v/>
      </c>
      <c r="AH9" s="268"/>
      <c r="AI9" s="268"/>
      <c r="AJ9" s="80" t="str">
        <f t="shared" ref="AJ9:AJ12" si="5">IF(ISNUMBER(AG9),AG9+7,"")</f>
        <v/>
      </c>
      <c r="AK9" s="265" t="s">
        <v>2514</v>
      </c>
      <c r="AL9" s="21"/>
      <c r="AM9" s="21"/>
      <c r="AN9" s="44" t="str">
        <f>VLOOKUP(Cartera101774[[#This Row],[Gerencia]],tbGerencia[#All],3,FALSE)</f>
        <v>TI</v>
      </c>
      <c r="AO9" s="98" t="str">
        <f>IFERROR(VLOOKUP(Cartera101774[[#This Row],[Subgerencia]],Definiciones!$A$90:$B$144,2,FALSE),"")</f>
        <v>Producción</v>
      </c>
      <c r="AP9" s="44" t="str">
        <f>+VLOOKUP(Cartera101774[[#This Row],[Estado TI]],Definiciones!$A$4:$B$15,2,FALSE)</f>
        <v>02. En Proceso</v>
      </c>
      <c r="AQ9" s="44" t="str">
        <f>IF(OR(LEN(Cartera101774[[#This Row],[Fecha de Solicitud]])=0,(Cartera101774[[#This Row],[Fecha de Solicitud]])="No definido"),"No definido",IF(YEAR(Cartera101774[[#This Row],[Fecha de Solicitud]])&lt;2023," &lt;  2023",TEXT(Cartera101774[[#This Row],[Fecha de Solicitud]],"yyyy-mm")))</f>
        <v>2023-12</v>
      </c>
      <c r="AR9" s="44" t="str">
        <f>IF(Cartera101774[[#This Row],[Fecha de Priorización Comité]]="","No definido",TEXT(Cartera101774[[#This Row],[Fecha de Priorización Comité]],"yyyy-mm"))</f>
        <v>2023-12</v>
      </c>
      <c r="AS9" s="44" t="str">
        <f>IF(Cartera101774[[#This Row],[Fecha Fin- Desarrollo]]="","No definido",TEXT(AC9,"yyyy-mm"))</f>
        <v>No definido</v>
      </c>
      <c r="AT9" s="44" t="str">
        <f>IF(Cartera101774[[#This Row],[Fecha Fin- Producción]]="","No definido",TEXT(AI9,"yyyy-mm"))</f>
        <v>No definido</v>
      </c>
      <c r="AU9" s="44" t="str">
        <f>IF(Cartera101774[[#This Row],[Fecha Fin-Planificada]]="","No definido",TEXT(AJ9,"yyyy-mm"))</f>
        <v>No definido</v>
      </c>
      <c r="AV9" s="44" t="s">
        <v>2496</v>
      </c>
      <c r="AW9" s="44" t="str">
        <f>+VLOOKUP(Cartera101774[[#This Row],[Estado TI]],Definiciones!$A$5:$D$15,4,FALSE)</f>
        <v>Calidad</v>
      </c>
      <c r="AX9" s="44" t="str">
        <f>+IF(Cartera101774[[#This Row],[Categoría]]="Evolutivo","II","I")</f>
        <v>II</v>
      </c>
      <c r="AY9" s="14"/>
      <c r="AZ9" s="49"/>
      <c r="BA9" s="49"/>
      <c r="BB9" s="49"/>
      <c r="BC9" s="49"/>
      <c r="BD9" s="49"/>
      <c r="BE9" s="63"/>
      <c r="BF9" s="63"/>
      <c r="BG9" s="63"/>
      <c r="BH9" s="77"/>
      <c r="BI9" s="48" t="str">
        <f>+VLOOKUP(Cartera101774[[#This Row],[Gerencia]],tbGerencia[#All],4,FALSE)</f>
        <v>TECNOLOGÍAS DE INFORMACIÓN</v>
      </c>
      <c r="BJ9" s="292">
        <v>45271</v>
      </c>
      <c r="BK9" s="293" t="s">
        <v>695</v>
      </c>
      <c r="BL9" s="48"/>
      <c r="BM9" s="90"/>
      <c r="BN9" s="49"/>
      <c r="BO9" s="97" t="str">
        <f>IFERROR(VLOOKUP(D9,#REF!,4,FALSE),"")</f>
        <v/>
      </c>
      <c r="BP9" s="97" t="str">
        <f>IFERROR(VLOOKUP(D9,#REF!,12,FALSE),"")</f>
        <v/>
      </c>
      <c r="BQ9"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10" spans="1:69" s="48" customFormat="1" ht="24.75" customHeight="1">
      <c r="A10" s="294" t="s">
        <v>2515</v>
      </c>
      <c r="B10" s="294">
        <v>1851</v>
      </c>
      <c r="C10" s="263"/>
      <c r="D10" s="263" t="s">
        <v>2516</v>
      </c>
      <c r="E10" s="295" t="s">
        <v>2488</v>
      </c>
      <c r="F10" s="265" t="s">
        <v>2517</v>
      </c>
      <c r="G10" s="265"/>
      <c r="H10" s="294" t="s">
        <v>2512</v>
      </c>
      <c r="I10" s="263" t="s">
        <v>1724</v>
      </c>
      <c r="J10" s="263" t="s">
        <v>2513</v>
      </c>
      <c r="K10" s="263"/>
      <c r="L10" s="266">
        <v>45271</v>
      </c>
      <c r="M10" s="267"/>
      <c r="N10" s="267"/>
      <c r="O10" s="267"/>
      <c r="P10" s="263" t="s">
        <v>497</v>
      </c>
      <c r="Q10" s="263" t="s">
        <v>532</v>
      </c>
      <c r="R10" s="296">
        <v>45271</v>
      </c>
      <c r="S10" s="263" t="s">
        <v>500</v>
      </c>
      <c r="T10" s="263"/>
      <c r="U10" s="263"/>
      <c r="V10" s="263"/>
      <c r="W10" s="14" t="s">
        <v>2493</v>
      </c>
      <c r="X10" s="263" t="s">
        <v>42</v>
      </c>
      <c r="Y10" s="18" t="str">
        <f>VLOOKUP(X10,Tabla3[[Estado Requerimiento]:[Macro estado]],2,FALSE)</f>
        <v>02. En Proceso</v>
      </c>
      <c r="Z10" s="18"/>
      <c r="AA10" s="266"/>
      <c r="AB10" s="268"/>
      <c r="AC10" s="268"/>
      <c r="AD10" s="268"/>
      <c r="AE10" s="268"/>
      <c r="AF10" s="268"/>
      <c r="AG10" s="80" t="str">
        <f t="shared" si="4"/>
        <v/>
      </c>
      <c r="AH10" s="268"/>
      <c r="AI10" s="268"/>
      <c r="AJ10" s="80" t="str">
        <f t="shared" si="5"/>
        <v/>
      </c>
      <c r="AK10" s="265" t="s">
        <v>2518</v>
      </c>
      <c r="AL10" s="21"/>
      <c r="AM10" s="21"/>
      <c r="AN10" s="44" t="str">
        <f>VLOOKUP(Cartera101774[[#This Row],[Gerencia]],tbGerencia[#All],3,FALSE)</f>
        <v>TI</v>
      </c>
      <c r="AO10" s="98" t="str">
        <f>IFERROR(VLOOKUP(Cartera101774[[#This Row],[Subgerencia]],Definiciones!$A$90:$B$144,2,FALSE),"")</f>
        <v>Producción</v>
      </c>
      <c r="AP10" s="44" t="str">
        <f>+VLOOKUP(Cartera101774[[#This Row],[Estado TI]],Definiciones!$A$4:$B$15,2,FALSE)</f>
        <v>02. En Proceso</v>
      </c>
      <c r="AQ10" s="44" t="str">
        <f>IF(OR(LEN(Cartera101774[[#This Row],[Fecha de Solicitud]])=0,(Cartera101774[[#This Row],[Fecha de Solicitud]])="No definido"),"No definido",IF(YEAR(Cartera101774[[#This Row],[Fecha de Solicitud]])&lt;2023," &lt;  2023",TEXT(Cartera101774[[#This Row],[Fecha de Solicitud]],"yyyy-mm")))</f>
        <v>2023-12</v>
      </c>
      <c r="AR10" s="44" t="str">
        <f>IF(Cartera101774[[#This Row],[Fecha de Priorización Comité]]="","No definido",TEXT(Cartera101774[[#This Row],[Fecha de Priorización Comité]],"yyyy-mm"))</f>
        <v>2023-12</v>
      </c>
      <c r="AS10" s="44" t="str">
        <f>IF(Cartera101774[[#This Row],[Fecha Fin- Desarrollo]]="","No definido",TEXT(AC10,"yyyy-mm"))</f>
        <v>No definido</v>
      </c>
      <c r="AT10" s="44" t="str">
        <f>IF(Cartera101774[[#This Row],[Fecha Fin- Producción]]="","No definido",TEXT(AI10,"yyyy-mm"))</f>
        <v>No definido</v>
      </c>
      <c r="AU10" s="44" t="str">
        <f>IF(Cartera101774[[#This Row],[Fecha Fin-Planificada]]="","No definido",TEXT(AJ10,"yyyy-mm"))</f>
        <v>No definido</v>
      </c>
      <c r="AV10" s="44" t="s">
        <v>2496</v>
      </c>
      <c r="AW10" s="44" t="str">
        <f>+VLOOKUP(Cartera101774[[#This Row],[Estado TI]],Definiciones!$A$5:$D$15,4,FALSE)</f>
        <v>Calidad</v>
      </c>
      <c r="AX10" s="44" t="str">
        <f>+IF(Cartera101774[[#This Row],[Categoría]]="Evolutivo","II","I")</f>
        <v>II</v>
      </c>
      <c r="AY10" s="14"/>
      <c r="AZ10" s="49"/>
      <c r="BA10" s="49"/>
      <c r="BB10" s="49"/>
      <c r="BC10" s="49"/>
      <c r="BD10" s="49"/>
      <c r="BE10" s="63"/>
      <c r="BF10" s="63"/>
      <c r="BG10" s="63"/>
      <c r="BH10" s="77"/>
      <c r="BI10" s="48" t="str">
        <f>+VLOOKUP(Cartera101774[[#This Row],[Gerencia]],tbGerencia[#All],4,FALSE)</f>
        <v>TECNOLOGÍAS DE INFORMACIÓN</v>
      </c>
      <c r="BJ10" s="292">
        <v>45271</v>
      </c>
      <c r="BK10" s="293" t="s">
        <v>695</v>
      </c>
      <c r="BM10" s="90"/>
      <c r="BN10" s="49"/>
      <c r="BO10" s="97" t="str">
        <f>IFERROR(VLOOKUP(D10,#REF!,4,FALSE),"")</f>
        <v/>
      </c>
      <c r="BP10" s="97" t="str">
        <f>IFERROR(VLOOKUP(D10,#REF!,12,FALSE),"")</f>
        <v/>
      </c>
      <c r="BQ10"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11" spans="1:69" s="48" customFormat="1" ht="24.75" customHeight="1">
      <c r="A11" s="294" t="s">
        <v>2519</v>
      </c>
      <c r="B11" s="294">
        <v>1853</v>
      </c>
      <c r="C11" s="263"/>
      <c r="D11" s="263" t="s">
        <v>2520</v>
      </c>
      <c r="E11" s="295" t="s">
        <v>2488</v>
      </c>
      <c r="F11" s="265" t="s">
        <v>2521</v>
      </c>
      <c r="G11" s="265"/>
      <c r="H11" s="294" t="s">
        <v>2512</v>
      </c>
      <c r="I11" s="263" t="s">
        <v>1724</v>
      </c>
      <c r="J11" s="263"/>
      <c r="K11" s="263"/>
      <c r="L11" s="266">
        <v>45271</v>
      </c>
      <c r="M11" s="267"/>
      <c r="N11" s="267"/>
      <c r="O11" s="267"/>
      <c r="P11" s="263" t="s">
        <v>497</v>
      </c>
      <c r="Q11" s="263" t="s">
        <v>532</v>
      </c>
      <c r="R11" s="296">
        <v>45271</v>
      </c>
      <c r="S11" s="263" t="s">
        <v>500</v>
      </c>
      <c r="T11" s="263"/>
      <c r="U11" s="263"/>
      <c r="V11" s="263"/>
      <c r="W11" s="14" t="s">
        <v>2493</v>
      </c>
      <c r="X11" s="263" t="s">
        <v>42</v>
      </c>
      <c r="Y11" s="18" t="str">
        <f>VLOOKUP(X11,Tabla3[[Estado Requerimiento]:[Macro estado]],2,FALSE)</f>
        <v>02. En Proceso</v>
      </c>
      <c r="Z11" s="18"/>
      <c r="AA11" s="266"/>
      <c r="AB11" s="268"/>
      <c r="AC11" s="268"/>
      <c r="AD11" s="268"/>
      <c r="AE11" s="268"/>
      <c r="AF11" s="268"/>
      <c r="AG11" s="80" t="str">
        <f t="shared" si="4"/>
        <v/>
      </c>
      <c r="AH11" s="268"/>
      <c r="AI11" s="268"/>
      <c r="AJ11" s="80" t="str">
        <f t="shared" si="5"/>
        <v/>
      </c>
      <c r="AK11" s="265" t="s">
        <v>2522</v>
      </c>
      <c r="AL11" s="21"/>
      <c r="AM11" s="21"/>
      <c r="AN11" s="44" t="str">
        <f>VLOOKUP(Cartera101774[[#This Row],[Gerencia]],tbGerencia[#All],3,FALSE)</f>
        <v>TI</v>
      </c>
      <c r="AO11" s="98" t="str">
        <f>IFERROR(VLOOKUP(Cartera101774[[#This Row],[Subgerencia]],Definiciones!$A$90:$B$144,2,FALSE),"")</f>
        <v>Producción</v>
      </c>
      <c r="AP11" s="44" t="str">
        <f>+VLOOKUP(Cartera101774[[#This Row],[Estado TI]],Definiciones!$A$4:$B$15,2,FALSE)</f>
        <v>02. En Proceso</v>
      </c>
      <c r="AQ11" s="44" t="str">
        <f>IF(OR(LEN(Cartera101774[[#This Row],[Fecha de Solicitud]])=0,(Cartera101774[[#This Row],[Fecha de Solicitud]])="No definido"),"No definido",IF(YEAR(Cartera101774[[#This Row],[Fecha de Solicitud]])&lt;2023," &lt;  2023",TEXT(Cartera101774[[#This Row],[Fecha de Solicitud]],"yyyy-mm")))</f>
        <v>2023-12</v>
      </c>
      <c r="AR11" s="44" t="str">
        <f>IF(Cartera101774[[#This Row],[Fecha de Priorización Comité]]="","No definido",TEXT(Cartera101774[[#This Row],[Fecha de Priorización Comité]],"yyyy-mm"))</f>
        <v>2023-12</v>
      </c>
      <c r="AS11" s="44" t="str">
        <f>IF(Cartera101774[[#This Row],[Fecha Fin- Desarrollo]]="","No definido",TEXT(AC11,"yyyy-mm"))</f>
        <v>No definido</v>
      </c>
      <c r="AT11" s="44" t="str">
        <f>IF(Cartera101774[[#This Row],[Fecha Fin- Producción]]="","No definido",TEXT(AI11,"yyyy-mm"))</f>
        <v>No definido</v>
      </c>
      <c r="AU11" s="44" t="str">
        <f>IF(Cartera101774[[#This Row],[Fecha Fin-Planificada]]="","No definido",TEXT(AJ11,"yyyy-mm"))</f>
        <v>No definido</v>
      </c>
      <c r="AV11" s="44" t="s">
        <v>2496</v>
      </c>
      <c r="AW11" s="44" t="str">
        <f>+VLOOKUP(Cartera101774[[#This Row],[Estado TI]],Definiciones!$A$5:$D$15,4,FALSE)</f>
        <v>Calidad</v>
      </c>
      <c r="AX11" s="44" t="str">
        <f>+IF(Cartera101774[[#This Row],[Categoría]]="Evolutivo","II","I")</f>
        <v>II</v>
      </c>
      <c r="AY11" s="14"/>
      <c r="AZ11" s="49"/>
      <c r="BA11" s="49"/>
      <c r="BB11" s="49"/>
      <c r="BC11" s="49"/>
      <c r="BD11" s="49"/>
      <c r="BE11" s="63"/>
      <c r="BF11" s="63"/>
      <c r="BG11" s="63"/>
      <c r="BH11" s="77"/>
      <c r="BI11" s="48" t="str">
        <f>+VLOOKUP(Cartera101774[[#This Row],[Gerencia]],tbGerencia[#All],4,FALSE)</f>
        <v>TECNOLOGÍAS DE INFORMACIÓN</v>
      </c>
      <c r="BJ11" s="292">
        <v>45271</v>
      </c>
      <c r="BK11" s="293" t="s">
        <v>695</v>
      </c>
      <c r="BM11" s="90"/>
      <c r="BN11" s="49"/>
      <c r="BO11" s="97" t="str">
        <f>IFERROR(VLOOKUP(D11,#REF!,4,FALSE),"")</f>
        <v/>
      </c>
      <c r="BP11" s="97" t="str">
        <f>IFERROR(VLOOKUP(D11,#REF!,12,FALSE),"")</f>
        <v/>
      </c>
      <c r="BQ11"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12" spans="1:69" s="48" customFormat="1" ht="36.75" customHeight="1">
      <c r="A12" s="14" t="s">
        <v>2523</v>
      </c>
      <c r="B12" s="14">
        <v>884</v>
      </c>
      <c r="C12" s="18" t="s">
        <v>2524</v>
      </c>
      <c r="D12" s="18" t="s">
        <v>2525</v>
      </c>
      <c r="E12" s="15" t="s">
        <v>2488</v>
      </c>
      <c r="F12" s="19" t="s">
        <v>2526</v>
      </c>
      <c r="G12" s="19" t="s">
        <v>2527</v>
      </c>
      <c r="H12" s="14" t="s">
        <v>108</v>
      </c>
      <c r="I12" s="18" t="s">
        <v>1724</v>
      </c>
      <c r="J12" s="18" t="s">
        <v>2528</v>
      </c>
      <c r="K12" s="18" t="s">
        <v>2529</v>
      </c>
      <c r="L12" s="20">
        <v>44931</v>
      </c>
      <c r="M12" s="43"/>
      <c r="N12" s="43"/>
      <c r="O12" s="43"/>
      <c r="P12" s="18" t="s">
        <v>497</v>
      </c>
      <c r="Q12" s="18" t="s">
        <v>532</v>
      </c>
      <c r="R12" s="16">
        <v>44834</v>
      </c>
      <c r="S12" s="18" t="s">
        <v>2530</v>
      </c>
      <c r="T12" s="18"/>
      <c r="U12" s="18"/>
      <c r="V12" s="18" t="s">
        <v>2531</v>
      </c>
      <c r="W12" s="14" t="s">
        <v>2493</v>
      </c>
      <c r="X12" s="18" t="s">
        <v>48</v>
      </c>
      <c r="Y12" s="18" t="str">
        <f>VLOOKUP(X12,Tabla3[[Estado Requerimiento]:[Macro estado]],2,FALSE)</f>
        <v>02. En Proceso</v>
      </c>
      <c r="Z12" s="18"/>
      <c r="AA12" s="20"/>
      <c r="AB12" s="80"/>
      <c r="AC12" s="80"/>
      <c r="AD12" s="80"/>
      <c r="AE12" s="80"/>
      <c r="AF12" s="80"/>
      <c r="AG12" s="80" t="str">
        <f t="shared" si="4"/>
        <v/>
      </c>
      <c r="AH12" s="80"/>
      <c r="AI12" s="80"/>
      <c r="AJ12" s="80" t="str">
        <f t="shared" si="5"/>
        <v/>
      </c>
      <c r="AK12" s="19" t="s">
        <v>2532</v>
      </c>
      <c r="AL12" s="21"/>
      <c r="AM12" s="21"/>
      <c r="AN12" s="44" t="str">
        <f>VLOOKUP(Cartera101774[[#This Row],[Gerencia]],tbGerencia[#All],3,FALSE)</f>
        <v>TI</v>
      </c>
      <c r="AO12" s="98" t="str">
        <f>IFERROR(VLOOKUP(Cartera101774[[#This Row],[Subgerencia]],Definiciones!$A$90:$B$144,2,FALSE),"")</f>
        <v>Producción</v>
      </c>
      <c r="AP12" s="44" t="str">
        <f>+VLOOKUP(Cartera101774[[#This Row],[Estado TI]],Definiciones!$A$4:$B$15,2,FALSE)</f>
        <v>02. En Proceso</v>
      </c>
      <c r="AQ12" s="44" t="str">
        <f>IF(OR(LEN(Cartera101774[[#This Row],[Fecha de Solicitud]])=0,(Cartera101774[[#This Row],[Fecha de Solicitud]])="No definido"),"No definido",IF(YEAR(Cartera101774[[#This Row],[Fecha de Solicitud]])&lt;2023," &lt;  2023",TEXT(Cartera101774[[#This Row],[Fecha de Solicitud]],"yyyy-mm")))</f>
        <v>2023-01</v>
      </c>
      <c r="AR12" s="44" t="str">
        <f>IF(Cartera101774[[#This Row],[Fecha de Priorización Comité]]="","No definido",TEXT(Cartera101774[[#This Row],[Fecha de Priorización Comité]],"yyyy-mm"))</f>
        <v>2022-09</v>
      </c>
      <c r="AS12" s="44" t="str">
        <f>IF(Cartera101774[[#This Row],[Fecha Fin- Desarrollo]]="","No definido",TEXT(AC12,"yyyy-mm"))</f>
        <v>No definido</v>
      </c>
      <c r="AT12" s="44" t="str">
        <f>IF(Cartera101774[[#This Row],[Fecha Fin- Producción]]="","No definido",TEXT(AI12,"yyyy-mm"))</f>
        <v>No definido</v>
      </c>
      <c r="AU12" s="44" t="str">
        <f>IF(Cartera101774[[#This Row],[Fecha Fin-Planificada]]="","No definido",TEXT(AJ12,"yyyy-mm"))</f>
        <v>No definido</v>
      </c>
      <c r="AV12" s="44" t="s">
        <v>2496</v>
      </c>
      <c r="AW12" s="44" t="str">
        <f>+VLOOKUP(Cartera101774[[#This Row],[Estado TI]],Definiciones!$A$5:$D$15,4,FALSE)</f>
        <v>Desarrollo</v>
      </c>
      <c r="AX12" s="44" t="str">
        <f>+IF(Cartera101774[[#This Row],[Categoría]]="Evolutivo","II","I")</f>
        <v>II</v>
      </c>
      <c r="AY12" s="14"/>
      <c r="AZ12" s="49"/>
      <c r="BA12" s="49"/>
      <c r="BB12" s="49"/>
      <c r="BC12" s="49"/>
      <c r="BD12" s="49"/>
      <c r="BE12" s="63"/>
      <c r="BF12" s="63"/>
      <c r="BG12" s="63"/>
      <c r="BH12" s="77"/>
      <c r="BI12" s="48" t="str">
        <f>+VLOOKUP(Cartera101774[[#This Row],[Gerencia]],tbGerencia[#All],4,FALSE)</f>
        <v>TECNOLOGÍAS DE INFORMACIÓN</v>
      </c>
      <c r="BJ12" s="292">
        <v>44834</v>
      </c>
      <c r="BK12" s="293" t="s">
        <v>695</v>
      </c>
      <c r="BM12" s="90"/>
      <c r="BN12" s="49"/>
      <c r="BO12" s="97" t="str">
        <f>IFERROR(VLOOKUP(D12,#REF!,4,FALSE),"")</f>
        <v/>
      </c>
      <c r="BP12" s="97" t="str">
        <f>IFERROR(VLOOKUP(D12,#REF!,12,FALSE),"")</f>
        <v/>
      </c>
      <c r="BQ12"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3" spans="1:69" s="48" customFormat="1" ht="24.75" customHeight="1">
      <c r="A13" s="14" t="s">
        <v>2533</v>
      </c>
      <c r="B13" s="14">
        <v>2143</v>
      </c>
      <c r="C13" s="18" t="s">
        <v>495</v>
      </c>
      <c r="D13" s="18"/>
      <c r="E13" s="15" t="s">
        <v>2488</v>
      </c>
      <c r="F13" s="19" t="s">
        <v>2534</v>
      </c>
      <c r="G13" s="19" t="s">
        <v>2535</v>
      </c>
      <c r="H13" s="14" t="s">
        <v>108</v>
      </c>
      <c r="I13" s="18" t="s">
        <v>1724</v>
      </c>
      <c r="J13" s="18" t="s">
        <v>2536</v>
      </c>
      <c r="K13" s="18" t="s">
        <v>2531</v>
      </c>
      <c r="L13" s="50">
        <v>45336</v>
      </c>
      <c r="M13" s="43" t="s">
        <v>2537</v>
      </c>
      <c r="N13" s="43"/>
      <c r="O13" s="43"/>
      <c r="P13" s="18" t="s">
        <v>497</v>
      </c>
      <c r="Q13" s="18" t="s">
        <v>499</v>
      </c>
      <c r="R13" s="16">
        <v>45371</v>
      </c>
      <c r="S13" s="18" t="s">
        <v>2536</v>
      </c>
      <c r="T13" s="18"/>
      <c r="U13" s="18"/>
      <c r="V13" s="18" t="s">
        <v>2538</v>
      </c>
      <c r="W13" s="14" t="s">
        <v>2493</v>
      </c>
      <c r="X13" s="18" t="s">
        <v>2539</v>
      </c>
      <c r="Y13" s="18" t="e">
        <f>VLOOKUP(X13,Tabla3[[Estado Requerimiento]:[Macro estado]],2,FALSE)</f>
        <v>#N/A</v>
      </c>
      <c r="Z13" s="18"/>
      <c r="AA13" s="50"/>
      <c r="AB13" s="80"/>
      <c r="AC13" s="80"/>
      <c r="AD13" s="80"/>
      <c r="AE13" s="80"/>
      <c r="AF13" s="80"/>
      <c r="AG13" s="80" t="str">
        <f t="shared" ref="AG13:AG18" si="6">IF(AND(ISNUMBER(AB13),ISNUMBER(AD13)),AD13+(AD13- AB13)*0.4,IF(AND(ISNUMBER(AB13),ISNUMBER(AC13)),AC13+(AC13-AB13)*0.4,""))</f>
        <v/>
      </c>
      <c r="AH13" s="80"/>
      <c r="AI13" s="80"/>
      <c r="AJ13" s="80" t="str">
        <f t="shared" ref="AJ13:AJ18" si="7">IF(ISNUMBER(AG13),AG13+7,"")</f>
        <v/>
      </c>
      <c r="AK13" s="19" t="s">
        <v>2540</v>
      </c>
      <c r="AL13" s="44"/>
      <c r="AM13" s="44"/>
      <c r="AN13" s="44" t="str">
        <f>VLOOKUP(Cartera101774[[#This Row],[Gerencia]],tbGerencia[#All],3,FALSE)</f>
        <v>TI</v>
      </c>
      <c r="AO13" s="44" t="str">
        <f>IFERROR(VLOOKUP(Cartera101774[[#This Row],[Subgerencia]],Definiciones!$A$90:$B$144,2,FALSE),"")</f>
        <v>Producción</v>
      </c>
      <c r="AP13" s="44" t="str">
        <f>+VLOOKUP(Cartera101774[[#This Row],[Estado TI]],Definiciones!$A$4:$B$15,2,FALSE)</f>
        <v>01. No Iniciado</v>
      </c>
      <c r="AQ13" s="44" t="str">
        <f>IF(OR(LEN(Cartera101774[[#This Row],[Fecha de Solicitud]])=0,(Cartera101774[[#This Row],[Fecha de Solicitud]])="No definido"),"No definido",IF(YEAR(Cartera101774[[#This Row],[Fecha de Solicitud]])&lt;2023," &lt;  2023",TEXT(Cartera101774[[#This Row],[Fecha de Solicitud]],"yyyy-mm")))</f>
        <v>2024-02</v>
      </c>
      <c r="AR13" s="44" t="str">
        <f>IF(Cartera101774[[#This Row],[Fecha de Priorización Comité]]="","No definido",TEXT(Cartera101774[[#This Row],[Fecha de Priorización Comité]],"yyyy-mm"))</f>
        <v>2024-03</v>
      </c>
      <c r="AS13" s="44" t="str">
        <f>IF(Cartera101774[[#This Row],[Fecha Fin- Desarrollo]]="","No definido",TEXT(AC13,"yyyy-mm"))</f>
        <v>No definido</v>
      </c>
      <c r="AT13" s="44" t="str">
        <f>IF(Cartera101774[[#This Row],[Fecha Fin- Producción]]="","No definido",TEXT(AI13,"yyyy-mm"))</f>
        <v>No definido</v>
      </c>
      <c r="AU13" s="44" t="str">
        <f>IF(Cartera101774[[#This Row],[Fecha Fin-Planificada]]="","No definido",TEXT(AJ13,"yyyy-mm"))</f>
        <v>No definido</v>
      </c>
      <c r="AV13" s="44" t="s">
        <v>2496</v>
      </c>
      <c r="AW13" s="44" t="str">
        <f>+VLOOKUP(Cartera101774[[#This Row],[Estado TI]],Definiciones!$A$5:$D$15,4,FALSE)</f>
        <v>Planificación</v>
      </c>
      <c r="AX13" s="44" t="str">
        <f>+IF(Cartera101774[[#This Row],[Categoría]]="Evolutivo","II","I")</f>
        <v>II</v>
      </c>
      <c r="AY13" s="14"/>
      <c r="AZ13" s="49"/>
      <c r="BA13" s="49"/>
      <c r="BB13" s="49"/>
      <c r="BC13" s="49"/>
      <c r="BD13" s="49"/>
      <c r="BE13" s="63"/>
      <c r="BF13" s="63"/>
      <c r="BG13" s="63"/>
      <c r="BH13" s="77"/>
      <c r="BI13" s="48" t="str">
        <f>+VLOOKUP(Cartera101774[[#This Row],[Gerencia]],tbGerencia[#All],4,FALSE)</f>
        <v>TECNOLOGÍAS DE INFORMACIÓN</v>
      </c>
      <c r="BJ13" s="292">
        <v>45371</v>
      </c>
      <c r="BK13" s="293" t="s">
        <v>695</v>
      </c>
      <c r="BM13" s="90"/>
      <c r="BN13" s="49"/>
      <c r="BO13" s="97" t="str">
        <f>IFERROR(VLOOKUP(D13,#REF!,4,FALSE),"")</f>
        <v/>
      </c>
      <c r="BP13" s="97" t="str">
        <f>IFERROR(VLOOKUP(D13,#REF!,12,FALSE),"")</f>
        <v/>
      </c>
      <c r="BQ13"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4" spans="1:69" s="48" customFormat="1" ht="24.75" customHeight="1">
      <c r="A14" s="14" t="s">
        <v>2541</v>
      </c>
      <c r="B14" s="14">
        <v>2144</v>
      </c>
      <c r="C14" s="18" t="s">
        <v>495</v>
      </c>
      <c r="D14" s="18"/>
      <c r="E14" s="15" t="s">
        <v>2488</v>
      </c>
      <c r="F14" s="19" t="s">
        <v>2542</v>
      </c>
      <c r="G14" s="19" t="s">
        <v>2543</v>
      </c>
      <c r="H14" s="14" t="s">
        <v>108</v>
      </c>
      <c r="I14" s="18" t="s">
        <v>1724</v>
      </c>
      <c r="J14" s="18" t="s">
        <v>2536</v>
      </c>
      <c r="K14" s="18" t="s">
        <v>2531</v>
      </c>
      <c r="L14" s="50">
        <v>45336</v>
      </c>
      <c r="M14" s="43" t="s">
        <v>2537</v>
      </c>
      <c r="N14" s="43"/>
      <c r="O14" s="43"/>
      <c r="P14" s="18" t="s">
        <v>497</v>
      </c>
      <c r="Q14" s="18" t="s">
        <v>499</v>
      </c>
      <c r="R14" s="16">
        <v>45371</v>
      </c>
      <c r="S14" s="18" t="s">
        <v>2536</v>
      </c>
      <c r="T14" s="18"/>
      <c r="U14" s="18"/>
      <c r="V14" s="18" t="s">
        <v>2544</v>
      </c>
      <c r="W14" s="14" t="s">
        <v>2493</v>
      </c>
      <c r="X14" s="18" t="s">
        <v>2539</v>
      </c>
      <c r="Y14" s="18" t="e">
        <f>VLOOKUP(X14,Tabla3[[Estado Requerimiento]:[Macro estado]],2,FALSE)</f>
        <v>#N/A</v>
      </c>
      <c r="Z14" s="18"/>
      <c r="AA14" s="50"/>
      <c r="AB14" s="80"/>
      <c r="AC14" s="80"/>
      <c r="AD14" s="80"/>
      <c r="AE14" s="80"/>
      <c r="AF14" s="80"/>
      <c r="AG14" s="80" t="str">
        <f t="shared" si="6"/>
        <v/>
      </c>
      <c r="AH14" s="80"/>
      <c r="AI14" s="80"/>
      <c r="AJ14" s="80" t="str">
        <f t="shared" si="7"/>
        <v/>
      </c>
      <c r="AK14" s="19" t="s">
        <v>2545</v>
      </c>
      <c r="AL14" s="44"/>
      <c r="AM14" s="44"/>
      <c r="AN14" s="44" t="str">
        <f>VLOOKUP(Cartera101774[[#This Row],[Gerencia]],tbGerencia[#All],3,FALSE)</f>
        <v>TI</v>
      </c>
      <c r="AO14" s="44" t="str">
        <f>IFERROR(VLOOKUP(Cartera101774[[#This Row],[Subgerencia]],Definiciones!$A$90:$B$144,2,FALSE),"")</f>
        <v>Producción</v>
      </c>
      <c r="AP14" s="44" t="str">
        <f>+VLOOKUP(Cartera101774[[#This Row],[Estado TI]],Definiciones!$A$4:$B$15,2,FALSE)</f>
        <v>01. No Iniciado</v>
      </c>
      <c r="AQ14" s="44" t="str">
        <f>IF(OR(LEN(Cartera101774[[#This Row],[Fecha de Solicitud]])=0,(Cartera101774[[#This Row],[Fecha de Solicitud]])="No definido"),"No definido",IF(YEAR(Cartera101774[[#This Row],[Fecha de Solicitud]])&lt;2023," &lt;  2023",TEXT(Cartera101774[[#This Row],[Fecha de Solicitud]],"yyyy-mm")))</f>
        <v>2024-02</v>
      </c>
      <c r="AR14" s="44" t="str">
        <f>IF(Cartera101774[[#This Row],[Fecha de Priorización Comité]]="","No definido",TEXT(Cartera101774[[#This Row],[Fecha de Priorización Comité]],"yyyy-mm"))</f>
        <v>2024-03</v>
      </c>
      <c r="AS14" s="44" t="str">
        <f>IF(Cartera101774[[#This Row],[Fecha Fin- Desarrollo]]="","No definido",TEXT(AC14,"yyyy-mm"))</f>
        <v>No definido</v>
      </c>
      <c r="AT14" s="44" t="str">
        <f>IF(Cartera101774[[#This Row],[Fecha Fin- Producción]]="","No definido",TEXT(AI14,"yyyy-mm"))</f>
        <v>No definido</v>
      </c>
      <c r="AU14" s="44" t="str">
        <f>IF(Cartera101774[[#This Row],[Fecha Fin-Planificada]]="","No definido",TEXT(AJ14,"yyyy-mm"))</f>
        <v>No definido</v>
      </c>
      <c r="AV14" s="44" t="s">
        <v>2496</v>
      </c>
      <c r="AW14" s="44" t="str">
        <f>+VLOOKUP(Cartera101774[[#This Row],[Estado TI]],Definiciones!$A$5:$D$15,4,FALSE)</f>
        <v>Planificación</v>
      </c>
      <c r="AX14" s="44" t="str">
        <f>+IF(Cartera101774[[#This Row],[Categoría]]="Evolutivo","II","I")</f>
        <v>II</v>
      </c>
      <c r="AY14" s="14"/>
      <c r="AZ14" s="49"/>
      <c r="BA14" s="49"/>
      <c r="BB14" s="49"/>
      <c r="BC14" s="49"/>
      <c r="BD14" s="49"/>
      <c r="BE14" s="63"/>
      <c r="BF14" s="63"/>
      <c r="BG14" s="63"/>
      <c r="BH14" s="77"/>
      <c r="BI14" s="48" t="str">
        <f>+VLOOKUP(Cartera101774[[#This Row],[Gerencia]],tbGerencia[#All],4,FALSE)</f>
        <v>TECNOLOGÍAS DE INFORMACIÓN</v>
      </c>
      <c r="BJ14" s="292">
        <v>45371</v>
      </c>
      <c r="BK14" s="293" t="s">
        <v>695</v>
      </c>
      <c r="BM14" s="90"/>
      <c r="BN14" s="49"/>
      <c r="BO14" s="97" t="str">
        <f>IFERROR(VLOOKUP(D14,#REF!,4,FALSE),"")</f>
        <v/>
      </c>
      <c r="BP14" s="97" t="str">
        <f>IFERROR(VLOOKUP(D14,#REF!,12,FALSE),"")</f>
        <v/>
      </c>
      <c r="BQ14"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5" spans="1:69" s="48" customFormat="1" ht="24.75" customHeight="1">
      <c r="A15" s="14" t="s">
        <v>2546</v>
      </c>
      <c r="B15" s="14">
        <v>2145</v>
      </c>
      <c r="C15" s="18" t="s">
        <v>495</v>
      </c>
      <c r="D15" s="18"/>
      <c r="E15" s="15" t="s">
        <v>2488</v>
      </c>
      <c r="F15" s="19" t="s">
        <v>2547</v>
      </c>
      <c r="G15" s="19" t="s">
        <v>2548</v>
      </c>
      <c r="H15" s="14" t="s">
        <v>108</v>
      </c>
      <c r="I15" s="18" t="s">
        <v>2549</v>
      </c>
      <c r="J15" s="18" t="s">
        <v>2550</v>
      </c>
      <c r="K15" s="18" t="s">
        <v>2551</v>
      </c>
      <c r="L15" s="50">
        <v>45336</v>
      </c>
      <c r="M15" s="43" t="s">
        <v>2537</v>
      </c>
      <c r="N15" s="43"/>
      <c r="O15" s="43"/>
      <c r="P15" s="18" t="s">
        <v>497</v>
      </c>
      <c r="Q15" s="18" t="s">
        <v>499</v>
      </c>
      <c r="R15" s="16">
        <v>45371</v>
      </c>
      <c r="S15" s="18" t="s">
        <v>2550</v>
      </c>
      <c r="T15" s="18"/>
      <c r="U15" s="18"/>
      <c r="V15" s="18" t="s">
        <v>2552</v>
      </c>
      <c r="W15" s="14" t="s">
        <v>2493</v>
      </c>
      <c r="X15" s="18" t="s">
        <v>2539</v>
      </c>
      <c r="Y15" s="18" t="e">
        <f>VLOOKUP(X15,Tabla3[[Estado Requerimiento]:[Macro estado]],2,FALSE)</f>
        <v>#N/A</v>
      </c>
      <c r="Z15" s="18"/>
      <c r="AA15" s="50"/>
      <c r="AB15" s="80"/>
      <c r="AC15" s="80"/>
      <c r="AD15" s="80"/>
      <c r="AE15" s="80"/>
      <c r="AF15" s="80"/>
      <c r="AG15" s="80" t="str">
        <f t="shared" si="6"/>
        <v/>
      </c>
      <c r="AH15" s="80"/>
      <c r="AI15" s="80"/>
      <c r="AJ15" s="80" t="str">
        <f t="shared" si="7"/>
        <v/>
      </c>
      <c r="AK15" s="19" t="s">
        <v>2553</v>
      </c>
      <c r="AL15" s="44"/>
      <c r="AM15" s="44"/>
      <c r="AN15" s="44" t="str">
        <f>VLOOKUP(Cartera101774[[#This Row],[Gerencia]],tbGerencia[#All],3,FALSE)</f>
        <v>TI</v>
      </c>
      <c r="AO15" s="44" t="str">
        <f>IFERROR(VLOOKUP(Cartera101774[[#This Row],[Subgerencia]],Definiciones!$A$90:$B$144,2,FALSE),"")</f>
        <v>ArquitecturaTIC</v>
      </c>
      <c r="AP15" s="44" t="str">
        <f>+VLOOKUP(Cartera101774[[#This Row],[Estado TI]],Definiciones!$A$4:$B$15,2,FALSE)</f>
        <v>01. No Iniciado</v>
      </c>
      <c r="AQ15" s="44" t="str">
        <f>IF(OR(LEN(Cartera101774[[#This Row],[Fecha de Solicitud]])=0,(Cartera101774[[#This Row],[Fecha de Solicitud]])="No definido"),"No definido",IF(YEAR(Cartera101774[[#This Row],[Fecha de Solicitud]])&lt;2023," &lt;  2023",TEXT(Cartera101774[[#This Row],[Fecha de Solicitud]],"yyyy-mm")))</f>
        <v>2024-02</v>
      </c>
      <c r="AR15" s="44" t="str">
        <f>IF(Cartera101774[[#This Row],[Fecha de Priorización Comité]]="","No definido",TEXT(Cartera101774[[#This Row],[Fecha de Priorización Comité]],"yyyy-mm"))</f>
        <v>2024-03</v>
      </c>
      <c r="AS15" s="44" t="str">
        <f>IF(Cartera101774[[#This Row],[Fecha Fin- Desarrollo]]="","No definido",TEXT(AC15,"yyyy-mm"))</f>
        <v>No definido</v>
      </c>
      <c r="AT15" s="44" t="str">
        <f>IF(Cartera101774[[#This Row],[Fecha Fin- Producción]]="","No definido",TEXT(AI15,"yyyy-mm"))</f>
        <v>No definido</v>
      </c>
      <c r="AU15" s="44" t="str">
        <f>IF(Cartera101774[[#This Row],[Fecha Fin-Planificada]]="","No definido",TEXT(AJ15,"yyyy-mm"))</f>
        <v>No definido</v>
      </c>
      <c r="AV15" s="44" t="s">
        <v>2496</v>
      </c>
      <c r="AW15" s="44" t="str">
        <f>+VLOOKUP(Cartera101774[[#This Row],[Estado TI]],Definiciones!$A$5:$D$15,4,FALSE)</f>
        <v>Planificación</v>
      </c>
      <c r="AX15" s="44" t="str">
        <f>+IF(Cartera101774[[#This Row],[Categoría]]="Evolutivo","II","I")</f>
        <v>II</v>
      </c>
      <c r="AY15" s="14"/>
      <c r="AZ15" s="49"/>
      <c r="BA15" s="49"/>
      <c r="BB15" s="49"/>
      <c r="BC15" s="49"/>
      <c r="BD15" s="49"/>
      <c r="BE15" s="63"/>
      <c r="BF15" s="63"/>
      <c r="BG15" s="63"/>
      <c r="BH15" s="77"/>
      <c r="BI15" s="48" t="str">
        <f>+VLOOKUP(Cartera101774[[#This Row],[Gerencia]],tbGerencia[#All],4,FALSE)</f>
        <v>TECNOLOGÍAS DE INFORMACIÓN</v>
      </c>
      <c r="BJ15" s="292">
        <v>45371</v>
      </c>
      <c r="BK15" s="293" t="s">
        <v>695</v>
      </c>
      <c r="BM15" s="90"/>
      <c r="BN15" s="49"/>
      <c r="BO15" s="97" t="str">
        <f>IFERROR(VLOOKUP(D15,#REF!,4,FALSE),"")</f>
        <v/>
      </c>
      <c r="BP15" s="97" t="str">
        <f>IFERROR(VLOOKUP(D15,#REF!,12,FALSE),"")</f>
        <v/>
      </c>
      <c r="BQ15"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6" spans="1:69" s="100" customFormat="1" ht="24.75" customHeight="1">
      <c r="A16" s="14" t="s">
        <v>2554</v>
      </c>
      <c r="B16" s="14">
        <v>2146</v>
      </c>
      <c r="C16" s="18" t="s">
        <v>495</v>
      </c>
      <c r="D16" s="18"/>
      <c r="E16" s="15" t="s">
        <v>2488</v>
      </c>
      <c r="F16" s="19" t="s">
        <v>2555</v>
      </c>
      <c r="G16" s="19" t="s">
        <v>2556</v>
      </c>
      <c r="H16" s="14" t="s">
        <v>108</v>
      </c>
      <c r="I16" s="18" t="s">
        <v>1724</v>
      </c>
      <c r="J16" s="18" t="s">
        <v>2536</v>
      </c>
      <c r="K16" s="18" t="s">
        <v>2531</v>
      </c>
      <c r="L16" s="50">
        <v>45336</v>
      </c>
      <c r="M16" s="43" t="s">
        <v>2537</v>
      </c>
      <c r="N16" s="43"/>
      <c r="O16" s="43"/>
      <c r="P16" s="18" t="s">
        <v>497</v>
      </c>
      <c r="Q16" s="18" t="s">
        <v>499</v>
      </c>
      <c r="R16" s="16">
        <v>45371</v>
      </c>
      <c r="S16" s="18" t="s">
        <v>2536</v>
      </c>
      <c r="T16" s="18"/>
      <c r="U16" s="18"/>
      <c r="V16" s="18" t="s">
        <v>2557</v>
      </c>
      <c r="W16" s="14" t="s">
        <v>2493</v>
      </c>
      <c r="X16" s="18" t="s">
        <v>2539</v>
      </c>
      <c r="Y16" s="18" t="e">
        <f>VLOOKUP(X16,Tabla3[[Estado Requerimiento]:[Macro estado]],2,FALSE)</f>
        <v>#N/A</v>
      </c>
      <c r="Z16" s="18"/>
      <c r="AA16" s="50"/>
      <c r="AB16" s="80"/>
      <c r="AC16" s="80"/>
      <c r="AD16" s="80"/>
      <c r="AE16" s="80"/>
      <c r="AF16" s="80"/>
      <c r="AG16" s="80" t="str">
        <f t="shared" si="6"/>
        <v/>
      </c>
      <c r="AH16" s="80"/>
      <c r="AI16" s="80"/>
      <c r="AJ16" s="80" t="str">
        <f t="shared" si="7"/>
        <v/>
      </c>
      <c r="AK16" s="19" t="s">
        <v>2558</v>
      </c>
      <c r="AL16" s="44"/>
      <c r="AM16" s="44"/>
      <c r="AN16" s="44" t="str">
        <f>VLOOKUP(Cartera101774[[#This Row],[Gerencia]],tbGerencia[#All],3,FALSE)</f>
        <v>TI</v>
      </c>
      <c r="AO16" s="44" t="str">
        <f>IFERROR(VLOOKUP(Cartera101774[[#This Row],[Subgerencia]],Definiciones!$A$90:$B$144,2,FALSE),"")</f>
        <v>Producción</v>
      </c>
      <c r="AP16" s="44" t="str">
        <f>+VLOOKUP(Cartera101774[[#This Row],[Estado TI]],Definiciones!$A$4:$B$15,2,FALSE)</f>
        <v>01. No Iniciado</v>
      </c>
      <c r="AQ16" s="44" t="str">
        <f>IF(OR(LEN(Cartera101774[[#This Row],[Fecha de Solicitud]])=0,(Cartera101774[[#This Row],[Fecha de Solicitud]])="No definido"),"No definido",IF(YEAR(Cartera101774[[#This Row],[Fecha de Solicitud]])&lt;2023," &lt;  2023",TEXT(Cartera101774[[#This Row],[Fecha de Solicitud]],"yyyy-mm")))</f>
        <v>2024-02</v>
      </c>
      <c r="AR16" s="44" t="str">
        <f>IF(Cartera101774[[#This Row],[Fecha de Priorización Comité]]="","No definido",TEXT(Cartera101774[[#This Row],[Fecha de Priorización Comité]],"yyyy-mm"))</f>
        <v>2024-03</v>
      </c>
      <c r="AS16" s="44" t="str">
        <f>IF(Cartera101774[[#This Row],[Fecha Fin- Desarrollo]]="","No definido",TEXT(AC16,"yyyy-mm"))</f>
        <v>No definido</v>
      </c>
      <c r="AT16" s="44" t="str">
        <f>IF(Cartera101774[[#This Row],[Fecha Fin- Producción]]="","No definido",TEXT(AI16,"yyyy-mm"))</f>
        <v>No definido</v>
      </c>
      <c r="AU16" s="44" t="str">
        <f>IF(Cartera101774[[#This Row],[Fecha Fin-Planificada]]="","No definido",TEXT(AJ16,"yyyy-mm"))</f>
        <v>No definido</v>
      </c>
      <c r="AV16" s="44" t="s">
        <v>2496</v>
      </c>
      <c r="AW16" s="44" t="str">
        <f>+VLOOKUP(Cartera101774[[#This Row],[Estado TI]],Definiciones!$A$5:$D$15,4,FALSE)</f>
        <v>Planificación</v>
      </c>
      <c r="AX16" s="44" t="str">
        <f>+IF(Cartera101774[[#This Row],[Categoría]]="Evolutivo","II","I")</f>
        <v>II</v>
      </c>
      <c r="AY16" s="14"/>
      <c r="AZ16" s="49"/>
      <c r="BA16" s="49"/>
      <c r="BB16" s="49"/>
      <c r="BC16" s="49"/>
      <c r="BD16" s="49"/>
      <c r="BE16" s="63"/>
      <c r="BF16" s="63"/>
      <c r="BG16" s="63"/>
      <c r="BH16" s="77"/>
      <c r="BI16" s="48" t="str">
        <f>+VLOOKUP(Cartera101774[[#This Row],[Gerencia]],tbGerencia[#All],4,FALSE)</f>
        <v>TECNOLOGÍAS DE INFORMACIÓN</v>
      </c>
      <c r="BJ16" s="292">
        <v>45371</v>
      </c>
      <c r="BK16" s="293" t="s">
        <v>695</v>
      </c>
      <c r="BL16" s="48"/>
      <c r="BM16" s="90"/>
      <c r="BN16" s="49"/>
      <c r="BO16" s="97" t="str">
        <f>IFERROR(VLOOKUP(D16,#REF!,4,FALSE),"")</f>
        <v/>
      </c>
      <c r="BP16" s="97" t="str">
        <f>IFERROR(VLOOKUP(D16,#REF!,12,FALSE),"")</f>
        <v/>
      </c>
      <c r="BQ16"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7" spans="1:69" s="48" customFormat="1" ht="24.75" customHeight="1">
      <c r="A17" s="14" t="s">
        <v>2559</v>
      </c>
      <c r="B17" s="14">
        <v>2147</v>
      </c>
      <c r="C17" s="18" t="s">
        <v>495</v>
      </c>
      <c r="D17" s="18"/>
      <c r="E17" s="15" t="s">
        <v>2488</v>
      </c>
      <c r="F17" s="19" t="s">
        <v>2560</v>
      </c>
      <c r="G17" s="19"/>
      <c r="H17" s="14" t="s">
        <v>108</v>
      </c>
      <c r="I17" s="18" t="s">
        <v>811</v>
      </c>
      <c r="J17" s="18" t="s">
        <v>500</v>
      </c>
      <c r="K17" s="18" t="s">
        <v>2561</v>
      </c>
      <c r="L17" s="50">
        <v>45336</v>
      </c>
      <c r="M17" s="43" t="s">
        <v>2537</v>
      </c>
      <c r="N17" s="43"/>
      <c r="O17" s="43"/>
      <c r="P17" s="18" t="s">
        <v>497</v>
      </c>
      <c r="Q17" s="18" t="s">
        <v>499</v>
      </c>
      <c r="R17" s="16">
        <v>45371</v>
      </c>
      <c r="S17" s="18" t="s">
        <v>500</v>
      </c>
      <c r="T17" s="18"/>
      <c r="U17" s="18"/>
      <c r="V17" s="18" t="s">
        <v>2562</v>
      </c>
      <c r="W17" s="14" t="s">
        <v>2493</v>
      </c>
      <c r="X17" s="18" t="s">
        <v>2539</v>
      </c>
      <c r="Y17" s="18" t="e">
        <f>VLOOKUP(X17,Tabla3[[Estado Requerimiento]:[Macro estado]],2,FALSE)</f>
        <v>#N/A</v>
      </c>
      <c r="Z17" s="18"/>
      <c r="AA17" s="50"/>
      <c r="AB17" s="80"/>
      <c r="AC17" s="80"/>
      <c r="AD17" s="80"/>
      <c r="AE17" s="80"/>
      <c r="AF17" s="80"/>
      <c r="AG17" s="80" t="str">
        <f t="shared" si="6"/>
        <v/>
      </c>
      <c r="AH17" s="80"/>
      <c r="AI17" s="80"/>
      <c r="AJ17" s="80" t="str">
        <f t="shared" si="7"/>
        <v/>
      </c>
      <c r="AK17" s="19" t="s">
        <v>2563</v>
      </c>
      <c r="AL17" s="44"/>
      <c r="AM17" s="44"/>
      <c r="AN17" s="44" t="str">
        <f>VLOOKUP(Cartera101774[[#This Row],[Gerencia]],tbGerencia[#All],3,FALSE)</f>
        <v>TI</v>
      </c>
      <c r="AO17" s="44" t="str">
        <f>IFERROR(VLOOKUP(Cartera101774[[#This Row],[Subgerencia]],Definiciones!$A$90:$B$144,2,FALSE),"")</f>
        <v>ConstrucciónAplicaciones</v>
      </c>
      <c r="AP17" s="44" t="str">
        <f>+VLOOKUP(Cartera101774[[#This Row],[Estado TI]],Definiciones!$A$4:$B$15,2,FALSE)</f>
        <v>01. No Iniciado</v>
      </c>
      <c r="AQ17" s="44" t="str">
        <f>IF(OR(LEN(Cartera101774[[#This Row],[Fecha de Solicitud]])=0,(Cartera101774[[#This Row],[Fecha de Solicitud]])="No definido"),"No definido",IF(YEAR(Cartera101774[[#This Row],[Fecha de Solicitud]])&lt;2023," &lt;  2023",TEXT(Cartera101774[[#This Row],[Fecha de Solicitud]],"yyyy-mm")))</f>
        <v>2024-02</v>
      </c>
      <c r="AR17" s="44" t="str">
        <f>IF(Cartera101774[[#This Row],[Fecha de Priorización Comité]]="","No definido",TEXT(Cartera101774[[#This Row],[Fecha de Priorización Comité]],"yyyy-mm"))</f>
        <v>2024-03</v>
      </c>
      <c r="AS17" s="44" t="str">
        <f>IF(Cartera101774[[#This Row],[Fecha Fin- Desarrollo]]="","No definido",TEXT(AC17,"yyyy-mm"))</f>
        <v>No definido</v>
      </c>
      <c r="AT17" s="44" t="str">
        <f>IF(Cartera101774[[#This Row],[Fecha Fin- Producción]]="","No definido",TEXT(AI17,"yyyy-mm"))</f>
        <v>No definido</v>
      </c>
      <c r="AU17" s="44" t="str">
        <f>IF(Cartera101774[[#This Row],[Fecha Fin-Planificada]]="","No definido",TEXT(AJ17,"yyyy-mm"))</f>
        <v>No definido</v>
      </c>
      <c r="AV17" s="44" t="s">
        <v>2496</v>
      </c>
      <c r="AW17" s="44" t="str">
        <f>+VLOOKUP(Cartera101774[[#This Row],[Estado TI]],Definiciones!$A$5:$D$15,4,FALSE)</f>
        <v>Planificación</v>
      </c>
      <c r="AX17" s="44" t="str">
        <f>+IF(Cartera101774[[#This Row],[Categoría]]="Evolutivo","II","I")</f>
        <v>II</v>
      </c>
      <c r="AY17" s="14"/>
      <c r="AZ17" s="49"/>
      <c r="BA17" s="49"/>
      <c r="BB17" s="49"/>
      <c r="BC17" s="49"/>
      <c r="BD17" s="49"/>
      <c r="BE17" s="63"/>
      <c r="BF17" s="63"/>
      <c r="BG17" s="63"/>
      <c r="BH17" s="77"/>
      <c r="BI17" s="48" t="str">
        <f>+VLOOKUP(Cartera101774[[#This Row],[Gerencia]],tbGerencia[#All],4,FALSE)</f>
        <v>TECNOLOGÍAS DE INFORMACIÓN</v>
      </c>
      <c r="BJ17" s="292">
        <v>45371</v>
      </c>
      <c r="BK17" s="293" t="s">
        <v>695</v>
      </c>
      <c r="BM17" s="90"/>
      <c r="BN17" s="49"/>
      <c r="BO17" s="97" t="str">
        <f>IFERROR(VLOOKUP(D17,#REF!,4,FALSE),"")</f>
        <v/>
      </c>
      <c r="BP17" s="97" t="str">
        <f>IFERROR(VLOOKUP(D17,#REF!,12,FALSE),"")</f>
        <v/>
      </c>
      <c r="BQ17"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8" spans="1:69" s="48" customFormat="1" ht="24.75" customHeight="1">
      <c r="A18" s="14" t="s">
        <v>2564</v>
      </c>
      <c r="B18" s="14">
        <v>2148</v>
      </c>
      <c r="C18" s="18" t="s">
        <v>495</v>
      </c>
      <c r="D18" s="18"/>
      <c r="E18" s="15" t="s">
        <v>2488</v>
      </c>
      <c r="F18" s="19" t="s">
        <v>2565</v>
      </c>
      <c r="G18" s="19" t="s">
        <v>2566</v>
      </c>
      <c r="H18" s="14" t="s">
        <v>108</v>
      </c>
      <c r="I18" s="18" t="s">
        <v>1724</v>
      </c>
      <c r="J18" s="18" t="s">
        <v>2536</v>
      </c>
      <c r="K18" s="18" t="s">
        <v>2531</v>
      </c>
      <c r="L18" s="50">
        <v>45371</v>
      </c>
      <c r="M18" s="43"/>
      <c r="N18" s="43"/>
      <c r="O18" s="43"/>
      <c r="P18" s="18" t="s">
        <v>497</v>
      </c>
      <c r="Q18" s="18" t="s">
        <v>499</v>
      </c>
      <c r="R18" s="16">
        <v>45371</v>
      </c>
      <c r="S18" s="18" t="s">
        <v>2536</v>
      </c>
      <c r="T18" s="18"/>
      <c r="U18" s="18"/>
      <c r="V18" s="18" t="s">
        <v>2567</v>
      </c>
      <c r="W18" s="14" t="s">
        <v>2493</v>
      </c>
      <c r="X18" s="18" t="s">
        <v>2539</v>
      </c>
      <c r="Y18" s="18" t="e">
        <f>VLOOKUP(X18,Tabla3[[Estado Requerimiento]:[Macro estado]],2,FALSE)</f>
        <v>#N/A</v>
      </c>
      <c r="Z18" s="18"/>
      <c r="AA18" s="50"/>
      <c r="AB18" s="80"/>
      <c r="AC18" s="80"/>
      <c r="AD18" s="80"/>
      <c r="AE18" s="80"/>
      <c r="AF18" s="80"/>
      <c r="AG18" s="80" t="str">
        <f t="shared" si="6"/>
        <v/>
      </c>
      <c r="AH18" s="80"/>
      <c r="AI18" s="80"/>
      <c r="AJ18" s="80" t="str">
        <f t="shared" si="7"/>
        <v/>
      </c>
      <c r="AK18" s="19" t="s">
        <v>2568</v>
      </c>
      <c r="AL18" s="44"/>
      <c r="AM18" s="44"/>
      <c r="AN18" s="44" t="str">
        <f>VLOOKUP(Cartera101774[[#This Row],[Gerencia]],tbGerencia[#All],3,FALSE)</f>
        <v>TI</v>
      </c>
      <c r="AO18" s="44" t="str">
        <f>IFERROR(VLOOKUP(Cartera101774[[#This Row],[Subgerencia]],Definiciones!$A$90:$B$144,2,FALSE),"")</f>
        <v>Producción</v>
      </c>
      <c r="AP18" s="44" t="str">
        <f>+VLOOKUP(Cartera101774[[#This Row],[Estado TI]],Definiciones!$A$4:$B$15,2,FALSE)</f>
        <v>01. No Iniciado</v>
      </c>
      <c r="AQ18" s="44" t="str">
        <f>IF(OR(LEN(Cartera101774[[#This Row],[Fecha de Solicitud]])=0,(Cartera101774[[#This Row],[Fecha de Solicitud]])="No definido"),"No definido",IF(YEAR(Cartera101774[[#This Row],[Fecha de Solicitud]])&lt;2023," &lt;  2023",TEXT(Cartera101774[[#This Row],[Fecha de Solicitud]],"yyyy-mm")))</f>
        <v>2024-03</v>
      </c>
      <c r="AR18" s="44" t="str">
        <f>IF(Cartera101774[[#This Row],[Fecha de Priorización Comité]]="","No definido",TEXT(Cartera101774[[#This Row],[Fecha de Priorización Comité]],"yyyy-mm"))</f>
        <v>2024-03</v>
      </c>
      <c r="AS18" s="44" t="str">
        <f>IF(Cartera101774[[#This Row],[Fecha Fin- Desarrollo]]="","No definido",TEXT(AC18,"yyyy-mm"))</f>
        <v>No definido</v>
      </c>
      <c r="AT18" s="44" t="str">
        <f>IF(Cartera101774[[#This Row],[Fecha Fin- Producción]]="","No definido",TEXT(AI18,"yyyy-mm"))</f>
        <v>No definido</v>
      </c>
      <c r="AU18" s="44" t="str">
        <f>IF(Cartera101774[[#This Row],[Fecha Fin-Planificada]]="","No definido",TEXT(AJ18,"yyyy-mm"))</f>
        <v>No definido</v>
      </c>
      <c r="AV18" s="44" t="s">
        <v>2496</v>
      </c>
      <c r="AW18" s="44" t="str">
        <f>+VLOOKUP(Cartera101774[[#This Row],[Estado TI]],Definiciones!$A$5:$D$15,4,FALSE)</f>
        <v>Planificación</v>
      </c>
      <c r="AX18" s="44" t="str">
        <f>+IF(Cartera101774[[#This Row],[Categoría]]="Evolutivo","II","I")</f>
        <v>II</v>
      </c>
      <c r="AY18" s="14"/>
      <c r="AZ18" s="49"/>
      <c r="BA18" s="49"/>
      <c r="BB18" s="49"/>
      <c r="BC18" s="49"/>
      <c r="BD18" s="49"/>
      <c r="BE18" s="63"/>
      <c r="BF18" s="63"/>
      <c r="BG18" s="63"/>
      <c r="BH18" s="77"/>
      <c r="BI18" s="48" t="str">
        <f>+VLOOKUP(Cartera101774[[#This Row],[Gerencia]],tbGerencia[#All],4,FALSE)</f>
        <v>TECNOLOGÍAS DE INFORMACIÓN</v>
      </c>
      <c r="BJ18" s="292">
        <v>45371</v>
      </c>
      <c r="BK18" s="293" t="s">
        <v>695</v>
      </c>
      <c r="BM18" s="90"/>
      <c r="BN18" s="49"/>
      <c r="BO18" s="97" t="str">
        <f>IFERROR(VLOOKUP(D18,#REF!,4,FALSE),"")</f>
        <v/>
      </c>
      <c r="BP18" s="97" t="str">
        <f>IFERROR(VLOOKUP(D18,#REF!,12,FALSE),"")</f>
        <v/>
      </c>
      <c r="BQ18"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9" spans="1:69" s="48" customFormat="1" ht="24.75" customHeight="1">
      <c r="A19" s="14" t="s">
        <v>2569</v>
      </c>
      <c r="B19" s="14">
        <v>2184</v>
      </c>
      <c r="C19" s="18" t="s">
        <v>496</v>
      </c>
      <c r="D19" s="18"/>
      <c r="E19" s="15" t="s">
        <v>2488</v>
      </c>
      <c r="F19" s="19" t="s">
        <v>2570</v>
      </c>
      <c r="G19" s="19" t="s">
        <v>2571</v>
      </c>
      <c r="H19" s="14" t="s">
        <v>108</v>
      </c>
      <c r="I19" s="18" t="s">
        <v>1724</v>
      </c>
      <c r="J19" s="18" t="s">
        <v>2536</v>
      </c>
      <c r="K19" s="18"/>
      <c r="L19" s="50"/>
      <c r="M19" s="43"/>
      <c r="N19" s="43"/>
      <c r="O19" s="43"/>
      <c r="P19" s="18" t="s">
        <v>497</v>
      </c>
      <c r="Q19" s="18" t="s">
        <v>532</v>
      </c>
      <c r="R19" s="56">
        <v>45401</v>
      </c>
      <c r="S19" s="18" t="s">
        <v>500</v>
      </c>
      <c r="T19" s="18"/>
      <c r="U19" s="18"/>
      <c r="V19" s="18" t="s">
        <v>2567</v>
      </c>
      <c r="W19" s="14" t="s">
        <v>2493</v>
      </c>
      <c r="X19" s="18" t="s">
        <v>2539</v>
      </c>
      <c r="Y19" s="18" t="e">
        <f>VLOOKUP(X19,Tabla3[[Estado Requerimiento]:[Macro estado]],2,FALSE)</f>
        <v>#N/A</v>
      </c>
      <c r="Z19" s="18"/>
      <c r="AA19" s="50"/>
      <c r="AB19" s="80"/>
      <c r="AC19" s="80"/>
      <c r="AD19" s="80"/>
      <c r="AE19" s="80"/>
      <c r="AF19" s="80"/>
      <c r="AG19" s="80" t="str">
        <f t="shared" ref="AG19" si="8">IF(AND(ISNUMBER(AB19),ISNUMBER(AD19)),AD19+(AD19- AB19)*0.4,IF(AND(ISNUMBER(AB19),ISNUMBER(AC19)),AC19+(AC19-AB19)*0.4,""))</f>
        <v/>
      </c>
      <c r="AH19" s="80"/>
      <c r="AI19" s="80"/>
      <c r="AJ19" s="80" t="str">
        <f t="shared" ref="AJ19" si="9">IF(ISNUMBER(AG19),AG19+7,"")</f>
        <v/>
      </c>
      <c r="AK19" s="19" t="s">
        <v>2572</v>
      </c>
      <c r="AL19" s="54"/>
      <c r="AM19" s="54"/>
      <c r="AN19" s="44" t="str">
        <f>VLOOKUP(Cartera101774[[#This Row],[Gerencia]],tbGerencia[#All],3,FALSE)</f>
        <v>TI</v>
      </c>
      <c r="AO19" s="44" t="str">
        <f>IFERROR(VLOOKUP(Cartera101774[[#This Row],[Subgerencia]],Definiciones!$A$90:$B$144,2,FALSE),"")</f>
        <v>Producción</v>
      </c>
      <c r="AP19" s="44" t="str">
        <f>+VLOOKUP(Cartera101774[[#This Row],[Estado TI]],Definiciones!$A$4:$B$15,2,FALSE)</f>
        <v>01. No Iniciado</v>
      </c>
      <c r="AQ19" s="44" t="str">
        <f>IF(OR(LEN(Cartera101774[[#This Row],[Fecha de Solicitud]])=0,(Cartera101774[[#This Row],[Fecha de Solicitud]])="No definido"),"No definido",IF(YEAR(Cartera101774[[#This Row],[Fecha de Solicitud]])&lt;2023," &lt;  2023",TEXT(Cartera101774[[#This Row],[Fecha de Solicitud]],"yyyy-mm")))</f>
        <v>No definido</v>
      </c>
      <c r="AR19" s="44" t="str">
        <f>IF(Cartera101774[[#This Row],[Fecha de Priorización Comité]]="","No definido",TEXT(Cartera101774[[#This Row],[Fecha de Priorización Comité]],"yyyy-mm"))</f>
        <v>2024-04</v>
      </c>
      <c r="AS19" s="44" t="str">
        <f>IF(Cartera101774[[#This Row],[Fecha Fin- Desarrollo]]="","No definido",TEXT(AC19,"yyyy-mm"))</f>
        <v>No definido</v>
      </c>
      <c r="AT19" s="44" t="str">
        <f>IF(Cartera101774[[#This Row],[Fecha Fin- Producción]]="","No definido",TEXT(AI19,"yyyy-mm"))</f>
        <v>No definido</v>
      </c>
      <c r="AU19" s="44" t="str">
        <f>IF(Cartera101774[[#This Row],[Fecha Fin-Planificada]]="","No definido",TEXT(AJ19,"yyyy-mm"))</f>
        <v>No definido</v>
      </c>
      <c r="AV19" s="44"/>
      <c r="AW19" s="44" t="str">
        <f>+VLOOKUP(Cartera101774[[#This Row],[Estado TI]],Definiciones!$A$5:$D$15,4,FALSE)</f>
        <v>Planificación</v>
      </c>
      <c r="AX19" s="44" t="str">
        <f>+IF(Cartera101774[[#This Row],[Categoría]]="Evolutivo","II","I")</f>
        <v>II</v>
      </c>
      <c r="AY19" s="14"/>
      <c r="AZ19" s="49"/>
      <c r="BA19" s="49"/>
      <c r="BB19" s="49"/>
      <c r="BC19" s="49"/>
      <c r="BD19" s="49"/>
      <c r="BE19" s="63"/>
      <c r="BF19" s="63"/>
      <c r="BG19" s="63"/>
      <c r="BH19" s="77"/>
      <c r="BI19" s="48" t="str">
        <f>+VLOOKUP(Cartera101774[[#This Row],[Gerencia]],tbGerencia[#All],4,FALSE)</f>
        <v>TECNOLOGÍAS DE INFORMACIÓN</v>
      </c>
      <c r="BJ19" s="292">
        <v>45401</v>
      </c>
      <c r="BK19" s="293" t="s">
        <v>504</v>
      </c>
      <c r="BM19" s="90"/>
      <c r="BN19" s="49"/>
      <c r="BO19" s="97" t="str">
        <f>IFERROR(VLOOKUP(D19,#REF!,4,FALSE),"")</f>
        <v/>
      </c>
      <c r="BP19" s="97" t="str">
        <f>IFERROR(VLOOKUP(D19,#REF!,12,FALSE),"")</f>
        <v/>
      </c>
      <c r="BQ19"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sheetData>
  <sheetProtection formatCells="0" formatColumns="0" formatRows="0" sort="0" autoFilter="0" pivotTables="0"/>
  <mergeCells count="5">
    <mergeCell ref="A2:C3"/>
    <mergeCell ref="A4:P4"/>
    <mergeCell ref="Q4:W4"/>
    <mergeCell ref="AL4:AM4"/>
    <mergeCell ref="AV4:AY4"/>
  </mergeCells>
  <conditionalFormatting sqref="A6">
    <cfRule type="duplicateValues" dxfId="410" priority="828"/>
    <cfRule type="duplicateValues" dxfId="409" priority="829"/>
  </conditionalFormatting>
  <conditionalFormatting sqref="A7">
    <cfRule type="duplicateValues" dxfId="408" priority="717"/>
  </conditionalFormatting>
  <conditionalFormatting sqref="A8">
    <cfRule type="duplicateValues" dxfId="407" priority="716"/>
  </conditionalFormatting>
  <conditionalFormatting sqref="A9">
    <cfRule type="duplicateValues" dxfId="406" priority="481"/>
  </conditionalFormatting>
  <conditionalFormatting sqref="A9">
    <cfRule type="duplicateValues" dxfId="405" priority="480"/>
  </conditionalFormatting>
  <conditionalFormatting sqref="A10">
    <cfRule type="duplicateValues" dxfId="404" priority="479"/>
  </conditionalFormatting>
  <conditionalFormatting sqref="A10">
    <cfRule type="duplicateValues" dxfId="403" priority="478"/>
  </conditionalFormatting>
  <conditionalFormatting sqref="A11">
    <cfRule type="duplicateValues" dxfId="402" priority="477"/>
  </conditionalFormatting>
  <conditionalFormatting sqref="A11">
    <cfRule type="duplicateValues" dxfId="401" priority="476"/>
  </conditionalFormatting>
  <conditionalFormatting sqref="A12">
    <cfRule type="duplicateValues" dxfId="400" priority="369"/>
  </conditionalFormatting>
  <conditionalFormatting sqref="A12">
    <cfRule type="duplicateValues" dxfId="399" priority="368"/>
  </conditionalFormatting>
  <conditionalFormatting sqref="A13">
    <cfRule type="duplicateValues" dxfId="398" priority="194"/>
  </conditionalFormatting>
  <conditionalFormatting sqref="A13">
    <cfRule type="duplicateValues" dxfId="397" priority="193"/>
  </conditionalFormatting>
  <conditionalFormatting sqref="A14">
    <cfRule type="duplicateValues" dxfId="396" priority="192"/>
  </conditionalFormatting>
  <conditionalFormatting sqref="A14">
    <cfRule type="duplicateValues" dxfId="395" priority="191"/>
  </conditionalFormatting>
  <conditionalFormatting sqref="A15">
    <cfRule type="duplicateValues" dxfId="394" priority="190"/>
  </conditionalFormatting>
  <conditionalFormatting sqref="A16">
    <cfRule type="duplicateValues" dxfId="393" priority="189"/>
  </conditionalFormatting>
  <conditionalFormatting sqref="A17">
    <cfRule type="duplicateValues" dxfId="392" priority="188"/>
  </conditionalFormatting>
  <conditionalFormatting sqref="A18">
    <cfRule type="duplicateValues" dxfId="391" priority="186"/>
    <cfRule type="duplicateValues" dxfId="390" priority="187"/>
  </conditionalFormatting>
  <conditionalFormatting sqref="A19">
    <cfRule type="duplicateValues" dxfId="389" priority="133"/>
  </conditionalFormatting>
  <conditionalFormatting sqref="A19">
    <cfRule type="duplicateValues" dxfId="388" priority="132"/>
  </conditionalFormatting>
  <dataValidations count="3">
    <dataValidation type="list" allowBlank="1" showInputMessage="1" showErrorMessage="1" sqref="I6:J19" xr:uid="{00000000-0002-0000-0C00-000000000000}">
      <formula1>INDIRECT(AN6)</formula1>
    </dataValidation>
    <dataValidation type="list" allowBlank="1" showInputMessage="1" showErrorMessage="1" sqref="E6:E19" xr:uid="{00000000-0002-0000-0C00-000001000000}">
      <formula1>"Mantenimiento-Sw,Mantenimiento-Hw,Proyecto,Proyecto-Hijo"</formula1>
    </dataValidation>
    <dataValidation type="list" allowBlank="1" showInputMessage="1" showErrorMessage="1" sqref="AL6:AM19" xr:uid="{00000000-0002-0000-0C00-000002000000}">
      <formula1>"Si,No"</formula1>
    </dataValidation>
  </dataValidations>
  <pageMargins left="0.7" right="0.7" top="0.75" bottom="0.75" header="0.3" footer="0.3"/>
  <pageSetup paperSize="9" scale="10"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03000000}">
          <x14:formula1>
            <xm:f>Definiciones!$A$50:$A$57</xm:f>
          </x14:formula1>
          <xm:sqref>Z19 Z6:Z8 Z12:Z17</xm:sqref>
        </x14:dataValidation>
        <x14:dataValidation type="list" allowBlank="1" showInputMessage="1" showErrorMessage="1" xr:uid="{00000000-0002-0000-0C00-000004000000}">
          <x14:formula1>
            <xm:f>Definiciones!$A$50:$A$59</xm:f>
          </x14:formula1>
          <xm:sqref>Z9:Z11</xm:sqref>
        </x14:dataValidation>
        <x14:dataValidation type="list" allowBlank="1" showInputMessage="1" showErrorMessage="1" xr:uid="{00000000-0002-0000-0C00-000005000000}">
          <x14:formula1>
            <xm:f>Definiciones!$A$148:$A$151</xm:f>
          </x14:formula1>
          <xm:sqref>S9:S19 S6</xm:sqref>
        </x14:dataValidation>
        <x14:dataValidation type="list" allowBlank="1" showInputMessage="1" showErrorMessage="1" xr:uid="{00000000-0002-0000-0C00-000006000000}">
          <x14:formula1>
            <xm:f>Definiciones!$A$148:$A$152</xm:f>
          </x14:formula1>
          <xm:sqref>S7:S8</xm:sqref>
        </x14:dataValidation>
        <x14:dataValidation type="list" allowBlank="1" showInputMessage="1" showErrorMessage="1" xr:uid="{00000000-0002-0000-0C00-000007000000}">
          <x14:formula1>
            <xm:f>Definiciones!$A$39:$A$44</xm:f>
          </x14:formula1>
          <xm:sqref>P6:P19</xm:sqref>
        </x14:dataValidation>
        <x14:dataValidation type="list" allowBlank="1" showInputMessage="1" showErrorMessage="1" xr:uid="{00000000-0002-0000-0C00-000008000000}">
          <x14:formula1>
            <xm:f>Definiciones!$A$69:$A$87</xm:f>
          </x14:formula1>
          <xm:sqref>H6:H19</xm:sqref>
        </x14:dataValidation>
        <x14:dataValidation type="list" allowBlank="1" showInputMessage="1" showErrorMessage="1" xr:uid="{00000000-0002-0000-0C00-000009000000}">
          <x14:formula1>
            <xm:f>Definiciones!$A$5:$A$15</xm:f>
          </x14:formula1>
          <xm:sqref>X6:X19</xm:sqref>
        </x14:dataValidation>
        <x14:dataValidation type="list" allowBlank="1" showInputMessage="1" showErrorMessage="1" errorTitle="Coloca bien pes" xr:uid="{00000000-0002-0000-0C00-00000A000000}">
          <x14:formula1>
            <xm:f>Definiciones!$A$164:$A$168</xm:f>
          </x14:formula1>
          <xm:sqref>Q6:Q19</xm:sqref>
        </x14:dataValidation>
        <x14:dataValidation type="list" allowBlank="1" showInputMessage="1" showErrorMessage="1" xr:uid="{00000000-0002-0000-0C00-00000B000000}">
          <x14:formula1>
            <xm:f>Definiciones!$A$225:$A$233</xm:f>
          </x14:formula1>
          <xm:sqref>W6:W19</xm:sqref>
        </x14:dataValidation>
        <x14:dataValidation type="list" allowBlank="1" showInputMessage="1" showErrorMessage="1" xr:uid="{00000000-0002-0000-0C00-00000C000000}">
          <x14:formula1>
            <xm:f>Definiciones!$A$156:$A$160</xm:f>
          </x14:formula1>
          <xm:sqref>T6:U19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15DD4-687D-4B1B-B42D-4348FFD7DACD}">
  <sheetPr codeName="Hoja29"/>
  <dimension ref="B2:P58"/>
  <sheetViews>
    <sheetView workbookViewId="0">
      <selection activeCell="B50" sqref="B50"/>
    </sheetView>
  </sheetViews>
  <sheetFormatPr defaultColWidth="9.140625" defaultRowHeight="15"/>
  <cols>
    <col min="2" max="2" width="22.5703125" bestFit="1" customWidth="1"/>
    <col min="3" max="3" width="22.140625" bestFit="1" customWidth="1"/>
    <col min="4" max="15" width="25.5703125" bestFit="1" customWidth="1"/>
    <col min="16" max="16" width="12.5703125" bestFit="1" customWidth="1"/>
    <col min="17" max="19" width="10.28515625" bestFit="1" customWidth="1"/>
    <col min="20" max="25" width="11.7109375" bestFit="1" customWidth="1"/>
    <col min="26" max="26" width="10.28515625" bestFit="1" customWidth="1"/>
    <col min="27" max="33" width="11.7109375" bestFit="1" customWidth="1"/>
    <col min="34" max="34" width="10.28515625" bestFit="1" customWidth="1"/>
    <col min="35" max="36" width="11.7109375" bestFit="1" customWidth="1"/>
    <col min="37" max="37" width="10.28515625" bestFit="1" customWidth="1"/>
    <col min="38" max="38" width="11.7109375" bestFit="1" customWidth="1"/>
    <col min="39" max="39" width="10.28515625" bestFit="1" customWidth="1"/>
    <col min="40" max="41" width="11.7109375" bestFit="1" customWidth="1"/>
    <col min="42" max="42" width="10.28515625" bestFit="1" customWidth="1"/>
    <col min="43" max="43" width="11.140625" bestFit="1" customWidth="1"/>
    <col min="44" max="44" width="12.7109375" bestFit="1" customWidth="1"/>
    <col min="45" max="48" width="11.7109375" bestFit="1" customWidth="1"/>
    <col min="49" max="51" width="10.28515625" bestFit="1" customWidth="1"/>
    <col min="52" max="58" width="11.7109375" bestFit="1" customWidth="1"/>
    <col min="59" max="59" width="10.28515625" bestFit="1" customWidth="1"/>
    <col min="60" max="68" width="11.7109375" bestFit="1" customWidth="1"/>
    <col min="69" max="69" width="10.28515625" bestFit="1" customWidth="1"/>
    <col min="70" max="71" width="11.7109375" bestFit="1" customWidth="1"/>
    <col min="72" max="72" width="10.28515625" bestFit="1" customWidth="1"/>
    <col min="73" max="74" width="11.7109375" bestFit="1" customWidth="1"/>
    <col min="75" max="75" width="10.28515625" bestFit="1" customWidth="1"/>
    <col min="76" max="78" width="11.7109375" bestFit="1" customWidth="1"/>
    <col min="79" max="79" width="10.28515625" bestFit="1" customWidth="1"/>
    <col min="80" max="80" width="11.140625" bestFit="1" customWidth="1"/>
    <col min="81" max="81" width="12.7109375" bestFit="1" customWidth="1"/>
  </cols>
  <sheetData>
    <row r="2" spans="2:16">
      <c r="B2" s="24" t="s">
        <v>382</v>
      </c>
      <c r="C2" t="s">
        <v>485</v>
      </c>
    </row>
    <row r="3" spans="2:16">
      <c r="B3" s="24" t="s">
        <v>7</v>
      </c>
      <c r="C3" t="s">
        <v>2573</v>
      </c>
    </row>
    <row r="5" spans="2:16">
      <c r="B5" s="24" t="s">
        <v>2574</v>
      </c>
      <c r="C5" s="24" t="s">
        <v>479</v>
      </c>
    </row>
    <row r="6" spans="2:16">
      <c r="B6" s="24" t="s">
        <v>5</v>
      </c>
      <c r="C6" t="s">
        <v>2575</v>
      </c>
      <c r="D6" t="s">
        <v>2576</v>
      </c>
      <c r="E6" t="s">
        <v>2577</v>
      </c>
      <c r="F6" t="s">
        <v>2578</v>
      </c>
      <c r="G6" t="s">
        <v>2579</v>
      </c>
      <c r="H6" t="s">
        <v>2580</v>
      </c>
      <c r="I6" t="s">
        <v>2581</v>
      </c>
      <c r="J6" t="s">
        <v>2582</v>
      </c>
      <c r="K6" t="s">
        <v>2567</v>
      </c>
      <c r="L6" t="s">
        <v>2583</v>
      </c>
      <c r="M6" t="s">
        <v>2584</v>
      </c>
      <c r="N6" t="s">
        <v>2585</v>
      </c>
      <c r="O6" t="s">
        <v>2586</v>
      </c>
      <c r="P6" t="s">
        <v>2318</v>
      </c>
    </row>
    <row r="7" spans="2:16">
      <c r="B7" t="s">
        <v>40</v>
      </c>
      <c r="C7">
        <v>2</v>
      </c>
      <c r="D7">
        <v>2</v>
      </c>
      <c r="E7">
        <v>3</v>
      </c>
      <c r="F7">
        <v>3</v>
      </c>
      <c r="G7">
        <v>1</v>
      </c>
      <c r="H7">
        <v>1</v>
      </c>
      <c r="I7">
        <v>1</v>
      </c>
      <c r="K7">
        <v>10</v>
      </c>
      <c r="M7">
        <v>2</v>
      </c>
      <c r="O7">
        <v>2</v>
      </c>
      <c r="P7">
        <v>27</v>
      </c>
    </row>
    <row r="8" spans="2:16">
      <c r="B8" t="s">
        <v>26</v>
      </c>
      <c r="D8">
        <v>3</v>
      </c>
      <c r="E8">
        <v>1</v>
      </c>
      <c r="G8">
        <v>1</v>
      </c>
      <c r="H8">
        <v>5</v>
      </c>
      <c r="I8">
        <v>1</v>
      </c>
      <c r="K8">
        <v>7</v>
      </c>
      <c r="P8">
        <v>18</v>
      </c>
    </row>
    <row r="9" spans="2:16">
      <c r="B9" t="s">
        <v>108</v>
      </c>
      <c r="D9">
        <v>7</v>
      </c>
      <c r="E9">
        <v>2</v>
      </c>
      <c r="G9">
        <v>1</v>
      </c>
      <c r="I9">
        <v>1</v>
      </c>
      <c r="J9">
        <v>2</v>
      </c>
      <c r="P9">
        <v>13</v>
      </c>
    </row>
    <row r="10" spans="2:16">
      <c r="B10" t="s">
        <v>59</v>
      </c>
      <c r="F10">
        <v>1</v>
      </c>
      <c r="G10">
        <v>1</v>
      </c>
      <c r="H10">
        <v>4</v>
      </c>
      <c r="I10">
        <v>1</v>
      </c>
      <c r="N10">
        <v>1</v>
      </c>
      <c r="P10">
        <v>8</v>
      </c>
    </row>
    <row r="11" spans="2:16">
      <c r="B11" t="s">
        <v>33</v>
      </c>
      <c r="D11">
        <v>1</v>
      </c>
      <c r="K11">
        <v>3</v>
      </c>
      <c r="P11">
        <v>4</v>
      </c>
    </row>
    <row r="12" spans="2:16">
      <c r="B12" t="s">
        <v>82</v>
      </c>
      <c r="G12">
        <v>1</v>
      </c>
      <c r="L12">
        <v>1</v>
      </c>
      <c r="M12">
        <v>1</v>
      </c>
      <c r="P12">
        <v>3</v>
      </c>
    </row>
    <row r="13" spans="2:16">
      <c r="B13" t="s">
        <v>46</v>
      </c>
      <c r="F13">
        <v>1</v>
      </c>
      <c r="P13">
        <v>1</v>
      </c>
    </row>
    <row r="14" spans="2:16">
      <c r="B14" t="s">
        <v>62</v>
      </c>
      <c r="F14">
        <v>1</v>
      </c>
      <c r="P14">
        <v>1</v>
      </c>
    </row>
    <row r="15" spans="2:16">
      <c r="B15" t="s">
        <v>2318</v>
      </c>
      <c r="C15">
        <v>2</v>
      </c>
      <c r="D15">
        <v>13</v>
      </c>
      <c r="E15">
        <v>6</v>
      </c>
      <c r="F15">
        <v>6</v>
      </c>
      <c r="G15">
        <v>5</v>
      </c>
      <c r="H15">
        <v>10</v>
      </c>
      <c r="I15">
        <v>4</v>
      </c>
      <c r="J15">
        <v>2</v>
      </c>
      <c r="K15">
        <v>20</v>
      </c>
      <c r="L15">
        <v>1</v>
      </c>
      <c r="M15">
        <v>3</v>
      </c>
      <c r="N15">
        <v>1</v>
      </c>
      <c r="O15">
        <v>2</v>
      </c>
      <c r="P15">
        <v>75</v>
      </c>
    </row>
    <row r="26" spans="2:16">
      <c r="B26" s="24" t="s">
        <v>382</v>
      </c>
      <c r="C26" t="s">
        <v>485</v>
      </c>
    </row>
    <row r="27" spans="2:16">
      <c r="B27" s="24" t="s">
        <v>7</v>
      </c>
      <c r="C27" t="s">
        <v>2573</v>
      </c>
    </row>
    <row r="29" spans="2:16">
      <c r="B29" s="24" t="s">
        <v>2587</v>
      </c>
      <c r="C29" s="24" t="s">
        <v>479</v>
      </c>
    </row>
    <row r="30" spans="2:16">
      <c r="B30" s="24" t="s">
        <v>5</v>
      </c>
      <c r="C30" s="29" t="s">
        <v>2575</v>
      </c>
      <c r="D30" s="29" t="s">
        <v>2576</v>
      </c>
      <c r="E30" t="s">
        <v>2577</v>
      </c>
      <c r="F30" t="s">
        <v>2578</v>
      </c>
      <c r="G30" t="s">
        <v>2579</v>
      </c>
      <c r="H30" t="s">
        <v>2580</v>
      </c>
      <c r="I30" t="s">
        <v>2581</v>
      </c>
      <c r="J30" t="s">
        <v>2582</v>
      </c>
      <c r="K30" t="s">
        <v>2567</v>
      </c>
      <c r="L30" t="s">
        <v>2583</v>
      </c>
      <c r="M30" t="s">
        <v>2584</v>
      </c>
      <c r="N30" t="s">
        <v>2585</v>
      </c>
      <c r="O30" t="s">
        <v>2586</v>
      </c>
      <c r="P30" s="29" t="s">
        <v>2318</v>
      </c>
    </row>
    <row r="31" spans="2:16">
      <c r="B31" t="s">
        <v>40</v>
      </c>
      <c r="C31" s="231">
        <v>0</v>
      </c>
      <c r="D31" s="231">
        <v>0</v>
      </c>
      <c r="E31" s="29">
        <v>0</v>
      </c>
      <c r="F31" s="29">
        <v>214.45714285714286</v>
      </c>
      <c r="G31" s="29">
        <v>0</v>
      </c>
      <c r="H31" s="29">
        <v>252</v>
      </c>
      <c r="I31" s="29">
        <v>20</v>
      </c>
      <c r="J31" s="29"/>
      <c r="K31" s="29">
        <v>1531.4285714285716</v>
      </c>
      <c r="L31" s="29"/>
      <c r="M31" s="29">
        <v>586.66666666666663</v>
      </c>
      <c r="N31" s="29"/>
      <c r="O31" s="29">
        <v>121.14285714285714</v>
      </c>
      <c r="P31" s="231">
        <v>2725.6952380952384</v>
      </c>
    </row>
    <row r="32" spans="2:16">
      <c r="B32" t="s">
        <v>26</v>
      </c>
      <c r="C32" s="231"/>
      <c r="D32" s="231">
        <v>0</v>
      </c>
      <c r="E32" s="29">
        <v>0</v>
      </c>
      <c r="F32" s="29"/>
      <c r="G32" s="29">
        <v>0</v>
      </c>
      <c r="H32" s="29">
        <v>1095.2727272727273</v>
      </c>
      <c r="I32" s="29">
        <v>80</v>
      </c>
      <c r="J32" s="29"/>
      <c r="K32" s="29">
        <v>932.36363636363626</v>
      </c>
      <c r="L32" s="29"/>
      <c r="M32" s="29"/>
      <c r="N32" s="29"/>
      <c r="O32" s="29"/>
      <c r="P32" s="231">
        <v>2107.6363636363635</v>
      </c>
    </row>
    <row r="33" spans="2:16">
      <c r="B33" t="s">
        <v>59</v>
      </c>
      <c r="C33" s="231"/>
      <c r="D33" s="231"/>
      <c r="E33" s="29"/>
      <c r="F33" s="29">
        <v>44</v>
      </c>
      <c r="G33" s="29">
        <v>0</v>
      </c>
      <c r="H33" s="29">
        <v>283.20000000000005</v>
      </c>
      <c r="I33" s="29">
        <v>28</v>
      </c>
      <c r="J33" s="29"/>
      <c r="K33" s="29"/>
      <c r="L33" s="29"/>
      <c r="M33" s="29"/>
      <c r="N33" s="29">
        <v>508</v>
      </c>
      <c r="O33" s="29"/>
      <c r="P33" s="231">
        <v>863.2</v>
      </c>
    </row>
    <row r="34" spans="2:16">
      <c r="B34" t="s">
        <v>33</v>
      </c>
      <c r="C34" s="231"/>
      <c r="D34" s="231">
        <v>0</v>
      </c>
      <c r="E34" s="29"/>
      <c r="F34" s="29"/>
      <c r="G34" s="29"/>
      <c r="H34" s="29"/>
      <c r="I34" s="29"/>
      <c r="J34" s="29"/>
      <c r="K34" s="29">
        <v>432</v>
      </c>
      <c r="L34" s="29"/>
      <c r="M34" s="29"/>
      <c r="N34" s="29"/>
      <c r="O34" s="29"/>
      <c r="P34" s="231">
        <v>432</v>
      </c>
    </row>
    <row r="35" spans="2:16">
      <c r="B35" t="s">
        <v>82</v>
      </c>
      <c r="C35" s="231"/>
      <c r="D35" s="231"/>
      <c r="E35" s="29"/>
      <c r="F35" s="29"/>
      <c r="G35" s="29">
        <v>26.666666666666664</v>
      </c>
      <c r="H35" s="29"/>
      <c r="I35" s="29"/>
      <c r="J35" s="29"/>
      <c r="K35" s="29"/>
      <c r="L35" s="29">
        <v>256</v>
      </c>
      <c r="M35" s="29">
        <v>38.545454545454547</v>
      </c>
      <c r="N35" s="29"/>
      <c r="O35" s="29"/>
      <c r="P35" s="231">
        <v>321.21212121212125</v>
      </c>
    </row>
    <row r="36" spans="2:16">
      <c r="B36" t="s">
        <v>108</v>
      </c>
      <c r="C36" s="231"/>
      <c r="D36" s="231">
        <v>0</v>
      </c>
      <c r="E36" s="29">
        <v>0</v>
      </c>
      <c r="F36" s="29"/>
      <c r="G36" s="29">
        <v>0</v>
      </c>
      <c r="H36" s="29"/>
      <c r="I36" s="29">
        <v>26.666666666666664</v>
      </c>
      <c r="J36" s="29">
        <v>139.42857142857142</v>
      </c>
      <c r="K36" s="29"/>
      <c r="L36" s="29"/>
      <c r="M36" s="29"/>
      <c r="N36" s="29"/>
      <c r="O36" s="29"/>
      <c r="P36" s="231">
        <v>166.09523809523807</v>
      </c>
    </row>
    <row r="37" spans="2:16">
      <c r="B37" t="s">
        <v>62</v>
      </c>
      <c r="C37" s="231"/>
      <c r="D37" s="231"/>
      <c r="E37" s="29"/>
      <c r="F37" s="29">
        <v>124</v>
      </c>
      <c r="G37" s="29"/>
      <c r="H37" s="29"/>
      <c r="I37" s="29"/>
      <c r="J37" s="29"/>
      <c r="K37" s="29"/>
      <c r="L37" s="29"/>
      <c r="M37" s="29"/>
      <c r="N37" s="29"/>
      <c r="O37" s="29"/>
      <c r="P37" s="231">
        <v>124</v>
      </c>
    </row>
    <row r="38" spans="2:16">
      <c r="B38" t="s">
        <v>46</v>
      </c>
      <c r="C38" s="231"/>
      <c r="D38" s="231"/>
      <c r="E38" s="29"/>
      <c r="F38" s="29">
        <v>49.6</v>
      </c>
      <c r="G38" s="29"/>
      <c r="H38" s="29"/>
      <c r="I38" s="29"/>
      <c r="J38" s="29"/>
      <c r="K38" s="29"/>
      <c r="L38" s="29"/>
      <c r="M38" s="29"/>
      <c r="N38" s="29"/>
      <c r="O38" s="29"/>
      <c r="P38" s="231">
        <v>49.6</v>
      </c>
    </row>
    <row r="39" spans="2:16">
      <c r="B39" t="s">
        <v>2318</v>
      </c>
      <c r="C39" s="231">
        <v>0</v>
      </c>
      <c r="D39" s="231">
        <v>0</v>
      </c>
      <c r="E39" s="29">
        <v>0</v>
      </c>
      <c r="F39" s="29">
        <v>432.05714285714282</v>
      </c>
      <c r="G39" s="29">
        <v>26.666666666666664</v>
      </c>
      <c r="H39" s="29">
        <v>1630.4727272727273</v>
      </c>
      <c r="I39" s="29">
        <v>154.66666666666666</v>
      </c>
      <c r="J39" s="29">
        <v>139.42857142857142</v>
      </c>
      <c r="K39" s="29">
        <v>2895.7922077922076</v>
      </c>
      <c r="L39" s="29">
        <v>256</v>
      </c>
      <c r="M39" s="29">
        <v>625.21212121212113</v>
      </c>
      <c r="N39" s="29">
        <v>508</v>
      </c>
      <c r="O39" s="29">
        <v>121.14285714285714</v>
      </c>
      <c r="P39" s="231">
        <v>6789.4389610389608</v>
      </c>
    </row>
    <row r="49" spans="2:3">
      <c r="B49" s="24" t="s">
        <v>382</v>
      </c>
      <c r="C49" t="s">
        <v>485</v>
      </c>
    </row>
    <row r="50" spans="2:3">
      <c r="B50" s="24" t="s">
        <v>7</v>
      </c>
      <c r="C50" t="s">
        <v>2573</v>
      </c>
    </row>
    <row r="52" spans="2:3">
      <c r="B52" s="24" t="s">
        <v>458</v>
      </c>
      <c r="C52" t="s">
        <v>2574</v>
      </c>
    </row>
    <row r="53" spans="2:3">
      <c r="B53" t="s">
        <v>2212</v>
      </c>
      <c r="C53">
        <v>66</v>
      </c>
    </row>
    <row r="54" spans="2:3">
      <c r="B54" t="s">
        <v>2204</v>
      </c>
      <c r="C54">
        <v>21</v>
      </c>
    </row>
    <row r="55" spans="2:3">
      <c r="B55" t="s">
        <v>2588</v>
      </c>
      <c r="C55">
        <v>39</v>
      </c>
    </row>
    <row r="56" spans="2:3">
      <c r="B56" t="s">
        <v>2589</v>
      </c>
      <c r="C56">
        <v>21</v>
      </c>
    </row>
    <row r="57" spans="2:3">
      <c r="B57" t="s">
        <v>2207</v>
      </c>
      <c r="C57">
        <v>10</v>
      </c>
    </row>
    <row r="58" spans="2:3">
      <c r="B58" t="s">
        <v>2318</v>
      </c>
      <c r="C58">
        <v>157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907C6-39C7-4019-8A01-1FBE82089018}">
  <sheetPr codeName="Hoja9"/>
  <dimension ref="A2:T356"/>
  <sheetViews>
    <sheetView zoomScale="70" zoomScaleNormal="70" workbookViewId="0">
      <selection activeCell="I219" sqref="I219"/>
    </sheetView>
  </sheetViews>
  <sheetFormatPr defaultColWidth="9.140625" defaultRowHeight="15" outlineLevelRow="1"/>
  <cols>
    <col min="2" max="2" width="29.85546875" bestFit="1" customWidth="1"/>
    <col min="3" max="3" width="25.42578125" bestFit="1" customWidth="1"/>
    <col min="4" max="4" width="13.85546875" style="29" bestFit="1" customWidth="1"/>
    <col min="5" max="5" width="16.140625" bestFit="1" customWidth="1"/>
    <col min="6" max="6" width="14.28515625" bestFit="1" customWidth="1"/>
    <col min="7" max="8" width="12.85546875" bestFit="1" customWidth="1"/>
    <col min="9" max="9" width="19.140625" bestFit="1" customWidth="1"/>
    <col min="10" max="10" width="11.140625" bestFit="1" customWidth="1"/>
    <col min="11" max="11" width="14.28515625" bestFit="1" customWidth="1"/>
    <col min="12" max="12" width="15.7109375" bestFit="1" customWidth="1"/>
    <col min="13" max="13" width="15.5703125" bestFit="1" customWidth="1"/>
    <col min="14" max="14" width="15" bestFit="1" customWidth="1"/>
    <col min="15" max="15" width="12.85546875" bestFit="1" customWidth="1"/>
    <col min="16" max="20" width="7.28515625" bestFit="1" customWidth="1"/>
    <col min="21" max="21" width="9.5703125" bestFit="1" customWidth="1"/>
    <col min="22" max="22" width="12.85546875" bestFit="1" customWidth="1"/>
  </cols>
  <sheetData>
    <row r="2" spans="2:10">
      <c r="B2" s="593" t="s">
        <v>2590</v>
      </c>
      <c r="C2" s="593"/>
      <c r="D2" s="593"/>
      <c r="E2" s="593"/>
      <c r="F2" s="593"/>
      <c r="G2" s="593"/>
      <c r="H2" s="593"/>
      <c r="I2" s="593"/>
      <c r="J2" s="593"/>
    </row>
    <row r="3" spans="2:10">
      <c r="B3" s="593"/>
      <c r="C3" s="593"/>
      <c r="D3" s="593"/>
      <c r="E3" s="593"/>
      <c r="F3" s="593"/>
      <c r="G3" s="593"/>
      <c r="H3" s="593"/>
      <c r="I3" s="593"/>
      <c r="J3" s="593"/>
    </row>
    <row r="4" spans="2:10">
      <c r="B4" s="593"/>
      <c r="C4" s="593"/>
      <c r="D4" s="593"/>
      <c r="E4" s="593"/>
      <c r="F4" s="593"/>
      <c r="G4" s="593"/>
      <c r="H4" s="593"/>
      <c r="I4" s="593"/>
      <c r="J4" s="593"/>
    </row>
    <row r="6" spans="2:10">
      <c r="B6" s="592" t="s">
        <v>2591</v>
      </c>
      <c r="C6" s="592"/>
      <c r="D6" s="592"/>
      <c r="E6" s="592"/>
      <c r="F6" s="592"/>
      <c r="G6" s="592"/>
      <c r="H6" s="592"/>
      <c r="I6" s="592"/>
      <c r="J6" s="592"/>
    </row>
    <row r="7" spans="2:10">
      <c r="B7" s="592"/>
      <c r="C7" s="592"/>
      <c r="D7" s="592"/>
      <c r="E7" s="592"/>
      <c r="F7" s="592"/>
      <c r="G7" s="592"/>
      <c r="H7" s="592"/>
      <c r="I7" s="592"/>
      <c r="J7" s="592"/>
    </row>
    <row r="8" spans="2:10">
      <c r="B8" s="181" t="s">
        <v>382</v>
      </c>
      <c r="C8" s="40" t="s">
        <v>485</v>
      </c>
    </row>
    <row r="9" spans="2:10">
      <c r="B9" s="181" t="s">
        <v>480</v>
      </c>
      <c r="C9" s="40" t="s">
        <v>2592</v>
      </c>
    </row>
    <row r="11" spans="2:10">
      <c r="B11" s="175" t="s">
        <v>7</v>
      </c>
      <c r="C11" s="180" t="s">
        <v>2593</v>
      </c>
      <c r="D11" s="166" t="s">
        <v>2594</v>
      </c>
    </row>
    <row r="12" spans="2:10">
      <c r="B12" s="40" t="s">
        <v>340</v>
      </c>
      <c r="C12" s="562">
        <v>15</v>
      </c>
      <c r="D12" s="467">
        <v>5.9760956175298807E-2</v>
      </c>
    </row>
    <row r="13" spans="2:10">
      <c r="B13" s="40" t="s">
        <v>48</v>
      </c>
      <c r="C13" s="562">
        <v>68</v>
      </c>
      <c r="D13" s="467">
        <v>0.27091633466135456</v>
      </c>
    </row>
    <row r="14" spans="2:10">
      <c r="B14" s="40" t="s">
        <v>178</v>
      </c>
      <c r="C14" s="562">
        <v>1</v>
      </c>
      <c r="D14" s="467">
        <v>3.9840637450199202E-3</v>
      </c>
    </row>
    <row r="15" spans="2:10">
      <c r="B15" s="40" t="s">
        <v>87</v>
      </c>
      <c r="C15" s="562">
        <v>17</v>
      </c>
      <c r="D15" s="467">
        <v>6.7729083665338641E-2</v>
      </c>
    </row>
    <row r="16" spans="2:10">
      <c r="B16" s="40" t="s">
        <v>42</v>
      </c>
      <c r="C16" s="562">
        <v>20</v>
      </c>
      <c r="D16" s="467">
        <v>7.9681274900398405E-2</v>
      </c>
    </row>
    <row r="17" spans="2:10">
      <c r="B17" s="40" t="s">
        <v>35</v>
      </c>
      <c r="C17" s="562">
        <v>15</v>
      </c>
      <c r="D17" s="467">
        <v>5.9760956175298807E-2</v>
      </c>
    </row>
    <row r="18" spans="2:10">
      <c r="B18" s="40" t="s">
        <v>53</v>
      </c>
      <c r="C18" s="562">
        <v>94</v>
      </c>
      <c r="D18" s="467">
        <v>0.37450199203187251</v>
      </c>
    </row>
    <row r="19" spans="2:10">
      <c r="B19" s="40" t="s">
        <v>28</v>
      </c>
      <c r="C19" s="562">
        <v>21</v>
      </c>
      <c r="D19" s="467">
        <v>8.3665338645418322E-2</v>
      </c>
    </row>
    <row r="20" spans="2:10">
      <c r="B20" s="175" t="s">
        <v>2318</v>
      </c>
      <c r="C20" s="180">
        <v>251</v>
      </c>
      <c r="D20" s="468">
        <v>1</v>
      </c>
    </row>
    <row r="21" spans="2:10">
      <c r="D21"/>
    </row>
    <row r="23" spans="2:10" hidden="1" outlineLevel="1"/>
    <row r="24" spans="2:10" hidden="1" outlineLevel="1">
      <c r="B24" s="592" t="s">
        <v>2595</v>
      </c>
      <c r="C24" s="592"/>
      <c r="D24" s="592"/>
      <c r="E24" s="592"/>
      <c r="F24" s="592"/>
      <c r="G24" s="592"/>
      <c r="H24" s="592"/>
      <c r="I24" s="592"/>
      <c r="J24" s="592"/>
    </row>
    <row r="25" spans="2:10" hidden="1" outlineLevel="1">
      <c r="B25" s="592"/>
      <c r="C25" s="592"/>
      <c r="D25" s="592"/>
      <c r="E25" s="592"/>
      <c r="F25" s="592"/>
      <c r="G25" s="592"/>
      <c r="H25" s="592"/>
      <c r="I25" s="592"/>
      <c r="J25" s="592"/>
    </row>
    <row r="26" spans="2:10" hidden="1" outlineLevel="1"/>
    <row r="27" spans="2:10" hidden="1" outlineLevel="1">
      <c r="B27" s="24" t="s">
        <v>382</v>
      </c>
      <c r="C27" t="s">
        <v>485</v>
      </c>
    </row>
    <row r="28" spans="2:10" hidden="1" outlineLevel="1"/>
    <row r="29" spans="2:10" hidden="1" outlineLevel="1">
      <c r="B29" s="172" t="s">
        <v>2593</v>
      </c>
      <c r="C29" s="172" t="s">
        <v>2596</v>
      </c>
      <c r="D29" s="165"/>
      <c r="E29" s="165"/>
      <c r="F29" s="172"/>
    </row>
    <row r="30" spans="2:10" hidden="1" outlineLevel="1">
      <c r="B30" s="172" t="s">
        <v>5</v>
      </c>
      <c r="C30" s="165" t="s">
        <v>2597</v>
      </c>
      <c r="D30" s="165" t="s">
        <v>2598</v>
      </c>
      <c r="E30" s="165" t="s">
        <v>2318</v>
      </c>
      <c r="F30" s="471" t="s">
        <v>2599</v>
      </c>
    </row>
    <row r="31" spans="2:10" hidden="1" outlineLevel="1">
      <c r="B31" t="s">
        <v>40</v>
      </c>
      <c r="C31" s="29">
        <v>45</v>
      </c>
      <c r="D31" s="29">
        <v>38</v>
      </c>
      <c r="E31" s="29">
        <v>83</v>
      </c>
      <c r="F31" s="469">
        <f>GETPIVOTDATA("ID Histórico",$B$29,"Gerencia",B31)/GETPIVOTDATA("ID Histórico",B29)</f>
        <v>0.33067729083665337</v>
      </c>
    </row>
    <row r="32" spans="2:10" hidden="1" outlineLevel="1">
      <c r="B32" t="s">
        <v>26</v>
      </c>
      <c r="C32" s="29">
        <v>36</v>
      </c>
      <c r="D32" s="29">
        <v>8</v>
      </c>
      <c r="E32" s="29">
        <v>44</v>
      </c>
      <c r="F32" s="469">
        <f t="shared" ref="F32:F40" si="0">GETPIVOTDATA("ID Histórico",$B$29,"Gerencia",B32)/GETPIVOTDATA("ID Histórico",B30)</f>
        <v>0.1752988047808765</v>
      </c>
    </row>
    <row r="33" spans="2:10" hidden="1" outlineLevel="1">
      <c r="B33" t="s">
        <v>108</v>
      </c>
      <c r="C33" s="29">
        <v>25</v>
      </c>
      <c r="D33" s="29">
        <v>7</v>
      </c>
      <c r="E33" s="29">
        <v>32</v>
      </c>
      <c r="F33" s="469">
        <f t="shared" si="0"/>
        <v>0.12749003984063745</v>
      </c>
    </row>
    <row r="34" spans="2:10" hidden="1" outlineLevel="1">
      <c r="B34" t="s">
        <v>33</v>
      </c>
      <c r="C34" s="29">
        <v>19</v>
      </c>
      <c r="D34" s="29">
        <v>12</v>
      </c>
      <c r="E34" s="29">
        <v>31</v>
      </c>
      <c r="F34" s="469">
        <f t="shared" si="0"/>
        <v>0.12350597609561753</v>
      </c>
    </row>
    <row r="35" spans="2:10" hidden="1" outlineLevel="1">
      <c r="B35" t="s">
        <v>59</v>
      </c>
      <c r="C35" s="29">
        <v>12</v>
      </c>
      <c r="D35" s="29">
        <v>14</v>
      </c>
      <c r="E35" s="29">
        <v>26</v>
      </c>
      <c r="F35" s="469">
        <f t="shared" si="0"/>
        <v>0.10358565737051793</v>
      </c>
    </row>
    <row r="36" spans="2:10" hidden="1" outlineLevel="1">
      <c r="B36" t="s">
        <v>82</v>
      </c>
      <c r="C36" s="29">
        <v>7</v>
      </c>
      <c r="D36" s="29">
        <v>4</v>
      </c>
      <c r="E36" s="29">
        <v>11</v>
      </c>
      <c r="F36" s="469">
        <f t="shared" si="0"/>
        <v>4.3824701195219126E-2</v>
      </c>
    </row>
    <row r="37" spans="2:10" hidden="1" outlineLevel="1">
      <c r="B37" t="s">
        <v>62</v>
      </c>
      <c r="C37" s="29">
        <v>1</v>
      </c>
      <c r="D37" s="29">
        <v>7</v>
      </c>
      <c r="E37" s="29">
        <v>8</v>
      </c>
      <c r="F37" s="469">
        <f t="shared" si="0"/>
        <v>3.1872509960159362E-2</v>
      </c>
    </row>
    <row r="38" spans="2:10" hidden="1" outlineLevel="1">
      <c r="B38" t="s">
        <v>46</v>
      </c>
      <c r="C38" s="29">
        <v>4</v>
      </c>
      <c r="D38" s="29">
        <v>2</v>
      </c>
      <c r="E38" s="29">
        <v>6</v>
      </c>
      <c r="F38" s="469">
        <f t="shared" si="0"/>
        <v>2.3904382470119521E-2</v>
      </c>
    </row>
    <row r="39" spans="2:10" hidden="1" outlineLevel="1">
      <c r="B39" t="s">
        <v>52</v>
      </c>
      <c r="C39" s="29">
        <v>4</v>
      </c>
      <c r="D39" s="29">
        <v>2</v>
      </c>
      <c r="E39" s="29">
        <v>6</v>
      </c>
      <c r="F39" s="469">
        <f t="shared" si="0"/>
        <v>2.3904382470119521E-2</v>
      </c>
    </row>
    <row r="40" spans="2:10" hidden="1" outlineLevel="1">
      <c r="B40" t="s">
        <v>2106</v>
      </c>
      <c r="C40" s="29">
        <v>3</v>
      </c>
      <c r="E40" s="29">
        <v>3</v>
      </c>
      <c r="F40" s="469">
        <f t="shared" si="0"/>
        <v>1.1952191235059761E-2</v>
      </c>
    </row>
    <row r="41" spans="2:10" hidden="1" outlineLevel="1">
      <c r="B41" t="s">
        <v>136</v>
      </c>
      <c r="C41" s="29">
        <v>1</v>
      </c>
      <c r="E41" s="29">
        <v>1</v>
      </c>
      <c r="F41" s="470">
        <f>SUM(F31:F40)</f>
        <v>0.99601593625497997</v>
      </c>
    </row>
    <row r="42" spans="2:10" hidden="1" outlineLevel="1">
      <c r="B42" s="172" t="s">
        <v>2318</v>
      </c>
      <c r="C42" s="165">
        <v>157</v>
      </c>
      <c r="D42" s="165">
        <v>94</v>
      </c>
      <c r="E42" s="165">
        <v>251</v>
      </c>
    </row>
    <row r="43" spans="2:10" hidden="1" outlineLevel="1"/>
    <row r="44" spans="2:10" collapsed="1"/>
    <row r="45" spans="2:10">
      <c r="B45" s="595" t="s">
        <v>2600</v>
      </c>
      <c r="C45" s="595"/>
      <c r="D45" s="595"/>
      <c r="E45" s="595"/>
      <c r="F45" s="595"/>
      <c r="G45" s="595"/>
      <c r="H45" s="595"/>
      <c r="I45" s="595"/>
      <c r="J45" s="595"/>
    </row>
    <row r="46" spans="2:10">
      <c r="B46" s="595"/>
      <c r="C46" s="595"/>
      <c r="D46" s="595"/>
      <c r="E46" s="595"/>
      <c r="F46" s="595"/>
      <c r="G46" s="595"/>
      <c r="H46" s="595"/>
      <c r="I46" s="595"/>
      <c r="J46" s="595"/>
    </row>
    <row r="47" spans="2:10">
      <c r="B47" s="595"/>
      <c r="C47" s="595"/>
      <c r="D47" s="595"/>
      <c r="E47" s="595"/>
      <c r="F47" s="595"/>
      <c r="G47" s="595"/>
      <c r="H47" s="595"/>
      <c r="I47" s="595"/>
      <c r="J47" s="595"/>
    </row>
    <row r="49" spans="2:20">
      <c r="B49" s="592" t="s">
        <v>2601</v>
      </c>
      <c r="C49" s="592"/>
      <c r="D49" s="592"/>
      <c r="E49" s="592"/>
      <c r="F49" s="592"/>
      <c r="G49" s="592"/>
      <c r="H49" s="592"/>
      <c r="I49" s="592"/>
      <c r="J49" s="592"/>
    </row>
    <row r="50" spans="2:20">
      <c r="B50" s="592"/>
      <c r="C50" s="592"/>
      <c r="D50" s="592"/>
      <c r="E50" s="592"/>
      <c r="F50" s="592"/>
      <c r="G50" s="592"/>
      <c r="H50" s="592"/>
      <c r="I50" s="592"/>
      <c r="J50" s="592"/>
    </row>
    <row r="52" spans="2:20">
      <c r="B52" s="181" t="s">
        <v>382</v>
      </c>
      <c r="C52" s="40" t="s">
        <v>485</v>
      </c>
    </row>
    <row r="53" spans="2:20">
      <c r="B53" s="181" t="s">
        <v>406</v>
      </c>
      <c r="C53" s="40" t="s">
        <v>2602</v>
      </c>
    </row>
    <row r="55" spans="2:20">
      <c r="B55" s="175" t="s">
        <v>2603</v>
      </c>
      <c r="C55" s="175" t="s">
        <v>480</v>
      </c>
      <c r="D55" s="175" t="s">
        <v>425</v>
      </c>
      <c r="E55" s="175"/>
      <c r="F55" s="175"/>
      <c r="G55" s="175"/>
      <c r="H55" s="175"/>
      <c r="I55" s="175"/>
      <c r="J55" s="175"/>
      <c r="K55" s="175"/>
      <c r="L55" s="175"/>
      <c r="M55" s="175"/>
      <c r="N55" s="175"/>
      <c r="O55" s="175"/>
      <c r="P55" s="175"/>
      <c r="Q55" s="175"/>
      <c r="R55" s="175"/>
      <c r="S55" s="175"/>
      <c r="T55" s="175"/>
    </row>
    <row r="56" spans="2:20">
      <c r="B56" s="175"/>
      <c r="C56" s="175" t="s">
        <v>510</v>
      </c>
      <c r="D56" s="175"/>
      <c r="E56" s="175"/>
      <c r="F56" s="175"/>
      <c r="G56" s="175"/>
      <c r="H56" s="40" t="s">
        <v>2604</v>
      </c>
      <c r="I56" s="175" t="s">
        <v>1719</v>
      </c>
      <c r="J56" s="175"/>
      <c r="K56" s="175"/>
      <c r="L56" s="175"/>
      <c r="M56" s="175"/>
      <c r="N56" s="175"/>
      <c r="O56" s="40" t="s">
        <v>2605</v>
      </c>
      <c r="P56" s="175" t="s">
        <v>2349</v>
      </c>
      <c r="Q56" s="175"/>
      <c r="R56" s="175"/>
      <c r="S56" s="40" t="s">
        <v>2606</v>
      </c>
      <c r="T56" s="166" t="s">
        <v>2318</v>
      </c>
    </row>
    <row r="57" spans="2:20">
      <c r="B57" s="175" t="s">
        <v>5</v>
      </c>
      <c r="C57" s="166" t="s">
        <v>2607</v>
      </c>
      <c r="D57" s="166" t="s">
        <v>2608</v>
      </c>
      <c r="E57" s="166" t="s">
        <v>2609</v>
      </c>
      <c r="F57" s="175" t="s">
        <v>2610</v>
      </c>
      <c r="G57" s="40" t="s">
        <v>2611</v>
      </c>
      <c r="H57" s="40"/>
      <c r="I57" s="175" t="s">
        <v>2612</v>
      </c>
      <c r="J57" s="166" t="s">
        <v>2607</v>
      </c>
      <c r="K57" s="166" t="s">
        <v>2608</v>
      </c>
      <c r="L57" s="166" t="s">
        <v>2609</v>
      </c>
      <c r="M57" s="175" t="s">
        <v>2610</v>
      </c>
      <c r="N57" s="40" t="s">
        <v>2611</v>
      </c>
      <c r="O57" s="40"/>
      <c r="P57" s="40" t="s">
        <v>2612</v>
      </c>
      <c r="Q57" s="173" t="s">
        <v>2608</v>
      </c>
      <c r="R57" s="40" t="s">
        <v>2610</v>
      </c>
      <c r="S57" s="40"/>
      <c r="T57" s="166"/>
    </row>
    <row r="58" spans="2:20">
      <c r="B58" s="40" t="s">
        <v>40</v>
      </c>
      <c r="C58" s="173">
        <v>11</v>
      </c>
      <c r="D58" s="173">
        <v>3</v>
      </c>
      <c r="E58" s="173">
        <v>11</v>
      </c>
      <c r="F58" s="173">
        <v>2</v>
      </c>
      <c r="G58" s="173"/>
      <c r="H58" s="173">
        <v>27</v>
      </c>
      <c r="I58" s="173">
        <v>1</v>
      </c>
      <c r="J58" s="173">
        <v>1</v>
      </c>
      <c r="K58" s="173">
        <v>1</v>
      </c>
      <c r="L58" s="173">
        <v>6</v>
      </c>
      <c r="M58" s="173"/>
      <c r="N58" s="173">
        <v>1</v>
      </c>
      <c r="O58" s="173">
        <v>10</v>
      </c>
      <c r="P58" s="173"/>
      <c r="Q58" s="173">
        <v>1</v>
      </c>
      <c r="R58" s="173"/>
      <c r="S58" s="173">
        <v>1</v>
      </c>
      <c r="T58" s="173">
        <v>38</v>
      </c>
    </row>
    <row r="59" spans="2:20">
      <c r="B59" s="40" t="s">
        <v>59</v>
      </c>
      <c r="C59" s="173">
        <v>4</v>
      </c>
      <c r="D59" s="173"/>
      <c r="E59" s="173">
        <v>3</v>
      </c>
      <c r="F59" s="173"/>
      <c r="G59" s="173">
        <v>1</v>
      </c>
      <c r="H59" s="173">
        <v>8</v>
      </c>
      <c r="I59" s="173"/>
      <c r="J59" s="173">
        <v>2</v>
      </c>
      <c r="K59" s="173"/>
      <c r="L59" s="173">
        <v>2</v>
      </c>
      <c r="M59" s="173"/>
      <c r="N59" s="173"/>
      <c r="O59" s="173">
        <v>4</v>
      </c>
      <c r="P59" s="173"/>
      <c r="Q59" s="173">
        <v>2</v>
      </c>
      <c r="R59" s="173"/>
      <c r="S59" s="173">
        <v>2</v>
      </c>
      <c r="T59" s="173">
        <v>14</v>
      </c>
    </row>
    <row r="60" spans="2:20">
      <c r="B60" s="40" t="s">
        <v>33</v>
      </c>
      <c r="C60" s="173">
        <v>4</v>
      </c>
      <c r="D60" s="173">
        <v>1</v>
      </c>
      <c r="E60" s="173">
        <v>2</v>
      </c>
      <c r="F60" s="173">
        <v>3</v>
      </c>
      <c r="G60" s="173"/>
      <c r="H60" s="173">
        <v>10</v>
      </c>
      <c r="I60" s="173"/>
      <c r="J60" s="173"/>
      <c r="K60" s="173"/>
      <c r="L60" s="173">
        <v>2</v>
      </c>
      <c r="M60" s="173"/>
      <c r="N60" s="173"/>
      <c r="O60" s="173">
        <v>2</v>
      </c>
      <c r="P60" s="173"/>
      <c r="Q60" s="173"/>
      <c r="R60" s="173"/>
      <c r="S60" s="173"/>
      <c r="T60" s="173">
        <v>12</v>
      </c>
    </row>
    <row r="61" spans="2:20">
      <c r="B61" s="40" t="s">
        <v>26</v>
      </c>
      <c r="C61" s="173">
        <v>6</v>
      </c>
      <c r="D61" s="173"/>
      <c r="E61" s="173"/>
      <c r="F61" s="173">
        <v>1</v>
      </c>
      <c r="G61" s="173"/>
      <c r="H61" s="173">
        <v>7</v>
      </c>
      <c r="I61" s="173"/>
      <c r="J61" s="173"/>
      <c r="K61" s="173"/>
      <c r="L61" s="173"/>
      <c r="M61" s="173"/>
      <c r="N61" s="173">
        <v>1</v>
      </c>
      <c r="O61" s="173">
        <v>1</v>
      </c>
      <c r="P61" s="173"/>
      <c r="Q61" s="173"/>
      <c r="R61" s="173"/>
      <c r="S61" s="173"/>
      <c r="T61" s="173">
        <v>8</v>
      </c>
    </row>
    <row r="62" spans="2:20">
      <c r="B62" s="40" t="s">
        <v>108</v>
      </c>
      <c r="C62" s="173">
        <v>2</v>
      </c>
      <c r="D62" s="173"/>
      <c r="E62" s="173">
        <v>2</v>
      </c>
      <c r="F62" s="173">
        <v>2</v>
      </c>
      <c r="G62" s="173"/>
      <c r="H62" s="173">
        <v>6</v>
      </c>
      <c r="I62" s="173"/>
      <c r="J62" s="173"/>
      <c r="K62" s="173"/>
      <c r="L62" s="173"/>
      <c r="M62" s="173"/>
      <c r="N62" s="173"/>
      <c r="O62" s="173"/>
      <c r="P62" s="173">
        <v>1</v>
      </c>
      <c r="Q62" s="173"/>
      <c r="R62" s="173"/>
      <c r="S62" s="173">
        <v>1</v>
      </c>
      <c r="T62" s="173">
        <v>7</v>
      </c>
    </row>
    <row r="63" spans="2:20">
      <c r="B63" s="40" t="s">
        <v>62</v>
      </c>
      <c r="C63" s="173">
        <v>3</v>
      </c>
      <c r="D63" s="173"/>
      <c r="E63" s="173">
        <v>1</v>
      </c>
      <c r="F63" s="173"/>
      <c r="G63" s="173"/>
      <c r="H63" s="173">
        <v>4</v>
      </c>
      <c r="I63" s="173"/>
      <c r="J63" s="173"/>
      <c r="K63" s="173">
        <v>1</v>
      </c>
      <c r="L63" s="173">
        <v>2</v>
      </c>
      <c r="M63" s="173"/>
      <c r="N63" s="173"/>
      <c r="O63" s="173">
        <v>3</v>
      </c>
      <c r="P63" s="173"/>
      <c r="Q63" s="173"/>
      <c r="R63" s="173"/>
      <c r="S63" s="173"/>
      <c r="T63" s="173">
        <v>7</v>
      </c>
    </row>
    <row r="64" spans="2:20">
      <c r="B64" s="40" t="s">
        <v>82</v>
      </c>
      <c r="C64" s="173">
        <v>1</v>
      </c>
      <c r="D64" s="173"/>
      <c r="E64" s="173"/>
      <c r="F64" s="173"/>
      <c r="G64" s="173"/>
      <c r="H64" s="173">
        <v>1</v>
      </c>
      <c r="I64" s="173"/>
      <c r="J64" s="173"/>
      <c r="K64" s="173"/>
      <c r="L64" s="173">
        <v>2</v>
      </c>
      <c r="M64" s="173"/>
      <c r="N64" s="173"/>
      <c r="O64" s="173">
        <v>2</v>
      </c>
      <c r="P64" s="173"/>
      <c r="Q64" s="173"/>
      <c r="R64" s="173">
        <v>1</v>
      </c>
      <c r="S64" s="173">
        <v>1</v>
      </c>
      <c r="T64" s="173">
        <v>4</v>
      </c>
    </row>
    <row r="65" spans="2:20">
      <c r="B65" s="40" t="s">
        <v>46</v>
      </c>
      <c r="C65" s="173">
        <v>1</v>
      </c>
      <c r="D65" s="173"/>
      <c r="E65" s="173"/>
      <c r="F65" s="173"/>
      <c r="G65" s="173"/>
      <c r="H65" s="173">
        <v>1</v>
      </c>
      <c r="I65" s="173"/>
      <c r="J65" s="173"/>
      <c r="K65" s="173"/>
      <c r="L65" s="173"/>
      <c r="M65" s="173">
        <v>1</v>
      </c>
      <c r="N65" s="173"/>
      <c r="O65" s="173">
        <v>1</v>
      </c>
      <c r="P65" s="173"/>
      <c r="Q65" s="173"/>
      <c r="R65" s="173"/>
      <c r="S65" s="173"/>
      <c r="T65" s="173">
        <v>2</v>
      </c>
    </row>
    <row r="66" spans="2:20">
      <c r="B66" s="40" t="s">
        <v>52</v>
      </c>
      <c r="C66" s="173">
        <v>1</v>
      </c>
      <c r="D66" s="173">
        <v>1</v>
      </c>
      <c r="E66" s="173"/>
      <c r="F66" s="173"/>
      <c r="G66" s="173"/>
      <c r="H66" s="173">
        <v>2</v>
      </c>
      <c r="I66" s="173"/>
      <c r="J66" s="173"/>
      <c r="K66" s="173"/>
      <c r="L66" s="173"/>
      <c r="M66" s="173"/>
      <c r="N66" s="173"/>
      <c r="O66" s="173"/>
      <c r="P66" s="173"/>
      <c r="Q66" s="173"/>
      <c r="R66" s="173"/>
      <c r="S66" s="173"/>
      <c r="T66" s="173">
        <v>2</v>
      </c>
    </row>
    <row r="67" spans="2:20">
      <c r="B67" s="175" t="s">
        <v>2318</v>
      </c>
      <c r="C67" s="166">
        <v>33</v>
      </c>
      <c r="D67" s="166">
        <v>5</v>
      </c>
      <c r="E67" s="166">
        <v>19</v>
      </c>
      <c r="F67" s="166">
        <v>8</v>
      </c>
      <c r="G67" s="166">
        <v>1</v>
      </c>
      <c r="H67" s="166">
        <v>66</v>
      </c>
      <c r="I67" s="166">
        <v>1</v>
      </c>
      <c r="J67" s="166">
        <v>3</v>
      </c>
      <c r="K67" s="166">
        <v>2</v>
      </c>
      <c r="L67" s="166">
        <v>14</v>
      </c>
      <c r="M67" s="166">
        <v>1</v>
      </c>
      <c r="N67" s="166">
        <v>2</v>
      </c>
      <c r="O67" s="166">
        <v>23</v>
      </c>
      <c r="P67" s="166">
        <v>1</v>
      </c>
      <c r="Q67" s="166">
        <v>3</v>
      </c>
      <c r="R67" s="166">
        <v>1</v>
      </c>
      <c r="S67" s="166">
        <v>5</v>
      </c>
      <c r="T67" s="166">
        <v>94</v>
      </c>
    </row>
    <row r="68" spans="2:20" hidden="1" outlineLevel="1"/>
    <row r="69" spans="2:20" hidden="1" outlineLevel="1">
      <c r="B69" s="24" t="s">
        <v>382</v>
      </c>
      <c r="C69" t="s">
        <v>485</v>
      </c>
    </row>
    <row r="70" spans="2:20" hidden="1" outlineLevel="1">
      <c r="B70" s="24" t="s">
        <v>406</v>
      </c>
      <c r="C70" t="s">
        <v>2602</v>
      </c>
    </row>
    <row r="71" spans="2:20" hidden="1" outlineLevel="1"/>
    <row r="72" spans="2:20" hidden="1" outlineLevel="1">
      <c r="B72" s="172" t="s">
        <v>391</v>
      </c>
      <c r="C72" s="172" t="s">
        <v>2603</v>
      </c>
      <c r="D72" s="165" t="s">
        <v>2613</v>
      </c>
    </row>
    <row r="73" spans="2:20" hidden="1" outlineLevel="1">
      <c r="B73" t="s">
        <v>494</v>
      </c>
      <c r="C73">
        <v>10</v>
      </c>
      <c r="D73" s="469">
        <v>0.10638297872340426</v>
      </c>
    </row>
    <row r="74" spans="2:20" hidden="1" outlineLevel="1">
      <c r="B74" t="s">
        <v>548</v>
      </c>
      <c r="C74">
        <v>25</v>
      </c>
      <c r="D74" s="469">
        <v>0.26595744680851063</v>
      </c>
    </row>
    <row r="75" spans="2:20" hidden="1" outlineLevel="1">
      <c r="B75" t="s">
        <v>642</v>
      </c>
      <c r="C75">
        <v>1</v>
      </c>
      <c r="D75" s="469">
        <v>1.0638297872340425E-2</v>
      </c>
    </row>
    <row r="76" spans="2:20" hidden="1" outlineLevel="1">
      <c r="B76" t="s">
        <v>712</v>
      </c>
      <c r="C76">
        <v>2</v>
      </c>
      <c r="D76" s="469">
        <v>2.1276595744680851E-2</v>
      </c>
    </row>
    <row r="77" spans="2:20" hidden="1" outlineLevel="1">
      <c r="B77" t="s">
        <v>530</v>
      </c>
      <c r="C77">
        <v>52</v>
      </c>
      <c r="D77" s="469">
        <v>0.55319148936170215</v>
      </c>
    </row>
    <row r="78" spans="2:20" hidden="1" outlineLevel="1">
      <c r="B78" t="s">
        <v>670</v>
      </c>
      <c r="C78">
        <v>1</v>
      </c>
      <c r="D78" s="469">
        <v>1.0638297872340425E-2</v>
      </c>
    </row>
    <row r="79" spans="2:20" hidden="1" outlineLevel="1">
      <c r="B79" t="s">
        <v>1389</v>
      </c>
      <c r="C79">
        <v>2</v>
      </c>
      <c r="D79" s="469">
        <v>2.1276595744680851E-2</v>
      </c>
    </row>
    <row r="80" spans="2:20" hidden="1" outlineLevel="1">
      <c r="B80" t="s">
        <v>1295</v>
      </c>
      <c r="C80">
        <v>1</v>
      </c>
      <c r="D80" s="469">
        <v>1.0638297872340425E-2</v>
      </c>
    </row>
    <row r="81" spans="2:4" hidden="1" outlineLevel="1">
      <c r="B81" s="172" t="s">
        <v>2318</v>
      </c>
      <c r="C81" s="172">
        <v>94</v>
      </c>
      <c r="D81" s="470">
        <v>1</v>
      </c>
    </row>
    <row r="82" spans="2:4" hidden="1" outlineLevel="1">
      <c r="D82"/>
    </row>
    <row r="83" spans="2:4" hidden="1" outlineLevel="1"/>
    <row r="84" spans="2:4" hidden="1" outlineLevel="1"/>
    <row r="85" spans="2:4" hidden="1" outlineLevel="1"/>
    <row r="86" spans="2:4" hidden="1" outlineLevel="1"/>
    <row r="87" spans="2:4" hidden="1" outlineLevel="1">
      <c r="B87" s="24" t="s">
        <v>382</v>
      </c>
      <c r="C87" t="s">
        <v>485</v>
      </c>
    </row>
    <row r="88" spans="2:4" hidden="1" outlineLevel="1">
      <c r="B88" s="24" t="s">
        <v>406</v>
      </c>
      <c r="C88" t="s">
        <v>2602</v>
      </c>
    </row>
    <row r="89" spans="2:4" hidden="1" outlineLevel="1"/>
    <row r="90" spans="2:4" hidden="1" outlineLevel="1">
      <c r="B90" s="172" t="s">
        <v>394</v>
      </c>
      <c r="C90" s="165" t="s">
        <v>2318</v>
      </c>
      <c r="D90" s="165" t="s">
        <v>2599</v>
      </c>
    </row>
    <row r="91" spans="2:4" hidden="1" outlineLevel="1">
      <c r="B91" t="s">
        <v>497</v>
      </c>
      <c r="C91" s="29">
        <v>60</v>
      </c>
      <c r="D91" s="469">
        <v>0.63829787234042556</v>
      </c>
    </row>
    <row r="92" spans="2:4" hidden="1" outlineLevel="1">
      <c r="B92" t="s">
        <v>531</v>
      </c>
      <c r="C92" s="29">
        <v>14</v>
      </c>
      <c r="D92" s="469">
        <v>0.14893617021276595</v>
      </c>
    </row>
    <row r="93" spans="2:4" hidden="1" outlineLevel="1">
      <c r="B93" t="s">
        <v>599</v>
      </c>
      <c r="C93" s="29">
        <v>14</v>
      </c>
      <c r="D93" s="469">
        <v>0.14893617021276595</v>
      </c>
    </row>
    <row r="94" spans="2:4" hidden="1" outlineLevel="1">
      <c r="B94" t="s">
        <v>780</v>
      </c>
      <c r="C94" s="29">
        <v>6</v>
      </c>
      <c r="D94" s="469">
        <v>6.3829787234042548E-2</v>
      </c>
    </row>
    <row r="95" spans="2:4" hidden="1" outlineLevel="1">
      <c r="B95" s="172" t="s">
        <v>2318</v>
      </c>
      <c r="C95" s="165">
        <v>94</v>
      </c>
      <c r="D95" s="470">
        <v>1</v>
      </c>
    </row>
    <row r="96" spans="2:4" hidden="1" outlineLevel="1"/>
    <row r="97" spans="2:12" hidden="1" outlineLevel="1"/>
    <row r="98" spans="2:12" collapsed="1"/>
    <row r="101" spans="2:12">
      <c r="B101" s="594" t="s">
        <v>2614</v>
      </c>
      <c r="C101" s="594"/>
      <c r="D101" s="594"/>
      <c r="E101" s="594"/>
      <c r="F101" s="594"/>
      <c r="G101" s="594"/>
      <c r="H101" s="594"/>
      <c r="I101" s="594"/>
      <c r="J101" s="594"/>
    </row>
    <row r="102" spans="2:12">
      <c r="B102" s="594"/>
      <c r="C102" s="594"/>
      <c r="D102" s="594"/>
      <c r="E102" s="594"/>
      <c r="F102" s="594"/>
      <c r="G102" s="594"/>
      <c r="H102" s="594"/>
      <c r="I102" s="594"/>
      <c r="J102" s="594"/>
    </row>
    <row r="103" spans="2:12">
      <c r="B103" s="594"/>
      <c r="C103" s="594"/>
      <c r="D103" s="594"/>
      <c r="E103" s="594"/>
      <c r="F103" s="594"/>
      <c r="G103" s="594"/>
      <c r="H103" s="594"/>
      <c r="I103" s="594"/>
      <c r="J103" s="594"/>
    </row>
    <row r="105" spans="2:12">
      <c r="B105" s="592" t="s">
        <v>2615</v>
      </c>
      <c r="C105" s="592"/>
      <c r="D105" s="592"/>
      <c r="E105" s="592"/>
      <c r="F105" s="592"/>
      <c r="G105" s="592"/>
      <c r="H105" s="592"/>
      <c r="I105" s="592"/>
      <c r="J105" s="592"/>
    </row>
    <row r="106" spans="2:12">
      <c r="B106" s="592"/>
      <c r="C106" s="592"/>
      <c r="D106" s="592"/>
      <c r="E106" s="592"/>
      <c r="F106" s="592"/>
      <c r="G106" s="592"/>
      <c r="H106" s="592"/>
      <c r="I106" s="592"/>
      <c r="J106" s="592"/>
    </row>
    <row r="107" spans="2:12">
      <c r="B107" s="181" t="s">
        <v>382</v>
      </c>
      <c r="C107" s="40" t="s">
        <v>485</v>
      </c>
    </row>
    <row r="108" spans="2:12">
      <c r="B108" s="181" t="s">
        <v>406</v>
      </c>
      <c r="C108" s="40" t="s">
        <v>2573</v>
      </c>
      <c r="H108" s="24" t="s">
        <v>406</v>
      </c>
      <c r="I108" t="s">
        <v>2573</v>
      </c>
    </row>
    <row r="109" spans="2:12">
      <c r="B109" s="181" t="s">
        <v>480</v>
      </c>
      <c r="C109" s="40" t="s">
        <v>2592</v>
      </c>
      <c r="H109" s="24" t="s">
        <v>480</v>
      </c>
      <c r="I109" t="s">
        <v>1719</v>
      </c>
    </row>
    <row r="111" spans="2:12">
      <c r="B111" s="175" t="s">
        <v>5</v>
      </c>
      <c r="C111" s="166" t="s">
        <v>2603</v>
      </c>
      <c r="D111" s="166" t="s">
        <v>2613</v>
      </c>
      <c r="H111" s="24" t="s">
        <v>2616</v>
      </c>
      <c r="I111" s="24" t="s">
        <v>473</v>
      </c>
    </row>
    <row r="112" spans="2:12">
      <c r="B112" s="40" t="s">
        <v>40</v>
      </c>
      <c r="C112" s="173">
        <v>45</v>
      </c>
      <c r="D112" s="467">
        <v>0.28662420382165604</v>
      </c>
      <c r="H112" s="24" t="s">
        <v>5</v>
      </c>
      <c r="I112" t="s">
        <v>2293</v>
      </c>
      <c r="J112" t="s">
        <v>2294</v>
      </c>
      <c r="K112" t="s">
        <v>2295</v>
      </c>
      <c r="L112" t="s">
        <v>2318</v>
      </c>
    </row>
    <row r="113" spans="2:12">
      <c r="B113" s="40" t="s">
        <v>26</v>
      </c>
      <c r="C113" s="173">
        <v>36</v>
      </c>
      <c r="D113" s="467">
        <v>0.22929936305732485</v>
      </c>
      <c r="H113" t="s">
        <v>40</v>
      </c>
      <c r="I113">
        <v>11</v>
      </c>
      <c r="J113">
        <v>3</v>
      </c>
      <c r="L113">
        <v>14</v>
      </c>
    </row>
    <row r="114" spans="2:12">
      <c r="B114" s="40" t="s">
        <v>108</v>
      </c>
      <c r="C114" s="173">
        <v>25</v>
      </c>
      <c r="D114" s="467">
        <v>0.15923566878980891</v>
      </c>
      <c r="H114" t="s">
        <v>26</v>
      </c>
      <c r="I114">
        <v>7</v>
      </c>
      <c r="L114">
        <v>7</v>
      </c>
    </row>
    <row r="115" spans="2:12">
      <c r="B115" s="40" t="s">
        <v>33</v>
      </c>
      <c r="C115" s="173">
        <v>19</v>
      </c>
      <c r="D115" s="467">
        <v>0.12101910828025478</v>
      </c>
      <c r="H115" t="s">
        <v>59</v>
      </c>
      <c r="I115">
        <v>3</v>
      </c>
      <c r="J115">
        <v>2</v>
      </c>
      <c r="K115">
        <v>1</v>
      </c>
      <c r="L115">
        <v>6</v>
      </c>
    </row>
    <row r="116" spans="2:12">
      <c r="B116" s="40" t="s">
        <v>59</v>
      </c>
      <c r="C116" s="173">
        <v>12</v>
      </c>
      <c r="D116" s="467">
        <v>7.6433121019108277E-2</v>
      </c>
      <c r="H116" t="s">
        <v>82</v>
      </c>
      <c r="I116">
        <v>2</v>
      </c>
      <c r="J116">
        <v>2</v>
      </c>
      <c r="L116">
        <v>4</v>
      </c>
    </row>
    <row r="117" spans="2:12">
      <c r="B117" s="40" t="s">
        <v>82</v>
      </c>
      <c r="C117" s="173">
        <v>7</v>
      </c>
      <c r="D117" s="467">
        <v>4.4585987261146494E-2</v>
      </c>
      <c r="H117" t="s">
        <v>33</v>
      </c>
      <c r="I117">
        <v>3</v>
      </c>
      <c r="J117">
        <v>1</v>
      </c>
      <c r="L117">
        <v>4</v>
      </c>
    </row>
    <row r="118" spans="2:12">
      <c r="B118" s="40" t="s">
        <v>46</v>
      </c>
      <c r="C118" s="173">
        <v>4</v>
      </c>
      <c r="D118" s="467">
        <v>2.5477707006369428E-2</v>
      </c>
      <c r="H118" t="s">
        <v>108</v>
      </c>
      <c r="I118">
        <v>3</v>
      </c>
      <c r="L118">
        <v>3</v>
      </c>
    </row>
    <row r="119" spans="2:12">
      <c r="B119" s="40" t="s">
        <v>52</v>
      </c>
      <c r="C119" s="173">
        <v>4</v>
      </c>
      <c r="D119" s="467">
        <v>2.5477707006369428E-2</v>
      </c>
      <c r="H119" t="s">
        <v>2106</v>
      </c>
      <c r="J119">
        <v>1</v>
      </c>
      <c r="L119">
        <v>1</v>
      </c>
    </row>
    <row r="120" spans="2:12">
      <c r="B120" s="40" t="s">
        <v>2106</v>
      </c>
      <c r="C120" s="173">
        <v>3</v>
      </c>
      <c r="D120" s="467">
        <v>1.9108280254777069E-2</v>
      </c>
      <c r="H120" t="s">
        <v>52</v>
      </c>
      <c r="K120">
        <v>1</v>
      </c>
      <c r="L120">
        <v>1</v>
      </c>
    </row>
    <row r="121" spans="2:12">
      <c r="B121" s="40" t="s">
        <v>136</v>
      </c>
      <c r="C121" s="173">
        <v>1</v>
      </c>
      <c r="D121" s="467">
        <v>6.369426751592357E-3</v>
      </c>
      <c r="H121" t="s">
        <v>2318</v>
      </c>
      <c r="I121">
        <v>29</v>
      </c>
      <c r="J121">
        <v>9</v>
      </c>
      <c r="K121">
        <v>2</v>
      </c>
      <c r="L121">
        <v>40</v>
      </c>
    </row>
    <row r="122" spans="2:12">
      <c r="B122" s="40" t="s">
        <v>62</v>
      </c>
      <c r="C122" s="173">
        <v>1</v>
      </c>
      <c r="D122" s="467">
        <v>6.369426751592357E-3</v>
      </c>
    </row>
    <row r="123" spans="2:12">
      <c r="B123" s="175" t="s">
        <v>2318</v>
      </c>
      <c r="C123" s="166">
        <v>157</v>
      </c>
      <c r="D123" s="468">
        <v>1</v>
      </c>
    </row>
    <row r="127" spans="2:12" outlineLevel="1"/>
    <row r="128" spans="2:12" outlineLevel="1"/>
    <row r="129" spans="2:10" outlineLevel="1">
      <c r="B129" s="592" t="s">
        <v>2617</v>
      </c>
      <c r="C129" s="592"/>
      <c r="D129" s="592"/>
      <c r="E129" s="592"/>
      <c r="F129" s="592"/>
      <c r="G129" s="592"/>
      <c r="H129" s="592"/>
      <c r="I129" s="592"/>
      <c r="J129" s="592"/>
    </row>
    <row r="130" spans="2:10" outlineLevel="1">
      <c r="B130" s="592"/>
      <c r="C130" s="592"/>
      <c r="D130" s="592"/>
      <c r="E130" s="592"/>
      <c r="F130" s="592"/>
      <c r="G130" s="592"/>
      <c r="H130" s="592"/>
      <c r="I130" s="592"/>
      <c r="J130" s="592"/>
    </row>
    <row r="131" spans="2:10" outlineLevel="1">
      <c r="B131" s="24" t="s">
        <v>382</v>
      </c>
      <c r="C131" t="s">
        <v>485</v>
      </c>
    </row>
    <row r="132" spans="2:10" outlineLevel="1">
      <c r="B132" s="24" t="s">
        <v>406</v>
      </c>
      <c r="C132" t="s">
        <v>2573</v>
      </c>
    </row>
    <row r="133" spans="2:10" outlineLevel="1">
      <c r="B133" s="24" t="s">
        <v>480</v>
      </c>
      <c r="C133" t="s">
        <v>2592</v>
      </c>
    </row>
    <row r="134" spans="2:10" outlineLevel="1"/>
    <row r="135" spans="2:10" outlineLevel="1">
      <c r="B135" s="24" t="s">
        <v>394</v>
      </c>
      <c r="C135" s="29" t="s">
        <v>2616</v>
      </c>
      <c r="D135" s="29" t="s">
        <v>2594</v>
      </c>
    </row>
    <row r="136" spans="2:10" outlineLevel="1">
      <c r="B136" t="s">
        <v>497</v>
      </c>
      <c r="C136" s="29">
        <v>89</v>
      </c>
      <c r="D136" s="469">
        <v>0.56687898089171973</v>
      </c>
    </row>
    <row r="137" spans="2:10" outlineLevel="1">
      <c r="B137" t="s">
        <v>599</v>
      </c>
      <c r="C137" s="29">
        <v>34</v>
      </c>
      <c r="D137" s="469">
        <v>0.21656050955414013</v>
      </c>
    </row>
    <row r="138" spans="2:10" outlineLevel="1">
      <c r="B138" t="s">
        <v>531</v>
      </c>
      <c r="C138" s="29">
        <v>27</v>
      </c>
      <c r="D138" s="469">
        <v>0.17197452229299362</v>
      </c>
    </row>
    <row r="139" spans="2:10" outlineLevel="1">
      <c r="B139" t="s">
        <v>780</v>
      </c>
      <c r="C139" s="29">
        <v>7</v>
      </c>
      <c r="D139" s="469">
        <v>4.4585987261146494E-2</v>
      </c>
    </row>
    <row r="140" spans="2:10" outlineLevel="1">
      <c r="B140" t="s">
        <v>2318</v>
      </c>
      <c r="C140" s="29">
        <v>157</v>
      </c>
      <c r="D140" s="469">
        <v>1</v>
      </c>
    </row>
    <row r="141" spans="2:10" outlineLevel="1"/>
    <row r="142" spans="2:10" outlineLevel="1"/>
    <row r="143" spans="2:10" outlineLevel="1"/>
    <row r="144" spans="2:10" outlineLevel="1">
      <c r="B144" s="592" t="s">
        <v>2618</v>
      </c>
      <c r="C144" s="592"/>
      <c r="D144" s="592"/>
      <c r="E144" s="592"/>
      <c r="F144" s="592"/>
      <c r="G144" s="592"/>
      <c r="H144" s="592"/>
      <c r="I144" s="592"/>
      <c r="J144" s="592"/>
    </row>
    <row r="145" spans="2:10" outlineLevel="1">
      <c r="B145" s="592"/>
      <c r="C145" s="592"/>
      <c r="D145" s="592"/>
      <c r="E145" s="592"/>
      <c r="F145" s="592"/>
      <c r="G145" s="592"/>
      <c r="H145" s="592"/>
      <c r="I145" s="592"/>
      <c r="J145" s="592"/>
    </row>
    <row r="146" spans="2:10" outlineLevel="1">
      <c r="B146" s="24" t="s">
        <v>382</v>
      </c>
      <c r="C146" t="s">
        <v>485</v>
      </c>
    </row>
    <row r="147" spans="2:10" outlineLevel="1">
      <c r="B147" s="24" t="s">
        <v>452</v>
      </c>
      <c r="C147" t="s">
        <v>2597</v>
      </c>
    </row>
    <row r="148" spans="2:10" outlineLevel="1">
      <c r="B148" s="24" t="s">
        <v>480</v>
      </c>
      <c r="C148" t="s">
        <v>1719</v>
      </c>
    </row>
    <row r="149" spans="2:10" outlineLevel="1">
      <c r="B149" s="24" t="s">
        <v>394</v>
      </c>
      <c r="C149" t="s">
        <v>2592</v>
      </c>
    </row>
    <row r="150" spans="2:10" outlineLevel="1"/>
    <row r="151" spans="2:10" outlineLevel="1">
      <c r="B151" s="24" t="s">
        <v>7</v>
      </c>
      <c r="C151" s="29" t="s">
        <v>2616</v>
      </c>
      <c r="D151" s="29" t="s">
        <v>2594</v>
      </c>
    </row>
    <row r="152" spans="2:10" outlineLevel="1">
      <c r="B152" t="s">
        <v>340</v>
      </c>
      <c r="C152" s="29">
        <v>11</v>
      </c>
      <c r="D152" s="469">
        <v>0.27500000000000002</v>
      </c>
    </row>
    <row r="153" spans="2:10" outlineLevel="1">
      <c r="B153" t="s">
        <v>48</v>
      </c>
      <c r="C153" s="29">
        <v>18</v>
      </c>
      <c r="D153" s="469">
        <v>0.45</v>
      </c>
    </row>
    <row r="154" spans="2:10" outlineLevel="1">
      <c r="B154" t="s">
        <v>87</v>
      </c>
      <c r="C154" s="29">
        <v>8</v>
      </c>
      <c r="D154" s="469">
        <v>0.2</v>
      </c>
    </row>
    <row r="155" spans="2:10" outlineLevel="1">
      <c r="B155" t="s">
        <v>42</v>
      </c>
      <c r="C155" s="29">
        <v>1</v>
      </c>
      <c r="D155" s="469">
        <v>2.5000000000000001E-2</v>
      </c>
    </row>
    <row r="156" spans="2:10" outlineLevel="1">
      <c r="B156" t="s">
        <v>35</v>
      </c>
      <c r="C156" s="29">
        <v>2</v>
      </c>
      <c r="D156" s="469">
        <v>0.05</v>
      </c>
    </row>
    <row r="157" spans="2:10" outlineLevel="1">
      <c r="B157" t="s">
        <v>2318</v>
      </c>
      <c r="C157" s="29">
        <v>40</v>
      </c>
      <c r="D157" s="469">
        <v>1</v>
      </c>
    </row>
    <row r="158" spans="2:10" outlineLevel="1">
      <c r="D158"/>
    </row>
    <row r="159" spans="2:10" outlineLevel="1">
      <c r="D159"/>
    </row>
    <row r="160" spans="2:10" outlineLevel="1">
      <c r="D160"/>
    </row>
    <row r="161" spans="2:10" outlineLevel="1">
      <c r="D161"/>
    </row>
    <row r="162" spans="2:10" outlineLevel="1"/>
    <row r="163" spans="2:10" outlineLevel="1">
      <c r="B163" s="592" t="s">
        <v>2619</v>
      </c>
      <c r="C163" s="592"/>
      <c r="D163" s="592"/>
      <c r="E163" s="592"/>
      <c r="F163" s="592"/>
      <c r="G163" s="592"/>
      <c r="H163" s="592"/>
      <c r="I163" s="592"/>
      <c r="J163" s="592"/>
    </row>
    <row r="164" spans="2:10" outlineLevel="1">
      <c r="B164" s="592"/>
      <c r="C164" s="592"/>
      <c r="D164" s="592"/>
      <c r="E164" s="592"/>
      <c r="F164" s="592"/>
      <c r="G164" s="592"/>
      <c r="H164" s="592"/>
      <c r="I164" s="592"/>
      <c r="J164" s="592"/>
    </row>
    <row r="165" spans="2:10" outlineLevel="1"/>
    <row r="166" spans="2:10" outlineLevel="1"/>
    <row r="167" spans="2:10" outlineLevel="1">
      <c r="B167" s="24" t="s">
        <v>382</v>
      </c>
      <c r="C167" t="s">
        <v>485</v>
      </c>
    </row>
    <row r="168" spans="2:10" outlineLevel="1">
      <c r="B168" s="24" t="s">
        <v>7</v>
      </c>
      <c r="C168" t="s">
        <v>2573</v>
      </c>
    </row>
    <row r="169" spans="2:10" outlineLevel="1"/>
    <row r="170" spans="2:10" outlineLevel="1">
      <c r="B170" s="24" t="s">
        <v>394</v>
      </c>
      <c r="C170" s="29" t="s">
        <v>2616</v>
      </c>
      <c r="D170" s="29" t="s">
        <v>2594</v>
      </c>
    </row>
    <row r="171" spans="2:10" outlineLevel="1">
      <c r="B171" t="s">
        <v>497</v>
      </c>
      <c r="C171" s="29">
        <v>39</v>
      </c>
      <c r="D171" s="469">
        <v>0.56521739130434778</v>
      </c>
    </row>
    <row r="172" spans="2:10" outlineLevel="1">
      <c r="B172" t="s">
        <v>599</v>
      </c>
      <c r="C172" s="29">
        <v>15</v>
      </c>
      <c r="D172" s="469">
        <v>0.21739130434782608</v>
      </c>
    </row>
    <row r="173" spans="2:10" outlineLevel="1">
      <c r="B173" t="s">
        <v>531</v>
      </c>
      <c r="C173" s="29">
        <v>14</v>
      </c>
      <c r="D173" s="469">
        <v>0.20289855072463769</v>
      </c>
    </row>
    <row r="174" spans="2:10" outlineLevel="1">
      <c r="B174" t="s">
        <v>780</v>
      </c>
      <c r="C174" s="29">
        <v>1</v>
      </c>
      <c r="D174" s="469">
        <v>1.4492753623188406E-2</v>
      </c>
    </row>
    <row r="175" spans="2:10" outlineLevel="1">
      <c r="B175" t="s">
        <v>2318</v>
      </c>
      <c r="C175" s="29">
        <v>69</v>
      </c>
      <c r="D175" s="469">
        <v>1</v>
      </c>
    </row>
    <row r="176" spans="2:10" outlineLevel="1"/>
    <row r="177" spans="2:10" outlineLevel="1"/>
    <row r="178" spans="2:10" outlineLevel="1">
      <c r="B178" s="592" t="s">
        <v>2620</v>
      </c>
      <c r="C178" s="592"/>
      <c r="D178" s="592"/>
      <c r="E178" s="592"/>
      <c r="F178" s="592"/>
      <c r="G178" s="592"/>
      <c r="H178" s="592"/>
      <c r="I178" s="592"/>
      <c r="J178" s="592"/>
    </row>
    <row r="179" spans="2:10" outlineLevel="1">
      <c r="B179" s="592"/>
      <c r="C179" s="592"/>
      <c r="D179" s="592"/>
      <c r="E179" s="592"/>
      <c r="F179" s="592"/>
      <c r="G179" s="592"/>
      <c r="H179" s="592"/>
      <c r="I179" s="592"/>
      <c r="J179" s="592"/>
    </row>
    <row r="180" spans="2:10" outlineLevel="1"/>
    <row r="181" spans="2:10" outlineLevel="1"/>
    <row r="182" spans="2:10" outlineLevel="1">
      <c r="B182" s="257" t="s">
        <v>382</v>
      </c>
      <c r="C182" s="25" t="s">
        <v>2592</v>
      </c>
    </row>
    <row r="183" spans="2:10" outlineLevel="1">
      <c r="B183" s="257" t="s">
        <v>7</v>
      </c>
      <c r="C183" s="25" t="s">
        <v>2592</v>
      </c>
    </row>
    <row r="184" spans="2:10" outlineLevel="1"/>
    <row r="185" spans="2:10" outlineLevel="1">
      <c r="B185" s="257" t="s">
        <v>5</v>
      </c>
      <c r="C185" s="29" t="s">
        <v>2616</v>
      </c>
      <c r="D185" s="29" t="s">
        <v>2594</v>
      </c>
    </row>
    <row r="186" spans="2:10" outlineLevel="1">
      <c r="B186" s="25" t="s">
        <v>40</v>
      </c>
      <c r="C186" s="29">
        <v>90</v>
      </c>
      <c r="D186" s="469">
        <v>0.34351145038167941</v>
      </c>
    </row>
    <row r="187" spans="2:10" outlineLevel="1">
      <c r="B187" s="25" t="s">
        <v>26</v>
      </c>
      <c r="C187" s="29">
        <v>45</v>
      </c>
      <c r="D187" s="469">
        <v>0.1717557251908397</v>
      </c>
    </row>
    <row r="188" spans="2:10" outlineLevel="1">
      <c r="B188" s="25" t="s">
        <v>108</v>
      </c>
      <c r="C188" s="29">
        <v>33</v>
      </c>
      <c r="D188" s="469">
        <v>0.12595419847328243</v>
      </c>
    </row>
    <row r="189" spans="2:10" outlineLevel="1">
      <c r="B189" s="25" t="s">
        <v>33</v>
      </c>
      <c r="C189" s="29">
        <v>31</v>
      </c>
      <c r="D189" s="469">
        <v>0.1183206106870229</v>
      </c>
    </row>
    <row r="190" spans="2:10" outlineLevel="1">
      <c r="B190" s="25" t="s">
        <v>59</v>
      </c>
      <c r="C190" s="29">
        <v>27</v>
      </c>
      <c r="D190" s="469">
        <v>0.10305343511450382</v>
      </c>
    </row>
    <row r="191" spans="2:10" outlineLevel="1">
      <c r="B191" s="25" t="s">
        <v>82</v>
      </c>
      <c r="C191" s="29">
        <v>11</v>
      </c>
      <c r="D191" s="469">
        <v>4.1984732824427481E-2</v>
      </c>
    </row>
    <row r="192" spans="2:10" outlineLevel="1">
      <c r="B192" s="25" t="s">
        <v>62</v>
      </c>
      <c r="C192" s="29">
        <v>8</v>
      </c>
      <c r="D192" s="469">
        <v>3.0534351145038167E-2</v>
      </c>
    </row>
    <row r="193" spans="2:10" outlineLevel="1">
      <c r="B193" s="25" t="s">
        <v>46</v>
      </c>
      <c r="C193" s="29">
        <v>6</v>
      </c>
      <c r="D193" s="469">
        <v>2.2900763358778626E-2</v>
      </c>
    </row>
    <row r="194" spans="2:10" outlineLevel="1">
      <c r="B194" s="25" t="s">
        <v>52</v>
      </c>
      <c r="C194" s="29">
        <v>6</v>
      </c>
      <c r="D194" s="469">
        <v>2.2900763358778626E-2</v>
      </c>
    </row>
    <row r="195" spans="2:10" outlineLevel="1">
      <c r="B195" s="25" t="s">
        <v>2106</v>
      </c>
      <c r="C195" s="29">
        <v>3</v>
      </c>
      <c r="D195" s="469">
        <v>1.1450381679389313E-2</v>
      </c>
    </row>
    <row r="196" spans="2:10" outlineLevel="1">
      <c r="B196" s="25" t="s">
        <v>136</v>
      </c>
      <c r="C196" s="29">
        <v>2</v>
      </c>
      <c r="D196" s="469">
        <v>7.6335877862595417E-3</v>
      </c>
    </row>
    <row r="197" spans="2:10" outlineLevel="1">
      <c r="B197" s="25" t="s">
        <v>2318</v>
      </c>
      <c r="C197" s="29">
        <v>262</v>
      </c>
      <c r="D197" s="469">
        <v>1</v>
      </c>
    </row>
    <row r="198" spans="2:10" outlineLevel="1"/>
    <row r="199" spans="2:10" outlineLevel="1"/>
    <row r="200" spans="2:10" outlineLevel="1"/>
    <row r="201" spans="2:10" outlineLevel="1"/>
    <row r="202" spans="2:10" outlineLevel="1"/>
    <row r="203" spans="2:10" outlineLevel="1">
      <c r="B203" s="593" t="s">
        <v>2621</v>
      </c>
      <c r="C203" s="593"/>
      <c r="D203" s="593"/>
      <c r="E203" s="593"/>
      <c r="F203" s="593"/>
      <c r="G203" s="593"/>
      <c r="H203" s="593"/>
      <c r="I203" s="593"/>
      <c r="J203" s="593"/>
    </row>
    <row r="204" spans="2:10" outlineLevel="1">
      <c r="B204" s="593"/>
      <c r="C204" s="593"/>
      <c r="D204" s="593"/>
      <c r="E204" s="593"/>
      <c r="F204" s="593"/>
      <c r="G204" s="593"/>
      <c r="H204" s="593"/>
      <c r="I204" s="593"/>
      <c r="J204" s="593"/>
    </row>
    <row r="205" spans="2:10" outlineLevel="1">
      <c r="B205" s="593"/>
      <c r="C205" s="593"/>
      <c r="D205" s="593"/>
      <c r="E205" s="593"/>
      <c r="F205" s="593"/>
      <c r="G205" s="593"/>
      <c r="H205" s="593"/>
      <c r="I205" s="593"/>
      <c r="J205" s="593"/>
    </row>
    <row r="206" spans="2:10" outlineLevel="1">
      <c r="B206" s="256"/>
      <c r="C206" s="256"/>
      <c r="D206" s="256"/>
      <c r="E206" s="256"/>
      <c r="F206" s="256"/>
      <c r="G206" s="256"/>
      <c r="H206" s="256"/>
      <c r="I206" s="256"/>
      <c r="J206" s="256"/>
    </row>
    <row r="207" spans="2:10" outlineLevel="1">
      <c r="B207" s="592" t="s">
        <v>2622</v>
      </c>
      <c r="C207" s="592"/>
      <c r="D207" s="592"/>
      <c r="E207" s="592"/>
      <c r="F207" s="592"/>
      <c r="G207" s="592"/>
      <c r="H207" s="592"/>
      <c r="I207" s="592"/>
      <c r="J207" s="592"/>
    </row>
    <row r="208" spans="2:10" outlineLevel="1">
      <c r="B208" s="592"/>
      <c r="C208" s="592"/>
      <c r="D208" s="592"/>
      <c r="E208" s="592"/>
      <c r="F208" s="592"/>
      <c r="G208" s="592"/>
      <c r="H208" s="592"/>
      <c r="I208" s="592"/>
      <c r="J208" s="592"/>
    </row>
    <row r="209" spans="2:10" outlineLevel="1">
      <c r="B209" s="256"/>
      <c r="C209" s="256"/>
      <c r="D209" s="256"/>
      <c r="E209" s="256"/>
      <c r="F209" s="256"/>
      <c r="G209" s="256"/>
      <c r="H209" s="256"/>
      <c r="I209" s="256"/>
      <c r="J209" s="256"/>
    </row>
    <row r="210" spans="2:10" outlineLevel="1">
      <c r="B210" s="256"/>
      <c r="C210" s="256"/>
      <c r="D210" s="256"/>
      <c r="E210" s="256"/>
      <c r="F210" s="256"/>
      <c r="G210" s="256"/>
      <c r="H210" s="256"/>
      <c r="I210" s="256"/>
      <c r="J210" s="256"/>
    </row>
    <row r="211" spans="2:10" outlineLevel="1"/>
    <row r="212" spans="2:10" outlineLevel="1">
      <c r="B212" s="24" t="s">
        <v>382</v>
      </c>
      <c r="C212" t="s">
        <v>485</v>
      </c>
    </row>
    <row r="213" spans="2:10" outlineLevel="1">
      <c r="B213" s="24" t="s">
        <v>394</v>
      </c>
      <c r="C213" t="s">
        <v>780</v>
      </c>
    </row>
    <row r="214" spans="2:10" outlineLevel="1"/>
    <row r="215" spans="2:10" outlineLevel="1">
      <c r="B215" s="24" t="s">
        <v>2616</v>
      </c>
      <c r="C215" s="24" t="s">
        <v>439</v>
      </c>
      <c r="E215" s="29"/>
      <c r="F215" s="29"/>
      <c r="G215" s="29"/>
      <c r="H215" s="29"/>
      <c r="I215" s="29"/>
      <c r="J215" s="29"/>
    </row>
    <row r="216" spans="2:10" outlineLevel="1">
      <c r="B216" s="24" t="s">
        <v>7</v>
      </c>
      <c r="C216" t="s">
        <v>1412</v>
      </c>
      <c r="D216" t="s">
        <v>772</v>
      </c>
      <c r="E216" t="s">
        <v>786</v>
      </c>
      <c r="F216" t="s">
        <v>2349</v>
      </c>
      <c r="G216" t="s">
        <v>1011</v>
      </c>
      <c r="H216" t="s">
        <v>1025</v>
      </c>
      <c r="I216" t="s">
        <v>1471</v>
      </c>
      <c r="J216" t="s">
        <v>2318</v>
      </c>
    </row>
    <row r="217" spans="2:10" outlineLevel="1">
      <c r="B217" t="s">
        <v>48</v>
      </c>
      <c r="D217"/>
      <c r="E217">
        <v>1</v>
      </c>
      <c r="J217">
        <v>1</v>
      </c>
    </row>
    <row r="218" spans="2:10" outlineLevel="1">
      <c r="B218" t="s">
        <v>42</v>
      </c>
      <c r="D218"/>
      <c r="G218">
        <v>1</v>
      </c>
      <c r="J218">
        <v>1</v>
      </c>
    </row>
    <row r="219" spans="2:10" outlineLevel="1">
      <c r="B219" t="s">
        <v>35</v>
      </c>
      <c r="D219"/>
      <c r="E219">
        <v>2</v>
      </c>
      <c r="J219">
        <v>2</v>
      </c>
    </row>
    <row r="220" spans="2:10" outlineLevel="1">
      <c r="B220" t="s">
        <v>53</v>
      </c>
      <c r="D220"/>
      <c r="E220">
        <v>3</v>
      </c>
      <c r="F220">
        <v>1</v>
      </c>
      <c r="H220">
        <v>1</v>
      </c>
      <c r="I220">
        <v>1</v>
      </c>
      <c r="J220">
        <v>6</v>
      </c>
    </row>
    <row r="221" spans="2:10" outlineLevel="1">
      <c r="B221" t="s">
        <v>28</v>
      </c>
      <c r="C221">
        <v>1</v>
      </c>
      <c r="D221">
        <v>1</v>
      </c>
      <c r="E221">
        <v>1</v>
      </c>
      <c r="J221">
        <v>3</v>
      </c>
    </row>
    <row r="222" spans="2:10" outlineLevel="1">
      <c r="B222" t="s">
        <v>2318</v>
      </c>
      <c r="C222">
        <v>1</v>
      </c>
      <c r="D222">
        <v>1</v>
      </c>
      <c r="E222">
        <v>7</v>
      </c>
      <c r="F222">
        <v>1</v>
      </c>
      <c r="G222">
        <v>1</v>
      </c>
      <c r="H222">
        <v>1</v>
      </c>
      <c r="I222">
        <v>1</v>
      </c>
      <c r="J222">
        <v>13</v>
      </c>
    </row>
    <row r="223" spans="2:10" outlineLevel="1">
      <c r="D223"/>
    </row>
    <row r="224" spans="2:10" outlineLevel="1"/>
    <row r="227" spans="1:17" ht="14.25" customHeight="1">
      <c r="A227" s="592" t="s">
        <v>2623</v>
      </c>
      <c r="B227" s="592"/>
      <c r="C227" s="592"/>
      <c r="D227" s="592"/>
      <c r="E227" s="592"/>
      <c r="F227" s="592"/>
      <c r="G227" s="592"/>
      <c r="H227" s="592"/>
      <c r="I227" s="592"/>
    </row>
    <row r="228" spans="1:17" ht="14.25" customHeight="1">
      <c r="A228" s="592"/>
      <c r="B228" s="592"/>
      <c r="C228" s="592"/>
      <c r="D228" s="592"/>
      <c r="E228" s="592"/>
      <c r="F228" s="592"/>
      <c r="G228" s="592"/>
      <c r="H228" s="592"/>
      <c r="I228" s="592"/>
    </row>
    <row r="231" spans="1:17">
      <c r="B231" s="529" t="s">
        <v>7</v>
      </c>
      <c r="C231" s="331" t="s">
        <v>2573</v>
      </c>
    </row>
    <row r="232" spans="1:17">
      <c r="B232" s="529" t="s">
        <v>480</v>
      </c>
      <c r="C232" s="331" t="s">
        <v>2592</v>
      </c>
    </row>
    <row r="233" spans="1:17">
      <c r="B233" s="529" t="s">
        <v>452</v>
      </c>
      <c r="C233" s="331" t="s">
        <v>2597</v>
      </c>
    </row>
    <row r="235" spans="1:17">
      <c r="B235" s="527" t="s">
        <v>2616</v>
      </c>
      <c r="C235" s="527" t="s">
        <v>479</v>
      </c>
      <c r="D235" s="528"/>
      <c r="E235" s="528"/>
      <c r="F235" s="528"/>
      <c r="G235" s="528"/>
      <c r="H235" s="528"/>
      <c r="I235" s="528"/>
      <c r="J235" s="528"/>
      <c r="K235" s="528"/>
      <c r="L235" s="528"/>
      <c r="M235" s="528"/>
      <c r="N235" s="528"/>
      <c r="O235" s="528"/>
      <c r="P235" s="528"/>
      <c r="Q235" s="528"/>
    </row>
    <row r="236" spans="1:17">
      <c r="B236" s="527" t="s">
        <v>5</v>
      </c>
      <c r="C236" s="528" t="s">
        <v>2567</v>
      </c>
      <c r="D236" s="532" t="s">
        <v>2575</v>
      </c>
      <c r="E236" s="532" t="s">
        <v>2576</v>
      </c>
      <c r="F236" s="528" t="s">
        <v>2577</v>
      </c>
      <c r="G236" s="528" t="s">
        <v>2579</v>
      </c>
      <c r="H236" s="532" t="s">
        <v>2581</v>
      </c>
      <c r="I236" s="528" t="s">
        <v>2578</v>
      </c>
      <c r="J236" s="532" t="s">
        <v>2580</v>
      </c>
      <c r="K236" s="527" t="s">
        <v>2584</v>
      </c>
      <c r="L236" s="527" t="s">
        <v>2624</v>
      </c>
      <c r="M236" s="528" t="s">
        <v>2582</v>
      </c>
      <c r="N236" s="527" t="s">
        <v>2583</v>
      </c>
      <c r="O236" s="331" t="s">
        <v>2585</v>
      </c>
      <c r="P236" s="331" t="s">
        <v>2586</v>
      </c>
      <c r="Q236" s="528" t="s">
        <v>2318</v>
      </c>
    </row>
    <row r="237" spans="1:17">
      <c r="B237" s="331" t="s">
        <v>40</v>
      </c>
      <c r="C237" s="532">
        <v>17</v>
      </c>
      <c r="D237" s="532">
        <v>9</v>
      </c>
      <c r="E237" s="532">
        <v>4</v>
      </c>
      <c r="F237" s="532">
        <v>3</v>
      </c>
      <c r="G237" s="532">
        <v>2</v>
      </c>
      <c r="H237" s="532">
        <v>1</v>
      </c>
      <c r="I237" s="532">
        <v>3</v>
      </c>
      <c r="J237" s="532">
        <v>1</v>
      </c>
      <c r="K237" s="532">
        <v>2</v>
      </c>
      <c r="L237" s="532">
        <v>1</v>
      </c>
      <c r="M237" s="532"/>
      <c r="N237" s="532"/>
      <c r="O237" s="532"/>
      <c r="P237" s="532">
        <v>2</v>
      </c>
      <c r="Q237" s="532">
        <v>45</v>
      </c>
    </row>
    <row r="238" spans="1:17">
      <c r="B238" s="331" t="s">
        <v>26</v>
      </c>
      <c r="C238" s="532">
        <v>7</v>
      </c>
      <c r="D238" s="532">
        <v>9</v>
      </c>
      <c r="E238" s="532">
        <v>5</v>
      </c>
      <c r="F238" s="532">
        <v>2</v>
      </c>
      <c r="G238" s="532">
        <v>1</v>
      </c>
      <c r="H238" s="532">
        <v>1</v>
      </c>
      <c r="I238" s="532">
        <v>1</v>
      </c>
      <c r="J238" s="532">
        <v>5</v>
      </c>
      <c r="K238" s="532">
        <v>2</v>
      </c>
      <c r="L238" s="532"/>
      <c r="M238" s="532"/>
      <c r="N238" s="532">
        <v>3</v>
      </c>
      <c r="O238" s="532"/>
      <c r="P238" s="532"/>
      <c r="Q238" s="532">
        <v>36</v>
      </c>
    </row>
    <row r="239" spans="1:17">
      <c r="B239" s="331" t="s">
        <v>108</v>
      </c>
      <c r="C239" s="532">
        <v>5</v>
      </c>
      <c r="D239" s="532">
        <v>3</v>
      </c>
      <c r="E239" s="532">
        <v>8</v>
      </c>
      <c r="F239" s="532">
        <v>3</v>
      </c>
      <c r="G239" s="532">
        <v>1</v>
      </c>
      <c r="H239" s="532">
        <v>1</v>
      </c>
      <c r="I239" s="532"/>
      <c r="J239" s="532"/>
      <c r="K239" s="532"/>
      <c r="L239" s="532"/>
      <c r="M239" s="532">
        <v>2</v>
      </c>
      <c r="N239" s="532">
        <v>2</v>
      </c>
      <c r="O239" s="532"/>
      <c r="P239" s="532"/>
      <c r="Q239" s="532">
        <v>25</v>
      </c>
    </row>
    <row r="240" spans="1:17">
      <c r="B240" s="331" t="s">
        <v>33</v>
      </c>
      <c r="C240" s="532">
        <v>8</v>
      </c>
      <c r="D240" s="532">
        <v>5</v>
      </c>
      <c r="E240" s="532">
        <v>1</v>
      </c>
      <c r="F240" s="532"/>
      <c r="G240" s="532">
        <v>1</v>
      </c>
      <c r="H240" s="532"/>
      <c r="I240" s="532">
        <v>1</v>
      </c>
      <c r="J240" s="532"/>
      <c r="K240" s="532"/>
      <c r="L240" s="532">
        <v>3</v>
      </c>
      <c r="M240" s="532"/>
      <c r="N240" s="532"/>
      <c r="O240" s="532"/>
      <c r="P240" s="532"/>
      <c r="Q240" s="532">
        <v>19</v>
      </c>
    </row>
    <row r="241" spans="2:17">
      <c r="B241" s="331" t="s">
        <v>59</v>
      </c>
      <c r="C241" s="532"/>
      <c r="D241" s="532"/>
      <c r="E241" s="532"/>
      <c r="F241" s="532">
        <v>1</v>
      </c>
      <c r="G241" s="532">
        <v>2</v>
      </c>
      <c r="H241" s="532">
        <v>2</v>
      </c>
      <c r="I241" s="532">
        <v>1</v>
      </c>
      <c r="J241" s="532">
        <v>4</v>
      </c>
      <c r="K241" s="532">
        <v>1</v>
      </c>
      <c r="L241" s="532"/>
      <c r="M241" s="532"/>
      <c r="N241" s="532"/>
      <c r="O241" s="532">
        <v>1</v>
      </c>
      <c r="P241" s="532"/>
      <c r="Q241" s="532">
        <v>12</v>
      </c>
    </row>
    <row r="242" spans="2:17">
      <c r="B242" s="331" t="s">
        <v>82</v>
      </c>
      <c r="C242" s="532">
        <v>2</v>
      </c>
      <c r="D242" s="532"/>
      <c r="E242" s="532">
        <v>1</v>
      </c>
      <c r="F242" s="532">
        <v>1</v>
      </c>
      <c r="G242" s="532">
        <v>1</v>
      </c>
      <c r="H242" s="532"/>
      <c r="I242" s="532"/>
      <c r="J242" s="532"/>
      <c r="K242" s="532">
        <v>1</v>
      </c>
      <c r="L242" s="532"/>
      <c r="M242" s="532"/>
      <c r="N242" s="532">
        <v>1</v>
      </c>
      <c r="O242" s="532"/>
      <c r="P242" s="532"/>
      <c r="Q242" s="532">
        <v>7</v>
      </c>
    </row>
    <row r="243" spans="2:17">
      <c r="B243" s="331" t="s">
        <v>46</v>
      </c>
      <c r="C243" s="532"/>
      <c r="D243" s="532">
        <v>1</v>
      </c>
      <c r="E243" s="532"/>
      <c r="F243" s="532">
        <v>2</v>
      </c>
      <c r="G243" s="532"/>
      <c r="H243" s="532"/>
      <c r="I243" s="532">
        <v>1</v>
      </c>
      <c r="J243" s="532"/>
      <c r="K243" s="532"/>
      <c r="L243" s="532"/>
      <c r="M243" s="532"/>
      <c r="N243" s="532"/>
      <c r="O243" s="532"/>
      <c r="P243" s="532"/>
      <c r="Q243" s="532">
        <v>4</v>
      </c>
    </row>
    <row r="244" spans="2:17">
      <c r="B244" s="331" t="s">
        <v>52</v>
      </c>
      <c r="C244" s="532">
        <v>1</v>
      </c>
      <c r="D244" s="532"/>
      <c r="E244" s="532"/>
      <c r="F244" s="532">
        <v>1</v>
      </c>
      <c r="G244" s="532">
        <v>2</v>
      </c>
      <c r="H244" s="532"/>
      <c r="I244" s="532"/>
      <c r="J244" s="532"/>
      <c r="K244" s="532"/>
      <c r="L244" s="532"/>
      <c r="M244" s="532"/>
      <c r="N244" s="532"/>
      <c r="O244" s="532"/>
      <c r="P244" s="532"/>
      <c r="Q244" s="532">
        <v>4</v>
      </c>
    </row>
    <row r="245" spans="2:17">
      <c r="B245" s="331" t="s">
        <v>2106</v>
      </c>
      <c r="C245" s="532">
        <v>2</v>
      </c>
      <c r="D245" s="532"/>
      <c r="E245" s="532"/>
      <c r="F245" s="532">
        <v>1</v>
      </c>
      <c r="G245" s="532"/>
      <c r="H245" s="532"/>
      <c r="I245" s="532"/>
      <c r="J245" s="532"/>
      <c r="K245" s="532"/>
      <c r="L245" s="532"/>
      <c r="M245" s="532"/>
      <c r="N245" s="532"/>
      <c r="O245" s="532"/>
      <c r="P245" s="532"/>
      <c r="Q245" s="532">
        <v>3</v>
      </c>
    </row>
    <row r="246" spans="2:17">
      <c r="B246" s="331" t="s">
        <v>136</v>
      </c>
      <c r="C246" s="532"/>
      <c r="D246" s="532"/>
      <c r="E246" s="532"/>
      <c r="F246" s="532"/>
      <c r="G246" s="532"/>
      <c r="H246" s="532"/>
      <c r="I246" s="532"/>
      <c r="J246" s="532"/>
      <c r="K246" s="532"/>
      <c r="L246" s="532"/>
      <c r="M246" s="532">
        <v>1</v>
      </c>
      <c r="N246" s="532"/>
      <c r="O246" s="532"/>
      <c r="P246" s="532"/>
      <c r="Q246" s="532">
        <v>1</v>
      </c>
    </row>
    <row r="247" spans="2:17">
      <c r="B247" s="331" t="s">
        <v>62</v>
      </c>
      <c r="C247" s="532"/>
      <c r="D247" s="532"/>
      <c r="E247" s="532"/>
      <c r="F247" s="532"/>
      <c r="G247" s="532"/>
      <c r="H247" s="532"/>
      <c r="I247" s="532">
        <v>1</v>
      </c>
      <c r="J247" s="532"/>
      <c r="K247" s="532"/>
      <c r="L247" s="532"/>
      <c r="M247" s="532"/>
      <c r="N247" s="532"/>
      <c r="O247" s="532"/>
      <c r="P247" s="532"/>
      <c r="Q247" s="532">
        <v>1</v>
      </c>
    </row>
    <row r="248" spans="2:17">
      <c r="B248" s="527" t="s">
        <v>2318</v>
      </c>
      <c r="C248" s="528">
        <v>42</v>
      </c>
      <c r="D248" s="528">
        <v>27</v>
      </c>
      <c r="E248" s="528">
        <v>19</v>
      </c>
      <c r="F248" s="528">
        <v>14</v>
      </c>
      <c r="G248" s="528">
        <v>10</v>
      </c>
      <c r="H248" s="528">
        <v>5</v>
      </c>
      <c r="I248" s="528">
        <v>8</v>
      </c>
      <c r="J248" s="528">
        <v>10</v>
      </c>
      <c r="K248" s="528">
        <v>6</v>
      </c>
      <c r="L248" s="528">
        <v>4</v>
      </c>
      <c r="M248" s="528">
        <v>3</v>
      </c>
      <c r="N248" s="528">
        <v>6</v>
      </c>
      <c r="O248" s="528">
        <v>1</v>
      </c>
      <c r="P248" s="528">
        <v>2</v>
      </c>
      <c r="Q248" s="528">
        <v>157</v>
      </c>
    </row>
    <row r="253" spans="2:17">
      <c r="B253" s="24" t="s">
        <v>452</v>
      </c>
      <c r="C253" t="s">
        <v>2598</v>
      </c>
    </row>
    <row r="254" spans="2:17">
      <c r="B254" s="24" t="s">
        <v>480</v>
      </c>
      <c r="C254" t="s">
        <v>1719</v>
      </c>
    </row>
    <row r="256" spans="2:17">
      <c r="B256" s="24" t="s">
        <v>2616</v>
      </c>
      <c r="C256" s="24" t="s">
        <v>425</v>
      </c>
      <c r="E256" s="29"/>
      <c r="F256" s="29"/>
      <c r="G256" s="29"/>
      <c r="H256" s="29"/>
      <c r="I256" s="29"/>
    </row>
    <row r="257" spans="2:9">
      <c r="B257" s="24" t="s">
        <v>5</v>
      </c>
      <c r="C257" t="s">
        <v>2612</v>
      </c>
      <c r="D257" t="s">
        <v>2607</v>
      </c>
      <c r="E257" t="s">
        <v>2608</v>
      </c>
      <c r="F257" t="s">
        <v>2609</v>
      </c>
      <c r="G257" t="s">
        <v>2610</v>
      </c>
      <c r="H257" t="s">
        <v>2611</v>
      </c>
      <c r="I257" s="29" t="s">
        <v>2318</v>
      </c>
    </row>
    <row r="258" spans="2:9" ht="21">
      <c r="B258" s="526" t="s">
        <v>40</v>
      </c>
      <c r="C258" s="568">
        <v>1</v>
      </c>
      <c r="D258" s="568">
        <v>1</v>
      </c>
      <c r="E258" s="568">
        <v>1</v>
      </c>
      <c r="F258" s="568">
        <v>6</v>
      </c>
      <c r="G258" s="568"/>
      <c r="H258" s="568">
        <v>1</v>
      </c>
      <c r="I258" s="568">
        <v>10</v>
      </c>
    </row>
    <row r="259" spans="2:9" ht="21">
      <c r="B259" s="526" t="s">
        <v>59</v>
      </c>
      <c r="C259" s="568"/>
      <c r="D259" s="568">
        <v>2</v>
      </c>
      <c r="E259" s="568"/>
      <c r="F259" s="568">
        <v>2</v>
      </c>
      <c r="G259" s="568"/>
      <c r="H259" s="568"/>
      <c r="I259" s="568">
        <v>4</v>
      </c>
    </row>
    <row r="260" spans="2:9" ht="21">
      <c r="B260" s="526" t="s">
        <v>62</v>
      </c>
      <c r="C260" s="568"/>
      <c r="D260" s="568"/>
      <c r="E260" s="568">
        <v>1</v>
      </c>
      <c r="F260" s="568">
        <v>2</v>
      </c>
      <c r="G260" s="568"/>
      <c r="H260" s="568"/>
      <c r="I260" s="568">
        <v>3</v>
      </c>
    </row>
    <row r="261" spans="2:9" ht="21">
      <c r="B261" s="526" t="s">
        <v>82</v>
      </c>
      <c r="C261" s="568"/>
      <c r="D261" s="568"/>
      <c r="E261" s="568"/>
      <c r="F261" s="568">
        <v>2</v>
      </c>
      <c r="G261" s="568"/>
      <c r="H261" s="568"/>
      <c r="I261" s="568">
        <v>2</v>
      </c>
    </row>
    <row r="262" spans="2:9" ht="21">
      <c r="B262" s="526" t="s">
        <v>33</v>
      </c>
      <c r="C262" s="568"/>
      <c r="D262" s="568"/>
      <c r="E262" s="568"/>
      <c r="F262" s="568">
        <v>2</v>
      </c>
      <c r="G262" s="568"/>
      <c r="H262" s="568"/>
      <c r="I262" s="568">
        <v>2</v>
      </c>
    </row>
    <row r="263" spans="2:9" ht="21">
      <c r="B263" s="526" t="s">
        <v>26</v>
      </c>
      <c r="C263" s="568"/>
      <c r="D263" s="568"/>
      <c r="E263" s="568"/>
      <c r="F263" s="568"/>
      <c r="G263" s="568"/>
      <c r="H263" s="568">
        <v>1</v>
      </c>
      <c r="I263" s="568">
        <v>1</v>
      </c>
    </row>
    <row r="264" spans="2:9" ht="21">
      <c r="B264" s="526" t="s">
        <v>46</v>
      </c>
      <c r="C264" s="568"/>
      <c r="D264" s="568"/>
      <c r="E264" s="568"/>
      <c r="F264" s="568"/>
      <c r="G264" s="568">
        <v>1</v>
      </c>
      <c r="H264" s="568"/>
      <c r="I264" s="568">
        <v>1</v>
      </c>
    </row>
    <row r="265" spans="2:9" ht="21">
      <c r="B265" s="526" t="s">
        <v>2318</v>
      </c>
      <c r="C265" s="568">
        <v>1</v>
      </c>
      <c r="D265" s="568">
        <v>3</v>
      </c>
      <c r="E265" s="568">
        <v>2</v>
      </c>
      <c r="F265" s="568">
        <v>14</v>
      </c>
      <c r="G265" s="568">
        <v>1</v>
      </c>
      <c r="H265" s="568">
        <v>2</v>
      </c>
      <c r="I265" s="568">
        <v>23</v>
      </c>
    </row>
    <row r="266" spans="2:9">
      <c r="D266"/>
    </row>
    <row r="267" spans="2:9">
      <c r="D267"/>
    </row>
    <row r="268" spans="2:9">
      <c r="D268"/>
    </row>
    <row r="271" spans="2:9">
      <c r="B271" s="24" t="s">
        <v>452</v>
      </c>
      <c r="C271" t="s">
        <v>2597</v>
      </c>
    </row>
    <row r="272" spans="2:9">
      <c r="B272" s="24" t="s">
        <v>479</v>
      </c>
      <c r="C272" s="29" t="s">
        <v>2575</v>
      </c>
    </row>
    <row r="273" spans="2:7">
      <c r="B273" s="29"/>
    </row>
    <row r="274" spans="2:7">
      <c r="B274" s="24" t="s">
        <v>7</v>
      </c>
      <c r="C274" s="24" t="s">
        <v>5</v>
      </c>
      <c r="D274" s="29" t="s">
        <v>2616</v>
      </c>
    </row>
    <row r="275" spans="2:7">
      <c r="B275" t="s">
        <v>48</v>
      </c>
      <c r="D275" s="29">
        <v>2</v>
      </c>
    </row>
    <row r="276" spans="2:7">
      <c r="B276" t="s">
        <v>42</v>
      </c>
      <c r="D276" s="29">
        <v>14</v>
      </c>
    </row>
    <row r="277" spans="2:7">
      <c r="B277" t="s">
        <v>35</v>
      </c>
      <c r="D277" s="29">
        <v>11</v>
      </c>
    </row>
    <row r="278" spans="2:7">
      <c r="B278" t="s">
        <v>2318</v>
      </c>
      <c r="D278" s="29">
        <v>27</v>
      </c>
    </row>
    <row r="279" spans="2:7">
      <c r="D279"/>
    </row>
    <row r="280" spans="2:7">
      <c r="D280"/>
    </row>
    <row r="282" spans="2:7">
      <c r="B282" s="24" t="s">
        <v>452</v>
      </c>
      <c r="C282" t="s">
        <v>2597</v>
      </c>
      <c r="D282"/>
    </row>
    <row r="283" spans="2:7">
      <c r="B283" s="24" t="s">
        <v>480</v>
      </c>
      <c r="C283" t="s">
        <v>510</v>
      </c>
      <c r="D283"/>
    </row>
    <row r="284" spans="2:7">
      <c r="D284"/>
    </row>
    <row r="285" spans="2:7">
      <c r="B285" s="24" t="s">
        <v>2616</v>
      </c>
      <c r="C285" s="24" t="s">
        <v>458</v>
      </c>
      <c r="D285"/>
    </row>
    <row r="286" spans="2:7">
      <c r="B286" s="24" t="s">
        <v>5</v>
      </c>
      <c r="C286" s="29" t="s">
        <v>2212</v>
      </c>
      <c r="D286" s="29" t="s">
        <v>2204</v>
      </c>
      <c r="E286" s="29" t="s">
        <v>2589</v>
      </c>
      <c r="F286" s="29" t="s">
        <v>2207</v>
      </c>
      <c r="G286" s="29" t="s">
        <v>2318</v>
      </c>
    </row>
    <row r="287" spans="2:7">
      <c r="B287" t="s">
        <v>40</v>
      </c>
      <c r="C287" s="29">
        <v>15</v>
      </c>
      <c r="D287" s="29">
        <v>8</v>
      </c>
      <c r="E287" s="29">
        <v>5</v>
      </c>
      <c r="F287" s="29">
        <v>2</v>
      </c>
      <c r="G287" s="29">
        <v>30</v>
      </c>
    </row>
    <row r="288" spans="2:7">
      <c r="B288" t="s">
        <v>26</v>
      </c>
      <c r="C288" s="29">
        <v>19</v>
      </c>
      <c r="E288" s="29">
        <v>6</v>
      </c>
      <c r="F288" s="29">
        <v>4</v>
      </c>
      <c r="G288" s="29">
        <v>29</v>
      </c>
    </row>
    <row r="289" spans="2:7">
      <c r="B289" t="s">
        <v>108</v>
      </c>
      <c r="C289" s="29">
        <v>13</v>
      </c>
      <c r="E289" s="29">
        <v>3</v>
      </c>
      <c r="F289" s="29">
        <v>1</v>
      </c>
      <c r="G289" s="29">
        <v>17</v>
      </c>
    </row>
    <row r="290" spans="2:7">
      <c r="B290" t="s">
        <v>33</v>
      </c>
      <c r="C290" s="29">
        <v>7</v>
      </c>
      <c r="E290" s="29">
        <v>4</v>
      </c>
      <c r="F290" s="29"/>
      <c r="G290" s="29">
        <v>11</v>
      </c>
    </row>
    <row r="291" spans="2:7">
      <c r="B291" t="s">
        <v>59</v>
      </c>
      <c r="C291" s="29">
        <v>1</v>
      </c>
      <c r="D291" s="29">
        <v>4</v>
      </c>
      <c r="E291" s="29">
        <v>1</v>
      </c>
      <c r="F291" s="29"/>
      <c r="G291" s="29">
        <v>6</v>
      </c>
    </row>
    <row r="292" spans="2:7">
      <c r="B292" t="s">
        <v>46</v>
      </c>
      <c r="C292" s="29">
        <v>3</v>
      </c>
      <c r="E292" s="29"/>
      <c r="F292" s="29">
        <v>1</v>
      </c>
      <c r="G292" s="29">
        <v>4</v>
      </c>
    </row>
    <row r="293" spans="2:7">
      <c r="B293" t="s">
        <v>82</v>
      </c>
      <c r="C293" s="29">
        <v>2</v>
      </c>
      <c r="D293" s="29">
        <v>1</v>
      </c>
      <c r="E293" s="29"/>
      <c r="F293" s="29"/>
      <c r="G293" s="29">
        <v>3</v>
      </c>
    </row>
    <row r="294" spans="2:7">
      <c r="B294" t="s">
        <v>52</v>
      </c>
      <c r="C294" s="29">
        <v>2</v>
      </c>
      <c r="E294" s="29">
        <v>1</v>
      </c>
      <c r="F294" s="29"/>
      <c r="G294" s="29">
        <v>3</v>
      </c>
    </row>
    <row r="295" spans="2:7">
      <c r="B295" t="s">
        <v>62</v>
      </c>
      <c r="C295" s="29">
        <v>1</v>
      </c>
      <c r="E295" s="29"/>
      <c r="F295" s="29"/>
      <c r="G295" s="29">
        <v>1</v>
      </c>
    </row>
    <row r="296" spans="2:7">
      <c r="B296" t="s">
        <v>136</v>
      </c>
      <c r="C296" s="29"/>
      <c r="E296" s="29">
        <v>1</v>
      </c>
      <c r="F296" s="29"/>
      <c r="G296" s="29">
        <v>1</v>
      </c>
    </row>
    <row r="297" spans="2:7">
      <c r="B297" t="s">
        <v>2318</v>
      </c>
      <c r="C297" s="29">
        <v>63</v>
      </c>
      <c r="D297" s="29">
        <v>13</v>
      </c>
      <c r="E297" s="29">
        <v>21</v>
      </c>
      <c r="F297" s="29">
        <v>8</v>
      </c>
      <c r="G297" s="29">
        <v>105</v>
      </c>
    </row>
    <row r="298" spans="2:7">
      <c r="D298"/>
    </row>
    <row r="299" spans="2:7">
      <c r="D299"/>
    </row>
    <row r="300" spans="2:7">
      <c r="B300" s="478" t="s">
        <v>2625</v>
      </c>
      <c r="D300"/>
    </row>
    <row r="301" spans="2:7">
      <c r="B301" t="s">
        <v>2204</v>
      </c>
      <c r="C301" t="s">
        <v>2626</v>
      </c>
      <c r="D301"/>
    </row>
    <row r="302" spans="2:7">
      <c r="B302" t="s">
        <v>2274</v>
      </c>
      <c r="C302" t="s">
        <v>2627</v>
      </c>
      <c r="D302"/>
    </row>
    <row r="303" spans="2:7">
      <c r="B303" t="s">
        <v>2212</v>
      </c>
      <c r="C303" t="s">
        <v>2628</v>
      </c>
    </row>
    <row r="304" spans="2:7">
      <c r="B304" t="s">
        <v>2589</v>
      </c>
      <c r="C304" t="s">
        <v>2629</v>
      </c>
    </row>
    <row r="305" spans="2:7">
      <c r="B305" s="376" t="s">
        <v>2630</v>
      </c>
      <c r="C305" t="s">
        <v>2631</v>
      </c>
    </row>
    <row r="309" spans="2:7">
      <c r="B309" s="24" t="s">
        <v>452</v>
      </c>
      <c r="C309" t="s">
        <v>2592</v>
      </c>
    </row>
    <row r="310" spans="2:7">
      <c r="B310" s="24" t="s">
        <v>7</v>
      </c>
      <c r="C310" t="s">
        <v>28</v>
      </c>
    </row>
    <row r="312" spans="2:7">
      <c r="B312" s="24" t="s">
        <v>2616</v>
      </c>
      <c r="C312" s="24" t="s">
        <v>407</v>
      </c>
      <c r="E312" s="29"/>
      <c r="F312" s="29"/>
      <c r="G312" s="29"/>
    </row>
    <row r="313" spans="2:7">
      <c r="B313" s="24" t="s">
        <v>5</v>
      </c>
      <c r="C313" t="s">
        <v>2349</v>
      </c>
      <c r="D313" t="s">
        <v>559</v>
      </c>
      <c r="E313" t="s">
        <v>659</v>
      </c>
      <c r="F313" t="s">
        <v>837</v>
      </c>
      <c r="G313" s="29" t="s">
        <v>2318</v>
      </c>
    </row>
    <row r="314" spans="2:7">
      <c r="B314" t="s">
        <v>26</v>
      </c>
      <c r="C314" s="29"/>
      <c r="D314" s="29">
        <v>6</v>
      </c>
      <c r="E314" s="29"/>
      <c r="F314" s="29"/>
      <c r="G314" s="29">
        <v>6</v>
      </c>
    </row>
    <row r="315" spans="2:7">
      <c r="B315" t="s">
        <v>40</v>
      </c>
      <c r="C315" s="29">
        <v>1</v>
      </c>
      <c r="E315" s="29">
        <v>2</v>
      </c>
      <c r="F315" s="29">
        <v>2</v>
      </c>
      <c r="G315" s="29">
        <v>5</v>
      </c>
    </row>
    <row r="316" spans="2:7">
      <c r="B316" t="s">
        <v>33</v>
      </c>
      <c r="C316" s="29"/>
      <c r="D316" s="29">
        <v>2</v>
      </c>
      <c r="E316" s="29">
        <v>1</v>
      </c>
      <c r="F316" s="29">
        <v>1</v>
      </c>
      <c r="G316" s="29">
        <v>4</v>
      </c>
    </row>
    <row r="317" spans="2:7">
      <c r="B317" t="s">
        <v>108</v>
      </c>
      <c r="C317" s="29"/>
      <c r="D317" s="29">
        <v>1</v>
      </c>
      <c r="E317" s="29"/>
      <c r="F317" s="29">
        <v>2</v>
      </c>
      <c r="G317" s="29">
        <v>3</v>
      </c>
    </row>
    <row r="318" spans="2:7">
      <c r="B318" t="s">
        <v>59</v>
      </c>
      <c r="C318" s="29"/>
      <c r="E318" s="29">
        <v>1</v>
      </c>
      <c r="F318" s="29"/>
      <c r="G318" s="29">
        <v>1</v>
      </c>
    </row>
    <row r="319" spans="2:7">
      <c r="B319" t="s">
        <v>52</v>
      </c>
      <c r="C319" s="29"/>
      <c r="E319" s="29">
        <v>1</v>
      </c>
      <c r="F319" s="29"/>
      <c r="G319" s="29">
        <v>1</v>
      </c>
    </row>
    <row r="320" spans="2:7">
      <c r="B320" t="s">
        <v>136</v>
      </c>
      <c r="C320" s="29">
        <v>1</v>
      </c>
      <c r="E320" s="29"/>
      <c r="F320" s="29"/>
      <c r="G320" s="29">
        <v>1</v>
      </c>
    </row>
    <row r="321" spans="2:12">
      <c r="B321" t="s">
        <v>2318</v>
      </c>
      <c r="C321" s="29">
        <v>2</v>
      </c>
      <c r="D321" s="29">
        <v>9</v>
      </c>
      <c r="E321" s="29">
        <v>5</v>
      </c>
      <c r="F321" s="29">
        <v>5</v>
      </c>
      <c r="G321" s="29">
        <v>21</v>
      </c>
    </row>
    <row r="322" spans="2:12">
      <c r="D322"/>
    </row>
    <row r="323" spans="2:12">
      <c r="D323"/>
    </row>
    <row r="324" spans="2:12">
      <c r="D324"/>
    </row>
    <row r="326" spans="2:12">
      <c r="B326" s="24" t="s">
        <v>452</v>
      </c>
      <c r="C326" t="s">
        <v>2592</v>
      </c>
    </row>
    <row r="327" spans="2:12">
      <c r="B327" s="24" t="s">
        <v>7</v>
      </c>
      <c r="C327" t="s">
        <v>28</v>
      </c>
    </row>
    <row r="329" spans="2:12">
      <c r="B329" s="24" t="s">
        <v>2616</v>
      </c>
      <c r="C329" s="24" t="s">
        <v>479</v>
      </c>
      <c r="E329" s="29"/>
      <c r="F329" s="29"/>
      <c r="G329" s="29"/>
      <c r="H329" s="29"/>
      <c r="I329" s="29"/>
      <c r="J329" s="29"/>
      <c r="K329" s="29"/>
      <c r="L329" s="29"/>
    </row>
    <row r="330" spans="2:12">
      <c r="B330" s="24" t="s">
        <v>5</v>
      </c>
      <c r="C330" t="s">
        <v>2567</v>
      </c>
      <c r="D330" t="s">
        <v>2577</v>
      </c>
      <c r="E330" t="s">
        <v>2579</v>
      </c>
      <c r="F330" t="s">
        <v>2578</v>
      </c>
      <c r="G330" t="s">
        <v>2584</v>
      </c>
      <c r="H330" t="s">
        <v>2624</v>
      </c>
      <c r="I330" t="s">
        <v>2582</v>
      </c>
      <c r="J330" t="s">
        <v>2576</v>
      </c>
      <c r="K330" t="s">
        <v>2583</v>
      </c>
      <c r="L330" s="29" t="s">
        <v>2318</v>
      </c>
    </row>
    <row r="331" spans="2:12">
      <c r="B331" t="s">
        <v>26</v>
      </c>
      <c r="C331" s="29"/>
      <c r="E331" s="29"/>
      <c r="F331" s="29">
        <v>1</v>
      </c>
      <c r="G331" s="29">
        <v>2</v>
      </c>
      <c r="H331" s="29"/>
      <c r="I331" s="29"/>
      <c r="J331" s="29"/>
      <c r="K331" s="29">
        <v>3</v>
      </c>
      <c r="L331" s="29">
        <v>6</v>
      </c>
    </row>
    <row r="332" spans="2:12">
      <c r="B332" t="s">
        <v>40</v>
      </c>
      <c r="C332" s="29">
        <v>3</v>
      </c>
      <c r="E332" s="29"/>
      <c r="F332" s="29"/>
      <c r="G332" s="29"/>
      <c r="H332" s="29">
        <v>1</v>
      </c>
      <c r="I332" s="29"/>
      <c r="J332" s="29">
        <v>1</v>
      </c>
      <c r="K332" s="29"/>
      <c r="L332" s="29">
        <v>5</v>
      </c>
    </row>
    <row r="333" spans="2:12">
      <c r="B333" t="s">
        <v>33</v>
      </c>
      <c r="C333" s="29"/>
      <c r="E333" s="29"/>
      <c r="F333" s="29">
        <v>1</v>
      </c>
      <c r="G333" s="29"/>
      <c r="H333" s="29">
        <v>3</v>
      </c>
      <c r="I333" s="29"/>
      <c r="J333" s="29"/>
      <c r="K333" s="29"/>
      <c r="L333" s="29">
        <v>4</v>
      </c>
    </row>
    <row r="334" spans="2:12">
      <c r="B334" t="s">
        <v>108</v>
      </c>
      <c r="C334" s="29"/>
      <c r="D334" s="29">
        <v>1</v>
      </c>
      <c r="E334" s="29"/>
      <c r="F334" s="29"/>
      <c r="G334" s="29"/>
      <c r="H334" s="29"/>
      <c r="I334" s="29"/>
      <c r="J334" s="29"/>
      <c r="K334" s="29">
        <v>2</v>
      </c>
      <c r="L334" s="29">
        <v>3</v>
      </c>
    </row>
    <row r="335" spans="2:12">
      <c r="B335" t="s">
        <v>59</v>
      </c>
      <c r="C335" s="29"/>
      <c r="E335" s="29"/>
      <c r="F335" s="29"/>
      <c r="G335" s="29">
        <v>1</v>
      </c>
      <c r="H335" s="29"/>
      <c r="I335" s="29"/>
      <c r="J335" s="29"/>
      <c r="K335" s="29"/>
      <c r="L335" s="29">
        <v>1</v>
      </c>
    </row>
    <row r="336" spans="2:12">
      <c r="B336" t="s">
        <v>52</v>
      </c>
      <c r="C336" s="29"/>
      <c r="E336" s="29">
        <v>1</v>
      </c>
      <c r="F336" s="29"/>
      <c r="G336" s="29"/>
      <c r="H336" s="29"/>
      <c r="I336" s="29"/>
      <c r="J336" s="29"/>
      <c r="K336" s="29"/>
      <c r="L336" s="29">
        <v>1</v>
      </c>
    </row>
    <row r="337" spans="2:12">
      <c r="B337" t="s">
        <v>136</v>
      </c>
      <c r="C337" s="29"/>
      <c r="E337" s="29"/>
      <c r="F337" s="29"/>
      <c r="G337" s="29"/>
      <c r="H337" s="29"/>
      <c r="I337" s="29">
        <v>1</v>
      </c>
      <c r="J337" s="29"/>
      <c r="K337" s="29"/>
      <c r="L337" s="29">
        <v>1</v>
      </c>
    </row>
    <row r="338" spans="2:12">
      <c r="B338" t="s">
        <v>2318</v>
      </c>
      <c r="C338" s="29">
        <v>3</v>
      </c>
      <c r="D338" s="29">
        <v>1</v>
      </c>
      <c r="E338" s="29">
        <v>1</v>
      </c>
      <c r="F338" s="29">
        <v>2</v>
      </c>
      <c r="G338" s="29">
        <v>3</v>
      </c>
      <c r="H338" s="29">
        <v>4</v>
      </c>
      <c r="I338" s="29">
        <v>1</v>
      </c>
      <c r="J338" s="29">
        <v>1</v>
      </c>
      <c r="K338" s="29">
        <v>5</v>
      </c>
      <c r="L338" s="29">
        <v>21</v>
      </c>
    </row>
    <row r="344" spans="2:12">
      <c r="B344" s="24" t="s">
        <v>452</v>
      </c>
      <c r="C344" t="s">
        <v>2592</v>
      </c>
    </row>
    <row r="346" spans="2:12">
      <c r="B346" s="24" t="s">
        <v>2616</v>
      </c>
      <c r="C346" s="24" t="s">
        <v>7</v>
      </c>
      <c r="D346" s="24" t="s">
        <v>437</v>
      </c>
      <c r="E346" s="29"/>
      <c r="F346" s="29"/>
    </row>
    <row r="347" spans="2:12">
      <c r="C347" s="29" t="s">
        <v>42</v>
      </c>
      <c r="D347" s="29" t="s">
        <v>35</v>
      </c>
      <c r="E347" s="29"/>
      <c r="F347" s="29" t="s">
        <v>2318</v>
      </c>
    </row>
    <row r="348" spans="2:12">
      <c r="B348" s="24" t="s">
        <v>482</v>
      </c>
      <c r="C348" s="29" t="s">
        <v>655</v>
      </c>
      <c r="D348" s="29" t="s">
        <v>583</v>
      </c>
      <c r="E348" s="29" t="s">
        <v>734</v>
      </c>
      <c r="F348" s="29"/>
    </row>
    <row r="349" spans="2:12" ht="30.75">
      <c r="B349" s="62" t="s">
        <v>585</v>
      </c>
      <c r="C349" s="29">
        <v>5</v>
      </c>
      <c r="D349" s="29">
        <v>1</v>
      </c>
      <c r="E349" s="29"/>
      <c r="F349" s="29">
        <v>6</v>
      </c>
    </row>
    <row r="350" spans="2:12">
      <c r="B350" s="62" t="s">
        <v>956</v>
      </c>
      <c r="C350" s="29">
        <v>3</v>
      </c>
      <c r="E350" s="29"/>
      <c r="F350" s="29">
        <v>3</v>
      </c>
    </row>
    <row r="351" spans="2:12">
      <c r="B351" s="62" t="s">
        <v>659</v>
      </c>
      <c r="C351" s="29">
        <v>6</v>
      </c>
      <c r="D351" s="29">
        <v>2</v>
      </c>
      <c r="E351" s="29">
        <v>11</v>
      </c>
      <c r="F351" s="29">
        <v>19</v>
      </c>
    </row>
    <row r="352" spans="2:12">
      <c r="B352" s="62" t="s">
        <v>1109</v>
      </c>
      <c r="C352" s="29">
        <v>2</v>
      </c>
      <c r="E352" s="29"/>
      <c r="F352" s="29">
        <v>2</v>
      </c>
    </row>
    <row r="353" spans="2:6">
      <c r="B353" s="62" t="s">
        <v>622</v>
      </c>
      <c r="C353" s="29">
        <v>4</v>
      </c>
      <c r="E353" s="29"/>
      <c r="F353" s="29">
        <v>4</v>
      </c>
    </row>
    <row r="354" spans="2:6">
      <c r="B354" t="s">
        <v>2349</v>
      </c>
      <c r="C354" s="29"/>
      <c r="D354" s="29">
        <v>1</v>
      </c>
      <c r="E354" s="29"/>
      <c r="F354" s="29">
        <v>1</v>
      </c>
    </row>
    <row r="355" spans="2:6">
      <c r="B355" t="s">
        <v>2318</v>
      </c>
      <c r="C355" s="29">
        <v>20</v>
      </c>
      <c r="D355" s="29">
        <v>4</v>
      </c>
      <c r="E355" s="29">
        <v>11</v>
      </c>
      <c r="F355" s="29">
        <v>35</v>
      </c>
    </row>
    <row r="356" spans="2:6">
      <c r="D356"/>
    </row>
  </sheetData>
  <mergeCells count="14">
    <mergeCell ref="B129:J130"/>
    <mergeCell ref="B144:J145"/>
    <mergeCell ref="B101:J103"/>
    <mergeCell ref="B105:J106"/>
    <mergeCell ref="B2:J4"/>
    <mergeCell ref="B6:J7"/>
    <mergeCell ref="B24:J25"/>
    <mergeCell ref="B45:J47"/>
    <mergeCell ref="B49:J50"/>
    <mergeCell ref="A227:I228"/>
    <mergeCell ref="B163:J164"/>
    <mergeCell ref="B178:J179"/>
    <mergeCell ref="B203:J205"/>
    <mergeCell ref="B207:J208"/>
  </mergeCells>
  <pageMargins left="0.7" right="0.7" top="0.75" bottom="0.75" header="0.3" footer="0.3"/>
  <pageSetup paperSize="9" orientation="portrait"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75A98-B0B7-46F4-BEB6-550D876E1684}">
  <sheetPr codeName="Hoja7"/>
  <dimension ref="A6:U197"/>
  <sheetViews>
    <sheetView topLeftCell="A21" workbookViewId="0">
      <selection activeCell="F17" sqref="F17"/>
    </sheetView>
  </sheetViews>
  <sheetFormatPr defaultColWidth="9.140625" defaultRowHeight="15"/>
  <cols>
    <col min="1" max="1" width="21.42578125" bestFit="1" customWidth="1"/>
    <col min="2" max="20" width="14.5703125" bestFit="1" customWidth="1"/>
    <col min="21" max="21" width="12.5703125" bestFit="1" customWidth="1"/>
    <col min="22" max="22" width="16.140625" bestFit="1" customWidth="1"/>
    <col min="23" max="23" width="10.28515625" bestFit="1" customWidth="1"/>
    <col min="24" max="24" width="12.7109375" bestFit="1" customWidth="1"/>
    <col min="25" max="25" width="12.5703125" bestFit="1" customWidth="1"/>
    <col min="26" max="26" width="15.7109375" bestFit="1" customWidth="1"/>
    <col min="27" max="27" width="13.7109375" bestFit="1" customWidth="1"/>
    <col min="28" max="28" width="16.85546875" bestFit="1" customWidth="1"/>
    <col min="29" max="29" width="19.28515625" bestFit="1" customWidth="1"/>
    <col min="30" max="30" width="22.5703125" bestFit="1" customWidth="1"/>
    <col min="31" max="31" width="13.7109375" bestFit="1" customWidth="1"/>
    <col min="32" max="32" width="16.85546875" bestFit="1" customWidth="1"/>
    <col min="33" max="33" width="19.28515625" bestFit="1" customWidth="1"/>
    <col min="34" max="34" width="22.5703125" bestFit="1" customWidth="1"/>
    <col min="35" max="35" width="19.28515625" bestFit="1" customWidth="1"/>
    <col min="36" max="36" width="22.5703125" bestFit="1" customWidth="1"/>
    <col min="37" max="37" width="19.28515625" bestFit="1" customWidth="1"/>
    <col min="38" max="38" width="22.5703125" bestFit="1" customWidth="1"/>
    <col min="39" max="39" width="18.140625" bestFit="1" customWidth="1"/>
    <col min="40" max="40" width="21.28515625" bestFit="1" customWidth="1"/>
    <col min="41" max="41" width="18.140625" bestFit="1" customWidth="1"/>
    <col min="42" max="42" width="21.28515625" bestFit="1" customWidth="1"/>
    <col min="43" max="43" width="18.140625" bestFit="1" customWidth="1"/>
    <col min="44" max="44" width="21.28515625" bestFit="1" customWidth="1"/>
    <col min="45" max="45" width="12.5703125" bestFit="1" customWidth="1"/>
    <col min="46" max="46" width="15.7109375" bestFit="1" customWidth="1"/>
    <col min="47" max="47" width="12.7109375" bestFit="1" customWidth="1"/>
  </cols>
  <sheetData>
    <row r="6" spans="1:7">
      <c r="A6" s="24" t="s">
        <v>7</v>
      </c>
      <c r="B6" t="s">
        <v>2573</v>
      </c>
    </row>
    <row r="8" spans="1:7">
      <c r="A8" s="165" t="s">
        <v>2574</v>
      </c>
      <c r="B8" s="165" t="s">
        <v>446</v>
      </c>
      <c r="C8" s="165"/>
      <c r="D8" s="165"/>
      <c r="E8" s="165"/>
      <c r="F8" s="165"/>
      <c r="G8" s="165"/>
    </row>
    <row r="9" spans="1:7">
      <c r="A9" s="166" t="s">
        <v>453</v>
      </c>
      <c r="B9" s="167">
        <v>45778</v>
      </c>
      <c r="C9" s="167">
        <v>45809</v>
      </c>
      <c r="D9" s="167">
        <v>45839</v>
      </c>
      <c r="E9" s="167">
        <v>45870</v>
      </c>
      <c r="F9" s="166" t="s">
        <v>2349</v>
      </c>
      <c r="G9" s="166" t="s">
        <v>2318</v>
      </c>
    </row>
    <row r="10" spans="1:7">
      <c r="A10" s="40" t="s">
        <v>717</v>
      </c>
      <c r="B10" s="40"/>
      <c r="C10" s="40"/>
      <c r="D10" s="40">
        <v>2</v>
      </c>
      <c r="E10" s="40">
        <v>1</v>
      </c>
      <c r="F10" s="40">
        <v>5</v>
      </c>
      <c r="G10" s="40">
        <v>8</v>
      </c>
    </row>
    <row r="11" spans="1:7">
      <c r="A11" s="40" t="s">
        <v>645</v>
      </c>
      <c r="B11" s="40"/>
      <c r="C11" s="40">
        <v>2</v>
      </c>
      <c r="D11" s="40"/>
      <c r="E11" s="40">
        <v>1</v>
      </c>
      <c r="F11" s="40">
        <v>1</v>
      </c>
      <c r="G11" s="40">
        <v>4</v>
      </c>
    </row>
    <row r="12" spans="1:7">
      <c r="A12" s="40" t="s">
        <v>747</v>
      </c>
      <c r="B12" s="40">
        <v>1</v>
      </c>
      <c r="C12" s="40">
        <v>1</v>
      </c>
      <c r="D12" s="40"/>
      <c r="E12" s="40"/>
      <c r="F12" s="40">
        <v>2</v>
      </c>
      <c r="G12" s="40">
        <v>4</v>
      </c>
    </row>
    <row r="13" spans="1:7">
      <c r="A13" s="40" t="s">
        <v>657</v>
      </c>
      <c r="B13" s="40">
        <v>4</v>
      </c>
      <c r="C13" s="40"/>
      <c r="D13" s="40">
        <v>1</v>
      </c>
      <c r="E13" s="40">
        <v>2</v>
      </c>
      <c r="F13" s="40"/>
      <c r="G13" s="40">
        <v>7</v>
      </c>
    </row>
    <row r="14" spans="1:7">
      <c r="A14" s="166" t="s">
        <v>2318</v>
      </c>
      <c r="B14" s="166">
        <v>5</v>
      </c>
      <c r="C14" s="166">
        <v>3</v>
      </c>
      <c r="D14" s="166">
        <v>3</v>
      </c>
      <c r="E14" s="166">
        <v>4</v>
      </c>
      <c r="F14" s="166">
        <v>8</v>
      </c>
      <c r="G14" s="166">
        <v>23</v>
      </c>
    </row>
    <row r="24" spans="1:9">
      <c r="A24" s="165" t="s">
        <v>2574</v>
      </c>
      <c r="B24" s="24" t="s">
        <v>2632</v>
      </c>
      <c r="C24" s="165"/>
      <c r="D24" s="165"/>
      <c r="E24" s="165"/>
      <c r="F24" s="165"/>
      <c r="G24" s="165"/>
      <c r="H24" s="165"/>
      <c r="I24" s="165"/>
    </row>
    <row r="25" spans="1:9" ht="30">
      <c r="A25" s="166" t="s">
        <v>2347</v>
      </c>
      <c r="B25" s="170" t="s">
        <v>48</v>
      </c>
      <c r="C25" s="170" t="s">
        <v>87</v>
      </c>
      <c r="D25" s="170" t="s">
        <v>42</v>
      </c>
      <c r="E25" s="170" t="s">
        <v>35</v>
      </c>
      <c r="F25" s="170" t="s">
        <v>53</v>
      </c>
      <c r="G25" s="170" t="s">
        <v>502</v>
      </c>
      <c r="H25" s="170" t="s">
        <v>28</v>
      </c>
      <c r="I25" s="166" t="s">
        <v>2318</v>
      </c>
    </row>
    <row r="26" spans="1:9">
      <c r="A26" s="168" t="s">
        <v>717</v>
      </c>
      <c r="B26" s="173">
        <v>1</v>
      </c>
      <c r="C26" s="173"/>
      <c r="D26" s="173">
        <v>4</v>
      </c>
      <c r="E26" s="173"/>
      <c r="F26" s="173"/>
      <c r="G26" s="173"/>
      <c r="H26" s="173">
        <v>3</v>
      </c>
      <c r="I26" s="173">
        <v>8</v>
      </c>
    </row>
    <row r="27" spans="1:9">
      <c r="A27" s="169" t="s">
        <v>26</v>
      </c>
      <c r="B27" s="173">
        <v>1</v>
      </c>
      <c r="C27" s="173"/>
      <c r="D27" s="173">
        <v>4</v>
      </c>
      <c r="E27" s="173"/>
      <c r="F27" s="173"/>
      <c r="G27" s="173"/>
      <c r="H27" s="173"/>
      <c r="I27" s="173">
        <v>5</v>
      </c>
    </row>
    <row r="28" spans="1:9">
      <c r="A28" s="169" t="s">
        <v>40</v>
      </c>
      <c r="B28" s="173"/>
      <c r="C28" s="173"/>
      <c r="D28" s="173"/>
      <c r="E28" s="173"/>
      <c r="F28" s="173"/>
      <c r="G28" s="173"/>
      <c r="H28" s="173">
        <v>3</v>
      </c>
      <c r="I28" s="173">
        <v>3</v>
      </c>
    </row>
    <row r="29" spans="1:9">
      <c r="A29" s="168" t="s">
        <v>645</v>
      </c>
      <c r="B29" s="173">
        <v>1</v>
      </c>
      <c r="C29" s="173"/>
      <c r="D29" s="173"/>
      <c r="E29" s="173"/>
      <c r="F29" s="173">
        <v>2</v>
      </c>
      <c r="G29" s="173"/>
      <c r="H29" s="173">
        <v>3</v>
      </c>
      <c r="I29" s="173">
        <v>6</v>
      </c>
    </row>
    <row r="30" spans="1:9">
      <c r="A30" s="169" t="s">
        <v>26</v>
      </c>
      <c r="B30" s="173">
        <v>1</v>
      </c>
      <c r="C30" s="173"/>
      <c r="D30" s="173"/>
      <c r="E30" s="173"/>
      <c r="F30" s="173">
        <v>2</v>
      </c>
      <c r="G30" s="173"/>
      <c r="H30" s="173">
        <v>3</v>
      </c>
      <c r="I30" s="173">
        <v>6</v>
      </c>
    </row>
    <row r="31" spans="1:9">
      <c r="A31" s="168" t="s">
        <v>747</v>
      </c>
      <c r="B31" s="173">
        <v>1</v>
      </c>
      <c r="C31" s="173">
        <v>1</v>
      </c>
      <c r="D31" s="173"/>
      <c r="E31" s="173">
        <v>2</v>
      </c>
      <c r="F31" s="173"/>
      <c r="G31" s="173">
        <v>1</v>
      </c>
      <c r="H31" s="173"/>
      <c r="I31" s="173">
        <v>5</v>
      </c>
    </row>
    <row r="32" spans="1:9">
      <c r="A32" s="169" t="s">
        <v>26</v>
      </c>
      <c r="B32" s="173"/>
      <c r="C32" s="173"/>
      <c r="D32" s="173"/>
      <c r="E32" s="173">
        <v>1</v>
      </c>
      <c r="F32" s="173"/>
      <c r="G32" s="173">
        <v>1</v>
      </c>
      <c r="H32" s="173"/>
      <c r="I32" s="173">
        <v>2</v>
      </c>
    </row>
    <row r="33" spans="1:9">
      <c r="A33" s="169" t="s">
        <v>40</v>
      </c>
      <c r="B33" s="173">
        <v>1</v>
      </c>
      <c r="C33" s="173"/>
      <c r="D33" s="173"/>
      <c r="E33" s="173"/>
      <c r="F33" s="173"/>
      <c r="G33" s="173"/>
      <c r="H33" s="173"/>
      <c r="I33" s="173">
        <v>1</v>
      </c>
    </row>
    <row r="34" spans="1:9">
      <c r="A34" s="169" t="s">
        <v>108</v>
      </c>
      <c r="B34" s="173"/>
      <c r="C34" s="173">
        <v>1</v>
      </c>
      <c r="D34" s="173"/>
      <c r="E34" s="173">
        <v>1</v>
      </c>
      <c r="F34" s="173"/>
      <c r="G34" s="173"/>
      <c r="H34" s="173"/>
      <c r="I34" s="173">
        <v>2</v>
      </c>
    </row>
    <row r="35" spans="1:9">
      <c r="A35" s="168" t="s">
        <v>657</v>
      </c>
      <c r="B35" s="173"/>
      <c r="C35" s="173"/>
      <c r="D35" s="173">
        <v>5</v>
      </c>
      <c r="E35" s="173"/>
      <c r="F35" s="173">
        <v>1</v>
      </c>
      <c r="G35" s="173"/>
      <c r="H35" s="173">
        <v>2</v>
      </c>
      <c r="I35" s="173">
        <v>8</v>
      </c>
    </row>
    <row r="36" spans="1:9">
      <c r="A36" s="169" t="s">
        <v>26</v>
      </c>
      <c r="B36" s="173"/>
      <c r="C36" s="173"/>
      <c r="D36" s="173">
        <v>5</v>
      </c>
      <c r="E36" s="173"/>
      <c r="F36" s="173">
        <v>1</v>
      </c>
      <c r="G36" s="173"/>
      <c r="H36" s="173">
        <v>1</v>
      </c>
      <c r="I36" s="173">
        <v>7</v>
      </c>
    </row>
    <row r="37" spans="1:9">
      <c r="A37" s="169" t="s">
        <v>108</v>
      </c>
      <c r="B37" s="173"/>
      <c r="C37" s="173"/>
      <c r="D37" s="173"/>
      <c r="E37" s="173"/>
      <c r="F37" s="173"/>
      <c r="G37" s="173"/>
      <c r="H37" s="173">
        <v>1</v>
      </c>
      <c r="I37" s="173">
        <v>1</v>
      </c>
    </row>
    <row r="38" spans="1:9">
      <c r="A38" s="166" t="s">
        <v>2318</v>
      </c>
      <c r="B38" s="166">
        <v>3</v>
      </c>
      <c r="C38" s="166">
        <v>1</v>
      </c>
      <c r="D38" s="166">
        <v>9</v>
      </c>
      <c r="E38" s="166">
        <v>2</v>
      </c>
      <c r="F38" s="166">
        <v>3</v>
      </c>
      <c r="G38" s="166">
        <v>1</v>
      </c>
      <c r="H38" s="166">
        <v>8</v>
      </c>
      <c r="I38" s="166">
        <v>27</v>
      </c>
    </row>
    <row r="44" spans="1:9">
      <c r="A44" s="171" t="s">
        <v>2633</v>
      </c>
    </row>
    <row r="49" spans="1:9">
      <c r="A49" s="24" t="s">
        <v>7</v>
      </c>
      <c r="B49" t="s">
        <v>2573</v>
      </c>
    </row>
    <row r="51" spans="1:9">
      <c r="A51" s="165" t="s">
        <v>2574</v>
      </c>
      <c r="B51" s="24" t="s">
        <v>425</v>
      </c>
      <c r="C51" s="165"/>
      <c r="D51" s="165"/>
    </row>
    <row r="52" spans="1:9">
      <c r="A52" s="166" t="s">
        <v>453</v>
      </c>
      <c r="B52" t="s">
        <v>2607</v>
      </c>
      <c r="C52" t="s">
        <v>2610</v>
      </c>
      <c r="D52" s="166" t="s">
        <v>2318</v>
      </c>
    </row>
    <row r="53" spans="1:9">
      <c r="A53" s="40" t="s">
        <v>645</v>
      </c>
      <c r="B53" s="40">
        <v>2</v>
      </c>
      <c r="C53" s="40"/>
      <c r="D53" s="40">
        <v>2</v>
      </c>
    </row>
    <row r="54" spans="1:9">
      <c r="A54" s="40" t="s">
        <v>657</v>
      </c>
      <c r="B54" s="40"/>
      <c r="C54" s="40">
        <v>1</v>
      </c>
      <c r="D54" s="40">
        <v>1</v>
      </c>
    </row>
    <row r="55" spans="1:9">
      <c r="A55" s="166" t="s">
        <v>2318</v>
      </c>
      <c r="B55" s="166">
        <v>2</v>
      </c>
      <c r="C55" s="166">
        <v>1</v>
      </c>
      <c r="D55" s="166">
        <v>3</v>
      </c>
    </row>
    <row r="60" spans="1:9" ht="20.25">
      <c r="A60" s="596" t="s">
        <v>2634</v>
      </c>
      <c r="B60" s="596"/>
      <c r="C60" s="596"/>
      <c r="D60" s="596"/>
      <c r="E60" s="596"/>
      <c r="F60" s="596"/>
      <c r="G60" s="596"/>
      <c r="H60" s="596"/>
      <c r="I60" s="596"/>
    </row>
    <row r="64" spans="1:9">
      <c r="A64" s="24" t="s">
        <v>7</v>
      </c>
      <c r="B64" t="s">
        <v>2573</v>
      </c>
    </row>
    <row r="66" spans="1:12">
      <c r="A66" s="165" t="s">
        <v>2574</v>
      </c>
      <c r="B66" s="165" t="s">
        <v>445</v>
      </c>
      <c r="C66" s="165"/>
      <c r="D66" s="165"/>
      <c r="E66" s="165"/>
      <c r="F66" s="165"/>
      <c r="G66" s="165"/>
      <c r="H66" s="165"/>
      <c r="I66" s="165"/>
      <c r="J66" s="165"/>
      <c r="K66" s="165"/>
      <c r="L66" s="165"/>
    </row>
    <row r="67" spans="1:12">
      <c r="A67" s="165" t="s">
        <v>5</v>
      </c>
      <c r="B67" s="165" t="s">
        <v>521</v>
      </c>
      <c r="C67" s="174">
        <v>45689</v>
      </c>
      <c r="D67" s="174">
        <v>45717</v>
      </c>
      <c r="E67" s="174">
        <v>45748</v>
      </c>
      <c r="F67" s="174">
        <v>45778</v>
      </c>
      <c r="G67" s="174">
        <v>45809</v>
      </c>
      <c r="H67" s="174">
        <v>45839</v>
      </c>
      <c r="I67" s="174">
        <v>45870</v>
      </c>
      <c r="J67" s="174">
        <v>45992</v>
      </c>
      <c r="K67" s="192" t="s">
        <v>2349</v>
      </c>
      <c r="L67" s="166" t="s">
        <v>2318</v>
      </c>
    </row>
    <row r="68" spans="1:12">
      <c r="A68" t="s">
        <v>40</v>
      </c>
      <c r="B68" s="40">
        <v>16</v>
      </c>
      <c r="C68" s="40">
        <v>3</v>
      </c>
      <c r="D68" s="40">
        <v>1</v>
      </c>
      <c r="E68" s="40">
        <v>1</v>
      </c>
      <c r="F68" s="40">
        <v>3</v>
      </c>
      <c r="G68" s="40"/>
      <c r="H68" s="40"/>
      <c r="I68" s="40"/>
      <c r="J68" s="40">
        <v>1</v>
      </c>
      <c r="K68" s="40">
        <v>20</v>
      </c>
      <c r="L68" s="40">
        <v>45</v>
      </c>
    </row>
    <row r="69" spans="1:12">
      <c r="A69" t="s">
        <v>26</v>
      </c>
      <c r="B69" s="40">
        <v>10</v>
      </c>
      <c r="C69" s="40"/>
      <c r="D69" s="40"/>
      <c r="E69" s="40"/>
      <c r="F69" s="40">
        <v>3</v>
      </c>
      <c r="G69" s="40">
        <v>3</v>
      </c>
      <c r="H69" s="40">
        <v>3</v>
      </c>
      <c r="I69" s="40">
        <v>4</v>
      </c>
      <c r="J69" s="40"/>
      <c r="K69" s="40">
        <v>13</v>
      </c>
      <c r="L69" s="40">
        <v>36</v>
      </c>
    </row>
    <row r="70" spans="1:12">
      <c r="A70" t="s">
        <v>108</v>
      </c>
      <c r="B70" s="40">
        <v>10</v>
      </c>
      <c r="C70" s="40"/>
      <c r="D70" s="40"/>
      <c r="E70" s="40"/>
      <c r="F70" s="40">
        <v>1</v>
      </c>
      <c r="G70" s="40">
        <v>1</v>
      </c>
      <c r="H70" s="40"/>
      <c r="I70" s="40"/>
      <c r="J70" s="40"/>
      <c r="K70" s="40">
        <v>8</v>
      </c>
      <c r="L70" s="40">
        <v>20</v>
      </c>
    </row>
    <row r="71" spans="1:12">
      <c r="A71" t="s">
        <v>33</v>
      </c>
      <c r="B71" s="40">
        <v>5</v>
      </c>
      <c r="C71" s="40"/>
      <c r="D71" s="40"/>
      <c r="E71" s="40"/>
      <c r="F71" s="40"/>
      <c r="G71" s="40"/>
      <c r="H71" s="40"/>
      <c r="I71" s="40"/>
      <c r="J71" s="40"/>
      <c r="K71" s="40">
        <v>10</v>
      </c>
      <c r="L71" s="40">
        <v>15</v>
      </c>
    </row>
    <row r="72" spans="1:12">
      <c r="A72" t="s">
        <v>59</v>
      </c>
      <c r="B72" s="40">
        <v>4</v>
      </c>
      <c r="C72" s="40"/>
      <c r="D72" s="40"/>
      <c r="E72" s="40"/>
      <c r="F72" s="40"/>
      <c r="G72" s="40"/>
      <c r="H72" s="40"/>
      <c r="I72" s="40">
        <v>1</v>
      </c>
      <c r="J72" s="40">
        <v>1</v>
      </c>
      <c r="K72" s="40">
        <v>6</v>
      </c>
      <c r="L72" s="40">
        <v>12</v>
      </c>
    </row>
    <row r="73" spans="1:12">
      <c r="A73" t="s">
        <v>82</v>
      </c>
      <c r="B73" s="40">
        <v>2</v>
      </c>
      <c r="C73" s="40">
        <v>1</v>
      </c>
      <c r="D73" s="40"/>
      <c r="E73" s="40"/>
      <c r="F73" s="40"/>
      <c r="G73" s="40"/>
      <c r="H73" s="40"/>
      <c r="I73" s="40"/>
      <c r="J73" s="40"/>
      <c r="K73" s="40">
        <v>4</v>
      </c>
      <c r="L73" s="40">
        <v>7</v>
      </c>
    </row>
    <row r="74" spans="1:12">
      <c r="A74" t="s">
        <v>52</v>
      </c>
      <c r="B74" s="40">
        <v>1</v>
      </c>
      <c r="C74" s="40"/>
      <c r="D74" s="40"/>
      <c r="E74" s="40">
        <v>1</v>
      </c>
      <c r="F74" s="40"/>
      <c r="G74" s="40"/>
      <c r="H74" s="40"/>
      <c r="I74" s="40"/>
      <c r="J74" s="40"/>
      <c r="K74" s="40">
        <v>2</v>
      </c>
      <c r="L74" s="40">
        <v>4</v>
      </c>
    </row>
    <row r="75" spans="1:12">
      <c r="A75" t="s">
        <v>46</v>
      </c>
      <c r="B75" s="40">
        <v>1</v>
      </c>
      <c r="C75" s="40"/>
      <c r="D75" s="40"/>
      <c r="E75" s="40"/>
      <c r="F75" s="40"/>
      <c r="G75" s="40"/>
      <c r="H75" s="40"/>
      <c r="I75" s="40">
        <v>2</v>
      </c>
      <c r="J75" s="40"/>
      <c r="K75" s="40">
        <v>1</v>
      </c>
      <c r="L75" s="40">
        <v>4</v>
      </c>
    </row>
    <row r="76" spans="1:12">
      <c r="A76" t="s">
        <v>62</v>
      </c>
      <c r="B76" s="40"/>
      <c r="C76" s="40"/>
      <c r="D76" s="40"/>
      <c r="E76" s="40"/>
      <c r="F76" s="40"/>
      <c r="G76" s="40"/>
      <c r="H76" s="40"/>
      <c r="I76" s="40"/>
      <c r="J76" s="40"/>
      <c r="K76" s="40">
        <v>1</v>
      </c>
      <c r="L76" s="40">
        <v>1</v>
      </c>
    </row>
    <row r="77" spans="1:12">
      <c r="A77" t="s">
        <v>2106</v>
      </c>
      <c r="B77" s="40"/>
      <c r="C77" s="40"/>
      <c r="D77" s="40"/>
      <c r="E77" s="40"/>
      <c r="F77" s="40"/>
      <c r="G77" s="40"/>
      <c r="H77" s="40"/>
      <c r="I77" s="40"/>
      <c r="J77" s="40"/>
      <c r="K77" s="40">
        <v>1</v>
      </c>
      <c r="L77" s="40">
        <v>1</v>
      </c>
    </row>
    <row r="78" spans="1:12">
      <c r="A78" t="s">
        <v>136</v>
      </c>
      <c r="B78" s="40">
        <v>1</v>
      </c>
      <c r="C78" s="40"/>
      <c r="D78" s="40"/>
      <c r="E78" s="40"/>
      <c r="F78" s="40"/>
      <c r="G78" s="40"/>
      <c r="H78" s="40"/>
      <c r="I78" s="40"/>
      <c r="J78" s="40"/>
      <c r="K78" s="40"/>
      <c r="L78" s="40">
        <v>1</v>
      </c>
    </row>
    <row r="79" spans="1:12">
      <c r="A79" s="166" t="s">
        <v>2318</v>
      </c>
      <c r="B79" s="166">
        <v>50</v>
      </c>
      <c r="C79" s="166">
        <v>4</v>
      </c>
      <c r="D79" s="166">
        <v>1</v>
      </c>
      <c r="E79" s="166">
        <v>2</v>
      </c>
      <c r="F79" s="166">
        <v>7</v>
      </c>
      <c r="G79" s="166">
        <v>4</v>
      </c>
      <c r="H79" s="166">
        <v>3</v>
      </c>
      <c r="I79" s="166">
        <v>7</v>
      </c>
      <c r="J79" s="166">
        <v>2</v>
      </c>
      <c r="K79" s="166">
        <v>66</v>
      </c>
      <c r="L79" s="166">
        <v>146</v>
      </c>
    </row>
    <row r="86" spans="1:14">
      <c r="A86" s="24" t="s">
        <v>7</v>
      </c>
      <c r="B86" t="s">
        <v>53</v>
      </c>
    </row>
    <row r="88" spans="1:14">
      <c r="A88" s="172" t="s">
        <v>2574</v>
      </c>
      <c r="B88" s="172" t="s">
        <v>445</v>
      </c>
      <c r="C88" s="172"/>
      <c r="D88" s="172"/>
      <c r="E88" s="172"/>
      <c r="F88" s="172"/>
      <c r="G88" s="172"/>
      <c r="H88" s="172"/>
      <c r="I88" s="172"/>
      <c r="J88" s="172"/>
      <c r="K88" s="172"/>
      <c r="L88" s="172"/>
      <c r="M88" s="172"/>
      <c r="N88" s="172"/>
    </row>
    <row r="89" spans="1:14">
      <c r="A89" s="175" t="s">
        <v>425</v>
      </c>
      <c r="B89" s="175" t="s">
        <v>521</v>
      </c>
      <c r="C89" s="254">
        <v>45689</v>
      </c>
      <c r="D89" s="254">
        <v>45717</v>
      </c>
      <c r="E89" s="254">
        <v>45748</v>
      </c>
      <c r="F89" s="160">
        <v>45778</v>
      </c>
      <c r="G89" s="160">
        <v>45809</v>
      </c>
      <c r="H89" s="160">
        <v>45839</v>
      </c>
      <c r="I89" s="254">
        <v>45870</v>
      </c>
      <c r="J89" s="160">
        <v>45901</v>
      </c>
      <c r="K89" s="160">
        <v>45931</v>
      </c>
      <c r="L89" s="160">
        <v>46082</v>
      </c>
      <c r="M89" t="s">
        <v>2349</v>
      </c>
      <c r="N89" s="175" t="s">
        <v>2318</v>
      </c>
    </row>
    <row r="90" spans="1:14">
      <c r="A90" t="s">
        <v>2612</v>
      </c>
      <c r="B90" s="40"/>
      <c r="C90" s="40"/>
      <c r="D90" s="40"/>
      <c r="E90" s="40"/>
      <c r="F90" s="40"/>
      <c r="G90" s="40"/>
      <c r="H90" s="40"/>
      <c r="I90" s="40"/>
      <c r="J90" s="40"/>
      <c r="K90" s="40"/>
      <c r="L90" s="40"/>
      <c r="M90" s="40">
        <v>1</v>
      </c>
      <c r="N90" s="40">
        <v>1</v>
      </c>
    </row>
    <row r="91" spans="1:14">
      <c r="A91" t="s">
        <v>2607</v>
      </c>
      <c r="B91" s="40">
        <v>19</v>
      </c>
      <c r="C91" s="40"/>
      <c r="D91" s="40">
        <v>2</v>
      </c>
      <c r="E91" s="40">
        <v>2</v>
      </c>
      <c r="F91" s="40">
        <v>1</v>
      </c>
      <c r="G91" s="40">
        <v>1</v>
      </c>
      <c r="H91" s="40"/>
      <c r="I91" s="40">
        <v>1</v>
      </c>
      <c r="J91" s="40"/>
      <c r="K91" s="40"/>
      <c r="L91" s="40"/>
      <c r="M91" s="40">
        <v>10</v>
      </c>
      <c r="N91" s="40">
        <v>36</v>
      </c>
    </row>
    <row r="92" spans="1:14">
      <c r="A92" t="s">
        <v>2608</v>
      </c>
      <c r="B92" s="40"/>
      <c r="C92" s="40"/>
      <c r="D92" s="40">
        <v>1</v>
      </c>
      <c r="E92" s="40"/>
      <c r="F92" s="40"/>
      <c r="G92" s="40"/>
      <c r="H92" s="40"/>
      <c r="I92" s="40"/>
      <c r="J92" s="40"/>
      <c r="K92" s="40"/>
      <c r="L92" s="40"/>
      <c r="M92" s="40">
        <v>6</v>
      </c>
      <c r="N92" s="40">
        <v>7</v>
      </c>
    </row>
    <row r="93" spans="1:14">
      <c r="A93" t="s">
        <v>2609</v>
      </c>
      <c r="B93" s="40">
        <v>8</v>
      </c>
      <c r="C93" s="40">
        <v>1</v>
      </c>
      <c r="D93" s="40">
        <v>3</v>
      </c>
      <c r="E93" s="40"/>
      <c r="F93" s="40">
        <v>2</v>
      </c>
      <c r="G93" s="40"/>
      <c r="H93" s="40"/>
      <c r="I93" s="40"/>
      <c r="J93" s="40">
        <v>1</v>
      </c>
      <c r="K93" s="40">
        <v>2</v>
      </c>
      <c r="L93" s="40"/>
      <c r="M93" s="40">
        <v>16</v>
      </c>
      <c r="N93" s="40">
        <v>33</v>
      </c>
    </row>
    <row r="94" spans="1:14">
      <c r="A94" t="s">
        <v>2610</v>
      </c>
      <c r="B94" s="40">
        <v>2</v>
      </c>
      <c r="C94" s="40"/>
      <c r="D94" s="40"/>
      <c r="E94" s="40"/>
      <c r="F94" s="40">
        <v>1</v>
      </c>
      <c r="G94" s="40"/>
      <c r="H94" s="40">
        <v>1</v>
      </c>
      <c r="I94" s="40">
        <v>1</v>
      </c>
      <c r="J94" s="40"/>
      <c r="K94" s="40"/>
      <c r="L94" s="40">
        <v>1</v>
      </c>
      <c r="M94" s="40">
        <v>3</v>
      </c>
      <c r="N94" s="40">
        <v>9</v>
      </c>
    </row>
    <row r="95" spans="1:14">
      <c r="A95" t="s">
        <v>2611</v>
      </c>
      <c r="B95" s="40">
        <v>1</v>
      </c>
      <c r="C95" s="40"/>
      <c r="D95" s="40"/>
      <c r="E95" s="40"/>
      <c r="F95" s="40"/>
      <c r="G95" s="40"/>
      <c r="H95" s="40"/>
      <c r="I95" s="40"/>
      <c r="J95" s="40"/>
      <c r="K95" s="40"/>
      <c r="L95" s="40"/>
      <c r="M95" s="40">
        <v>1</v>
      </c>
      <c r="N95" s="40">
        <v>2</v>
      </c>
    </row>
    <row r="96" spans="1:14">
      <c r="A96" s="175" t="s">
        <v>2318</v>
      </c>
      <c r="B96" s="175">
        <v>30</v>
      </c>
      <c r="C96" s="175">
        <v>1</v>
      </c>
      <c r="D96" s="175">
        <v>6</v>
      </c>
      <c r="E96" s="175">
        <v>2</v>
      </c>
      <c r="F96" s="175">
        <v>4</v>
      </c>
      <c r="G96" s="175">
        <v>1</v>
      </c>
      <c r="H96" s="175">
        <v>1</v>
      </c>
      <c r="I96" s="175">
        <v>2</v>
      </c>
      <c r="J96" s="175">
        <v>1</v>
      </c>
      <c r="K96" s="175">
        <v>2</v>
      </c>
      <c r="L96" s="175">
        <v>1</v>
      </c>
      <c r="M96" s="175">
        <v>37</v>
      </c>
      <c r="N96" s="175">
        <v>88</v>
      </c>
    </row>
    <row r="112" spans="1:11" ht="20.25">
      <c r="A112" s="596" t="s">
        <v>2635</v>
      </c>
      <c r="B112" s="596"/>
      <c r="C112" s="596"/>
      <c r="D112" s="596"/>
      <c r="E112" s="596"/>
      <c r="F112" s="596"/>
      <c r="G112" s="596"/>
      <c r="H112" s="596"/>
      <c r="I112" s="596"/>
      <c r="J112" s="596"/>
      <c r="K112" s="596"/>
    </row>
    <row r="116" spans="1:6">
      <c r="A116" s="165" t="s">
        <v>2574</v>
      </c>
      <c r="B116" s="165" t="s">
        <v>445</v>
      </c>
      <c r="C116" s="165"/>
      <c r="D116" s="165"/>
      <c r="E116" s="165"/>
    </row>
    <row r="117" spans="1:6">
      <c r="A117" s="172" t="s">
        <v>7</v>
      </c>
      <c r="B117" s="174">
        <v>45689</v>
      </c>
      <c r="C117" s="174">
        <v>45717</v>
      </c>
      <c r="D117" s="174">
        <v>45748</v>
      </c>
      <c r="E117" s="177" t="s">
        <v>2318</v>
      </c>
      <c r="F117" s="176" t="s">
        <v>2599</v>
      </c>
    </row>
    <row r="118" spans="1:6">
      <c r="A118" t="s">
        <v>48</v>
      </c>
      <c r="B118" s="40">
        <v>1</v>
      </c>
      <c r="C118" s="40">
        <v>1</v>
      </c>
      <c r="D118" s="40">
        <v>1</v>
      </c>
      <c r="E118" s="40">
        <v>3</v>
      </c>
      <c r="F118" s="178" t="e">
        <f>E118/$E$125</f>
        <v>#DIV/0!</v>
      </c>
    </row>
    <row r="119" spans="1:6">
      <c r="A119" t="s">
        <v>42</v>
      </c>
      <c r="B119" s="40">
        <v>2</v>
      </c>
      <c r="C119" s="40"/>
      <c r="D119" s="40"/>
      <c r="E119" s="40">
        <v>2</v>
      </c>
      <c r="F119" s="178" t="e">
        <f t="shared" ref="F119:F124" si="0">E119/$E$125</f>
        <v>#DIV/0!</v>
      </c>
    </row>
    <row r="120" spans="1:6">
      <c r="A120" t="s">
        <v>35</v>
      </c>
      <c r="B120" s="40">
        <v>1</v>
      </c>
      <c r="C120" s="40"/>
      <c r="D120" s="40"/>
      <c r="E120" s="40">
        <v>1</v>
      </c>
      <c r="F120" s="178" t="e">
        <f t="shared" si="0"/>
        <v>#DIV/0!</v>
      </c>
    </row>
    <row r="121" spans="1:6">
      <c r="A121" t="s">
        <v>28</v>
      </c>
      <c r="B121" s="40"/>
      <c r="C121" s="40"/>
      <c r="D121" s="40">
        <v>1</v>
      </c>
      <c r="E121" s="40">
        <v>1</v>
      </c>
      <c r="F121" s="178" t="e">
        <f t="shared" si="0"/>
        <v>#DIV/0!</v>
      </c>
    </row>
    <row r="122" spans="1:6">
      <c r="A122" s="166" t="s">
        <v>2318</v>
      </c>
      <c r="B122" s="166">
        <v>4</v>
      </c>
      <c r="C122" s="166">
        <v>1</v>
      </c>
      <c r="D122" s="166">
        <v>2</v>
      </c>
      <c r="E122" s="166">
        <v>7</v>
      </c>
      <c r="F122" s="178" t="e">
        <f t="shared" si="0"/>
        <v>#DIV/0!</v>
      </c>
    </row>
    <row r="123" spans="1:6">
      <c r="F123" s="178" t="e">
        <f t="shared" si="0"/>
        <v>#DIV/0!</v>
      </c>
    </row>
    <row r="124" spans="1:6">
      <c r="F124" s="178" t="e">
        <f t="shared" si="0"/>
        <v>#DIV/0!</v>
      </c>
    </row>
    <row r="125" spans="1:6">
      <c r="F125" s="179" t="e">
        <f>SUM(F118:F124)</f>
        <v>#DIV/0!</v>
      </c>
    </row>
    <row r="131" spans="1:14">
      <c r="A131" s="24" t="s">
        <v>7</v>
      </c>
      <c r="B131" t="s">
        <v>53</v>
      </c>
    </row>
    <row r="133" spans="1:14">
      <c r="A133" s="172" t="s">
        <v>2574</v>
      </c>
      <c r="B133" s="172" t="s">
        <v>445</v>
      </c>
      <c r="C133" s="172"/>
      <c r="D133" s="172"/>
      <c r="E133" s="172"/>
      <c r="F133" s="172"/>
      <c r="G133" s="172"/>
      <c r="H133" s="172"/>
      <c r="I133" s="172"/>
      <c r="J133" s="172"/>
      <c r="K133" s="172"/>
      <c r="L133" s="172"/>
      <c r="M133" s="172"/>
      <c r="N133" s="172"/>
    </row>
    <row r="134" spans="1:14">
      <c r="A134" s="166" t="s">
        <v>5</v>
      </c>
      <c r="B134" s="166" t="s">
        <v>521</v>
      </c>
      <c r="C134" s="167">
        <v>45689</v>
      </c>
      <c r="D134" s="167">
        <v>45717</v>
      </c>
      <c r="E134" s="167">
        <v>45748</v>
      </c>
      <c r="F134" s="160">
        <v>45778</v>
      </c>
      <c r="G134" s="160">
        <v>45809</v>
      </c>
      <c r="H134" s="160">
        <v>45839</v>
      </c>
      <c r="I134" s="167">
        <v>45870</v>
      </c>
      <c r="J134" s="160">
        <v>45901</v>
      </c>
      <c r="K134" s="160">
        <v>45931</v>
      </c>
      <c r="L134" s="160">
        <v>46082</v>
      </c>
      <c r="M134" t="s">
        <v>2349</v>
      </c>
      <c r="N134" s="166" t="s">
        <v>2318</v>
      </c>
    </row>
    <row r="135" spans="1:14">
      <c r="A135" s="173" t="s">
        <v>40</v>
      </c>
      <c r="B135" s="173">
        <v>10</v>
      </c>
      <c r="C135" s="173">
        <v>1</v>
      </c>
      <c r="D135" s="173">
        <v>2</v>
      </c>
      <c r="E135" s="173"/>
      <c r="F135" s="173">
        <v>2</v>
      </c>
      <c r="G135" s="173"/>
      <c r="H135" s="173">
        <v>1</v>
      </c>
      <c r="I135" s="173">
        <v>2</v>
      </c>
      <c r="J135" s="173"/>
      <c r="K135" s="173">
        <v>2</v>
      </c>
      <c r="L135" s="173"/>
      <c r="M135" s="173">
        <v>16</v>
      </c>
      <c r="N135" s="173">
        <v>36</v>
      </c>
    </row>
    <row r="136" spans="1:14">
      <c r="A136" s="173" t="s">
        <v>59</v>
      </c>
      <c r="B136" s="173">
        <v>8</v>
      </c>
      <c r="C136" s="173"/>
      <c r="D136" s="173"/>
      <c r="E136" s="173"/>
      <c r="F136" s="173"/>
      <c r="G136" s="173"/>
      <c r="H136" s="173"/>
      <c r="I136" s="173"/>
      <c r="J136" s="173"/>
      <c r="K136" s="173"/>
      <c r="L136" s="173"/>
      <c r="M136" s="173">
        <v>4</v>
      </c>
      <c r="N136" s="173">
        <v>12</v>
      </c>
    </row>
    <row r="137" spans="1:14">
      <c r="A137" s="173" t="s">
        <v>33</v>
      </c>
      <c r="B137" s="173">
        <v>5</v>
      </c>
      <c r="C137" s="173"/>
      <c r="D137" s="173">
        <v>1</v>
      </c>
      <c r="E137" s="173"/>
      <c r="F137" s="173"/>
      <c r="G137" s="173"/>
      <c r="H137" s="173"/>
      <c r="I137" s="173"/>
      <c r="J137" s="173">
        <v>1</v>
      </c>
      <c r="K137" s="173"/>
      <c r="L137" s="173"/>
      <c r="M137" s="173">
        <v>5</v>
      </c>
      <c r="N137" s="173">
        <v>12</v>
      </c>
    </row>
    <row r="138" spans="1:14">
      <c r="A138" s="173" t="s">
        <v>26</v>
      </c>
      <c r="B138" s="173">
        <v>2</v>
      </c>
      <c r="C138" s="173"/>
      <c r="D138" s="173"/>
      <c r="E138" s="173">
        <v>1</v>
      </c>
      <c r="F138" s="173">
        <v>2</v>
      </c>
      <c r="G138" s="173">
        <v>1</v>
      </c>
      <c r="H138" s="173"/>
      <c r="I138" s="173"/>
      <c r="J138" s="173"/>
      <c r="K138" s="173"/>
      <c r="L138" s="173"/>
      <c r="M138" s="173">
        <v>2</v>
      </c>
      <c r="N138" s="173">
        <v>8</v>
      </c>
    </row>
    <row r="139" spans="1:14">
      <c r="A139" s="173" t="s">
        <v>62</v>
      </c>
      <c r="B139" s="173">
        <v>1</v>
      </c>
      <c r="C139" s="173"/>
      <c r="D139" s="173">
        <v>1</v>
      </c>
      <c r="E139" s="173">
        <v>1</v>
      </c>
      <c r="F139" s="173"/>
      <c r="G139" s="173"/>
      <c r="H139" s="173"/>
      <c r="I139" s="173"/>
      <c r="J139" s="173"/>
      <c r="K139" s="173"/>
      <c r="L139" s="173"/>
      <c r="M139" s="173">
        <v>4</v>
      </c>
      <c r="N139" s="173">
        <v>7</v>
      </c>
    </row>
    <row r="140" spans="1:14">
      <c r="A140" s="173" t="s">
        <v>108</v>
      </c>
      <c r="B140" s="173">
        <v>2</v>
      </c>
      <c r="C140" s="173"/>
      <c r="D140" s="173"/>
      <c r="E140" s="173"/>
      <c r="F140" s="173"/>
      <c r="G140" s="173"/>
      <c r="H140" s="173"/>
      <c r="I140" s="173"/>
      <c r="J140" s="173"/>
      <c r="K140" s="173"/>
      <c r="L140" s="173">
        <v>1</v>
      </c>
      <c r="M140" s="173">
        <v>3</v>
      </c>
      <c r="N140" s="173">
        <v>6</v>
      </c>
    </row>
    <row r="141" spans="1:14">
      <c r="A141" s="173" t="s">
        <v>82</v>
      </c>
      <c r="B141" s="173">
        <v>1</v>
      </c>
      <c r="C141" s="173"/>
      <c r="D141" s="173"/>
      <c r="E141" s="173"/>
      <c r="F141" s="173"/>
      <c r="G141" s="173"/>
      <c r="H141" s="173"/>
      <c r="I141" s="173"/>
      <c r="J141" s="173"/>
      <c r="K141" s="173"/>
      <c r="L141" s="173"/>
      <c r="M141" s="173">
        <v>2</v>
      </c>
      <c r="N141" s="173">
        <v>3</v>
      </c>
    </row>
    <row r="142" spans="1:14">
      <c r="A142" t="s">
        <v>46</v>
      </c>
      <c r="B142" s="562"/>
      <c r="C142" s="562"/>
      <c r="D142" s="562">
        <v>1</v>
      </c>
      <c r="E142" s="562"/>
      <c r="F142" s="562"/>
      <c r="G142" s="562"/>
      <c r="H142" s="562"/>
      <c r="I142" s="562"/>
      <c r="J142" s="562"/>
      <c r="K142" s="562"/>
      <c r="L142" s="562"/>
      <c r="M142" s="562">
        <v>1</v>
      </c>
      <c r="N142" s="562">
        <v>2</v>
      </c>
    </row>
    <row r="143" spans="1:14">
      <c r="A143" s="173" t="s">
        <v>52</v>
      </c>
      <c r="B143" s="173">
        <v>1</v>
      </c>
      <c r="C143" s="173"/>
      <c r="D143" s="173">
        <v>1</v>
      </c>
      <c r="E143" s="173"/>
      <c r="F143" s="173"/>
      <c r="G143" s="173"/>
      <c r="H143" s="173"/>
      <c r="I143" s="173"/>
      <c r="J143" s="173"/>
      <c r="K143" s="173"/>
      <c r="L143" s="173"/>
      <c r="M143" s="173"/>
      <c r="N143" s="173">
        <v>2</v>
      </c>
    </row>
    <row r="144" spans="1:14">
      <c r="A144" s="180" t="s">
        <v>2318</v>
      </c>
      <c r="B144" s="180">
        <v>30</v>
      </c>
      <c r="C144" s="180">
        <v>1</v>
      </c>
      <c r="D144" s="180">
        <v>6</v>
      </c>
      <c r="E144" s="180">
        <v>2</v>
      </c>
      <c r="F144" s="180">
        <v>4</v>
      </c>
      <c r="G144" s="180">
        <v>1</v>
      </c>
      <c r="H144" s="180">
        <v>1</v>
      </c>
      <c r="I144" s="180">
        <v>2</v>
      </c>
      <c r="J144" s="180">
        <v>1</v>
      </c>
      <c r="K144" s="180">
        <v>2</v>
      </c>
      <c r="L144" s="180">
        <v>1</v>
      </c>
      <c r="M144" s="180">
        <v>37</v>
      </c>
      <c r="N144" s="180">
        <v>88</v>
      </c>
    </row>
    <row r="152" spans="1:14" ht="20.25">
      <c r="A152" s="596" t="s">
        <v>2636</v>
      </c>
      <c r="B152" s="596"/>
      <c r="C152" s="596"/>
      <c r="D152" s="596"/>
      <c r="E152" s="596"/>
      <c r="F152" s="596"/>
      <c r="G152" s="596"/>
      <c r="H152" s="596"/>
      <c r="I152" s="596"/>
      <c r="J152" s="596"/>
    </row>
    <row r="155" spans="1:14">
      <c r="A155" s="181" t="s">
        <v>445</v>
      </c>
      <c r="B155" s="40" t="s">
        <v>521</v>
      </c>
    </row>
    <row r="157" spans="1:14">
      <c r="A157" s="175" t="s">
        <v>2574</v>
      </c>
      <c r="B157" s="175" t="s">
        <v>404</v>
      </c>
      <c r="C157" s="175" t="s">
        <v>394</v>
      </c>
      <c r="D157" s="175"/>
      <c r="E157" s="175"/>
      <c r="F157" s="175"/>
      <c r="G157" s="175"/>
      <c r="H157" s="175"/>
      <c r="I157" s="175"/>
      <c r="J157" s="175"/>
      <c r="K157" s="175"/>
    </row>
    <row r="158" spans="1:14" s="1" customFormat="1" ht="15" customHeight="1">
      <c r="A158" s="175"/>
      <c r="B158" s="166" t="s">
        <v>533</v>
      </c>
      <c r="C158" s="166"/>
      <c r="D158" s="166"/>
      <c r="E158" s="166" t="s">
        <v>500</v>
      </c>
      <c r="F158" s="166"/>
      <c r="G158" s="166"/>
      <c r="H158" s="166"/>
      <c r="I158" s="166" t="s">
        <v>713</v>
      </c>
      <c r="J158" s="166"/>
      <c r="K158" s="166" t="s">
        <v>2318</v>
      </c>
      <c r="L158"/>
      <c r="M158"/>
      <c r="N158"/>
    </row>
    <row r="159" spans="1:14">
      <c r="A159" s="175" t="s">
        <v>7</v>
      </c>
      <c r="B159" s="166" t="s">
        <v>531</v>
      </c>
      <c r="C159" s="166" t="s">
        <v>497</v>
      </c>
      <c r="D159" s="166" t="s">
        <v>599</v>
      </c>
      <c r="E159" s="166" t="s">
        <v>531</v>
      </c>
      <c r="F159" s="166" t="s">
        <v>497</v>
      </c>
      <c r="G159" s="166" t="s">
        <v>599</v>
      </c>
      <c r="H159" s="166" t="s">
        <v>780</v>
      </c>
      <c r="I159" s="166" t="s">
        <v>497</v>
      </c>
      <c r="J159" s="166" t="s">
        <v>599</v>
      </c>
      <c r="K159" s="166"/>
    </row>
    <row r="160" spans="1:14">
      <c r="A160" s="40" t="s">
        <v>48</v>
      </c>
      <c r="B160" s="173">
        <v>1</v>
      </c>
      <c r="C160" s="173">
        <v>3</v>
      </c>
      <c r="D160" s="173"/>
      <c r="E160" s="173">
        <v>4</v>
      </c>
      <c r="F160" s="173">
        <v>13</v>
      </c>
      <c r="G160" s="173">
        <v>1</v>
      </c>
      <c r="H160" s="173"/>
      <c r="I160" s="173"/>
      <c r="J160" s="173">
        <v>1</v>
      </c>
      <c r="K160" s="173">
        <v>23</v>
      </c>
    </row>
    <row r="161" spans="1:21">
      <c r="A161" s="40" t="s">
        <v>87</v>
      </c>
      <c r="B161" s="173"/>
      <c r="C161" s="173"/>
      <c r="D161" s="173">
        <v>1</v>
      </c>
      <c r="E161" s="173"/>
      <c r="F161" s="173">
        <v>1</v>
      </c>
      <c r="G161" s="173">
        <v>1</v>
      </c>
      <c r="H161" s="173"/>
      <c r="I161" s="173"/>
      <c r="J161" s="173"/>
      <c r="K161" s="173">
        <v>3</v>
      </c>
    </row>
    <row r="162" spans="1:21">
      <c r="A162" s="40" t="s">
        <v>42</v>
      </c>
      <c r="B162" s="173"/>
      <c r="C162" s="173">
        <v>1</v>
      </c>
      <c r="D162" s="173"/>
      <c r="E162" s="173"/>
      <c r="F162" s="173"/>
      <c r="G162" s="173">
        <v>1</v>
      </c>
      <c r="H162" s="173"/>
      <c r="I162" s="173">
        <v>2</v>
      </c>
      <c r="J162" s="173"/>
      <c r="K162" s="173">
        <v>4</v>
      </c>
    </row>
    <row r="163" spans="1:21">
      <c r="A163" s="40" t="s">
        <v>35</v>
      </c>
      <c r="B163" s="173"/>
      <c r="C163" s="173"/>
      <c r="D163" s="173"/>
      <c r="E163" s="173"/>
      <c r="F163" s="173">
        <v>7</v>
      </c>
      <c r="G163" s="173">
        <v>1</v>
      </c>
      <c r="H163" s="173">
        <v>1</v>
      </c>
      <c r="I163" s="173"/>
      <c r="J163" s="173"/>
      <c r="K163" s="173">
        <v>9</v>
      </c>
    </row>
    <row r="164" spans="1:21">
      <c r="A164" s="40" t="s">
        <v>28</v>
      </c>
      <c r="B164" s="173"/>
      <c r="C164" s="173">
        <v>1</v>
      </c>
      <c r="D164" s="173">
        <v>1</v>
      </c>
      <c r="E164" s="173">
        <v>2</v>
      </c>
      <c r="F164" s="173">
        <v>3</v>
      </c>
      <c r="G164" s="173"/>
      <c r="H164" s="173">
        <v>2</v>
      </c>
      <c r="I164" s="173">
        <v>2</v>
      </c>
      <c r="J164" s="173"/>
      <c r="K164" s="173">
        <v>11</v>
      </c>
    </row>
    <row r="165" spans="1:21">
      <c r="A165" s="175" t="s">
        <v>2318</v>
      </c>
      <c r="B165" s="166">
        <v>1</v>
      </c>
      <c r="C165" s="166">
        <v>5</v>
      </c>
      <c r="D165" s="166">
        <v>2</v>
      </c>
      <c r="E165" s="166">
        <v>6</v>
      </c>
      <c r="F165" s="166">
        <v>24</v>
      </c>
      <c r="G165" s="166">
        <v>4</v>
      </c>
      <c r="H165" s="166">
        <v>3</v>
      </c>
      <c r="I165" s="166">
        <v>4</v>
      </c>
      <c r="J165" s="166">
        <v>1</v>
      </c>
      <c r="K165" s="166">
        <v>50</v>
      </c>
    </row>
    <row r="170" spans="1:21">
      <c r="A170" s="181" t="s">
        <v>445</v>
      </c>
      <c r="B170" s="40" t="s">
        <v>521</v>
      </c>
    </row>
    <row r="172" spans="1:21">
      <c r="A172" s="175" t="s">
        <v>2574</v>
      </c>
      <c r="B172" s="181" t="s">
        <v>426</v>
      </c>
      <c r="C172" s="175"/>
      <c r="D172" s="175"/>
      <c r="E172" s="175"/>
      <c r="F172" s="175"/>
      <c r="G172" s="175"/>
      <c r="H172" s="175"/>
      <c r="I172" s="175"/>
      <c r="J172" s="175"/>
      <c r="K172" s="175"/>
      <c r="L172" s="175"/>
      <c r="M172" s="175"/>
      <c r="N172" s="175"/>
      <c r="O172" s="175"/>
      <c r="P172" s="175"/>
      <c r="Q172" s="175"/>
      <c r="R172" s="175"/>
      <c r="S172" s="175"/>
      <c r="T172" s="175"/>
      <c r="U172" s="175"/>
    </row>
    <row r="173" spans="1:21">
      <c r="A173" s="175" t="s">
        <v>7</v>
      </c>
      <c r="B173" s="40" t="s">
        <v>2637</v>
      </c>
      <c r="C173" s="175" t="s">
        <v>2638</v>
      </c>
      <c r="D173" s="40" t="s">
        <v>2639</v>
      </c>
      <c r="E173" s="40" t="s">
        <v>2640</v>
      </c>
      <c r="F173" s="175" t="s">
        <v>2641</v>
      </c>
      <c r="G173" s="175" t="s">
        <v>2642</v>
      </c>
      <c r="H173" s="175" t="s">
        <v>2643</v>
      </c>
      <c r="I173" s="40" t="s">
        <v>2644</v>
      </c>
      <c r="J173" s="40" t="s">
        <v>2645</v>
      </c>
      <c r="K173" s="175" t="s">
        <v>2646</v>
      </c>
      <c r="L173" s="175" t="s">
        <v>2647</v>
      </c>
      <c r="M173" s="175" t="s">
        <v>2648</v>
      </c>
      <c r="N173" s="40" t="s">
        <v>2649</v>
      </c>
      <c r="O173" s="40" t="s">
        <v>2608</v>
      </c>
      <c r="P173" s="40" t="s">
        <v>2609</v>
      </c>
      <c r="Q173" s="40" t="s">
        <v>2650</v>
      </c>
      <c r="R173" s="40" t="s">
        <v>2611</v>
      </c>
      <c r="S173" s="40" t="s">
        <v>2610</v>
      </c>
      <c r="T173" s="40" t="s">
        <v>2651</v>
      </c>
      <c r="U173" s="166" t="s">
        <v>2318</v>
      </c>
    </row>
    <row r="174" spans="1:21">
      <c r="A174" s="40" t="s">
        <v>48</v>
      </c>
      <c r="B174" s="173"/>
      <c r="C174" s="173">
        <v>14</v>
      </c>
      <c r="D174" s="173"/>
      <c r="E174" s="173"/>
      <c r="F174" s="173"/>
      <c r="G174" s="173">
        <v>1</v>
      </c>
      <c r="H174" s="173"/>
      <c r="I174" s="173"/>
      <c r="J174" s="173">
        <v>1</v>
      </c>
      <c r="K174" s="173"/>
      <c r="L174" s="173">
        <v>2</v>
      </c>
      <c r="M174" s="173">
        <v>1</v>
      </c>
      <c r="N174" s="173">
        <v>1</v>
      </c>
      <c r="O174" s="173">
        <v>1</v>
      </c>
      <c r="P174" s="173"/>
      <c r="Q174" s="173"/>
      <c r="R174" s="173"/>
      <c r="S174" s="173">
        <v>2</v>
      </c>
      <c r="T174" s="173"/>
      <c r="U174" s="173">
        <v>23</v>
      </c>
    </row>
    <row r="175" spans="1:21">
      <c r="A175" s="40" t="s">
        <v>87</v>
      </c>
      <c r="B175" s="173"/>
      <c r="C175" s="173"/>
      <c r="D175" s="173"/>
      <c r="E175" s="173"/>
      <c r="F175" s="173"/>
      <c r="G175" s="173"/>
      <c r="H175" s="173"/>
      <c r="I175" s="173"/>
      <c r="J175" s="173"/>
      <c r="K175" s="173"/>
      <c r="L175" s="173"/>
      <c r="M175" s="173"/>
      <c r="N175" s="173"/>
      <c r="O175" s="173"/>
      <c r="P175" s="173"/>
      <c r="Q175" s="173"/>
      <c r="R175" s="173">
        <v>2</v>
      </c>
      <c r="S175" s="173"/>
      <c r="T175" s="173">
        <v>1</v>
      </c>
      <c r="U175" s="173">
        <v>3</v>
      </c>
    </row>
    <row r="176" spans="1:21">
      <c r="A176" s="40" t="s">
        <v>42</v>
      </c>
      <c r="B176" s="173"/>
      <c r="C176" s="173"/>
      <c r="D176" s="173"/>
      <c r="E176" s="173"/>
      <c r="F176" s="173">
        <v>1</v>
      </c>
      <c r="G176" s="173"/>
      <c r="H176" s="173"/>
      <c r="I176" s="173"/>
      <c r="J176" s="173"/>
      <c r="K176" s="173"/>
      <c r="L176" s="173">
        <v>2</v>
      </c>
      <c r="M176" s="173">
        <v>1</v>
      </c>
      <c r="N176" s="173"/>
      <c r="O176" s="173"/>
      <c r="P176" s="173"/>
      <c r="Q176" s="173"/>
      <c r="R176" s="173"/>
      <c r="S176" s="173"/>
      <c r="T176" s="173"/>
      <c r="U176" s="173">
        <v>4</v>
      </c>
    </row>
    <row r="177" spans="1:21">
      <c r="A177" s="40" t="s">
        <v>35</v>
      </c>
      <c r="B177" s="173"/>
      <c r="C177" s="173"/>
      <c r="D177" s="173"/>
      <c r="E177" s="173">
        <v>1</v>
      </c>
      <c r="F177" s="173"/>
      <c r="G177" s="173"/>
      <c r="H177" s="173">
        <v>1</v>
      </c>
      <c r="I177" s="173">
        <v>2</v>
      </c>
      <c r="J177" s="173"/>
      <c r="K177" s="173"/>
      <c r="L177" s="173">
        <v>1</v>
      </c>
      <c r="M177" s="173"/>
      <c r="N177" s="173">
        <v>2</v>
      </c>
      <c r="O177" s="173"/>
      <c r="P177" s="173">
        <v>1</v>
      </c>
      <c r="Q177" s="173">
        <v>1</v>
      </c>
      <c r="R177" s="173"/>
      <c r="S177" s="173"/>
      <c r="T177" s="173"/>
      <c r="U177" s="173">
        <v>9</v>
      </c>
    </row>
    <row r="178" spans="1:21">
      <c r="A178" s="40" t="s">
        <v>28</v>
      </c>
      <c r="B178" s="173">
        <v>1</v>
      </c>
      <c r="C178" s="173">
        <v>7</v>
      </c>
      <c r="D178" s="173">
        <v>1</v>
      </c>
      <c r="E178" s="173"/>
      <c r="F178" s="173"/>
      <c r="G178" s="173"/>
      <c r="H178" s="173"/>
      <c r="I178" s="173"/>
      <c r="J178" s="173"/>
      <c r="K178" s="173">
        <v>1</v>
      </c>
      <c r="L178" s="173"/>
      <c r="M178" s="173">
        <v>1</v>
      </c>
      <c r="N178" s="173"/>
      <c r="O178" s="173"/>
      <c r="P178" s="173"/>
      <c r="Q178" s="173"/>
      <c r="R178" s="173"/>
      <c r="S178" s="173"/>
      <c r="T178" s="173"/>
      <c r="U178" s="173">
        <v>11</v>
      </c>
    </row>
    <row r="179" spans="1:21">
      <c r="A179" s="175" t="s">
        <v>2318</v>
      </c>
      <c r="B179" s="166">
        <v>1</v>
      </c>
      <c r="C179" s="166">
        <v>21</v>
      </c>
      <c r="D179" s="166">
        <v>1</v>
      </c>
      <c r="E179" s="166">
        <v>1</v>
      </c>
      <c r="F179" s="166">
        <v>1</v>
      </c>
      <c r="G179" s="166">
        <v>1</v>
      </c>
      <c r="H179" s="166">
        <v>1</v>
      </c>
      <c r="I179" s="166">
        <v>2</v>
      </c>
      <c r="J179" s="166">
        <v>1</v>
      </c>
      <c r="K179" s="166">
        <v>1</v>
      </c>
      <c r="L179" s="166">
        <v>5</v>
      </c>
      <c r="M179" s="166">
        <v>3</v>
      </c>
      <c r="N179" s="166">
        <v>3</v>
      </c>
      <c r="O179" s="166">
        <v>1</v>
      </c>
      <c r="P179" s="166">
        <v>1</v>
      </c>
      <c r="Q179" s="166">
        <v>1</v>
      </c>
      <c r="R179" s="166">
        <v>2</v>
      </c>
      <c r="S179" s="166">
        <v>2</v>
      </c>
      <c r="T179" s="166">
        <v>1</v>
      </c>
      <c r="U179" s="166">
        <v>50</v>
      </c>
    </row>
    <row r="188" spans="1:21">
      <c r="A188" s="175" t="s">
        <v>394</v>
      </c>
      <c r="B188" s="40" t="s">
        <v>780</v>
      </c>
    </row>
    <row r="190" spans="1:21">
      <c r="A190" s="175" t="s">
        <v>2574</v>
      </c>
      <c r="B190" s="181" t="s">
        <v>439</v>
      </c>
      <c r="C190" s="175"/>
      <c r="D190" s="175"/>
      <c r="E190" s="175"/>
      <c r="F190" s="175"/>
      <c r="G190" s="175"/>
    </row>
    <row r="191" spans="1:21" ht="45">
      <c r="A191" s="175" t="s">
        <v>7</v>
      </c>
      <c r="B191" s="177" t="s">
        <v>1412</v>
      </c>
      <c r="C191" s="177" t="s">
        <v>2652</v>
      </c>
      <c r="D191" s="177" t="s">
        <v>772</v>
      </c>
      <c r="E191" s="177" t="s">
        <v>786</v>
      </c>
      <c r="F191" s="40" t="s">
        <v>2349</v>
      </c>
      <c r="G191" s="166" t="s">
        <v>2318</v>
      </c>
    </row>
    <row r="192" spans="1:21">
      <c r="A192" s="40" t="s">
        <v>48</v>
      </c>
      <c r="B192" s="173"/>
      <c r="C192" s="173"/>
      <c r="D192" s="173"/>
      <c r="E192" s="173">
        <v>1</v>
      </c>
      <c r="F192" s="173"/>
      <c r="G192" s="173">
        <v>1</v>
      </c>
    </row>
    <row r="193" spans="1:7">
      <c r="A193" s="40" t="s">
        <v>42</v>
      </c>
      <c r="B193" s="173">
        <v>1</v>
      </c>
      <c r="C193" s="173"/>
      <c r="D193" s="173"/>
      <c r="E193" s="173"/>
      <c r="F193" s="173"/>
      <c r="G193" s="173">
        <v>1</v>
      </c>
    </row>
    <row r="194" spans="1:7">
      <c r="A194" s="40" t="s">
        <v>35</v>
      </c>
      <c r="B194" s="173"/>
      <c r="C194" s="173"/>
      <c r="D194" s="173"/>
      <c r="E194" s="173">
        <v>2</v>
      </c>
      <c r="F194" s="173"/>
      <c r="G194" s="173">
        <v>2</v>
      </c>
    </row>
    <row r="195" spans="1:7">
      <c r="A195" s="40" t="s">
        <v>53</v>
      </c>
      <c r="B195" s="173">
        <v>1</v>
      </c>
      <c r="C195" s="173">
        <v>1</v>
      </c>
      <c r="D195" s="173"/>
      <c r="E195" s="173">
        <v>3</v>
      </c>
      <c r="F195" s="173">
        <v>1</v>
      </c>
      <c r="G195" s="173">
        <v>6</v>
      </c>
    </row>
    <row r="196" spans="1:7">
      <c r="A196" s="40" t="s">
        <v>28</v>
      </c>
      <c r="B196" s="173"/>
      <c r="C196" s="173"/>
      <c r="D196" s="173">
        <v>2</v>
      </c>
      <c r="E196" s="173">
        <v>1</v>
      </c>
      <c r="F196" s="173"/>
      <c r="G196" s="173">
        <v>3</v>
      </c>
    </row>
    <row r="197" spans="1:7">
      <c r="A197" s="175" t="s">
        <v>2318</v>
      </c>
      <c r="B197" s="166">
        <v>2</v>
      </c>
      <c r="C197" s="166">
        <v>1</v>
      </c>
      <c r="D197" s="166">
        <v>2</v>
      </c>
      <c r="E197" s="166">
        <v>7</v>
      </c>
      <c r="F197" s="166">
        <v>1</v>
      </c>
      <c r="G197" s="166">
        <v>13</v>
      </c>
    </row>
  </sheetData>
  <mergeCells count="3">
    <mergeCell ref="A60:I60"/>
    <mergeCell ref="A112:K112"/>
    <mergeCell ref="A152:J15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1">
    <pageSetUpPr fitToPage="1"/>
  </sheetPr>
  <dimension ref="A3:AV637"/>
  <sheetViews>
    <sheetView topLeftCell="A615" zoomScale="70" zoomScaleNormal="70" workbookViewId="0">
      <selection activeCell="E618" sqref="E618"/>
    </sheetView>
  </sheetViews>
  <sheetFormatPr defaultColWidth="11.42578125" defaultRowHeight="15"/>
  <cols>
    <col min="1" max="1" width="35.7109375" bestFit="1" customWidth="1"/>
    <col min="2" max="2" width="36.140625" customWidth="1"/>
    <col min="3" max="3" width="89.28515625" customWidth="1"/>
    <col min="4" max="4" width="30.7109375" customWidth="1"/>
    <col min="5" max="5" width="16.28515625" customWidth="1"/>
    <col min="6" max="6" width="30.7109375" bestFit="1" customWidth="1"/>
    <col min="7" max="7" width="44.85546875" customWidth="1"/>
    <col min="8" max="8" width="27.5703125" customWidth="1"/>
    <col min="9" max="9" width="17.28515625" customWidth="1"/>
    <col min="18" max="18" width="13.7109375" bestFit="1" customWidth="1"/>
    <col min="47" max="48" width="13.7109375" bestFit="1" customWidth="1"/>
  </cols>
  <sheetData>
    <row r="3" spans="1:7" ht="47.25" customHeight="1">
      <c r="A3" s="597" t="s">
        <v>2653</v>
      </c>
      <c r="B3" s="597"/>
      <c r="C3" s="1"/>
    </row>
    <row r="4" spans="1:7">
      <c r="A4" s="297" t="s">
        <v>7</v>
      </c>
      <c r="B4" s="297" t="s">
        <v>2654</v>
      </c>
      <c r="C4" s="297" t="s">
        <v>2655</v>
      </c>
      <c r="D4" s="297" t="s">
        <v>2656</v>
      </c>
      <c r="F4" s="297" t="s">
        <v>2657</v>
      </c>
      <c r="G4" s="297" t="s">
        <v>2658</v>
      </c>
    </row>
    <row r="5" spans="1:7" ht="27" customHeight="1">
      <c r="A5" s="298" t="s">
        <v>2539</v>
      </c>
      <c r="B5" s="298" t="s">
        <v>2659</v>
      </c>
      <c r="C5" s="299" t="s">
        <v>2660</v>
      </c>
      <c r="D5" s="300" t="s">
        <v>2661</v>
      </c>
      <c r="F5" s="301" t="s">
        <v>2659</v>
      </c>
      <c r="G5" s="301" t="s">
        <v>2662</v>
      </c>
    </row>
    <row r="6" spans="1:7" ht="27" customHeight="1">
      <c r="A6" s="298" t="s">
        <v>340</v>
      </c>
      <c r="B6" s="298" t="s">
        <v>2659</v>
      </c>
      <c r="C6" s="302" t="s">
        <v>2663</v>
      </c>
      <c r="D6" s="34" t="s">
        <v>2661</v>
      </c>
      <c r="F6" s="51" t="s">
        <v>340</v>
      </c>
      <c r="G6" s="51" t="s">
        <v>2662</v>
      </c>
    </row>
    <row r="7" spans="1:7" ht="27" customHeight="1">
      <c r="A7" s="298" t="s">
        <v>48</v>
      </c>
      <c r="B7" s="298" t="s">
        <v>2664</v>
      </c>
      <c r="C7" s="302" t="s">
        <v>2665</v>
      </c>
      <c r="D7" s="34" t="s">
        <v>2265</v>
      </c>
      <c r="F7" s="51" t="s">
        <v>2666</v>
      </c>
      <c r="G7" s="51" t="s">
        <v>2662</v>
      </c>
    </row>
    <row r="8" spans="1:7" ht="27" customHeight="1">
      <c r="A8" s="298" t="s">
        <v>178</v>
      </c>
      <c r="B8" s="298" t="s">
        <v>2664</v>
      </c>
      <c r="C8" s="302" t="s">
        <v>2667</v>
      </c>
      <c r="D8" s="34" t="s">
        <v>2265</v>
      </c>
      <c r="F8" s="51" t="s">
        <v>2666</v>
      </c>
      <c r="G8" s="51" t="s">
        <v>2662</v>
      </c>
    </row>
    <row r="9" spans="1:7" ht="27" customHeight="1">
      <c r="A9" s="298" t="s">
        <v>87</v>
      </c>
      <c r="B9" s="298" t="s">
        <v>2664</v>
      </c>
      <c r="C9" s="302" t="s">
        <v>2668</v>
      </c>
      <c r="D9" s="34" t="s">
        <v>2266</v>
      </c>
      <c r="F9" s="51" t="s">
        <v>2666</v>
      </c>
      <c r="G9" s="51" t="s">
        <v>2662</v>
      </c>
    </row>
    <row r="10" spans="1:7" ht="27" customHeight="1">
      <c r="A10" s="298" t="s">
        <v>42</v>
      </c>
      <c r="B10" s="298" t="s">
        <v>2664</v>
      </c>
      <c r="C10" s="302" t="s">
        <v>2669</v>
      </c>
      <c r="D10" s="34" t="s">
        <v>2266</v>
      </c>
      <c r="F10" s="51" t="s">
        <v>2666</v>
      </c>
      <c r="G10" s="51" t="s">
        <v>2662</v>
      </c>
    </row>
    <row r="11" spans="1:7" ht="27" customHeight="1">
      <c r="A11" s="298" t="s">
        <v>35</v>
      </c>
      <c r="B11" s="298" t="s">
        <v>2664</v>
      </c>
      <c r="C11" s="302" t="s">
        <v>2670</v>
      </c>
      <c r="D11" s="34" t="s">
        <v>2266</v>
      </c>
      <c r="F11" s="51" t="s">
        <v>2666</v>
      </c>
      <c r="G11" s="51" t="s">
        <v>2662</v>
      </c>
    </row>
    <row r="12" spans="1:7" ht="27" customHeight="1">
      <c r="A12" s="298" t="s">
        <v>53</v>
      </c>
      <c r="B12" s="298" t="s">
        <v>2602</v>
      </c>
      <c r="C12" s="302" t="s">
        <v>2671</v>
      </c>
      <c r="D12" s="34" t="s">
        <v>2598</v>
      </c>
      <c r="F12" s="57" t="s">
        <v>2672</v>
      </c>
      <c r="G12" s="57" t="s">
        <v>2673</v>
      </c>
    </row>
    <row r="13" spans="1:7" ht="27" customHeight="1">
      <c r="A13" s="298" t="s">
        <v>502</v>
      </c>
      <c r="B13" s="298" t="s">
        <v>2674</v>
      </c>
      <c r="C13" s="302" t="s">
        <v>2675</v>
      </c>
      <c r="D13" s="34" t="s">
        <v>507</v>
      </c>
      <c r="F13" s="51" t="s">
        <v>2676</v>
      </c>
      <c r="G13" s="51" t="s">
        <v>2677</v>
      </c>
    </row>
    <row r="14" spans="1:7" ht="27" customHeight="1">
      <c r="A14" s="298" t="s">
        <v>28</v>
      </c>
      <c r="B14" s="298" t="s">
        <v>2678</v>
      </c>
      <c r="C14" s="302" t="s">
        <v>2679</v>
      </c>
      <c r="D14" s="34" t="s">
        <v>2661</v>
      </c>
      <c r="F14" s="51" t="s">
        <v>2680</v>
      </c>
      <c r="G14" s="51" t="s">
        <v>2662</v>
      </c>
    </row>
    <row r="15" spans="1:7" ht="27" customHeight="1">
      <c r="A15" s="303" t="s">
        <v>2681</v>
      </c>
      <c r="B15" s="303" t="s">
        <v>2682</v>
      </c>
      <c r="C15" s="304" t="s">
        <v>2683</v>
      </c>
      <c r="D15" s="34" t="s">
        <v>2684</v>
      </c>
      <c r="F15" s="57" t="s">
        <v>2685</v>
      </c>
      <c r="G15" s="57" t="s">
        <v>2686</v>
      </c>
    </row>
    <row r="17" spans="1:6">
      <c r="A17" s="79" t="s">
        <v>2687</v>
      </c>
    </row>
    <row r="18" spans="1:6" ht="30">
      <c r="A18" s="305" t="s">
        <v>2688</v>
      </c>
      <c r="B18" s="305" t="s">
        <v>2689</v>
      </c>
      <c r="C18" s="305" t="s">
        <v>2654</v>
      </c>
      <c r="D18" s="305" t="s">
        <v>2690</v>
      </c>
      <c r="E18" s="305" t="s">
        <v>2691</v>
      </c>
      <c r="F18" s="518" t="s">
        <v>2692</v>
      </c>
    </row>
    <row r="19" spans="1:6" ht="24.75" customHeight="1">
      <c r="A19" s="306" t="s">
        <v>2000</v>
      </c>
      <c r="B19" s="298" t="s">
        <v>340</v>
      </c>
      <c r="C19" s="307" t="s">
        <v>2693</v>
      </c>
      <c r="D19" s="308"/>
      <c r="E19" s="36" t="s">
        <v>2495</v>
      </c>
      <c r="F19" t="str">
        <f>VLOOKUP(Tabla3[[#This Row],[Estado Requerimiento]],$A$549:$B$557,2,FALSE)</f>
        <v>1. DESARROLLO</v>
      </c>
    </row>
    <row r="20" spans="1:6" ht="24.75" customHeight="1">
      <c r="A20" s="322" t="s">
        <v>2686</v>
      </c>
      <c r="B20" s="298" t="s">
        <v>340</v>
      </c>
      <c r="C20" s="298" t="s">
        <v>2693</v>
      </c>
      <c r="D20" s="466" t="s">
        <v>2694</v>
      </c>
      <c r="E20" s="36" t="s">
        <v>2686</v>
      </c>
      <c r="F20" t="str">
        <f>VLOOKUP(Tabla3[[#This Row],[Estado Requerimiento]],$A$549:$B$557,2,FALSE)</f>
        <v>1. DESARROLLO</v>
      </c>
    </row>
    <row r="21" spans="1:6" ht="24.75" customHeight="1">
      <c r="A21" s="306" t="s">
        <v>592</v>
      </c>
      <c r="B21" s="309" t="s">
        <v>48</v>
      </c>
      <c r="C21" s="307" t="s">
        <v>2664</v>
      </c>
      <c r="D21" s="308" t="s">
        <v>2695</v>
      </c>
      <c r="E21" s="36" t="s">
        <v>2495</v>
      </c>
      <c r="F21" t="str">
        <f>VLOOKUP(Tabla3[[#This Row],[Estado Requerimiento]],$A$549:$B$557,2,FALSE)</f>
        <v>1. DESARROLLO</v>
      </c>
    </row>
    <row r="22" spans="1:6" ht="24.75" customHeight="1">
      <c r="A22" s="306" t="s">
        <v>572</v>
      </c>
      <c r="B22" s="309" t="s">
        <v>48</v>
      </c>
      <c r="C22" s="307" t="s">
        <v>2664</v>
      </c>
      <c r="D22" s="308"/>
      <c r="E22" s="36" t="s">
        <v>2495</v>
      </c>
      <c r="F22" t="str">
        <f>VLOOKUP(Tabla3[[#This Row],[Estado Requerimiento]],$A$549:$B$557,2,FALSE)</f>
        <v>1. DESARROLLO</v>
      </c>
    </row>
    <row r="23" spans="1:6" ht="24.75" customHeight="1">
      <c r="A23" s="306" t="s">
        <v>581</v>
      </c>
      <c r="B23" s="309" t="s">
        <v>48</v>
      </c>
      <c r="C23" s="307" t="s">
        <v>2664</v>
      </c>
      <c r="D23" s="308" t="s">
        <v>2696</v>
      </c>
      <c r="E23" s="36" t="s">
        <v>2495</v>
      </c>
      <c r="F23" t="str">
        <f>VLOOKUP(Tabla3[[#This Row],[Estado Requerimiento]],$A$549:$B$557,2,FALSE)</f>
        <v>1. DESARROLLO</v>
      </c>
    </row>
    <row r="24" spans="1:6" ht="24.75" customHeight="1">
      <c r="A24" s="306" t="s">
        <v>1281</v>
      </c>
      <c r="B24" s="298" t="s">
        <v>178</v>
      </c>
      <c r="C24" s="307" t="s">
        <v>2664</v>
      </c>
      <c r="D24" s="308" t="s">
        <v>2697</v>
      </c>
      <c r="E24" s="52" t="s">
        <v>2698</v>
      </c>
      <c r="F24" t="str">
        <f>VLOOKUP(Tabla3[[#This Row],[Estado Requerimiento]],$A$549:$B$557,2,FALSE)</f>
        <v>2. CALIDAD</v>
      </c>
    </row>
    <row r="25" spans="1:6" ht="24.75" customHeight="1">
      <c r="A25" s="312" t="s">
        <v>1260</v>
      </c>
      <c r="B25" s="307" t="s">
        <v>87</v>
      </c>
      <c r="C25" s="307" t="s">
        <v>2664</v>
      </c>
      <c r="D25" s="308"/>
      <c r="E25" s="52" t="s">
        <v>2698</v>
      </c>
      <c r="F25" t="str">
        <f>VLOOKUP(Tabla3[[#This Row],[Estado Requerimiento]],$A$549:$B$557,2,FALSE)</f>
        <v>2. CALIDAD</v>
      </c>
    </row>
    <row r="26" spans="1:6" ht="24.75" customHeight="1">
      <c r="A26" s="312" t="s">
        <v>2026</v>
      </c>
      <c r="B26" s="298" t="s">
        <v>87</v>
      </c>
      <c r="C26" s="307" t="s">
        <v>2664</v>
      </c>
      <c r="D26" s="308" t="s">
        <v>2699</v>
      </c>
      <c r="E26" s="36" t="s">
        <v>2495</v>
      </c>
      <c r="F26" t="str">
        <f>VLOOKUP(Tabla3[[#This Row],[Estado Requerimiento]],$A$549:$B$557,2,FALSE)</f>
        <v>2. CALIDAD</v>
      </c>
    </row>
    <row r="27" spans="1:6" ht="24.75" customHeight="1">
      <c r="A27" s="312" t="s">
        <v>2110</v>
      </c>
      <c r="B27" s="298" t="s">
        <v>87</v>
      </c>
      <c r="C27" s="307" t="s">
        <v>2664</v>
      </c>
      <c r="D27" s="308"/>
      <c r="E27" s="52" t="s">
        <v>2698</v>
      </c>
      <c r="F27" t="str">
        <f>VLOOKUP(Tabla3[[#This Row],[Estado Requerimiento]],$A$549:$B$557,2,FALSE)</f>
        <v>2. CALIDAD</v>
      </c>
    </row>
    <row r="28" spans="1:6" ht="24.75" customHeight="1">
      <c r="A28" s="312" t="s">
        <v>655</v>
      </c>
      <c r="B28" s="298" t="s">
        <v>42</v>
      </c>
      <c r="C28" s="307" t="s">
        <v>2664</v>
      </c>
      <c r="D28" s="308"/>
      <c r="E28" s="52" t="s">
        <v>2698</v>
      </c>
      <c r="F28" t="str">
        <f>VLOOKUP(Tabla3[[#This Row],[Estado Requerimiento]],$A$549:$B$557,2,FALSE)</f>
        <v>2. CALIDAD</v>
      </c>
    </row>
    <row r="29" spans="1:6" ht="24.75" customHeight="1">
      <c r="A29" s="310" t="s">
        <v>734</v>
      </c>
      <c r="B29" s="311" t="s">
        <v>35</v>
      </c>
      <c r="C29" s="307" t="s">
        <v>2664</v>
      </c>
      <c r="D29" s="308"/>
      <c r="E29" s="52" t="s">
        <v>2698</v>
      </c>
      <c r="F29" t="str">
        <f>VLOOKUP(Tabla3[[#This Row],[Estado Requerimiento]],$A$549:$B$557,2,FALSE)</f>
        <v>3. DESPLIEGUE</v>
      </c>
    </row>
    <row r="30" spans="1:6" ht="24.75" customHeight="1">
      <c r="A30" s="314" t="s">
        <v>583</v>
      </c>
      <c r="B30" s="298" t="s">
        <v>35</v>
      </c>
      <c r="C30" s="307" t="s">
        <v>2664</v>
      </c>
      <c r="D30" s="308"/>
      <c r="E30" s="52" t="s">
        <v>2698</v>
      </c>
      <c r="F30" t="str">
        <f>VLOOKUP(Tabla3[[#This Row],[Estado Requerimiento]],$A$549:$B$557,2,FALSE)</f>
        <v>3. DESPLIEGUE</v>
      </c>
    </row>
    <row r="31" spans="1:6" ht="24.75" customHeight="1">
      <c r="A31" s="310" t="s">
        <v>536</v>
      </c>
      <c r="B31" s="311" t="s">
        <v>53</v>
      </c>
      <c r="C31" s="307" t="s">
        <v>2602</v>
      </c>
      <c r="D31" s="308"/>
      <c r="E31" s="52" t="s">
        <v>2698</v>
      </c>
      <c r="F31" t="str">
        <f>VLOOKUP(Tabla3[[#This Row],[Estado Requerimiento]],$A$549:$B$557,2,FALSE)</f>
        <v>4. PRODUCCIÓN</v>
      </c>
    </row>
    <row r="32" spans="1:6" ht="24.75" customHeight="1">
      <c r="A32" s="310" t="s">
        <v>1639</v>
      </c>
      <c r="B32" s="311" t="s">
        <v>53</v>
      </c>
      <c r="C32" s="307" t="s">
        <v>2602</v>
      </c>
      <c r="D32" s="308"/>
      <c r="E32" s="52" t="s">
        <v>2698</v>
      </c>
      <c r="F32" t="str">
        <f>VLOOKUP(Tabla3[[#This Row],[Estado Requerimiento]],$A$549:$B$557,2,FALSE)</f>
        <v>4. PRODUCCIÓN</v>
      </c>
    </row>
    <row r="33" spans="1:6" ht="24.75" customHeight="1">
      <c r="A33" s="310" t="s">
        <v>636</v>
      </c>
      <c r="B33" s="311" t="s">
        <v>53</v>
      </c>
      <c r="C33" s="307" t="s">
        <v>2602</v>
      </c>
      <c r="D33" s="308"/>
      <c r="E33" s="52" t="s">
        <v>2698</v>
      </c>
      <c r="F33" t="str">
        <f>VLOOKUP(Tabla3[[#This Row],[Estado Requerimiento]],$A$549:$B$557,2,FALSE)</f>
        <v>4. PRODUCCIÓN</v>
      </c>
    </row>
    <row r="34" spans="1:6" ht="24.75" customHeight="1">
      <c r="A34" s="464" t="s">
        <v>1698</v>
      </c>
      <c r="B34" s="311" t="s">
        <v>53</v>
      </c>
      <c r="C34" s="307" t="s">
        <v>2602</v>
      </c>
      <c r="D34" s="307"/>
      <c r="E34" s="52" t="s">
        <v>2698</v>
      </c>
      <c r="F34" t="str">
        <f>VLOOKUP(Tabla3[[#This Row],[Estado Requerimiento]],$A$549:$B$557,2,FALSE)</f>
        <v>4. PRODUCCIÓN</v>
      </c>
    </row>
    <row r="35" spans="1:6" ht="24.75" customHeight="1">
      <c r="A35" s="465" t="s">
        <v>507</v>
      </c>
      <c r="B35" s="298" t="s">
        <v>502</v>
      </c>
      <c r="C35" s="315" t="s">
        <v>2674</v>
      </c>
      <c r="D35" s="316"/>
      <c r="E35" s="36" t="s">
        <v>2495</v>
      </c>
      <c r="F35" t="str">
        <f>VLOOKUP(Tabla3[[#This Row],[Estado Requerimiento]],$A$549:$B$557,2,FALSE)</f>
        <v>5. DESCARTADO</v>
      </c>
    </row>
    <row r="36" spans="1:6" ht="24.75" customHeight="1">
      <c r="A36" s="313" t="s">
        <v>562</v>
      </c>
      <c r="B36" s="298" t="s">
        <v>28</v>
      </c>
      <c r="C36" s="315" t="s">
        <v>2678</v>
      </c>
      <c r="D36" s="316"/>
      <c r="E36" s="52" t="s">
        <v>2698</v>
      </c>
      <c r="F36" t="str">
        <f>VLOOKUP(Tabla3[[#This Row],[Estado Requerimiento]],$A$549:$B$557,2,FALSE)</f>
        <v>6. PARALIZADO</v>
      </c>
    </row>
    <row r="38" spans="1:6">
      <c r="A38" s="297" t="s">
        <v>394</v>
      </c>
      <c r="B38" s="297" t="s">
        <v>2700</v>
      </c>
      <c r="D38" s="297" t="s">
        <v>395</v>
      </c>
      <c r="E38" s="297" t="s">
        <v>2701</v>
      </c>
    </row>
    <row r="39" spans="1:6" s="1" customFormat="1" ht="90">
      <c r="A39" s="307" t="s">
        <v>497</v>
      </c>
      <c r="B39" s="307" t="s">
        <v>2702</v>
      </c>
      <c r="D39" s="317" t="s">
        <v>599</v>
      </c>
      <c r="E39" s="317"/>
    </row>
    <row r="40" spans="1:6" s="1" customFormat="1" ht="75">
      <c r="A40" s="307" t="s">
        <v>531</v>
      </c>
      <c r="B40" s="307" t="s">
        <v>2703</v>
      </c>
      <c r="D40" s="317" t="s">
        <v>780</v>
      </c>
      <c r="E40" s="317"/>
    </row>
    <row r="41" spans="1:6" s="1" customFormat="1" ht="105">
      <c r="A41" s="307" t="s">
        <v>599</v>
      </c>
      <c r="B41" s="307" t="s">
        <v>2704</v>
      </c>
    </row>
    <row r="42" spans="1:6" s="1" customFormat="1" ht="75">
      <c r="A42" s="307" t="s">
        <v>780</v>
      </c>
      <c r="B42" s="307" t="s">
        <v>2705</v>
      </c>
    </row>
    <row r="43" spans="1:6">
      <c r="A43" s="318" t="s">
        <v>2706</v>
      </c>
      <c r="B43" s="318"/>
    </row>
    <row r="44" spans="1:6">
      <c r="A44" s="318" t="s">
        <v>2707</v>
      </c>
      <c r="B44" s="318"/>
    </row>
    <row r="45" spans="1:6">
      <c r="A45" s="22"/>
    </row>
    <row r="49" spans="1:2">
      <c r="A49" s="2" t="s">
        <v>2708</v>
      </c>
      <c r="B49" s="2" t="s">
        <v>7</v>
      </c>
    </row>
    <row r="50" spans="1:2">
      <c r="A50" s="319" t="s">
        <v>559</v>
      </c>
      <c r="B50" s="320" t="s">
        <v>28</v>
      </c>
    </row>
    <row r="51" spans="1:2">
      <c r="A51" s="319" t="s">
        <v>837</v>
      </c>
      <c r="B51" s="320" t="s">
        <v>28</v>
      </c>
    </row>
    <row r="52" spans="1:2">
      <c r="A52" s="319" t="s">
        <v>659</v>
      </c>
      <c r="B52" s="320" t="s">
        <v>28</v>
      </c>
    </row>
    <row r="53" spans="1:2">
      <c r="A53" s="319" t="s">
        <v>2709</v>
      </c>
      <c r="B53" s="320" t="s">
        <v>28</v>
      </c>
    </row>
    <row r="54" spans="1:2">
      <c r="A54" s="319" t="s">
        <v>2710</v>
      </c>
      <c r="B54" s="320" t="s">
        <v>502</v>
      </c>
    </row>
    <row r="55" spans="1:2">
      <c r="A55" s="319" t="s">
        <v>2711</v>
      </c>
      <c r="B55" s="320" t="s">
        <v>502</v>
      </c>
    </row>
    <row r="56" spans="1:2">
      <c r="A56" s="65" t="s">
        <v>2712</v>
      </c>
      <c r="B56" s="320" t="s">
        <v>28</v>
      </c>
    </row>
    <row r="57" spans="1:2">
      <c r="A57" s="65" t="s">
        <v>2713</v>
      </c>
      <c r="B57" s="320" t="s">
        <v>502</v>
      </c>
    </row>
    <row r="58" spans="1:2">
      <c r="A58" s="65" t="s">
        <v>2714</v>
      </c>
      <c r="B58" s="320" t="s">
        <v>502</v>
      </c>
    </row>
    <row r="59" spans="1:2">
      <c r="A59" s="65" t="s">
        <v>2715</v>
      </c>
      <c r="B59" s="320" t="s">
        <v>502</v>
      </c>
    </row>
    <row r="60" spans="1:2">
      <c r="A60" s="65" t="s">
        <v>2716</v>
      </c>
      <c r="B60" s="320" t="s">
        <v>502</v>
      </c>
    </row>
    <row r="61" spans="1:2">
      <c r="A61" s="65" t="s">
        <v>2717</v>
      </c>
      <c r="B61" s="320" t="s">
        <v>28</v>
      </c>
    </row>
    <row r="62" spans="1:2" ht="27" customHeight="1">
      <c r="A62" s="65" t="s">
        <v>2718</v>
      </c>
      <c r="B62" s="321" t="s">
        <v>502</v>
      </c>
    </row>
    <row r="63" spans="1:2" ht="27" customHeight="1">
      <c r="A63" t="s">
        <v>2719</v>
      </c>
      <c r="B63" s="320" t="s">
        <v>28</v>
      </c>
    </row>
    <row r="64" spans="1:2" ht="27" customHeight="1">
      <c r="A64" t="s">
        <v>2720</v>
      </c>
      <c r="B64" s="321" t="s">
        <v>502</v>
      </c>
    </row>
    <row r="68" spans="1:9">
      <c r="A68" t="s">
        <v>5</v>
      </c>
      <c r="B68" t="s">
        <v>2721</v>
      </c>
      <c r="C68" s="79" t="s">
        <v>2722</v>
      </c>
      <c r="D68" s="68" t="s">
        <v>2723</v>
      </c>
      <c r="G68" s="135" t="s">
        <v>2724</v>
      </c>
      <c r="H68" s="136" t="s">
        <v>2725</v>
      </c>
      <c r="I68" s="137" t="s">
        <v>6</v>
      </c>
    </row>
    <row r="69" spans="1:9">
      <c r="A69" t="s">
        <v>62</v>
      </c>
      <c r="B69" t="s">
        <v>2726</v>
      </c>
      <c r="C69" t="s">
        <v>2726</v>
      </c>
      <c r="D69" s="69" t="s">
        <v>2727</v>
      </c>
      <c r="G69" s="132" t="s">
        <v>2728</v>
      </c>
      <c r="H69" s="129" t="s">
        <v>2729</v>
      </c>
      <c r="I69" s="130" t="s">
        <v>41</v>
      </c>
    </row>
    <row r="70" spans="1:9">
      <c r="A70" t="s">
        <v>2730</v>
      </c>
      <c r="B70" t="s">
        <v>2731</v>
      </c>
      <c r="C70" t="s">
        <v>2731</v>
      </c>
      <c r="D70" s="70" t="s">
        <v>2732</v>
      </c>
      <c r="G70" s="133" t="s">
        <v>2733</v>
      </c>
      <c r="H70" s="130" t="s">
        <v>2734</v>
      </c>
      <c r="I70" s="130" t="s">
        <v>2735</v>
      </c>
    </row>
    <row r="71" spans="1:9">
      <c r="A71" t="s">
        <v>26</v>
      </c>
      <c r="B71" t="s">
        <v>2736</v>
      </c>
      <c r="C71" t="s">
        <v>2737</v>
      </c>
      <c r="D71" s="69" t="s">
        <v>2733</v>
      </c>
      <c r="G71" s="133" t="s">
        <v>2738</v>
      </c>
      <c r="H71" s="130" t="s">
        <v>2739</v>
      </c>
      <c r="I71" s="130" t="s">
        <v>34</v>
      </c>
    </row>
    <row r="72" spans="1:9" ht="26.25">
      <c r="A72" t="s">
        <v>2740</v>
      </c>
      <c r="B72" t="s">
        <v>2741</v>
      </c>
      <c r="C72" t="s">
        <v>2741</v>
      </c>
      <c r="D72" s="70" t="s">
        <v>2742</v>
      </c>
      <c r="G72" s="133" t="s">
        <v>2743</v>
      </c>
      <c r="H72" s="130" t="s">
        <v>34</v>
      </c>
      <c r="I72" s="130" t="s">
        <v>34</v>
      </c>
    </row>
    <row r="73" spans="1:9">
      <c r="A73" t="s">
        <v>2744</v>
      </c>
      <c r="B73" t="s">
        <v>2744</v>
      </c>
      <c r="C73" t="s">
        <v>2744</v>
      </c>
      <c r="D73" s="71" t="s">
        <v>2686</v>
      </c>
      <c r="G73" s="133" t="s">
        <v>2745</v>
      </c>
      <c r="H73" s="130" t="s">
        <v>2746</v>
      </c>
      <c r="I73" s="130" t="s">
        <v>34</v>
      </c>
    </row>
    <row r="74" spans="1:9">
      <c r="A74" t="s">
        <v>52</v>
      </c>
      <c r="B74" t="s">
        <v>2747</v>
      </c>
      <c r="C74" t="s">
        <v>2747</v>
      </c>
      <c r="D74" s="70" t="s">
        <v>2748</v>
      </c>
      <c r="G74" s="133" t="s">
        <v>2749</v>
      </c>
      <c r="H74" s="130" t="s">
        <v>2750</v>
      </c>
      <c r="I74" s="130" t="s">
        <v>34</v>
      </c>
    </row>
    <row r="75" spans="1:9">
      <c r="A75" t="s">
        <v>40</v>
      </c>
      <c r="B75" t="s">
        <v>2751</v>
      </c>
      <c r="C75" t="s">
        <v>2751</v>
      </c>
      <c r="D75" t="s">
        <v>2728</v>
      </c>
      <c r="G75" s="133" t="s">
        <v>2748</v>
      </c>
      <c r="H75" s="130" t="s">
        <v>2752</v>
      </c>
      <c r="I75" s="130" t="s">
        <v>27</v>
      </c>
    </row>
    <row r="76" spans="1:9">
      <c r="A76" t="s">
        <v>136</v>
      </c>
      <c r="B76" t="s">
        <v>2753</v>
      </c>
      <c r="C76" t="s">
        <v>2754</v>
      </c>
      <c r="D76" s="69" t="s">
        <v>2755</v>
      </c>
      <c r="F76" s="128"/>
      <c r="G76" s="133" t="s">
        <v>2756</v>
      </c>
      <c r="H76" s="130" t="s">
        <v>2757</v>
      </c>
      <c r="I76" s="130" t="s">
        <v>27</v>
      </c>
    </row>
    <row r="77" spans="1:9" ht="26.25">
      <c r="A77" t="s">
        <v>2106</v>
      </c>
      <c r="B77" t="s">
        <v>2758</v>
      </c>
      <c r="C77" t="s">
        <v>2758</v>
      </c>
      <c r="D77" s="73" t="s">
        <v>2759</v>
      </c>
      <c r="G77" s="133" t="s">
        <v>2727</v>
      </c>
      <c r="H77" s="130" t="s">
        <v>2760</v>
      </c>
      <c r="I77" s="130" t="s">
        <v>27</v>
      </c>
    </row>
    <row r="78" spans="1:9">
      <c r="A78" t="s">
        <v>2761</v>
      </c>
      <c r="B78" t="s">
        <v>2761</v>
      </c>
      <c r="C78" t="s">
        <v>2761</v>
      </c>
      <c r="D78" s="74" t="s">
        <v>2762</v>
      </c>
      <c r="G78" s="133" t="s">
        <v>498</v>
      </c>
      <c r="H78" s="130" t="s">
        <v>2763</v>
      </c>
      <c r="I78" s="130" t="s">
        <v>27</v>
      </c>
    </row>
    <row r="79" spans="1:9" ht="30">
      <c r="A79" t="s">
        <v>46</v>
      </c>
      <c r="B79" t="s">
        <v>2764</v>
      </c>
      <c r="C79" t="s">
        <v>2764</v>
      </c>
      <c r="D79" s="69" t="s">
        <v>2765</v>
      </c>
      <c r="G79" s="134" t="s">
        <v>2766</v>
      </c>
      <c r="H79" s="130" t="s">
        <v>2767</v>
      </c>
      <c r="I79" s="130" t="s">
        <v>2768</v>
      </c>
    </row>
    <row r="80" spans="1:9">
      <c r="A80" t="s">
        <v>2317</v>
      </c>
      <c r="B80" t="s">
        <v>2769</v>
      </c>
      <c r="C80" t="s">
        <v>2769</v>
      </c>
      <c r="D80" s="75" t="s">
        <v>2770</v>
      </c>
      <c r="G80" s="133" t="s">
        <v>2771</v>
      </c>
      <c r="H80" s="130" t="s">
        <v>2772</v>
      </c>
      <c r="I80" s="130" t="s">
        <v>2768</v>
      </c>
    </row>
    <row r="81" spans="1:9" ht="30">
      <c r="A81" t="s">
        <v>33</v>
      </c>
      <c r="B81" t="s">
        <v>2773</v>
      </c>
      <c r="C81" t="s">
        <v>2773</v>
      </c>
      <c r="D81" s="73" t="s">
        <v>2738</v>
      </c>
      <c r="G81" s="134" t="s">
        <v>2774</v>
      </c>
      <c r="H81" s="130" t="s">
        <v>2775</v>
      </c>
      <c r="I81" s="130" t="s">
        <v>2768</v>
      </c>
    </row>
    <row r="82" spans="1:9" ht="30">
      <c r="A82" t="s">
        <v>59</v>
      </c>
      <c r="B82" t="s">
        <v>2776</v>
      </c>
      <c r="C82" t="s">
        <v>2776</v>
      </c>
      <c r="D82" s="74" t="s">
        <v>2756</v>
      </c>
      <c r="G82" s="134" t="s">
        <v>2777</v>
      </c>
      <c r="H82" s="130" t="s">
        <v>2778</v>
      </c>
      <c r="I82" s="130" t="s">
        <v>2768</v>
      </c>
    </row>
    <row r="83" spans="1:9" ht="30">
      <c r="A83" t="s">
        <v>2315</v>
      </c>
      <c r="B83" t="s">
        <v>2779</v>
      </c>
      <c r="C83" t="s">
        <v>2780</v>
      </c>
      <c r="D83" s="73" t="s">
        <v>2781</v>
      </c>
      <c r="G83" s="134" t="s">
        <v>2782</v>
      </c>
      <c r="H83" s="130" t="s">
        <v>2783</v>
      </c>
      <c r="I83" s="130" t="s">
        <v>2768</v>
      </c>
    </row>
    <row r="84" spans="1:9">
      <c r="A84" t="s">
        <v>82</v>
      </c>
      <c r="B84" t="s">
        <v>82</v>
      </c>
      <c r="C84" t="s">
        <v>82</v>
      </c>
      <c r="D84" s="74" t="s">
        <v>498</v>
      </c>
      <c r="G84" s="133" t="s">
        <v>2762</v>
      </c>
      <c r="H84" s="130" t="s">
        <v>2784</v>
      </c>
      <c r="I84" s="130" t="s">
        <v>2768</v>
      </c>
    </row>
    <row r="85" spans="1:9" ht="30">
      <c r="A85" t="s">
        <v>108</v>
      </c>
      <c r="B85" t="s">
        <v>2785</v>
      </c>
      <c r="C85" t="s">
        <v>2785</v>
      </c>
      <c r="D85" s="73" t="s">
        <v>2743</v>
      </c>
      <c r="G85" s="133" t="s">
        <v>2786</v>
      </c>
      <c r="H85" s="131" t="s">
        <v>2787</v>
      </c>
      <c r="I85" s="130" t="s">
        <v>2788</v>
      </c>
    </row>
    <row r="86" spans="1:9" ht="26.25">
      <c r="A86" t="s">
        <v>2316</v>
      </c>
      <c r="B86" t="s">
        <v>2316</v>
      </c>
      <c r="C86" t="s">
        <v>2789</v>
      </c>
      <c r="D86" s="73" t="s">
        <v>2790</v>
      </c>
      <c r="G86" s="138" t="s">
        <v>2791</v>
      </c>
      <c r="H86" s="139" t="s">
        <v>2792</v>
      </c>
      <c r="I86" s="139" t="s">
        <v>2788</v>
      </c>
    </row>
    <row r="87" spans="1:9">
      <c r="A87" t="s">
        <v>2793</v>
      </c>
      <c r="B87" t="s">
        <v>2794</v>
      </c>
      <c r="C87" t="s">
        <v>2795</v>
      </c>
      <c r="D87" s="70"/>
    </row>
    <row r="89" spans="1:9">
      <c r="A89" s="76" t="s">
        <v>2796</v>
      </c>
    </row>
    <row r="90" spans="1:9">
      <c r="A90" s="41" t="s">
        <v>385</v>
      </c>
      <c r="B90" s="42" t="s">
        <v>2721</v>
      </c>
    </row>
    <row r="91" spans="1:9">
      <c r="A91" s="322" t="s">
        <v>2797</v>
      </c>
      <c r="B91" s="323" t="s">
        <v>2797</v>
      </c>
    </row>
    <row r="92" spans="1:9">
      <c r="A92" s="322" t="s">
        <v>2798</v>
      </c>
      <c r="B92" s="323" t="s">
        <v>2798</v>
      </c>
    </row>
    <row r="93" spans="1:9">
      <c r="A93" s="322" t="s">
        <v>867</v>
      </c>
      <c r="B93" s="323" t="s">
        <v>867</v>
      </c>
    </row>
    <row r="94" spans="1:9">
      <c r="A94" s="322" t="s">
        <v>628</v>
      </c>
      <c r="B94" s="323" t="s">
        <v>628</v>
      </c>
    </row>
    <row r="95" spans="1:9">
      <c r="A95" s="322" t="s">
        <v>2799</v>
      </c>
      <c r="B95" s="323" t="s">
        <v>2800</v>
      </c>
    </row>
    <row r="96" spans="1:9">
      <c r="A96" s="322" t="s">
        <v>2801</v>
      </c>
      <c r="B96" s="323" t="s">
        <v>2802</v>
      </c>
    </row>
    <row r="97" spans="1:2">
      <c r="A97" s="322" t="s">
        <v>2803</v>
      </c>
      <c r="B97" s="323" t="s">
        <v>2804</v>
      </c>
    </row>
    <row r="98" spans="1:2">
      <c r="A98" s="322" t="s">
        <v>1837</v>
      </c>
      <c r="B98" s="323" t="s">
        <v>2805</v>
      </c>
    </row>
    <row r="99" spans="1:2">
      <c r="A99" s="322" t="s">
        <v>539</v>
      </c>
      <c r="B99" s="323" t="s">
        <v>2806</v>
      </c>
    </row>
    <row r="100" spans="1:2">
      <c r="A100" s="322" t="s">
        <v>2807</v>
      </c>
      <c r="B100" s="323" t="s">
        <v>2808</v>
      </c>
    </row>
    <row r="101" spans="1:2">
      <c r="A101" s="322" t="s">
        <v>2809</v>
      </c>
      <c r="B101" s="323" t="s">
        <v>2810</v>
      </c>
    </row>
    <row r="102" spans="1:2">
      <c r="A102" s="322" t="s">
        <v>2811</v>
      </c>
      <c r="B102" s="323" t="s">
        <v>2811</v>
      </c>
    </row>
    <row r="103" spans="1:2">
      <c r="A103" s="322" t="s">
        <v>1285</v>
      </c>
      <c r="B103" s="323" t="s">
        <v>2812</v>
      </c>
    </row>
    <row r="104" spans="1:2">
      <c r="A104" s="322" t="s">
        <v>2813</v>
      </c>
      <c r="B104" s="323" t="s">
        <v>2814</v>
      </c>
    </row>
    <row r="105" spans="1:2">
      <c r="A105" s="322" t="s">
        <v>596</v>
      </c>
      <c r="B105" s="323" t="s">
        <v>596</v>
      </c>
    </row>
    <row r="106" spans="1:2">
      <c r="A106" s="322" t="s">
        <v>577</v>
      </c>
      <c r="B106" s="323" t="s">
        <v>2815</v>
      </c>
    </row>
    <row r="107" spans="1:2">
      <c r="A107" s="322" t="s">
        <v>490</v>
      </c>
      <c r="B107" s="323" t="s">
        <v>2816</v>
      </c>
    </row>
    <row r="108" spans="1:2">
      <c r="A108" s="322" t="s">
        <v>794</v>
      </c>
      <c r="B108" s="323" t="s">
        <v>794</v>
      </c>
    </row>
    <row r="109" spans="1:2">
      <c r="A109" s="322" t="s">
        <v>842</v>
      </c>
      <c r="B109" s="323" t="s">
        <v>2817</v>
      </c>
    </row>
    <row r="110" spans="1:2">
      <c r="A110" s="322" t="s">
        <v>938</v>
      </c>
      <c r="B110" s="323" t="s">
        <v>2818</v>
      </c>
    </row>
    <row r="111" spans="1:2">
      <c r="A111" s="322" t="s">
        <v>2819</v>
      </c>
      <c r="B111" s="323" t="s">
        <v>2820</v>
      </c>
    </row>
    <row r="112" spans="1:2">
      <c r="A112" s="322" t="s">
        <v>2821</v>
      </c>
      <c r="B112" s="323" t="s">
        <v>2822</v>
      </c>
    </row>
    <row r="113" spans="1:2">
      <c r="A113" s="322" t="s">
        <v>2823</v>
      </c>
      <c r="B113" s="323" t="s">
        <v>2824</v>
      </c>
    </row>
    <row r="114" spans="1:2">
      <c r="A114" s="322" t="s">
        <v>2825</v>
      </c>
      <c r="B114" s="323" t="s">
        <v>2826</v>
      </c>
    </row>
    <row r="115" spans="1:2">
      <c r="A115" s="322" t="s">
        <v>46</v>
      </c>
      <c r="B115" s="323" t="s">
        <v>2827</v>
      </c>
    </row>
    <row r="116" spans="1:2">
      <c r="A116" s="322" t="s">
        <v>2769</v>
      </c>
      <c r="B116" s="323" t="s">
        <v>2769</v>
      </c>
    </row>
    <row r="117" spans="1:2">
      <c r="A117" s="322" t="s">
        <v>2828</v>
      </c>
      <c r="B117" s="323" t="s">
        <v>2829</v>
      </c>
    </row>
    <row r="118" spans="1:2">
      <c r="A118" s="322" t="s">
        <v>2830</v>
      </c>
      <c r="B118" s="323" t="s">
        <v>2831</v>
      </c>
    </row>
    <row r="119" spans="1:2">
      <c r="A119" s="322" t="s">
        <v>1606</v>
      </c>
      <c r="B119" s="323" t="s">
        <v>2832</v>
      </c>
    </row>
    <row r="120" spans="1:2">
      <c r="A120" s="322" t="s">
        <v>727</v>
      </c>
      <c r="B120" s="323" t="s">
        <v>2833</v>
      </c>
    </row>
    <row r="121" spans="1:2">
      <c r="A121" s="322" t="s">
        <v>1189</v>
      </c>
      <c r="B121" s="323" t="s">
        <v>2834</v>
      </c>
    </row>
    <row r="122" spans="1:2">
      <c r="A122" s="322" t="s">
        <v>2835</v>
      </c>
      <c r="B122" s="323" t="s">
        <v>2836</v>
      </c>
    </row>
    <row r="123" spans="1:2">
      <c r="A123" s="322" t="s">
        <v>618</v>
      </c>
      <c r="B123" s="323" t="s">
        <v>2837</v>
      </c>
    </row>
    <row r="124" spans="1:2">
      <c r="A124" s="322" t="s">
        <v>759</v>
      </c>
      <c r="B124" s="323" t="s">
        <v>2838</v>
      </c>
    </row>
    <row r="125" spans="1:2">
      <c r="A125" s="322" t="s">
        <v>854</v>
      </c>
      <c r="B125" s="323" t="s">
        <v>854</v>
      </c>
    </row>
    <row r="126" spans="1:2">
      <c r="A126" s="322" t="s">
        <v>2839</v>
      </c>
      <c r="B126" s="323" t="s">
        <v>2840</v>
      </c>
    </row>
    <row r="127" spans="1:2">
      <c r="A127" s="322" t="s">
        <v>2841</v>
      </c>
      <c r="B127" s="323" t="s">
        <v>2842</v>
      </c>
    </row>
    <row r="128" spans="1:2">
      <c r="A128" s="322" t="s">
        <v>1828</v>
      </c>
      <c r="B128" s="323" t="s">
        <v>2843</v>
      </c>
    </row>
    <row r="129" spans="1:2">
      <c r="A129" s="322" t="s">
        <v>2844</v>
      </c>
      <c r="B129" s="323" t="s">
        <v>2845</v>
      </c>
    </row>
    <row r="130" spans="1:2">
      <c r="A130" s="322" t="s">
        <v>700</v>
      </c>
      <c r="B130" s="323" t="s">
        <v>2846</v>
      </c>
    </row>
    <row r="131" spans="1:2">
      <c r="A131" s="322" t="s">
        <v>2847</v>
      </c>
      <c r="B131" s="323" t="s">
        <v>2848</v>
      </c>
    </row>
    <row r="132" spans="1:2">
      <c r="A132" s="322" t="s">
        <v>2849</v>
      </c>
      <c r="B132" s="323" t="s">
        <v>2850</v>
      </c>
    </row>
    <row r="133" spans="1:2">
      <c r="A133" s="322" t="s">
        <v>2851</v>
      </c>
      <c r="B133" s="323" t="s">
        <v>2852</v>
      </c>
    </row>
    <row r="134" spans="1:2">
      <c r="A134" s="322" t="s">
        <v>2549</v>
      </c>
      <c r="B134" s="323" t="s">
        <v>2853</v>
      </c>
    </row>
    <row r="135" spans="1:2">
      <c r="A135" s="322" t="s">
        <v>811</v>
      </c>
      <c r="B135" s="323" t="s">
        <v>2854</v>
      </c>
    </row>
    <row r="136" spans="1:2">
      <c r="A136" s="322" t="s">
        <v>1724</v>
      </c>
      <c r="B136" s="323" t="s">
        <v>1724</v>
      </c>
    </row>
    <row r="137" spans="1:2">
      <c r="A137" s="322" t="s">
        <v>2855</v>
      </c>
      <c r="B137" s="323" t="s">
        <v>2856</v>
      </c>
    </row>
    <row r="138" spans="1:2">
      <c r="A138" s="324" t="s">
        <v>2857</v>
      </c>
      <c r="B138" s="325" t="s">
        <v>2858</v>
      </c>
    </row>
    <row r="139" spans="1:2">
      <c r="A139" s="322" t="s">
        <v>568</v>
      </c>
      <c r="B139" s="323" t="s">
        <v>568</v>
      </c>
    </row>
    <row r="140" spans="1:2">
      <c r="A140" s="322" t="s">
        <v>1002</v>
      </c>
      <c r="B140" s="323" t="s">
        <v>1002</v>
      </c>
    </row>
    <row r="141" spans="1:2">
      <c r="A141" s="322" t="s">
        <v>2859</v>
      </c>
      <c r="B141" s="323" t="s">
        <v>2859</v>
      </c>
    </row>
    <row r="142" spans="1:2">
      <c r="A142" s="322" t="s">
        <v>2860</v>
      </c>
      <c r="B142" s="323" t="s">
        <v>2860</v>
      </c>
    </row>
    <row r="143" spans="1:2">
      <c r="A143" s="322" t="s">
        <v>2861</v>
      </c>
      <c r="B143" s="323" t="s">
        <v>2862</v>
      </c>
    </row>
    <row r="144" spans="1:2">
      <c r="A144" s="324" t="s">
        <v>527</v>
      </c>
      <c r="B144" s="325" t="s">
        <v>2863</v>
      </c>
    </row>
    <row r="147" spans="1:1">
      <c r="A147" s="305" t="s">
        <v>2864</v>
      </c>
    </row>
    <row r="148" spans="1:1">
      <c r="A148" s="307" t="s">
        <v>500</v>
      </c>
    </row>
    <row r="149" spans="1:1">
      <c r="A149" s="307" t="s">
        <v>533</v>
      </c>
    </row>
    <row r="150" spans="1:1">
      <c r="A150" s="307" t="s">
        <v>713</v>
      </c>
    </row>
    <row r="151" spans="1:1">
      <c r="A151" s="307" t="s">
        <v>2549</v>
      </c>
    </row>
    <row r="152" spans="1:1">
      <c r="A152" s="307" t="s">
        <v>2530</v>
      </c>
    </row>
    <row r="153" spans="1:1">
      <c r="A153" s="17"/>
    </row>
    <row r="155" spans="1:1">
      <c r="A155" s="305" t="s">
        <v>2865</v>
      </c>
    </row>
    <row r="156" spans="1:1">
      <c r="A156" s="326" t="s">
        <v>558</v>
      </c>
    </row>
    <row r="157" spans="1:1">
      <c r="A157" s="326" t="s">
        <v>2866</v>
      </c>
    </row>
    <row r="158" spans="1:1">
      <c r="A158" s="326" t="s">
        <v>570</v>
      </c>
    </row>
    <row r="159" spans="1:1">
      <c r="A159" s="326" t="s">
        <v>501</v>
      </c>
    </row>
    <row r="160" spans="1:1">
      <c r="A160" s="326" t="s">
        <v>2867</v>
      </c>
    </row>
    <row r="161" spans="1:5">
      <c r="A161" s="326"/>
    </row>
    <row r="163" spans="1:5">
      <c r="A163" s="327" t="s">
        <v>2868</v>
      </c>
      <c r="B163" s="327" t="s">
        <v>2869</v>
      </c>
      <c r="C163" s="327" t="s">
        <v>2870</v>
      </c>
      <c r="D163" s="328" t="s">
        <v>2869</v>
      </c>
      <c r="E163" s="329" t="s">
        <v>2871</v>
      </c>
    </row>
    <row r="164" spans="1:5">
      <c r="A164" s="330" t="s">
        <v>2872</v>
      </c>
      <c r="B164" s="331" t="s">
        <v>2873</v>
      </c>
      <c r="C164" s="331" t="s">
        <v>2874</v>
      </c>
      <c r="D164" s="332" t="s">
        <v>2875</v>
      </c>
      <c r="E164" s="331" t="s">
        <v>2876</v>
      </c>
    </row>
    <row r="165" spans="1:5" ht="45">
      <c r="A165" s="331" t="s">
        <v>517</v>
      </c>
      <c r="B165" s="331" t="s">
        <v>2877</v>
      </c>
      <c r="C165" s="331" t="s">
        <v>2874</v>
      </c>
      <c r="D165" s="333" t="s">
        <v>2878</v>
      </c>
      <c r="E165" s="331" t="s">
        <v>2879</v>
      </c>
    </row>
    <row r="166" spans="1:5" ht="33.75">
      <c r="A166" s="330" t="s">
        <v>499</v>
      </c>
      <c r="B166" s="331" t="s">
        <v>2769</v>
      </c>
      <c r="C166" s="331" t="s">
        <v>2880</v>
      </c>
      <c r="D166" s="334" t="s">
        <v>2881</v>
      </c>
      <c r="E166" s="331" t="s">
        <v>2882</v>
      </c>
    </row>
    <row r="167" spans="1:5">
      <c r="A167" s="331" t="s">
        <v>602</v>
      </c>
      <c r="B167" s="331" t="s">
        <v>2883</v>
      </c>
      <c r="C167" s="331" t="s">
        <v>2874</v>
      </c>
    </row>
    <row r="168" spans="1:5">
      <c r="A168" s="330" t="s">
        <v>532</v>
      </c>
      <c r="B168" s="331" t="s">
        <v>2884</v>
      </c>
      <c r="C168" s="331" t="s">
        <v>2880</v>
      </c>
    </row>
    <row r="171" spans="1:5">
      <c r="A171" t="s">
        <v>2885</v>
      </c>
    </row>
    <row r="172" spans="1:5">
      <c r="A172" t="s">
        <v>548</v>
      </c>
    </row>
    <row r="173" spans="1:5">
      <c r="A173" t="s">
        <v>642</v>
      </c>
    </row>
    <row r="174" spans="1:5">
      <c r="A174" t="s">
        <v>1278</v>
      </c>
    </row>
    <row r="175" spans="1:5">
      <c r="A175" t="s">
        <v>712</v>
      </c>
    </row>
    <row r="176" spans="1:5">
      <c r="A176" t="s">
        <v>1769</v>
      </c>
    </row>
    <row r="177" spans="1:1">
      <c r="A177" t="s">
        <v>1264</v>
      </c>
    </row>
    <row r="178" spans="1:1">
      <c r="A178" t="s">
        <v>2886</v>
      </c>
    </row>
    <row r="179" spans="1:1">
      <c r="A179" t="s">
        <v>744</v>
      </c>
    </row>
    <row r="180" spans="1:1">
      <c r="A180" t="s">
        <v>670</v>
      </c>
    </row>
    <row r="181" spans="1:1">
      <c r="A181" t="s">
        <v>2887</v>
      </c>
    </row>
    <row r="182" spans="1:1">
      <c r="A182" t="s">
        <v>2888</v>
      </c>
    </row>
    <row r="183" spans="1:1">
      <c r="A183" t="s">
        <v>2889</v>
      </c>
    </row>
    <row r="184" spans="1:1">
      <c r="A184" t="s">
        <v>494</v>
      </c>
    </row>
    <row r="185" spans="1:1">
      <c r="A185" t="s">
        <v>1389</v>
      </c>
    </row>
    <row r="186" spans="1:1">
      <c r="A186" t="s">
        <v>530</v>
      </c>
    </row>
    <row r="188" spans="1:1">
      <c r="A188" s="4" t="s">
        <v>2773</v>
      </c>
    </row>
    <row r="189" spans="1:1">
      <c r="A189" s="5" t="s">
        <v>912</v>
      </c>
    </row>
    <row r="190" spans="1:1">
      <c r="A190" s="6" t="s">
        <v>731</v>
      </c>
    </row>
    <row r="191" spans="1:1">
      <c r="A191" s="5" t="s">
        <v>1077</v>
      </c>
    </row>
    <row r="192" spans="1:1">
      <c r="A192" s="6" t="s">
        <v>1193</v>
      </c>
    </row>
    <row r="193" spans="1:1">
      <c r="A193" s="5" t="s">
        <v>1141</v>
      </c>
    </row>
    <row r="194" spans="1:1">
      <c r="A194" s="6" t="s">
        <v>2890</v>
      </c>
    </row>
    <row r="195" spans="1:1">
      <c r="A195" s="5" t="s">
        <v>2891</v>
      </c>
    </row>
    <row r="196" spans="1:1">
      <c r="A196" s="6" t="s">
        <v>2892</v>
      </c>
    </row>
    <row r="197" spans="1:1">
      <c r="A197" s="5" t="s">
        <v>2893</v>
      </c>
    </row>
    <row r="198" spans="1:1">
      <c r="A198" s="6" t="s">
        <v>1684</v>
      </c>
    </row>
    <row r="199" spans="1:1">
      <c r="A199" s="5" t="s">
        <v>549</v>
      </c>
    </row>
    <row r="200" spans="1:1">
      <c r="A200" s="6" t="s">
        <v>797</v>
      </c>
    </row>
    <row r="201" spans="1:1">
      <c r="A201" s="5" t="s">
        <v>2894</v>
      </c>
    </row>
    <row r="202" spans="1:1">
      <c r="A202" s="6" t="s">
        <v>1884</v>
      </c>
    </row>
    <row r="203" spans="1:1">
      <c r="A203" s="5" t="s">
        <v>2895</v>
      </c>
    </row>
    <row r="204" spans="1:1">
      <c r="A204" s="6" t="s">
        <v>1336</v>
      </c>
    </row>
    <row r="205" spans="1:1">
      <c r="A205" s="5" t="s">
        <v>2896</v>
      </c>
    </row>
    <row r="206" spans="1:1">
      <c r="A206" s="6" t="s">
        <v>495</v>
      </c>
    </row>
    <row r="208" spans="1:1">
      <c r="A208" s="4" t="s">
        <v>393</v>
      </c>
    </row>
    <row r="209" spans="1:1">
      <c r="A209" s="5" t="s">
        <v>1582</v>
      </c>
    </row>
    <row r="210" spans="1:1">
      <c r="A210" s="6" t="s">
        <v>2897</v>
      </c>
    </row>
    <row r="211" spans="1:1">
      <c r="A211" s="5" t="s">
        <v>1685</v>
      </c>
    </row>
    <row r="212" spans="1:1">
      <c r="A212" s="6" t="s">
        <v>2898</v>
      </c>
    </row>
    <row r="213" spans="1:1">
      <c r="A213" s="5" t="s">
        <v>822</v>
      </c>
    </row>
    <row r="214" spans="1:1">
      <c r="A214" s="6" t="s">
        <v>951</v>
      </c>
    </row>
    <row r="215" spans="1:1">
      <c r="A215" s="5" t="s">
        <v>2899</v>
      </c>
    </row>
    <row r="216" spans="1:1">
      <c r="A216" s="6" t="s">
        <v>1127</v>
      </c>
    </row>
    <row r="217" spans="1:1">
      <c r="A217" s="5" t="s">
        <v>942</v>
      </c>
    </row>
    <row r="218" spans="1:1">
      <c r="A218" s="6" t="s">
        <v>2900</v>
      </c>
    </row>
    <row r="219" spans="1:1">
      <c r="A219" s="5" t="s">
        <v>2901</v>
      </c>
    </row>
    <row r="220" spans="1:1">
      <c r="A220" s="6" t="s">
        <v>1255</v>
      </c>
    </row>
    <row r="221" spans="1:1">
      <c r="A221" s="5" t="s">
        <v>496</v>
      </c>
    </row>
    <row r="224" spans="1:1">
      <c r="A224" s="147" t="s">
        <v>2902</v>
      </c>
    </row>
    <row r="225" spans="1:18">
      <c r="A225" s="335" t="s">
        <v>2735</v>
      </c>
      <c r="B225" t="s">
        <v>2735</v>
      </c>
    </row>
    <row r="226" spans="1:18">
      <c r="A226" s="336" t="s">
        <v>41</v>
      </c>
    </row>
    <row r="227" spans="1:18">
      <c r="A227" s="335" t="s">
        <v>27</v>
      </c>
    </row>
    <row r="228" spans="1:18">
      <c r="A228" s="336" t="s">
        <v>2219</v>
      </c>
    </row>
    <row r="229" spans="1:18">
      <c r="A229" s="335" t="s">
        <v>34</v>
      </c>
    </row>
    <row r="230" spans="1:18">
      <c r="A230" s="337" t="s">
        <v>2788</v>
      </c>
    </row>
    <row r="231" spans="1:18">
      <c r="A231" s="337" t="s">
        <v>47</v>
      </c>
    </row>
    <row r="232" spans="1:18">
      <c r="A232" s="337" t="s">
        <v>2903</v>
      </c>
    </row>
    <row r="233" spans="1:18">
      <c r="A233" s="337" t="s">
        <v>109</v>
      </c>
    </row>
    <row r="234" spans="1:18">
      <c r="A234" s="337" t="s">
        <v>2214</v>
      </c>
    </row>
    <row r="235" spans="1:18">
      <c r="A235" s="337" t="s">
        <v>2209</v>
      </c>
    </row>
    <row r="236" spans="1:18">
      <c r="A236" s="337" t="s">
        <v>63</v>
      </c>
    </row>
    <row r="238" spans="1:18">
      <c r="A238" s="79" t="s">
        <v>2904</v>
      </c>
    </row>
    <row r="239" spans="1:18" ht="34.5" customHeight="1">
      <c r="A239" s="30" t="s">
        <v>2726</v>
      </c>
      <c r="B239" s="30" t="s">
        <v>2731</v>
      </c>
      <c r="C239" s="30" t="s">
        <v>2737</v>
      </c>
      <c r="D239" s="30" t="s">
        <v>2741</v>
      </c>
      <c r="E239" s="30" t="s">
        <v>2747</v>
      </c>
      <c r="F239" s="30" t="s">
        <v>2751</v>
      </c>
      <c r="G239" s="30" t="s">
        <v>2754</v>
      </c>
      <c r="H239" s="30" t="s">
        <v>2758</v>
      </c>
      <c r="I239" s="30" t="s">
        <v>2761</v>
      </c>
      <c r="J239" s="30" t="s">
        <v>2764</v>
      </c>
      <c r="K239" s="30" t="s">
        <v>2769</v>
      </c>
      <c r="L239" s="30" t="s">
        <v>2773</v>
      </c>
      <c r="M239" s="30" t="s">
        <v>2776</v>
      </c>
      <c r="N239" s="30" t="s">
        <v>2780</v>
      </c>
      <c r="O239" s="30" t="s">
        <v>82</v>
      </c>
      <c r="P239" s="30" t="s">
        <v>2785</v>
      </c>
      <c r="Q239" s="30" t="s">
        <v>2789</v>
      </c>
      <c r="R239" s="87" t="s">
        <v>2793</v>
      </c>
    </row>
    <row r="240" spans="1:18" ht="60">
      <c r="A240" s="1" t="s">
        <v>2797</v>
      </c>
      <c r="B240" s="1" t="s">
        <v>2799</v>
      </c>
      <c r="C240" s="1" t="s">
        <v>2803</v>
      </c>
      <c r="D240" s="1" t="s">
        <v>2807</v>
      </c>
      <c r="E240" s="1" t="s">
        <v>2811</v>
      </c>
      <c r="F240" s="1" t="s">
        <v>577</v>
      </c>
      <c r="G240" s="1" t="s">
        <v>938</v>
      </c>
      <c r="H240" s="1" t="s">
        <v>2819</v>
      </c>
      <c r="I240" s="1" t="s">
        <v>2821</v>
      </c>
      <c r="J240" s="1" t="s">
        <v>46</v>
      </c>
      <c r="K240" s="1" t="s">
        <v>2769</v>
      </c>
      <c r="L240" s="1" t="s">
        <v>1606</v>
      </c>
      <c r="M240" s="1" t="s">
        <v>618</v>
      </c>
      <c r="N240" s="1" t="s">
        <v>2839</v>
      </c>
      <c r="O240" s="1" t="s">
        <v>1828</v>
      </c>
      <c r="P240" s="1" t="s">
        <v>2849</v>
      </c>
      <c r="Q240" s="1" t="s">
        <v>2855</v>
      </c>
      <c r="R240" s="1" t="s">
        <v>2905</v>
      </c>
    </row>
    <row r="241" spans="1:48" ht="75">
      <c r="A241" s="1" t="s">
        <v>2798</v>
      </c>
      <c r="B241" s="1" t="s">
        <v>2801</v>
      </c>
      <c r="C241" s="1" t="s">
        <v>1837</v>
      </c>
      <c r="D241" s="1" t="s">
        <v>2809</v>
      </c>
      <c r="E241" s="1" t="s">
        <v>1285</v>
      </c>
      <c r="F241" s="1" t="s">
        <v>490</v>
      </c>
      <c r="G241" s="1"/>
      <c r="H241" s="1"/>
      <c r="I241" s="1" t="s">
        <v>2823</v>
      </c>
      <c r="J241" s="1"/>
      <c r="K241" s="1" t="s">
        <v>2828</v>
      </c>
      <c r="L241" s="1" t="s">
        <v>727</v>
      </c>
      <c r="M241" s="1" t="s">
        <v>759</v>
      </c>
      <c r="N241" s="1" t="s">
        <v>2841</v>
      </c>
      <c r="O241" s="1" t="s">
        <v>2844</v>
      </c>
      <c r="P241" s="1" t="s">
        <v>2851</v>
      </c>
      <c r="Q241" s="1" t="s">
        <v>2857</v>
      </c>
      <c r="R241" s="1"/>
    </row>
    <row r="242" spans="1:48" ht="60">
      <c r="A242" s="1" t="s">
        <v>867</v>
      </c>
      <c r="B242" s="1"/>
      <c r="C242" s="1" t="s">
        <v>539</v>
      </c>
      <c r="D242" s="1"/>
      <c r="E242" s="1" t="s">
        <v>2813</v>
      </c>
      <c r="F242" s="1" t="s">
        <v>794</v>
      </c>
      <c r="G242" s="1"/>
      <c r="H242" s="1"/>
      <c r="I242" s="1" t="s">
        <v>2825</v>
      </c>
      <c r="J242" s="1"/>
      <c r="K242" s="1" t="s">
        <v>2830</v>
      </c>
      <c r="L242" s="1" t="s">
        <v>1189</v>
      </c>
      <c r="M242" s="1" t="s">
        <v>854</v>
      </c>
      <c r="N242" s="1"/>
      <c r="O242" s="1" t="s">
        <v>700</v>
      </c>
      <c r="P242" s="1" t="s">
        <v>2549</v>
      </c>
      <c r="Q242" s="1"/>
    </row>
    <row r="243" spans="1:48" ht="60">
      <c r="A243" s="1" t="s">
        <v>628</v>
      </c>
      <c r="B243" s="1"/>
      <c r="C243" s="1"/>
      <c r="D243" s="1"/>
      <c r="E243" s="1" t="s">
        <v>596</v>
      </c>
      <c r="F243" s="1" t="s">
        <v>842</v>
      </c>
      <c r="G243" s="1"/>
      <c r="H243" s="1"/>
      <c r="I243" s="1"/>
      <c r="J243" s="1"/>
      <c r="K243" s="1"/>
      <c r="L243" s="1" t="s">
        <v>2835</v>
      </c>
      <c r="M243" s="1"/>
      <c r="N243" s="1"/>
      <c r="O243" s="1" t="s">
        <v>2847</v>
      </c>
      <c r="P243" s="1" t="s">
        <v>811</v>
      </c>
      <c r="Q243" s="1"/>
      <c r="R243" s="1"/>
    </row>
    <row r="244" spans="1:48">
      <c r="L244" t="s">
        <v>568</v>
      </c>
      <c r="P244" s="1" t="s">
        <v>1724</v>
      </c>
    </row>
    <row r="245" spans="1:48">
      <c r="L245" t="s">
        <v>2860</v>
      </c>
    </row>
    <row r="246" spans="1:48">
      <c r="L246" t="s">
        <v>2861</v>
      </c>
    </row>
    <row r="247" spans="1:48">
      <c r="L247" t="s">
        <v>527</v>
      </c>
    </row>
    <row r="251" spans="1:48">
      <c r="A251" s="79" t="s">
        <v>2904</v>
      </c>
    </row>
    <row r="252" spans="1:48" ht="38.25" customHeight="1">
      <c r="A252" s="31" t="s">
        <v>2797</v>
      </c>
      <c r="B252" s="32" t="s">
        <v>2798</v>
      </c>
      <c r="C252" s="31" t="s">
        <v>867</v>
      </c>
      <c r="D252" s="31" t="s">
        <v>628</v>
      </c>
      <c r="E252" s="32" t="s">
        <v>2800</v>
      </c>
      <c r="F252" s="31" t="s">
        <v>2802</v>
      </c>
      <c r="G252" s="32" t="s">
        <v>2804</v>
      </c>
      <c r="H252" s="32" t="s">
        <v>1837</v>
      </c>
      <c r="I252" s="31" t="s">
        <v>2806</v>
      </c>
      <c r="J252" s="32" t="s">
        <v>2807</v>
      </c>
      <c r="K252" s="32" t="s">
        <v>2809</v>
      </c>
      <c r="L252" s="31" t="s">
        <v>2811</v>
      </c>
      <c r="M252" s="31" t="s">
        <v>2812</v>
      </c>
      <c r="N252" s="32" t="s">
        <v>2813</v>
      </c>
      <c r="O252" s="31" t="s">
        <v>596</v>
      </c>
      <c r="P252" s="31" t="s">
        <v>2815</v>
      </c>
      <c r="Q252" s="31" t="s">
        <v>2816</v>
      </c>
      <c r="R252" s="31" t="s">
        <v>794</v>
      </c>
      <c r="S252" s="31" t="s">
        <v>2817</v>
      </c>
      <c r="T252" s="31" t="s">
        <v>2818</v>
      </c>
      <c r="U252" s="31" t="s">
        <v>2820</v>
      </c>
      <c r="V252" s="31" t="s">
        <v>2822</v>
      </c>
      <c r="W252" s="32" t="s">
        <v>2823</v>
      </c>
      <c r="X252" s="32" t="s">
        <v>2825</v>
      </c>
      <c r="Y252" s="32" t="s">
        <v>46</v>
      </c>
      <c r="Z252" s="32" t="s">
        <v>2769</v>
      </c>
      <c r="AA252" s="32" t="s">
        <v>2828</v>
      </c>
      <c r="AB252" s="32" t="s">
        <v>2830</v>
      </c>
      <c r="AC252" s="31" t="s">
        <v>2832</v>
      </c>
      <c r="AD252" s="31" t="s">
        <v>2833</v>
      </c>
      <c r="AE252" s="31" t="s">
        <v>2834</v>
      </c>
      <c r="AF252" s="32" t="s">
        <v>2835</v>
      </c>
      <c r="AG252" s="31" t="s">
        <v>2837</v>
      </c>
      <c r="AH252" s="31" t="s">
        <v>2838</v>
      </c>
      <c r="AI252" s="31" t="s">
        <v>854</v>
      </c>
      <c r="AJ252" s="32" t="s">
        <v>2839</v>
      </c>
      <c r="AK252" s="32" t="s">
        <v>2841</v>
      </c>
      <c r="AL252" s="31" t="s">
        <v>2843</v>
      </c>
      <c r="AM252" s="31" t="s">
        <v>2845</v>
      </c>
      <c r="AN252" s="31" t="s">
        <v>2846</v>
      </c>
      <c r="AO252" s="31" t="s">
        <v>2848</v>
      </c>
      <c r="AP252" s="31" t="s">
        <v>2850</v>
      </c>
      <c r="AQ252" s="31" t="s">
        <v>2852</v>
      </c>
      <c r="AR252" s="31" t="s">
        <v>2853</v>
      </c>
      <c r="AS252" s="31" t="s">
        <v>2854</v>
      </c>
      <c r="AT252" s="31" t="s">
        <v>1724</v>
      </c>
      <c r="AU252" s="31" t="s">
        <v>2856</v>
      </c>
      <c r="AV252" s="31" t="s">
        <v>2906</v>
      </c>
    </row>
    <row r="253" spans="1:48" ht="35.25" customHeight="1">
      <c r="A253" s="1" t="s">
        <v>2907</v>
      </c>
      <c r="B253" s="1"/>
      <c r="C253" s="1" t="s">
        <v>2908</v>
      </c>
      <c r="D253" s="1" t="s">
        <v>2909</v>
      </c>
      <c r="E253" s="1"/>
      <c r="F253" s="1" t="s">
        <v>2859</v>
      </c>
      <c r="G253" s="1"/>
      <c r="H253" s="1"/>
      <c r="I253" s="1" t="s">
        <v>554</v>
      </c>
      <c r="J253" s="1"/>
      <c r="K253" s="1"/>
      <c r="L253" s="1" t="s">
        <v>2910</v>
      </c>
      <c r="M253" s="1" t="s">
        <v>2911</v>
      </c>
      <c r="N253" s="1"/>
      <c r="O253" s="1" t="s">
        <v>1444</v>
      </c>
      <c r="P253" s="1" t="s">
        <v>578</v>
      </c>
      <c r="Q253" s="1" t="s">
        <v>2912</v>
      </c>
      <c r="R253" s="1" t="s">
        <v>2913</v>
      </c>
      <c r="S253" s="1" t="s">
        <v>1494</v>
      </c>
      <c r="T253" s="1" t="s">
        <v>2914</v>
      </c>
      <c r="U253" s="1" t="s">
        <v>2915</v>
      </c>
      <c r="V253" s="1" t="s">
        <v>2916</v>
      </c>
      <c r="W253" s="1"/>
      <c r="X253" s="1"/>
      <c r="Y253" s="1"/>
      <c r="Z253" s="1"/>
      <c r="AA253" s="1"/>
      <c r="AB253" s="1"/>
      <c r="AC253" s="1" t="s">
        <v>2917</v>
      </c>
      <c r="AD253" s="1" t="s">
        <v>912</v>
      </c>
      <c r="AE253" s="1" t="s">
        <v>2018</v>
      </c>
      <c r="AF253" s="1"/>
      <c r="AG253" s="1" t="s">
        <v>1797</v>
      </c>
      <c r="AH253" s="1" t="s">
        <v>1379</v>
      </c>
      <c r="AI253" s="1" t="s">
        <v>855</v>
      </c>
      <c r="AJ253" s="1"/>
      <c r="AK253" s="1"/>
      <c r="AL253" s="1" t="s">
        <v>1829</v>
      </c>
      <c r="AM253" s="1" t="s">
        <v>2918</v>
      </c>
      <c r="AN253" s="1" t="s">
        <v>1451</v>
      </c>
      <c r="AO253" s="1" t="s">
        <v>2919</v>
      </c>
      <c r="AP253" s="1" t="s">
        <v>2920</v>
      </c>
      <c r="AQ253" s="1" t="s">
        <v>2921</v>
      </c>
      <c r="AR253" s="1" t="s">
        <v>2550</v>
      </c>
      <c r="AS253" s="1" t="s">
        <v>500</v>
      </c>
      <c r="AT253" s="1" t="s">
        <v>2922</v>
      </c>
      <c r="AU253" s="1" t="s">
        <v>2855</v>
      </c>
      <c r="AV253" s="1"/>
    </row>
    <row r="254" spans="1:48" ht="35.25" customHeight="1">
      <c r="A254" s="1" t="s">
        <v>2923</v>
      </c>
      <c r="B254" s="1"/>
      <c r="C254" s="1" t="s">
        <v>868</v>
      </c>
      <c r="D254" s="1" t="s">
        <v>2924</v>
      </c>
      <c r="E254" s="1"/>
      <c r="F254" s="1" t="s">
        <v>1002</v>
      </c>
      <c r="G254" s="1"/>
      <c r="H254" s="1"/>
      <c r="I254" s="1" t="s">
        <v>540</v>
      </c>
      <c r="J254" s="1"/>
      <c r="K254" s="1"/>
      <c r="L254" s="1" t="s">
        <v>2925</v>
      </c>
      <c r="M254" s="1" t="s">
        <v>1286</v>
      </c>
      <c r="N254" s="1"/>
      <c r="O254" s="1" t="s">
        <v>2926</v>
      </c>
      <c r="P254" s="1" t="s">
        <v>922</v>
      </c>
      <c r="Q254" s="1" t="s">
        <v>491</v>
      </c>
      <c r="R254" s="1" t="s">
        <v>795</v>
      </c>
      <c r="S254" s="1" t="s">
        <v>1232</v>
      </c>
      <c r="T254" s="1" t="s">
        <v>939</v>
      </c>
      <c r="U254" s="1" t="s">
        <v>2927</v>
      </c>
      <c r="V254" s="1" t="s">
        <v>2928</v>
      </c>
      <c r="W254" s="1"/>
      <c r="X254" s="1"/>
      <c r="Y254" s="1"/>
      <c r="Z254" s="1"/>
      <c r="AA254" s="1"/>
      <c r="AB254" s="1"/>
      <c r="AC254" s="1" t="s">
        <v>1607</v>
      </c>
      <c r="AD254" s="1" t="s">
        <v>728</v>
      </c>
      <c r="AE254" s="1" t="s">
        <v>1190</v>
      </c>
      <c r="AF254" s="1"/>
      <c r="AG254" s="1" t="s">
        <v>619</v>
      </c>
      <c r="AH254" s="1" t="s">
        <v>760</v>
      </c>
      <c r="AI254" s="1" t="s">
        <v>1241</v>
      </c>
      <c r="AJ254" s="1"/>
      <c r="AK254" s="1"/>
      <c r="AL254" s="1" t="s">
        <v>1828</v>
      </c>
      <c r="AM254" s="1" t="s">
        <v>2929</v>
      </c>
      <c r="AN254" s="1" t="s">
        <v>1158</v>
      </c>
      <c r="AO254" s="1" t="s">
        <v>2930</v>
      </c>
      <c r="AP254" s="1" t="s">
        <v>1646</v>
      </c>
      <c r="AQ254" s="1" t="s">
        <v>2931</v>
      </c>
      <c r="AR254" s="1" t="s">
        <v>2932</v>
      </c>
      <c r="AS254" s="1" t="s">
        <v>533</v>
      </c>
      <c r="AT254" s="1" t="s">
        <v>1725</v>
      </c>
      <c r="AU254" s="1"/>
      <c r="AV254" s="1"/>
    </row>
    <row r="255" spans="1:48" ht="35.25" customHeight="1">
      <c r="A255" s="1"/>
      <c r="B255" s="1"/>
      <c r="C255" s="1" t="s">
        <v>2933</v>
      </c>
      <c r="D255" s="1" t="s">
        <v>2934</v>
      </c>
      <c r="E255" s="1"/>
      <c r="F255" s="1"/>
      <c r="G255" s="1"/>
      <c r="H255" s="1"/>
      <c r="I255" s="1" t="s">
        <v>2935</v>
      </c>
      <c r="J255" s="1"/>
      <c r="K255" s="1"/>
      <c r="L255" s="1"/>
      <c r="M255" s="1"/>
      <c r="N255" s="1"/>
      <c r="O255" s="1" t="s">
        <v>1862</v>
      </c>
      <c r="P255" s="1" t="s">
        <v>1118</v>
      </c>
      <c r="Q255" s="1" t="s">
        <v>662</v>
      </c>
      <c r="R255" s="1"/>
      <c r="S255" s="1" t="s">
        <v>843</v>
      </c>
      <c r="T255" s="1"/>
      <c r="U255" s="1"/>
      <c r="V255" s="1"/>
      <c r="W255" s="1"/>
      <c r="X255" s="1"/>
      <c r="Y255" s="1"/>
      <c r="Z255" s="1"/>
      <c r="AA255" s="1"/>
      <c r="AB255" s="1"/>
      <c r="AC255" s="1"/>
      <c r="AD255" s="1" t="s">
        <v>1616</v>
      </c>
      <c r="AE255" s="1"/>
      <c r="AF255" s="1"/>
      <c r="AG255" s="1" t="s">
        <v>1985</v>
      </c>
      <c r="AH255" s="1" t="s">
        <v>1254</v>
      </c>
      <c r="AI255" s="1"/>
      <c r="AJ255" s="1"/>
      <c r="AK255" s="1"/>
      <c r="AL255" s="1"/>
      <c r="AM255" s="1" t="s">
        <v>2936</v>
      </c>
      <c r="AN255" s="1" t="s">
        <v>2937</v>
      </c>
      <c r="AO255" s="1" t="s">
        <v>2938</v>
      </c>
      <c r="AP255" s="1"/>
      <c r="AQ255" s="1"/>
      <c r="AR255" s="1"/>
      <c r="AS255" s="1" t="s">
        <v>2939</v>
      </c>
      <c r="AT255" s="1" t="s">
        <v>2536</v>
      </c>
      <c r="AU255" s="1"/>
      <c r="AV255" s="1"/>
    </row>
    <row r="256" spans="1:48" ht="35.25" customHeight="1">
      <c r="A256" s="1"/>
      <c r="B256" s="1"/>
      <c r="C256" s="1"/>
      <c r="D256" s="1" t="s">
        <v>1689</v>
      </c>
      <c r="E256" s="1"/>
      <c r="F256" s="1"/>
      <c r="G256" s="1"/>
      <c r="H256" s="1"/>
      <c r="I256" s="1"/>
      <c r="J256" s="1"/>
      <c r="K256" s="1"/>
      <c r="L256" s="1"/>
      <c r="M256" s="1"/>
      <c r="N256" s="1"/>
      <c r="O256" s="1" t="s">
        <v>611</v>
      </c>
      <c r="P256" s="1"/>
      <c r="Q256" s="1" t="s">
        <v>1336</v>
      </c>
      <c r="R256" s="1"/>
      <c r="S256" s="1"/>
      <c r="T256" s="1"/>
      <c r="U256" s="1"/>
      <c r="V256" s="1"/>
      <c r="W256" s="1"/>
      <c r="X256" s="1"/>
      <c r="Y256" s="1"/>
      <c r="Z256" s="1"/>
      <c r="AA256" s="1"/>
      <c r="AB256" s="1"/>
      <c r="AC256" s="1"/>
      <c r="AD256" s="1" t="s">
        <v>2940</v>
      </c>
      <c r="AE256" s="1"/>
      <c r="AF256" s="1"/>
      <c r="AG256" s="1"/>
      <c r="AH256" s="1" t="s">
        <v>1350</v>
      </c>
      <c r="AI256" s="1"/>
      <c r="AJ256" s="1"/>
      <c r="AK256" s="1"/>
      <c r="AL256" s="1"/>
      <c r="AM256" s="1"/>
      <c r="AN256" s="1"/>
      <c r="AO256" s="1"/>
      <c r="AP256" s="1"/>
      <c r="AQ256" s="1"/>
      <c r="AR256" s="1"/>
      <c r="AS256" s="1" t="s">
        <v>713</v>
      </c>
      <c r="AT256" s="1"/>
      <c r="AU256" s="1"/>
      <c r="AV256" s="1"/>
    </row>
    <row r="257" spans="1:48" ht="35.25" customHeight="1">
      <c r="A257" s="1"/>
      <c r="B257" s="1"/>
      <c r="C257" s="1"/>
      <c r="D257" s="1" t="s">
        <v>1317</v>
      </c>
      <c r="E257" s="1"/>
      <c r="F257" s="1"/>
      <c r="G257" s="1"/>
      <c r="H257" s="1"/>
      <c r="I257" s="1"/>
      <c r="J257" s="1"/>
      <c r="K257" s="1"/>
      <c r="L257" s="1"/>
      <c r="M257" s="1"/>
      <c r="N257" s="1"/>
      <c r="O257" s="1" t="s">
        <v>2941</v>
      </c>
      <c r="P257" s="1"/>
      <c r="Q257" s="1"/>
      <c r="R257" s="1"/>
      <c r="S257" s="1"/>
      <c r="T257" s="1"/>
      <c r="U257" s="1"/>
      <c r="V257" s="1"/>
      <c r="W257" s="1"/>
      <c r="X257" s="1"/>
      <c r="Y257" s="1"/>
      <c r="Z257" s="1"/>
      <c r="AA257" s="1"/>
      <c r="AB257" s="1"/>
      <c r="AC257" s="1"/>
      <c r="AD257" s="1" t="s">
        <v>1148</v>
      </c>
      <c r="AE257" s="1"/>
      <c r="AF257" s="1"/>
      <c r="AG257" s="1"/>
      <c r="AH257" s="1"/>
      <c r="AI257" s="1"/>
      <c r="AJ257" s="1"/>
      <c r="AK257" s="1"/>
      <c r="AL257" s="1"/>
      <c r="AM257" s="1"/>
      <c r="AN257" s="1"/>
      <c r="AO257" s="1"/>
      <c r="AP257" s="1"/>
      <c r="AQ257" s="1"/>
      <c r="AR257" s="1"/>
      <c r="AS257" s="1"/>
      <c r="AT257" s="1"/>
      <c r="AU257" s="1"/>
      <c r="AV257" s="1"/>
    </row>
    <row r="258" spans="1:48" ht="35.25" customHeight="1">
      <c r="A258" s="1"/>
      <c r="B258" s="1"/>
      <c r="C258" s="1"/>
      <c r="D258" s="1" t="s">
        <v>2942</v>
      </c>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row>
    <row r="259" spans="1:48" ht="35.25" customHeight="1"/>
    <row r="264" spans="1:48">
      <c r="W264" t="s">
        <v>2820</v>
      </c>
    </row>
    <row r="274" spans="1:1">
      <c r="A274" s="2" t="s">
        <v>396</v>
      </c>
    </row>
    <row r="275" spans="1:1">
      <c r="A275" s="326" t="s">
        <v>652</v>
      </c>
    </row>
    <row r="276" spans="1:1">
      <c r="A276" s="326" t="s">
        <v>600</v>
      </c>
    </row>
    <row r="277" spans="1:1">
      <c r="A277" s="326" t="s">
        <v>2943</v>
      </c>
    </row>
    <row r="278" spans="1:1">
      <c r="A278" s="326" t="s">
        <v>2944</v>
      </c>
    </row>
    <row r="279" spans="1:1">
      <c r="A279" s="326" t="s">
        <v>2945</v>
      </c>
    </row>
    <row r="280" spans="1:1">
      <c r="A280" s="326" t="s">
        <v>743</v>
      </c>
    </row>
    <row r="281" spans="1:1">
      <c r="A281" s="326" t="s">
        <v>632</v>
      </c>
    </row>
    <row r="282" spans="1:1">
      <c r="A282" s="326" t="s">
        <v>2946</v>
      </c>
    </row>
    <row r="283" spans="1:1">
      <c r="A283" s="326" t="s">
        <v>892</v>
      </c>
    </row>
    <row r="284" spans="1:1">
      <c r="A284" s="326" t="s">
        <v>781</v>
      </c>
    </row>
    <row r="285" spans="1:1">
      <c r="A285" s="326" t="s">
        <v>498</v>
      </c>
    </row>
    <row r="286" spans="1:1">
      <c r="A286" s="326" t="s">
        <v>621</v>
      </c>
    </row>
    <row r="287" spans="1:1">
      <c r="A287" s="106" t="s">
        <v>2947</v>
      </c>
    </row>
    <row r="288" spans="1:1">
      <c r="A288" s="106" t="s">
        <v>2948</v>
      </c>
    </row>
    <row r="289" spans="1:2">
      <c r="A289" s="106" t="s">
        <v>2949</v>
      </c>
    </row>
    <row r="290" spans="1:2">
      <c r="A290" s="106" t="s">
        <v>821</v>
      </c>
    </row>
    <row r="291" spans="1:2">
      <c r="A291" s="106" t="s">
        <v>2794</v>
      </c>
    </row>
    <row r="292" spans="1:2">
      <c r="A292" s="107" t="s">
        <v>650</v>
      </c>
    </row>
    <row r="293" spans="1:2">
      <c r="A293" s="338" t="s">
        <v>2950</v>
      </c>
    </row>
    <row r="294" spans="1:2">
      <c r="A294" s="338" t="s">
        <v>1017</v>
      </c>
    </row>
    <row r="299" spans="1:2">
      <c r="A299" t="s">
        <v>2951</v>
      </c>
      <c r="B299" t="s">
        <v>2952</v>
      </c>
    </row>
    <row r="300" spans="1:2">
      <c r="A300" t="s">
        <v>2953</v>
      </c>
      <c r="B300" t="s">
        <v>540</v>
      </c>
    </row>
    <row r="301" spans="1:2">
      <c r="A301" t="s">
        <v>2954</v>
      </c>
      <c r="B301" t="s">
        <v>540</v>
      </c>
    </row>
    <row r="302" spans="1:2">
      <c r="A302" t="s">
        <v>2955</v>
      </c>
      <c r="B302" t="s">
        <v>540</v>
      </c>
    </row>
    <row r="303" spans="1:2">
      <c r="A303" t="s">
        <v>2956</v>
      </c>
      <c r="B303" t="s">
        <v>540</v>
      </c>
    </row>
    <row r="304" spans="1:2">
      <c r="A304" t="s">
        <v>2803</v>
      </c>
      <c r="B304" t="s">
        <v>540</v>
      </c>
    </row>
    <row r="305" spans="1:2">
      <c r="A305" t="s">
        <v>2957</v>
      </c>
      <c r="B305" t="s">
        <v>554</v>
      </c>
    </row>
    <row r="306" spans="1:2">
      <c r="A306" t="s">
        <v>2958</v>
      </c>
      <c r="B306" t="s">
        <v>554</v>
      </c>
    </row>
    <row r="307" spans="1:2">
      <c r="A307" t="s">
        <v>2959</v>
      </c>
      <c r="B307" t="s">
        <v>554</v>
      </c>
    </row>
    <row r="308" spans="1:2">
      <c r="A308" t="s">
        <v>2960</v>
      </c>
      <c r="B308" t="s">
        <v>2773</v>
      </c>
    </row>
    <row r="309" spans="1:2">
      <c r="A309" t="s">
        <v>2961</v>
      </c>
      <c r="B309" t="s">
        <v>2773</v>
      </c>
    </row>
    <row r="310" spans="1:2">
      <c r="A310" t="s">
        <v>2962</v>
      </c>
      <c r="B310" t="s">
        <v>2773</v>
      </c>
    </row>
    <row r="311" spans="1:2">
      <c r="A311" t="s">
        <v>728</v>
      </c>
      <c r="B311" t="s">
        <v>2773</v>
      </c>
    </row>
    <row r="312" spans="1:2">
      <c r="A312" t="s">
        <v>2963</v>
      </c>
      <c r="B312" t="s">
        <v>2964</v>
      </c>
    </row>
    <row r="313" spans="1:2">
      <c r="A313" t="s">
        <v>2965</v>
      </c>
      <c r="B313" t="s">
        <v>2964</v>
      </c>
    </row>
    <row r="314" spans="1:2">
      <c r="A314" t="s">
        <v>2966</v>
      </c>
      <c r="B314" t="s">
        <v>2964</v>
      </c>
    </row>
    <row r="315" spans="1:2">
      <c r="A315" t="s">
        <v>871</v>
      </c>
      <c r="B315" t="s">
        <v>2964</v>
      </c>
    </row>
    <row r="316" spans="1:2">
      <c r="A316" t="s">
        <v>530</v>
      </c>
      <c r="B316" t="s">
        <v>2964</v>
      </c>
    </row>
    <row r="317" spans="1:2">
      <c r="A317" t="s">
        <v>2967</v>
      </c>
      <c r="B317" t="s">
        <v>540</v>
      </c>
    </row>
    <row r="324" spans="1:3">
      <c r="A324" t="s">
        <v>2968</v>
      </c>
      <c r="B324" t="s">
        <v>2969</v>
      </c>
      <c r="C324" t="s">
        <v>2970</v>
      </c>
    </row>
    <row r="325" spans="1:3">
      <c r="A325" t="s">
        <v>2971</v>
      </c>
      <c r="B325" t="s">
        <v>2965</v>
      </c>
      <c r="C325" t="str">
        <f>VLOOKUP(Tabla76[[#This Row],[Micro]],Tabla75[],2,FALSE)</f>
        <v>Otros Requerimientos</v>
      </c>
    </row>
    <row r="326" spans="1:3">
      <c r="A326" t="s">
        <v>2972</v>
      </c>
      <c r="B326" t="s">
        <v>2965</v>
      </c>
      <c r="C326" t="str">
        <f>VLOOKUP(Tabla76[[#This Row],[Micro]],Tabla75[],2,FALSE)</f>
        <v>Otros Requerimientos</v>
      </c>
    </row>
    <row r="327" spans="1:3">
      <c r="A327" t="s">
        <v>2973</v>
      </c>
      <c r="B327" t="s">
        <v>2965</v>
      </c>
      <c r="C327" t="str">
        <f>VLOOKUP(Tabla76[[#This Row],[Micro]],Tabla75[],2,FALSE)</f>
        <v>Otros Requerimientos</v>
      </c>
    </row>
    <row r="328" spans="1:3">
      <c r="A328" t="s">
        <v>2974</v>
      </c>
      <c r="B328" t="s">
        <v>2965</v>
      </c>
      <c r="C328" t="str">
        <f>VLOOKUP(Tabla76[[#This Row],[Micro]],Tabla75[],2,FALSE)</f>
        <v>Otros Requerimientos</v>
      </c>
    </row>
    <row r="329" spans="1:3">
      <c r="A329" t="s">
        <v>968</v>
      </c>
      <c r="B329" t="s">
        <v>2959</v>
      </c>
      <c r="C329" t="str">
        <f>VLOOKUP(Tabla76[[#This Row],[Micro]],Tabla75[],2,FALSE)</f>
        <v>Canales Presenciales</v>
      </c>
    </row>
    <row r="330" spans="1:3">
      <c r="A330" t="s">
        <v>762</v>
      </c>
      <c r="B330" t="s">
        <v>2965</v>
      </c>
      <c r="C330" t="str">
        <f>VLOOKUP(Tabla76[[#This Row],[Micro]],Tabla75[],2,FALSE)</f>
        <v>Otros Requerimientos</v>
      </c>
    </row>
    <row r="331" spans="1:3">
      <c r="A331" t="s">
        <v>684</v>
      </c>
      <c r="B331" t="s">
        <v>2965</v>
      </c>
      <c r="C331" t="str">
        <f>VLOOKUP(Tabla76[[#This Row],[Micro]],Tabla75[],2,FALSE)</f>
        <v>Otros Requerimientos</v>
      </c>
    </row>
    <row r="332" spans="1:3">
      <c r="A332" t="s">
        <v>1535</v>
      </c>
      <c r="B332" t="s">
        <v>2965</v>
      </c>
      <c r="C332" t="str">
        <f>VLOOKUP(Tabla76[[#This Row],[Micro]],Tabla75[],2,FALSE)</f>
        <v>Otros Requerimientos</v>
      </c>
    </row>
    <row r="333" spans="1:3">
      <c r="A333" t="s">
        <v>2975</v>
      </c>
      <c r="B333" t="s">
        <v>2965</v>
      </c>
      <c r="C333" t="str">
        <f>VLOOKUP(Tabla76[[#This Row],[Micro]],Tabla75[],2,FALSE)</f>
        <v>Otros Requerimientos</v>
      </c>
    </row>
    <row r="334" spans="1:3">
      <c r="A334" t="s">
        <v>2976</v>
      </c>
      <c r="B334" t="s">
        <v>2965</v>
      </c>
      <c r="C334" t="str">
        <f>VLOOKUP(Tabla76[[#This Row],[Micro]],Tabla75[],2,FALSE)</f>
        <v>Otros Requerimientos</v>
      </c>
    </row>
    <row r="335" spans="1:3">
      <c r="A335" t="s">
        <v>2977</v>
      </c>
      <c r="B335" t="s">
        <v>2965</v>
      </c>
      <c r="C335" t="str">
        <f>VLOOKUP(Tabla76[[#This Row],[Micro]],Tabla75[],2,FALSE)</f>
        <v>Otros Requerimientos</v>
      </c>
    </row>
    <row r="336" spans="1:3">
      <c r="A336" t="s">
        <v>693</v>
      </c>
      <c r="B336" t="s">
        <v>2965</v>
      </c>
      <c r="C336" t="str">
        <f>VLOOKUP(Tabla76[[#This Row],[Micro]],Tabla75[],2,FALSE)</f>
        <v>Otros Requerimientos</v>
      </c>
    </row>
    <row r="337" spans="1:3">
      <c r="A337" t="s">
        <v>2978</v>
      </c>
      <c r="B337" t="s">
        <v>2965</v>
      </c>
      <c r="C337" t="str">
        <f>VLOOKUP(Tabla76[[#This Row],[Micro]],Tabla75[],2,FALSE)</f>
        <v>Otros Requerimientos</v>
      </c>
    </row>
    <row r="338" spans="1:3">
      <c r="A338" t="s">
        <v>703</v>
      </c>
      <c r="B338" t="s">
        <v>2965</v>
      </c>
      <c r="C338" t="str">
        <f>VLOOKUP(Tabla76[[#This Row],[Micro]],Tabla75[],2,FALSE)</f>
        <v>Otros Requerimientos</v>
      </c>
    </row>
    <row r="339" spans="1:3">
      <c r="A339" t="s">
        <v>2979</v>
      </c>
      <c r="B339" t="s">
        <v>2965</v>
      </c>
      <c r="C339" t="str">
        <f>VLOOKUP(Tabla76[[#This Row],[Micro]],Tabla75[],2,FALSE)</f>
        <v>Otros Requerimientos</v>
      </c>
    </row>
    <row r="340" spans="1:3">
      <c r="A340" t="s">
        <v>2980</v>
      </c>
      <c r="B340" t="s">
        <v>2965</v>
      </c>
      <c r="C340" t="str">
        <f>VLOOKUP(Tabla76[[#This Row],[Micro]],Tabla75[],2,FALSE)</f>
        <v>Otros Requerimientos</v>
      </c>
    </row>
    <row r="341" spans="1:3">
      <c r="A341" t="s">
        <v>2981</v>
      </c>
      <c r="B341" t="s">
        <v>2965</v>
      </c>
      <c r="C341" t="str">
        <f>VLOOKUP(Tabla76[[#This Row],[Micro]],Tabla75[],2,FALSE)</f>
        <v>Otros Requerimientos</v>
      </c>
    </row>
    <row r="342" spans="1:3">
      <c r="A342" t="s">
        <v>914</v>
      </c>
      <c r="B342" t="s">
        <v>2960</v>
      </c>
      <c r="C342" t="str">
        <f>VLOOKUP(Tabla76[[#This Row],[Micro]],Tabla75[],2,FALSE)</f>
        <v>Productos</v>
      </c>
    </row>
    <row r="343" spans="1:3">
      <c r="A343" t="s">
        <v>493</v>
      </c>
      <c r="B343" t="s">
        <v>2965</v>
      </c>
      <c r="C343" t="str">
        <f>VLOOKUP(Tabla76[[#This Row],[Micro]],Tabla75[],2,FALSE)</f>
        <v>Otros Requerimientos</v>
      </c>
    </row>
    <row r="344" spans="1:3">
      <c r="A344" t="s">
        <v>905</v>
      </c>
      <c r="B344" t="s">
        <v>2965</v>
      </c>
      <c r="C344" t="str">
        <f>VLOOKUP(Tabla76[[#This Row],[Micro]],Tabla75[],2,FALSE)</f>
        <v>Otros Requerimientos</v>
      </c>
    </row>
    <row r="345" spans="1:3">
      <c r="A345" t="s">
        <v>1338</v>
      </c>
      <c r="B345" t="s">
        <v>2965</v>
      </c>
      <c r="C345" t="str">
        <f>VLOOKUP(Tabla76[[#This Row],[Micro]],Tabla75[],2,FALSE)</f>
        <v>Otros Requerimientos</v>
      </c>
    </row>
    <row r="346" spans="1:3">
      <c r="A346" t="s">
        <v>2982</v>
      </c>
      <c r="B346" t="s">
        <v>2965</v>
      </c>
      <c r="C346" t="str">
        <f>VLOOKUP(Tabla76[[#This Row],[Micro]],Tabla75[],2,FALSE)</f>
        <v>Otros Requerimientos</v>
      </c>
    </row>
    <row r="347" spans="1:3">
      <c r="A347" t="s">
        <v>890</v>
      </c>
      <c r="B347" t="s">
        <v>2965</v>
      </c>
      <c r="C347" t="str">
        <f>VLOOKUP(Tabla76[[#This Row],[Micro]],Tabla75[],2,FALSE)</f>
        <v>Otros Requerimientos</v>
      </c>
    </row>
    <row r="348" spans="1:3">
      <c r="A348" t="s">
        <v>2983</v>
      </c>
      <c r="B348" t="s">
        <v>2965</v>
      </c>
      <c r="C348" t="str">
        <f>VLOOKUP(Tabla76[[#This Row],[Micro]],Tabla75[],2,FALSE)</f>
        <v>Otros Requerimientos</v>
      </c>
    </row>
    <row r="349" spans="1:3">
      <c r="A349" t="s">
        <v>1564</v>
      </c>
      <c r="B349" t="s">
        <v>2965</v>
      </c>
      <c r="C349" t="str">
        <f>VLOOKUP(Tabla76[[#This Row],[Micro]],Tabla75[],2,FALSE)</f>
        <v>Otros Requerimientos</v>
      </c>
    </row>
    <row r="350" spans="1:3">
      <c r="A350" t="s">
        <v>2984</v>
      </c>
      <c r="B350" t="s">
        <v>2965</v>
      </c>
      <c r="C350" t="str">
        <f>VLOOKUP(Tabla76[[#This Row],[Micro]],Tabla75[],2,FALSE)</f>
        <v>Otros Requerimientos</v>
      </c>
    </row>
    <row r="351" spans="1:3">
      <c r="A351" t="s">
        <v>631</v>
      </c>
      <c r="B351" t="s">
        <v>2965</v>
      </c>
      <c r="C351" t="str">
        <f>VLOOKUP(Tabla76[[#This Row],[Micro]],Tabla75[],2,FALSE)</f>
        <v>Otros Requerimientos</v>
      </c>
    </row>
    <row r="352" spans="1:3">
      <c r="A352" t="s">
        <v>2985</v>
      </c>
      <c r="B352" t="s">
        <v>2965</v>
      </c>
      <c r="C352" t="str">
        <f>VLOOKUP(Tabla76[[#This Row],[Micro]],Tabla75[],2,FALSE)</f>
        <v>Otros Requerimientos</v>
      </c>
    </row>
    <row r="353" spans="1:3">
      <c r="A353" t="s">
        <v>2986</v>
      </c>
      <c r="B353" t="s">
        <v>2965</v>
      </c>
      <c r="C353" t="str">
        <f>VLOOKUP(Tabla76[[#This Row],[Micro]],Tabla75[],2,FALSE)</f>
        <v>Otros Requerimientos</v>
      </c>
    </row>
    <row r="354" spans="1:3">
      <c r="A354" t="s">
        <v>2987</v>
      </c>
      <c r="B354" t="s">
        <v>2965</v>
      </c>
      <c r="C354" t="str">
        <f>VLOOKUP(Tabla76[[#This Row],[Micro]],Tabla75[],2,FALSE)</f>
        <v>Otros Requerimientos</v>
      </c>
    </row>
    <row r="355" spans="1:3">
      <c r="A355" t="s">
        <v>569</v>
      </c>
      <c r="B355" t="s">
        <v>2965</v>
      </c>
      <c r="C355" t="str">
        <f>VLOOKUP(Tabla76[[#This Row],[Micro]],Tabla75[],2,FALSE)</f>
        <v>Otros Requerimientos</v>
      </c>
    </row>
    <row r="356" spans="1:3">
      <c r="A356" t="s">
        <v>2988</v>
      </c>
      <c r="B356" t="s">
        <v>2965</v>
      </c>
      <c r="C356" t="str">
        <f>VLOOKUP(Tabla76[[#This Row],[Micro]],Tabla75[],2,FALSE)</f>
        <v>Otros Requerimientos</v>
      </c>
    </row>
    <row r="357" spans="1:3">
      <c r="A357" t="s">
        <v>1496</v>
      </c>
      <c r="B357" t="s">
        <v>2965</v>
      </c>
      <c r="C357" t="str">
        <f>VLOOKUP(Tabla76[[#This Row],[Micro]],Tabla75[],2,FALSE)</f>
        <v>Otros Requerimientos</v>
      </c>
    </row>
    <row r="358" spans="1:3">
      <c r="A358" t="s">
        <v>2989</v>
      </c>
      <c r="B358" t="s">
        <v>2965</v>
      </c>
      <c r="C358" t="str">
        <f>VLOOKUP(Tabla76[[#This Row],[Micro]],Tabla75[],2,FALSE)</f>
        <v>Otros Requerimientos</v>
      </c>
    </row>
    <row r="359" spans="1:3">
      <c r="A359" t="s">
        <v>2990</v>
      </c>
      <c r="B359" t="s">
        <v>2965</v>
      </c>
      <c r="C359" t="str">
        <f>VLOOKUP(Tabla76[[#This Row],[Micro]],Tabla75[],2,FALSE)</f>
        <v>Otros Requerimientos</v>
      </c>
    </row>
    <row r="360" spans="1:3">
      <c r="A360" t="s">
        <v>2991</v>
      </c>
      <c r="B360" t="s">
        <v>2965</v>
      </c>
      <c r="C360" t="str">
        <f>VLOOKUP(Tabla76[[#This Row],[Micro]],Tabla75[],2,FALSE)</f>
        <v>Otros Requerimientos</v>
      </c>
    </row>
    <row r="361" spans="1:3">
      <c r="A361" t="s">
        <v>2992</v>
      </c>
      <c r="B361" t="s">
        <v>2965</v>
      </c>
      <c r="C361" t="str">
        <f>VLOOKUP(Tabla76[[#This Row],[Micro]],Tabla75[],2,FALSE)</f>
        <v>Otros Requerimientos</v>
      </c>
    </row>
    <row r="362" spans="1:3">
      <c r="A362" t="s">
        <v>1581</v>
      </c>
      <c r="B362" t="s">
        <v>2965</v>
      </c>
      <c r="C362" t="str">
        <f>VLOOKUP(Tabla76[[#This Row],[Micro]],Tabla75[],2,FALSE)</f>
        <v>Otros Requerimientos</v>
      </c>
    </row>
    <row r="363" spans="1:3">
      <c r="A363" t="s">
        <v>2993</v>
      </c>
      <c r="B363" t="s">
        <v>2965</v>
      </c>
      <c r="C363" t="str">
        <f>VLOOKUP(Tabla76[[#This Row],[Micro]],Tabla75[],2,FALSE)</f>
        <v>Otros Requerimientos</v>
      </c>
    </row>
    <row r="364" spans="1:3">
      <c r="A364" t="s">
        <v>812</v>
      </c>
      <c r="B364" t="s">
        <v>2959</v>
      </c>
      <c r="C364" t="str">
        <f>VLOOKUP(Tabla76[[#This Row],[Micro]],Tabla75[],2,FALSE)</f>
        <v>Canales Presenciales</v>
      </c>
    </row>
    <row r="365" spans="1:3">
      <c r="A365" t="s">
        <v>590</v>
      </c>
      <c r="B365" t="s">
        <v>2965</v>
      </c>
      <c r="C365" t="str">
        <f>VLOOKUP(Tabla76[[#This Row],[Micro]],Tabla75[],2,FALSE)</f>
        <v>Otros Requerimientos</v>
      </c>
    </row>
    <row r="366" spans="1:3">
      <c r="A366" t="s">
        <v>2994</v>
      </c>
      <c r="B366" t="s">
        <v>2965</v>
      </c>
      <c r="C366" t="str">
        <f>VLOOKUP(Tabla76[[#This Row],[Micro]],Tabla75[],2,FALSE)</f>
        <v>Otros Requerimientos</v>
      </c>
    </row>
    <row r="367" spans="1:3">
      <c r="A367" t="s">
        <v>2995</v>
      </c>
      <c r="B367" t="s">
        <v>2965</v>
      </c>
      <c r="C367" t="str">
        <f>VLOOKUP(Tabla76[[#This Row],[Micro]],Tabla75[],2,FALSE)</f>
        <v>Otros Requerimientos</v>
      </c>
    </row>
    <row r="368" spans="1:3">
      <c r="A368" t="s">
        <v>796</v>
      </c>
      <c r="B368" t="s">
        <v>2965</v>
      </c>
      <c r="C368" t="str">
        <f>VLOOKUP(Tabla76[[#This Row],[Micro]],Tabla75[],2,FALSE)</f>
        <v>Otros Requerimientos</v>
      </c>
    </row>
    <row r="369" spans="1:3">
      <c r="A369" t="s">
        <v>2996</v>
      </c>
      <c r="B369" t="s">
        <v>2965</v>
      </c>
      <c r="C369" t="str">
        <f>VLOOKUP(Tabla76[[#This Row],[Micro]],Tabla75[],2,FALSE)</f>
        <v>Otros Requerimientos</v>
      </c>
    </row>
    <row r="370" spans="1:3">
      <c r="A370" t="s">
        <v>2997</v>
      </c>
      <c r="B370" t="s">
        <v>2965</v>
      </c>
      <c r="C370" t="str">
        <f>VLOOKUP(Tabla76[[#This Row],[Micro]],Tabla75[],2,FALSE)</f>
        <v>Otros Requerimientos</v>
      </c>
    </row>
    <row r="371" spans="1:3">
      <c r="A371" t="s">
        <v>2998</v>
      </c>
      <c r="B371" t="s">
        <v>2965</v>
      </c>
      <c r="C371" t="str">
        <f>VLOOKUP(Tabla76[[#This Row],[Micro]],Tabla75[],2,FALSE)</f>
        <v>Otros Requerimientos</v>
      </c>
    </row>
    <row r="372" spans="1:3">
      <c r="A372" t="s">
        <v>1587</v>
      </c>
      <c r="B372" t="s">
        <v>2954</v>
      </c>
      <c r="C372" t="str">
        <f>VLOOKUP(Tabla76[[#This Row],[Micro]],Tabla75[],2,FALSE)</f>
        <v>Canales Virtuales</v>
      </c>
    </row>
    <row r="373" spans="1:3">
      <c r="A373" t="s">
        <v>2999</v>
      </c>
      <c r="B373" t="s">
        <v>2965</v>
      </c>
      <c r="C373" t="str">
        <f>VLOOKUP(Tabla76[[#This Row],[Micro]],Tabla75[],2,FALSE)</f>
        <v>Otros Requerimientos</v>
      </c>
    </row>
    <row r="374" spans="1:3">
      <c r="A374" t="s">
        <v>3000</v>
      </c>
      <c r="B374" t="s">
        <v>2965</v>
      </c>
      <c r="C374" t="str">
        <f>VLOOKUP(Tabla76[[#This Row],[Micro]],Tabla75[],2,FALSE)</f>
        <v>Otros Requerimientos</v>
      </c>
    </row>
    <row r="375" spans="1:3">
      <c r="A375" t="s">
        <v>870</v>
      </c>
      <c r="B375" t="s">
        <v>871</v>
      </c>
      <c r="C375" t="str">
        <f>VLOOKUP(Tabla76[[#This Row],[Micro]],Tabla75[],2,FALSE)</f>
        <v>Otros Requerimientos</v>
      </c>
    </row>
    <row r="376" spans="1:3">
      <c r="A376" t="s">
        <v>1224</v>
      </c>
      <c r="B376" t="s">
        <v>2803</v>
      </c>
      <c r="C376" t="str">
        <f>VLOOKUP(Tabla76[[#This Row],[Micro]],Tabla75[],2,FALSE)</f>
        <v>Canales Virtuales</v>
      </c>
    </row>
    <row r="377" spans="1:3">
      <c r="A377" t="s">
        <v>3001</v>
      </c>
      <c r="B377" t="s">
        <v>2965</v>
      </c>
      <c r="C377" t="str">
        <f>VLOOKUP(Tabla76[[#This Row],[Micro]],Tabla75[],2,FALSE)</f>
        <v>Otros Requerimientos</v>
      </c>
    </row>
    <row r="378" spans="1:3">
      <c r="A378" t="s">
        <v>975</v>
      </c>
      <c r="B378" t="s">
        <v>2965</v>
      </c>
      <c r="C378" t="str">
        <f>VLOOKUP(Tabla76[[#This Row],[Micro]],Tabla75[],2,FALSE)</f>
        <v>Otros Requerimientos</v>
      </c>
    </row>
    <row r="379" spans="1:3">
      <c r="A379" t="s">
        <v>990</v>
      </c>
      <c r="B379" t="s">
        <v>2965</v>
      </c>
      <c r="C379" t="str">
        <f>VLOOKUP(Tabla76[[#This Row],[Micro]],Tabla75[],2,FALSE)</f>
        <v>Otros Requerimientos</v>
      </c>
    </row>
    <row r="380" spans="1:3">
      <c r="A380" t="s">
        <v>1618</v>
      </c>
      <c r="B380" t="s">
        <v>2965</v>
      </c>
      <c r="C380" t="str">
        <f>VLOOKUP(Tabla76[[#This Row],[Micro]],Tabla75[],2,FALSE)</f>
        <v>Otros Requerimientos</v>
      </c>
    </row>
    <row r="381" spans="1:3">
      <c r="A381" t="s">
        <v>3002</v>
      </c>
      <c r="B381" t="s">
        <v>2965</v>
      </c>
      <c r="C381" t="str">
        <f>VLOOKUP(Tabla76[[#This Row],[Micro]],Tabla75[],2,FALSE)</f>
        <v>Otros Requerimientos</v>
      </c>
    </row>
    <row r="382" spans="1:3">
      <c r="A382" t="s">
        <v>620</v>
      </c>
      <c r="B382" t="s">
        <v>2965</v>
      </c>
      <c r="C382" t="str">
        <f>VLOOKUP(Tabla76[[#This Row],[Micro]],Tabla75[],2,FALSE)</f>
        <v>Otros Requerimientos</v>
      </c>
    </row>
    <row r="383" spans="1:3">
      <c r="A383" t="s">
        <v>3003</v>
      </c>
      <c r="B383" t="s">
        <v>2965</v>
      </c>
      <c r="C383" t="str">
        <f>VLOOKUP(Tabla76[[#This Row],[Micro]],Tabla75[],2,FALSE)</f>
        <v>Otros Requerimientos</v>
      </c>
    </row>
    <row r="384" spans="1:3">
      <c r="A384" t="s">
        <v>1352</v>
      </c>
      <c r="B384" t="s">
        <v>2965</v>
      </c>
      <c r="C384" t="str">
        <f>VLOOKUP(Tabla76[[#This Row],[Micro]],Tabla75[],2,FALSE)</f>
        <v>Otros Requerimientos</v>
      </c>
    </row>
    <row r="385" spans="1:3">
      <c r="A385" t="s">
        <v>1149</v>
      </c>
      <c r="B385" t="s">
        <v>2962</v>
      </c>
      <c r="C385" t="str">
        <f>VLOOKUP(Tabla76[[#This Row],[Micro]],Tabla75[],2,FALSE)</f>
        <v>Productos</v>
      </c>
    </row>
    <row r="386" spans="1:3">
      <c r="A386" t="s">
        <v>931</v>
      </c>
      <c r="B386" t="s">
        <v>2965</v>
      </c>
      <c r="C386" t="str">
        <f>VLOOKUP(Tabla76[[#This Row],[Micro]],Tabla75[],2,FALSE)</f>
        <v>Otros Requerimientos</v>
      </c>
    </row>
    <row r="387" spans="1:3">
      <c r="A387" t="s">
        <v>845</v>
      </c>
      <c r="B387" t="s">
        <v>871</v>
      </c>
      <c r="C387" t="str">
        <f>VLOOKUP(Tabla76[[#This Row],[Micro]],Tabla75[],2,FALSE)</f>
        <v>Otros Requerimientos</v>
      </c>
    </row>
    <row r="388" spans="1:3">
      <c r="A388" t="s">
        <v>3004</v>
      </c>
      <c r="B388" t="s">
        <v>2965</v>
      </c>
      <c r="C388" t="str">
        <f>VLOOKUP(Tabla76[[#This Row],[Micro]],Tabla75[],2,FALSE)</f>
        <v>Otros Requerimientos</v>
      </c>
    </row>
    <row r="389" spans="1:3">
      <c r="A389" t="s">
        <v>820</v>
      </c>
      <c r="B389" t="s">
        <v>2965</v>
      </c>
      <c r="C389" t="str">
        <f>VLOOKUP(Tabla76[[#This Row],[Micro]],Tabla75[],2,FALSE)</f>
        <v>Otros Requerimientos</v>
      </c>
    </row>
    <row r="390" spans="1:3">
      <c r="A390" t="s">
        <v>1768</v>
      </c>
      <c r="B390" t="s">
        <v>2965</v>
      </c>
      <c r="C390" t="str">
        <f>VLOOKUP(Tabla76[[#This Row],[Micro]],Tabla75[],2,FALSE)</f>
        <v>Otros Requerimientos</v>
      </c>
    </row>
    <row r="391" spans="1:3">
      <c r="A391" t="s">
        <v>1553</v>
      </c>
      <c r="B391" t="s">
        <v>2965</v>
      </c>
      <c r="C391" t="str">
        <f>VLOOKUP(Tabla76[[#This Row],[Micro]],Tabla75[],2,FALSE)</f>
        <v>Otros Requerimientos</v>
      </c>
    </row>
    <row r="392" spans="1:3">
      <c r="A392" t="s">
        <v>3005</v>
      </c>
      <c r="B392" t="s">
        <v>2965</v>
      </c>
      <c r="C392" t="str">
        <f>VLOOKUP(Tabla76[[#This Row],[Micro]],Tabla75[],2,FALSE)</f>
        <v>Otros Requerimientos</v>
      </c>
    </row>
    <row r="393" spans="1:3">
      <c r="A393" t="s">
        <v>1805</v>
      </c>
      <c r="B393" t="s">
        <v>2965</v>
      </c>
      <c r="C393" t="str">
        <f>VLOOKUP(Tabla76[[#This Row],[Micro]],Tabla75[],2,FALSE)</f>
        <v>Otros Requerimientos</v>
      </c>
    </row>
    <row r="394" spans="1:3">
      <c r="A394" t="s">
        <v>857</v>
      </c>
      <c r="B394" t="s">
        <v>2965</v>
      </c>
      <c r="C394" t="str">
        <f>VLOOKUP(Tabla76[[#This Row],[Micro]],Tabla75[],2,FALSE)</f>
        <v>Otros Requerimientos</v>
      </c>
    </row>
    <row r="395" spans="1:3">
      <c r="A395" t="s">
        <v>710</v>
      </c>
      <c r="B395" t="s">
        <v>2953</v>
      </c>
      <c r="C395" t="str">
        <f>VLOOKUP(Tabla76[[#This Row],[Micro]],Tabla75[],2,FALSE)</f>
        <v>Canales Virtuales</v>
      </c>
    </row>
    <row r="396" spans="1:3">
      <c r="A396" t="s">
        <v>3006</v>
      </c>
      <c r="B396" t="s">
        <v>2953</v>
      </c>
      <c r="C396" t="str">
        <f>VLOOKUP(Tabla76[[#This Row],[Micro]],Tabla75[],2,FALSE)</f>
        <v>Canales Virtuales</v>
      </c>
    </row>
    <row r="397" spans="1:3">
      <c r="A397" t="s">
        <v>3007</v>
      </c>
      <c r="B397" t="s">
        <v>2965</v>
      </c>
      <c r="C397" t="str">
        <f>VLOOKUP(Tabla76[[#This Row],[Micro]],Tabla75[],2,FALSE)</f>
        <v>Otros Requerimientos</v>
      </c>
    </row>
    <row r="398" spans="1:3">
      <c r="A398" t="s">
        <v>1242</v>
      </c>
      <c r="B398" t="s">
        <v>2965</v>
      </c>
      <c r="C398" t="str">
        <f>VLOOKUP(Tabla76[[#This Row],[Micro]],Tabla75[],2,FALSE)</f>
        <v>Otros Requerimientos</v>
      </c>
    </row>
    <row r="399" spans="1:3">
      <c r="A399" t="s">
        <v>941</v>
      </c>
      <c r="B399" t="s">
        <v>2965</v>
      </c>
      <c r="C399" t="str">
        <f>VLOOKUP(Tabla76[[#This Row],[Micro]],Tabla75[],2,FALSE)</f>
        <v>Otros Requerimientos</v>
      </c>
    </row>
    <row r="400" spans="1:3">
      <c r="A400" t="s">
        <v>804</v>
      </c>
      <c r="B400" t="s">
        <v>2955</v>
      </c>
      <c r="C400" t="str">
        <f>VLOOKUP(Tabla76[[#This Row],[Micro]],Tabla75[],2,FALSE)</f>
        <v>Canales Virtuales</v>
      </c>
    </row>
    <row r="401" spans="1:3">
      <c r="A401" t="s">
        <v>1041</v>
      </c>
      <c r="B401" t="s">
        <v>2958</v>
      </c>
      <c r="C401" t="str">
        <f>VLOOKUP(Tabla76[[#This Row],[Micro]],Tabla75[],2,FALSE)</f>
        <v>Canales Presenciales</v>
      </c>
    </row>
    <row r="402" spans="1:3">
      <c r="A402" t="s">
        <v>3008</v>
      </c>
      <c r="B402" t="s">
        <v>2965</v>
      </c>
      <c r="C402" t="str">
        <f>VLOOKUP(Tabla76[[#This Row],[Micro]],Tabla75[],2,FALSE)</f>
        <v>Otros Requerimientos</v>
      </c>
    </row>
    <row r="403" spans="1:3">
      <c r="A403" t="s">
        <v>3009</v>
      </c>
      <c r="B403" t="s">
        <v>2965</v>
      </c>
      <c r="C403" t="str">
        <f>VLOOKUP(Tabla76[[#This Row],[Micro]],Tabla75[],2,FALSE)</f>
        <v>Otros Requerimientos</v>
      </c>
    </row>
    <row r="404" spans="1:3">
      <c r="A404" t="s">
        <v>1631</v>
      </c>
      <c r="B404" t="s">
        <v>2966</v>
      </c>
      <c r="C404" t="str">
        <f>VLOOKUP(Tabla76[[#This Row],[Micro]],Tabla75[],2,FALSE)</f>
        <v>Otros Requerimientos</v>
      </c>
    </row>
    <row r="405" spans="1:3">
      <c r="A405" t="s">
        <v>1318</v>
      </c>
      <c r="B405" t="s">
        <v>2965</v>
      </c>
      <c r="C405" t="str">
        <f>VLOOKUP(Tabla76[[#This Row],[Micro]],Tabla75[],2,FALSE)</f>
        <v>Otros Requerimientos</v>
      </c>
    </row>
    <row r="406" spans="1:3">
      <c r="A406" t="s">
        <v>3010</v>
      </c>
      <c r="B406" t="s">
        <v>2965</v>
      </c>
      <c r="C406" t="str">
        <f>VLOOKUP(Tabla76[[#This Row],[Micro]],Tabla75[],2,FALSE)</f>
        <v>Otros Requerimientos</v>
      </c>
    </row>
    <row r="407" spans="1:3">
      <c r="A407" t="s">
        <v>3011</v>
      </c>
      <c r="B407" t="s">
        <v>2965</v>
      </c>
      <c r="C407" t="str">
        <f>VLOOKUP(Tabla76[[#This Row],[Micro]],Tabla75[],2,FALSE)</f>
        <v>Otros Requerimientos</v>
      </c>
    </row>
    <row r="408" spans="1:3">
      <c r="A408" t="s">
        <v>3012</v>
      </c>
      <c r="B408" t="s">
        <v>2965</v>
      </c>
      <c r="C408" t="str">
        <f>VLOOKUP(Tabla76[[#This Row],[Micro]],Tabla75[],2,FALSE)</f>
        <v>Otros Requerimientos</v>
      </c>
    </row>
    <row r="409" spans="1:3">
      <c r="A409" t="s">
        <v>1323</v>
      </c>
      <c r="B409" t="s">
        <v>2965</v>
      </c>
      <c r="C409" t="str">
        <f>VLOOKUP(Tabla76[[#This Row],[Micro]],Tabla75[],2,FALSE)</f>
        <v>Otros Requerimientos</v>
      </c>
    </row>
    <row r="410" spans="1:3">
      <c r="A410" t="s">
        <v>3013</v>
      </c>
      <c r="B410" t="s">
        <v>2965</v>
      </c>
      <c r="C410" t="str">
        <f>VLOOKUP(Tabla76[[#This Row],[Micro]],Tabla75[],2,FALSE)</f>
        <v>Otros Requerimientos</v>
      </c>
    </row>
    <row r="411" spans="1:3">
      <c r="A411" t="s">
        <v>1476</v>
      </c>
      <c r="B411" t="s">
        <v>2965</v>
      </c>
      <c r="C411" t="str">
        <f>VLOOKUP(Tabla76[[#This Row],[Micro]],Tabla75[],2,FALSE)</f>
        <v>Otros Requerimientos</v>
      </c>
    </row>
    <row r="412" spans="1:3">
      <c r="A412" t="s">
        <v>597</v>
      </c>
      <c r="B412" t="s">
        <v>2965</v>
      </c>
      <c r="C412" t="str">
        <f>VLOOKUP(Tabla76[[#This Row],[Micro]],Tabla75[],2,FALSE)</f>
        <v>Otros Requerimientos</v>
      </c>
    </row>
    <row r="413" spans="1:3">
      <c r="A413" t="s">
        <v>3014</v>
      </c>
      <c r="B413" t="s">
        <v>2965</v>
      </c>
      <c r="C413" t="str">
        <f>VLOOKUP(Tabla76[[#This Row],[Micro]],Tabla75[],2,FALSE)</f>
        <v>Otros Requerimientos</v>
      </c>
    </row>
    <row r="414" spans="1:3">
      <c r="A414" t="s">
        <v>664</v>
      </c>
      <c r="B414" t="s">
        <v>2965</v>
      </c>
      <c r="C414" t="str">
        <f>VLOOKUP(Tabla76[[#This Row],[Micro]],Tabla75[],2,FALSE)</f>
        <v>Otros Requerimientos</v>
      </c>
    </row>
    <row r="415" spans="1:3">
      <c r="A415" t="s">
        <v>3015</v>
      </c>
      <c r="B415" t="s">
        <v>2965</v>
      </c>
      <c r="C415" t="str">
        <f>VLOOKUP(Tabla76[[#This Row],[Micro]],Tabla75[],2,FALSE)</f>
        <v>Otros Requerimientos</v>
      </c>
    </row>
    <row r="416" spans="1:3">
      <c r="A416" t="s">
        <v>3016</v>
      </c>
      <c r="B416" t="s">
        <v>2965</v>
      </c>
      <c r="C416" t="str">
        <f>VLOOKUP(Tabla76[[#This Row],[Micro]],Tabla75[],2,FALSE)</f>
        <v>Otros Requerimientos</v>
      </c>
    </row>
    <row r="417" spans="1:3">
      <c r="A417" t="s">
        <v>3017</v>
      </c>
      <c r="B417" t="s">
        <v>2965</v>
      </c>
      <c r="C417" t="str">
        <f>VLOOKUP(Tabla76[[#This Row],[Micro]],Tabla75[],2,FALSE)</f>
        <v>Otros Requerimientos</v>
      </c>
    </row>
    <row r="418" spans="1:3">
      <c r="A418" t="s">
        <v>3018</v>
      </c>
      <c r="B418" t="s">
        <v>2965</v>
      </c>
      <c r="C418" t="str">
        <f>VLOOKUP(Tabla76[[#This Row],[Micro]],Tabla75[],2,FALSE)</f>
        <v>Otros Requerimientos</v>
      </c>
    </row>
    <row r="419" spans="1:3">
      <c r="A419" t="s">
        <v>3019</v>
      </c>
      <c r="B419" t="s">
        <v>2965</v>
      </c>
      <c r="C419" t="str">
        <f>VLOOKUP(Tabla76[[#This Row],[Micro]],Tabla75[],2,FALSE)</f>
        <v>Otros Requerimientos</v>
      </c>
    </row>
    <row r="420" spans="1:3">
      <c r="A420" t="s">
        <v>2164</v>
      </c>
      <c r="B420" t="s">
        <v>2965</v>
      </c>
      <c r="C420" t="str">
        <f>VLOOKUP(Tabla76[[#This Row],[Micro]],Tabla75[],2,FALSE)</f>
        <v>Otros Requerimientos</v>
      </c>
    </row>
    <row r="421" spans="1:3">
      <c r="A421" t="s">
        <v>730</v>
      </c>
      <c r="B421" t="s">
        <v>2961</v>
      </c>
      <c r="C421" t="str">
        <f>VLOOKUP(Tabla76[[#This Row],[Micro]],Tabla75[],2,FALSE)</f>
        <v>Productos</v>
      </c>
    </row>
    <row r="422" spans="1:3">
      <c r="A422" t="s">
        <v>579</v>
      </c>
      <c r="B422" t="s">
        <v>2957</v>
      </c>
      <c r="C422" t="str">
        <f>VLOOKUP(Tabla76[[#This Row],[Micro]],Tabla75[],2,FALSE)</f>
        <v>Canales Presenciales</v>
      </c>
    </row>
    <row r="423" spans="1:3">
      <c r="A423" t="s">
        <v>3020</v>
      </c>
      <c r="B423" t="s">
        <v>2965</v>
      </c>
      <c r="C423" t="str">
        <f>VLOOKUP(Tabla76[[#This Row],[Micro]],Tabla75[],2,FALSE)</f>
        <v>Otros Requerimientos</v>
      </c>
    </row>
    <row r="424" spans="1:3">
      <c r="A424" t="s">
        <v>3021</v>
      </c>
      <c r="B424" t="s">
        <v>2965</v>
      </c>
      <c r="C424" t="str">
        <f>VLOOKUP(Tabla76[[#This Row],[Micro]],Tabla75[],2,FALSE)</f>
        <v>Otros Requerimientos</v>
      </c>
    </row>
    <row r="425" spans="1:3">
      <c r="A425" t="s">
        <v>3022</v>
      </c>
      <c r="B425" t="s">
        <v>2965</v>
      </c>
      <c r="C425" t="str">
        <f>VLOOKUP(Tabla76[[#This Row],[Micro]],Tabla75[],2,FALSE)</f>
        <v>Otros Requerimientos</v>
      </c>
    </row>
    <row r="426" spans="1:3">
      <c r="A426" t="s">
        <v>3023</v>
      </c>
      <c r="B426" t="s">
        <v>2965</v>
      </c>
      <c r="C426" t="str">
        <f>VLOOKUP(Tabla76[[#This Row],[Micro]],Tabla75[],2,FALSE)</f>
        <v>Otros Requerimientos</v>
      </c>
    </row>
    <row r="427" spans="1:3">
      <c r="A427" t="s">
        <v>742</v>
      </c>
      <c r="B427" t="s">
        <v>2956</v>
      </c>
      <c r="C427" t="str">
        <f>VLOOKUP(Tabla76[[#This Row],[Micro]],Tabla75[],2,FALSE)</f>
        <v>Canales Virtuales</v>
      </c>
    </row>
    <row r="428" spans="1:3">
      <c r="A428" t="s">
        <v>3024</v>
      </c>
      <c r="B428" t="s">
        <v>2965</v>
      </c>
      <c r="C428" t="str">
        <f>VLOOKUP(Tabla76[[#This Row],[Micro]],Tabla75[],2,FALSE)</f>
        <v>Otros Requerimientos</v>
      </c>
    </row>
    <row r="429" spans="1:3">
      <c r="A429" t="s">
        <v>3025</v>
      </c>
      <c r="B429" t="s">
        <v>2965</v>
      </c>
      <c r="C429" t="str">
        <f>VLOOKUP(Tabla76[[#This Row],[Micro]],Tabla75[],2,FALSE)</f>
        <v>Otros Requerimientos</v>
      </c>
    </row>
    <row r="430" spans="1:3">
      <c r="A430" t="s">
        <v>3026</v>
      </c>
      <c r="B430" t="s">
        <v>2965</v>
      </c>
      <c r="C430" t="str">
        <f>VLOOKUP(Tabla76[[#This Row],[Micro]],Tabla75[],2,FALSE)</f>
        <v>Otros Requerimientos</v>
      </c>
    </row>
    <row r="431" spans="1:3">
      <c r="A431" t="s">
        <v>3027</v>
      </c>
      <c r="B431" t="s">
        <v>2965</v>
      </c>
      <c r="C431" t="str">
        <f>VLOOKUP(Tabla76[[#This Row],[Micro]],Tabla75[],2,FALSE)</f>
        <v>Otros Requerimientos</v>
      </c>
    </row>
    <row r="432" spans="1:3">
      <c r="A432" t="s">
        <v>1691</v>
      </c>
      <c r="B432" t="s">
        <v>2965</v>
      </c>
      <c r="C432" t="str">
        <f>VLOOKUP(Tabla76[[#This Row],[Micro]],Tabla75[],2,FALSE)</f>
        <v>Otros Requerimientos</v>
      </c>
    </row>
    <row r="433" spans="1:5">
      <c r="A433" t="s">
        <v>3028</v>
      </c>
      <c r="B433" t="s">
        <v>2965</v>
      </c>
      <c r="C433" t="str">
        <f>VLOOKUP(Tabla76[[#This Row],[Micro]],Tabla75[],2,FALSE)</f>
        <v>Otros Requerimientos</v>
      </c>
    </row>
    <row r="434" spans="1:5">
      <c r="A434" t="s">
        <v>770</v>
      </c>
      <c r="B434" t="s">
        <v>2959</v>
      </c>
      <c r="C434" t="str">
        <f>VLOOKUP(Tabla76[[#This Row],[Micro]],Tabla75[],2,FALSE)</f>
        <v>Canales Presenciales</v>
      </c>
    </row>
    <row r="435" spans="1:5">
      <c r="A435" t="s">
        <v>3029</v>
      </c>
      <c r="B435" t="s">
        <v>2965</v>
      </c>
      <c r="C435" t="str">
        <f>VLOOKUP(Tabla76[[#This Row],[Micro]],Tabla75[],2,FALSE)</f>
        <v>Otros Requerimientos</v>
      </c>
    </row>
    <row r="436" spans="1:5">
      <c r="A436" t="s">
        <v>556</v>
      </c>
      <c r="B436" t="s">
        <v>2959</v>
      </c>
      <c r="C436" t="str">
        <f>VLOOKUP(Tabla76[[#This Row],[Micro]],Tabla75[],2,FALSE)</f>
        <v>Canales Presenciales</v>
      </c>
    </row>
    <row r="437" spans="1:5">
      <c r="A437" t="s">
        <v>3030</v>
      </c>
      <c r="B437" t="s">
        <v>2965</v>
      </c>
      <c r="C437" t="str">
        <f>VLOOKUP(Tabla76[[#This Row],[Micro]],Tabla75[],2,FALSE)</f>
        <v>Otros Requerimientos</v>
      </c>
    </row>
    <row r="438" spans="1:5">
      <c r="A438" t="s">
        <v>3031</v>
      </c>
      <c r="B438" t="s">
        <v>2965</v>
      </c>
      <c r="C438" t="str">
        <f>VLOOKUP(Tabla76[[#This Row],[Micro]],Tabla75[],2,FALSE)</f>
        <v>Otros Requerimientos</v>
      </c>
    </row>
    <row r="439" spans="1:5">
      <c r="A439" t="s">
        <v>3032</v>
      </c>
      <c r="B439" t="s">
        <v>2965</v>
      </c>
      <c r="C439" t="str">
        <f>VLOOKUP(Tabla76[[#This Row],[Micro]],Tabla75[],2,FALSE)</f>
        <v>Otros Requerimientos</v>
      </c>
    </row>
    <row r="440" spans="1:5" ht="25.5">
      <c r="A440" s="50" t="s">
        <v>1381</v>
      </c>
      <c r="B440" t="s">
        <v>2965</v>
      </c>
      <c r="C440" t="str">
        <f>VLOOKUP(Tabla76[[#This Row],[Micro]],Tabla75[],2,FALSE)</f>
        <v>Otros Requerimientos</v>
      </c>
    </row>
    <row r="441" spans="1:5">
      <c r="A441" s="150" t="s">
        <v>2006</v>
      </c>
      <c r="B441" t="s">
        <v>2967</v>
      </c>
      <c r="C441" t="str">
        <f>VLOOKUP(Tabla76[[#This Row],[Micro]],Tabla75[],2,FALSE)</f>
        <v>Canales Virtuales</v>
      </c>
    </row>
    <row r="444" spans="1:5" ht="31.5">
      <c r="A444" s="598" t="s">
        <v>3033</v>
      </c>
      <c r="B444" s="598"/>
      <c r="C444" s="598"/>
    </row>
    <row r="446" spans="1:5">
      <c r="A446" s="155" t="s">
        <v>480</v>
      </c>
      <c r="B446" s="156" t="s">
        <v>2869</v>
      </c>
      <c r="C446" s="157" t="s">
        <v>3034</v>
      </c>
      <c r="D446" s="158" t="s">
        <v>3035</v>
      </c>
      <c r="E446" s="187" t="s">
        <v>3036</v>
      </c>
    </row>
    <row r="447" spans="1:5">
      <c r="A447" s="152" t="s">
        <v>380</v>
      </c>
      <c r="B447" s="152" t="s">
        <v>3037</v>
      </c>
      <c r="C447" s="36" t="s">
        <v>3038</v>
      </c>
      <c r="D447" s="154" t="str">
        <f>ADDRESS(5,MATCH(Tabla1[[#This Row],[Demanda Táctica]], Cartera1017[#Headers],0),4)</f>
        <v>A5</v>
      </c>
      <c r="E447" s="62" t="s">
        <v>3039</v>
      </c>
    </row>
    <row r="448" spans="1:5">
      <c r="A448" s="152" t="s">
        <v>381</v>
      </c>
      <c r="B448" s="152" t="s">
        <v>3040</v>
      </c>
      <c r="C448" s="36" t="s">
        <v>3041</v>
      </c>
      <c r="D448" s="153" t="str">
        <f>ADDRESS(5,MATCH(Tabla1[[#This Row],[Demanda Táctica]], Cartera1017[#Headers],0),4)</f>
        <v>B5</v>
      </c>
      <c r="E448" s="62" t="s">
        <v>3042</v>
      </c>
    </row>
    <row r="449" spans="1:5">
      <c r="A449" s="152" t="s">
        <v>383</v>
      </c>
      <c r="B449" s="152" t="s">
        <v>3043</v>
      </c>
      <c r="C449" s="36" t="s">
        <v>3044</v>
      </c>
      <c r="D449" s="153" t="str">
        <f>ADDRESS(5,MATCH(Tabla1[[#This Row],[Demanda Táctica]], Cartera1017[#Headers],0),4)</f>
        <v>D5</v>
      </c>
      <c r="E449" s="62" t="s">
        <v>3042</v>
      </c>
    </row>
    <row r="450" spans="1:5">
      <c r="A450" s="152" t="s">
        <v>3</v>
      </c>
      <c r="B450" s="152" t="s">
        <v>3045</v>
      </c>
      <c r="C450" s="36" t="s">
        <v>3044</v>
      </c>
      <c r="D450" s="153" t="str">
        <f>ADDRESS(5,MATCH(Tabla1[[#This Row],[Demanda Táctica]], Cartera1017[#Headers],0),4)</f>
        <v>E5</v>
      </c>
      <c r="E450" s="62" t="s">
        <v>3046</v>
      </c>
    </row>
    <row r="451" spans="1:5">
      <c r="A451" s="152" t="s">
        <v>4</v>
      </c>
      <c r="B451" s="152" t="s">
        <v>3047</v>
      </c>
      <c r="C451" s="36" t="s">
        <v>3048</v>
      </c>
      <c r="D451" s="153" t="str">
        <f>ADDRESS(5,MATCH(Tabla1[[#This Row],[Demanda Táctica]], Cartera1017[#Headers],0),4)</f>
        <v>F5</v>
      </c>
      <c r="E451" s="62" t="s">
        <v>3042</v>
      </c>
    </row>
    <row r="452" spans="1:5">
      <c r="A452" s="152" t="s">
        <v>384</v>
      </c>
      <c r="B452" s="152" t="s">
        <v>3049</v>
      </c>
      <c r="C452" s="36" t="s">
        <v>3050</v>
      </c>
      <c r="D452" s="153" t="str">
        <f>ADDRESS(5,MATCH(Tabla1[[#This Row],[Demanda Táctica]], Cartera1017[#Headers],0),4)</f>
        <v>G5</v>
      </c>
      <c r="E452" s="62" t="s">
        <v>3042</v>
      </c>
    </row>
    <row r="453" spans="1:5">
      <c r="A453" s="152" t="s">
        <v>5</v>
      </c>
      <c r="B453" s="152" t="s">
        <v>3051</v>
      </c>
      <c r="C453" s="36" t="s">
        <v>3050</v>
      </c>
      <c r="D453" s="153" t="str">
        <f>ADDRESS(5,MATCH(Tabla1[[#This Row],[Demanda Táctica]], Cartera1017[#Headers],0),4)</f>
        <v>H5</v>
      </c>
      <c r="E453" s="62" t="s">
        <v>3052</v>
      </c>
    </row>
    <row r="454" spans="1:5" ht="30">
      <c r="A454" s="152" t="s">
        <v>385</v>
      </c>
      <c r="B454" s="152" t="s">
        <v>3053</v>
      </c>
      <c r="C454" s="36" t="s">
        <v>3050</v>
      </c>
      <c r="D454" s="153" t="str">
        <f>ADDRESS(5,MATCH(Tabla1[[#This Row],[Demanda Táctica]], Cartera1017[#Headers],0),4)</f>
        <v>I5</v>
      </c>
      <c r="E454" s="62" t="s">
        <v>3052</v>
      </c>
    </row>
    <row r="455" spans="1:5" ht="30">
      <c r="A455" s="152" t="s">
        <v>386</v>
      </c>
      <c r="B455" s="152" t="s">
        <v>3054</v>
      </c>
      <c r="C455" s="36" t="s">
        <v>3050</v>
      </c>
      <c r="D455" s="153" t="str">
        <f>ADDRESS(5,MATCH(Tabla1[[#This Row],[Demanda Táctica]], Cartera1017[#Headers],0),4)</f>
        <v>J5</v>
      </c>
      <c r="E455" s="62" t="s">
        <v>3052</v>
      </c>
    </row>
    <row r="456" spans="1:5" ht="30">
      <c r="A456" s="152" t="s">
        <v>387</v>
      </c>
      <c r="B456" s="152" t="s">
        <v>3055</v>
      </c>
      <c r="C456" s="36" t="s">
        <v>3048</v>
      </c>
      <c r="D456" s="153" t="str">
        <f>ADDRESS(5,MATCH(Tabla1[[#This Row],[Demanda Táctica]], Cartera1017[#Headers],0),4)</f>
        <v>K5</v>
      </c>
      <c r="E456" s="62" t="s">
        <v>3056</v>
      </c>
    </row>
    <row r="457" spans="1:5" ht="45">
      <c r="A457" s="152" t="s">
        <v>388</v>
      </c>
      <c r="B457" s="152" t="s">
        <v>3057</v>
      </c>
      <c r="C457" s="36" t="s">
        <v>3058</v>
      </c>
      <c r="D457" s="153" t="str">
        <f>ADDRESS(5,MATCH(Tabla1[[#This Row],[Demanda Táctica]], Cartera1017[#Headers],0),4)</f>
        <v>L5</v>
      </c>
      <c r="E457" s="62" t="s">
        <v>3056</v>
      </c>
    </row>
    <row r="458" spans="1:5" ht="45">
      <c r="A458" s="152" t="s">
        <v>389</v>
      </c>
      <c r="B458" s="152" t="s">
        <v>3059</v>
      </c>
      <c r="C458" s="36" t="s">
        <v>3058</v>
      </c>
      <c r="D458" s="153" t="str">
        <f>ADDRESS(5,MATCH(Tabla1[[#This Row],[Demanda Táctica]], Cartera1017[#Headers],0),4)</f>
        <v>M5</v>
      </c>
      <c r="E458" s="62" t="s">
        <v>3046</v>
      </c>
    </row>
    <row r="459" spans="1:5" ht="60">
      <c r="A459" s="152" t="s">
        <v>390</v>
      </c>
      <c r="B459" s="17" t="s">
        <v>3060</v>
      </c>
      <c r="C459" s="36" t="s">
        <v>3058</v>
      </c>
      <c r="D459" s="153" t="str">
        <f>ADDRESS(5,MATCH(Tabla1[[#This Row],[Demanda Táctica]], Cartera1017[#Headers],0),4)</f>
        <v>N5</v>
      </c>
      <c r="E459" s="62" t="s">
        <v>2197</v>
      </c>
    </row>
    <row r="460" spans="1:5" ht="30">
      <c r="A460" s="152" t="s">
        <v>391</v>
      </c>
      <c r="B460" s="17" t="s">
        <v>3061</v>
      </c>
      <c r="C460" s="36" t="s">
        <v>3058</v>
      </c>
      <c r="D460" s="153" t="str">
        <f>ADDRESS(5,MATCH(Tabla1[[#This Row],[Demanda Táctica]], Cartera1017[#Headers],0),4)</f>
        <v>O5</v>
      </c>
      <c r="E460" s="62" t="s">
        <v>3052</v>
      </c>
    </row>
    <row r="461" spans="1:5">
      <c r="A461" s="152" t="s">
        <v>392</v>
      </c>
      <c r="B461" s="17" t="s">
        <v>3062</v>
      </c>
      <c r="C461" s="36" t="s">
        <v>3058</v>
      </c>
      <c r="D461" s="153" t="str">
        <f>ADDRESS(5,MATCH(Tabla1[[#This Row],[Demanda Táctica]], Cartera1017[#Headers],0),4)</f>
        <v>P5</v>
      </c>
      <c r="E461" s="62" t="s">
        <v>3052</v>
      </c>
    </row>
    <row r="462" spans="1:5">
      <c r="A462" s="152" t="s">
        <v>393</v>
      </c>
      <c r="B462" s="17" t="s">
        <v>3063</v>
      </c>
      <c r="C462" s="36" t="s">
        <v>3058</v>
      </c>
      <c r="D462" s="153" t="str">
        <f>ADDRESS(5,MATCH(Tabla1[[#This Row],[Demanda Táctica]], Cartera1017[#Headers],0),4)</f>
        <v>Q5</v>
      </c>
      <c r="E462" s="62" t="s">
        <v>3052</v>
      </c>
    </row>
    <row r="463" spans="1:5" ht="45">
      <c r="A463" s="152" t="s">
        <v>394</v>
      </c>
      <c r="B463" s="17" t="s">
        <v>3064</v>
      </c>
      <c r="C463" s="36" t="s">
        <v>3058</v>
      </c>
      <c r="D463" s="153" t="str">
        <f>ADDRESS(5,MATCH(Tabla1[[#This Row],[Demanda Táctica]], Cartera1017[#Headers],0),4)</f>
        <v>R5</v>
      </c>
      <c r="E463" s="62" t="s">
        <v>3042</v>
      </c>
    </row>
    <row r="464" spans="1:5">
      <c r="A464" s="152" t="s">
        <v>395</v>
      </c>
      <c r="B464" s="152"/>
      <c r="C464" s="36" t="s">
        <v>3058</v>
      </c>
      <c r="D464" s="153" t="str">
        <f>ADDRESS(5,MATCH(Tabla1[[#This Row],[Demanda Táctica]], Cartera1017[#Headers],0),4)</f>
        <v>S5</v>
      </c>
      <c r="E464" s="62" t="s">
        <v>3042</v>
      </c>
    </row>
    <row r="465" spans="1:5" ht="30">
      <c r="A465" s="152" t="s">
        <v>396</v>
      </c>
      <c r="B465" s="17" t="s">
        <v>3065</v>
      </c>
      <c r="C465" s="36" t="s">
        <v>3058</v>
      </c>
      <c r="D465" s="153" t="str">
        <f>ADDRESS(5,MATCH(Tabla1[[#This Row],[Demanda Táctica]], Cartera1017[#Headers],0),4)</f>
        <v>T5</v>
      </c>
      <c r="E465" s="62" t="s">
        <v>3052</v>
      </c>
    </row>
    <row r="466" spans="1:5" ht="30">
      <c r="A466" s="152" t="s">
        <v>397</v>
      </c>
      <c r="B466" s="17" t="s">
        <v>3066</v>
      </c>
      <c r="C466" s="36" t="s">
        <v>3058</v>
      </c>
      <c r="D466" s="153" t="str">
        <f>ADDRESS(5,MATCH(Tabla1[[#This Row],[Demanda Táctica]], Cartera1017[#Headers],0),4)</f>
        <v>U5</v>
      </c>
      <c r="E466" s="62" t="s">
        <v>3052</v>
      </c>
    </row>
    <row r="467" spans="1:5">
      <c r="A467" s="152" t="s">
        <v>398</v>
      </c>
      <c r="B467" s="152" t="s">
        <v>3067</v>
      </c>
      <c r="C467" s="36" t="s">
        <v>3058</v>
      </c>
      <c r="D467" s="153" t="str">
        <f>ADDRESS(5,MATCH(Tabla1[[#This Row],[Demanda Táctica]], Cartera1017[#Headers],0),4)</f>
        <v>V5</v>
      </c>
      <c r="E467" s="62" t="s">
        <v>3052</v>
      </c>
    </row>
    <row r="468" spans="1:5">
      <c r="A468" s="152" t="s">
        <v>399</v>
      </c>
      <c r="B468" s="152" t="s">
        <v>3068</v>
      </c>
      <c r="C468" s="36" t="s">
        <v>3058</v>
      </c>
      <c r="D468" s="153" t="str">
        <f>ADDRESS(5,MATCH(Tabla1[[#This Row],[Demanda Táctica]], Cartera1017[#Headers],0),4)</f>
        <v>W5</v>
      </c>
      <c r="E468" s="62" t="s">
        <v>3052</v>
      </c>
    </row>
    <row r="469" spans="1:5" ht="30">
      <c r="A469" s="152" t="s">
        <v>400</v>
      </c>
      <c r="B469" s="152" t="s">
        <v>3069</v>
      </c>
      <c r="C469" s="36" t="s">
        <v>3058</v>
      </c>
      <c r="D469" s="153" t="str">
        <f>ADDRESS(5,MATCH(Tabla1[[#This Row],[Demanda Táctica]], Cartera1017[#Headers],0),4)</f>
        <v>X5</v>
      </c>
      <c r="E469" s="62" t="s">
        <v>3052</v>
      </c>
    </row>
    <row r="470" spans="1:5" ht="30">
      <c r="A470" s="152" t="s">
        <v>401</v>
      </c>
      <c r="B470" s="17" t="s">
        <v>3070</v>
      </c>
      <c r="C470" s="36" t="s">
        <v>2328</v>
      </c>
      <c r="D470" s="153" t="str">
        <f>ADDRESS(5,MATCH(Tabla1[[#This Row],[Demanda Táctica]], Cartera1017[#Headers],0),4)</f>
        <v>Y5</v>
      </c>
      <c r="E470" s="62" t="s">
        <v>3052</v>
      </c>
    </row>
    <row r="471" spans="1:5" ht="60">
      <c r="A471" s="152" t="s">
        <v>402</v>
      </c>
      <c r="B471" s="152" t="s">
        <v>3071</v>
      </c>
      <c r="C471" s="36" t="s">
        <v>3058</v>
      </c>
      <c r="D471" s="153" t="str">
        <f>ADDRESS(5,MATCH(Tabla1[[#This Row],[Demanda Táctica]], Cartera1017[#Headers],0),4)</f>
        <v>Z5</v>
      </c>
      <c r="E471" s="62" t="s">
        <v>3042</v>
      </c>
    </row>
    <row r="472" spans="1:5" ht="30">
      <c r="A472" s="152" t="s">
        <v>403</v>
      </c>
      <c r="B472" s="152" t="s">
        <v>3072</v>
      </c>
      <c r="C472" s="36" t="s">
        <v>2328</v>
      </c>
      <c r="D472" s="153" t="str">
        <f>ADDRESS(5,MATCH(Tabla1[[#This Row],[Demanda Táctica]], Cartera1017[#Headers],0),4)</f>
        <v>AA5</v>
      </c>
      <c r="E472" s="62" t="s">
        <v>3042</v>
      </c>
    </row>
    <row r="473" spans="1:5" ht="45">
      <c r="A473" s="152" t="s">
        <v>404</v>
      </c>
      <c r="B473" s="152" t="s">
        <v>3073</v>
      </c>
      <c r="C473" s="36" t="s">
        <v>3058</v>
      </c>
      <c r="D473" s="153" t="str">
        <f>ADDRESS(5,MATCH(Tabla1[[#This Row],[Demanda Táctica]], Cartera1017[#Headers],0),4)</f>
        <v>AB5</v>
      </c>
      <c r="E473" s="62" t="s">
        <v>3042</v>
      </c>
    </row>
    <row r="474" spans="1:5" ht="30">
      <c r="A474" s="152" t="s">
        <v>405</v>
      </c>
      <c r="B474" s="152" t="s">
        <v>3074</v>
      </c>
      <c r="C474" s="36" t="s">
        <v>3058</v>
      </c>
      <c r="D474" s="153" t="str">
        <f>ADDRESS(5,MATCH(Tabla1[[#This Row],[Demanda Táctica]], Cartera1017[#Headers],0),4)</f>
        <v>AC5</v>
      </c>
      <c r="E474" s="62" t="s">
        <v>2197</v>
      </c>
    </row>
    <row r="475" spans="1:5" ht="30">
      <c r="A475" s="152" t="s">
        <v>16</v>
      </c>
      <c r="B475" s="152" t="s">
        <v>3075</v>
      </c>
      <c r="C475" s="36" t="s">
        <v>3058</v>
      </c>
      <c r="D475" s="153" t="str">
        <f>ADDRESS(5,MATCH(Tabla1[[#This Row],[Demanda Táctica]], Cartera1017[#Headers],0),4)</f>
        <v>AD5</v>
      </c>
      <c r="E475" s="62" t="s">
        <v>3046</v>
      </c>
    </row>
    <row r="476" spans="1:5" ht="30">
      <c r="A476" s="152" t="s">
        <v>6</v>
      </c>
      <c r="B476" s="152" t="s">
        <v>3076</v>
      </c>
      <c r="C476" s="36" t="s">
        <v>3058</v>
      </c>
      <c r="D476" s="153" t="str">
        <f>ADDRESS(5,MATCH(Tabla1[[#This Row],[Demanda Táctica]], Cartera1017[#Headers],0),4)</f>
        <v>AE5</v>
      </c>
      <c r="E476" s="62" t="s">
        <v>3042</v>
      </c>
    </row>
    <row r="477" spans="1:5" ht="45">
      <c r="A477" s="152" t="s">
        <v>7</v>
      </c>
      <c r="B477" s="152" t="s">
        <v>3077</v>
      </c>
      <c r="C477" s="36" t="s">
        <v>3058</v>
      </c>
      <c r="D477" s="153" t="str">
        <f>ADDRESS(5,MATCH(Tabla1[[#This Row],[Demanda Táctica]], Cartera1017[#Headers],0),4)</f>
        <v>AF5</v>
      </c>
      <c r="E477" s="62" t="s">
        <v>3046</v>
      </c>
    </row>
    <row r="478" spans="1:5" ht="45">
      <c r="A478" s="152" t="s">
        <v>406</v>
      </c>
      <c r="B478" s="152" t="s">
        <v>3078</v>
      </c>
      <c r="C478" s="36" t="s">
        <v>3058</v>
      </c>
      <c r="D478" s="153" t="str">
        <f>ADDRESS(5,MATCH(Tabla1[[#This Row],[Demanda Táctica]], Cartera1017[#Headers],0),4)</f>
        <v>AG5</v>
      </c>
      <c r="E478" s="62" t="s">
        <v>3039</v>
      </c>
    </row>
    <row r="479" spans="1:5" ht="45">
      <c r="A479" s="152" t="s">
        <v>407</v>
      </c>
      <c r="B479" s="189" t="s">
        <v>3079</v>
      </c>
      <c r="C479" s="36" t="s">
        <v>3058</v>
      </c>
      <c r="D479" s="153" t="str">
        <f>ADDRESS(5,MATCH(Tabla1[[#This Row],[Demanda Táctica]], Cartera1017[#Headers],0),4)</f>
        <v>AH5</v>
      </c>
      <c r="E479" s="62" t="s">
        <v>2197</v>
      </c>
    </row>
    <row r="480" spans="1:5" ht="30">
      <c r="A480" s="152" t="s">
        <v>408</v>
      </c>
      <c r="B480" s="152" t="s">
        <v>3080</v>
      </c>
      <c r="C480" s="36" t="s">
        <v>2328</v>
      </c>
      <c r="D480" s="153" t="str">
        <f>ADDRESS(5,MATCH(Tabla1[[#This Row],[Demanda Táctica]], Cartera1017[#Headers],0),4)</f>
        <v>AI5</v>
      </c>
      <c r="E480" s="62" t="s">
        <v>3046</v>
      </c>
    </row>
    <row r="481" spans="1:5" ht="45">
      <c r="A481" s="152" t="s">
        <v>410</v>
      </c>
      <c r="B481" s="189" t="s">
        <v>3081</v>
      </c>
      <c r="C481" s="36" t="s">
        <v>2328</v>
      </c>
      <c r="D481" s="153" t="str">
        <f>ADDRESS(5,MATCH(Tabla1[[#This Row],[Demanda Táctica]], Cartera1017[#Headers],0),4)</f>
        <v>AK5</v>
      </c>
      <c r="E481" s="62" t="s">
        <v>3046</v>
      </c>
    </row>
    <row r="482" spans="1:5" ht="45">
      <c r="A482" s="152" t="s">
        <v>411</v>
      </c>
      <c r="B482" s="190" t="s">
        <v>3082</v>
      </c>
      <c r="C482" s="36" t="s">
        <v>2328</v>
      </c>
      <c r="D482" s="153" t="str">
        <f>ADDRESS(5,MATCH(Tabla1[[#This Row],[Demanda Táctica]], Cartera1017[#Headers],0),4)</f>
        <v>AL5</v>
      </c>
      <c r="E482" s="62" t="s">
        <v>3046</v>
      </c>
    </row>
    <row r="483" spans="1:5" ht="45">
      <c r="A483" s="152" t="s">
        <v>412</v>
      </c>
      <c r="B483" s="152" t="s">
        <v>3083</v>
      </c>
      <c r="C483" s="36" t="s">
        <v>2328</v>
      </c>
      <c r="D483" s="153" t="str">
        <f>ADDRESS(5,MATCH(Tabla1[[#This Row],[Demanda Táctica]], Cartera1017[#Headers],0),4)</f>
        <v>AM5</v>
      </c>
      <c r="E483" s="62" t="s">
        <v>3084</v>
      </c>
    </row>
    <row r="484" spans="1:5" ht="45">
      <c r="A484" s="152" t="s">
        <v>413</v>
      </c>
      <c r="B484" s="190" t="s">
        <v>3085</v>
      </c>
      <c r="C484" s="36" t="s">
        <v>2328</v>
      </c>
      <c r="D484" s="153" t="str">
        <f>ADDRESS(5,MATCH(Tabla1[[#This Row],[Demanda Táctica]], Cartera1017[#Headers],0),4)</f>
        <v>AN5</v>
      </c>
      <c r="E484" s="62" t="s">
        <v>3046</v>
      </c>
    </row>
    <row r="485" spans="1:5" ht="45">
      <c r="A485" s="152" t="s">
        <v>414</v>
      </c>
      <c r="B485" s="190" t="s">
        <v>3086</v>
      </c>
      <c r="C485" s="36" t="s">
        <v>2328</v>
      </c>
      <c r="D485" s="153" t="str">
        <f>ADDRESS(5,MATCH(Tabla1[[#This Row],[Demanda Táctica]], Cartera1017[#Headers],0),4)</f>
        <v>AO5</v>
      </c>
      <c r="E485" s="62" t="s">
        <v>3046</v>
      </c>
    </row>
    <row r="486" spans="1:5" ht="45">
      <c r="A486" s="152" t="s">
        <v>415</v>
      </c>
      <c r="B486" s="152" t="s">
        <v>3087</v>
      </c>
      <c r="C486" s="36" t="s">
        <v>2328</v>
      </c>
      <c r="D486" s="153" t="str">
        <f>ADDRESS(5,MATCH(Tabla1[[#This Row],[Demanda Táctica]], Cartera1017[#Headers],0),4)</f>
        <v>AP5</v>
      </c>
      <c r="E486" s="62" t="s">
        <v>3039</v>
      </c>
    </row>
    <row r="487" spans="1:5" ht="53.25" customHeight="1">
      <c r="A487" s="152" t="s">
        <v>416</v>
      </c>
      <c r="B487" s="190" t="s">
        <v>3088</v>
      </c>
      <c r="C487" s="36" t="s">
        <v>2328</v>
      </c>
      <c r="D487" s="153" t="str">
        <f>ADDRESS(5,MATCH(Tabla1[[#This Row],[Demanda Táctica]], Cartera1017[#Headers],0),4)</f>
        <v>AQ5</v>
      </c>
      <c r="E487" s="62" t="s">
        <v>3046</v>
      </c>
    </row>
    <row r="488" spans="1:5" ht="60">
      <c r="A488" s="152" t="s">
        <v>417</v>
      </c>
      <c r="B488" s="190" t="s">
        <v>3089</v>
      </c>
      <c r="C488" s="36" t="s">
        <v>2328</v>
      </c>
      <c r="D488" s="153" t="str">
        <f>ADDRESS(5,MATCH(Tabla1[[#This Row],[Demanda Táctica]], Cartera1017[#Headers],0),4)</f>
        <v>AR5</v>
      </c>
      <c r="E488" s="62" t="s">
        <v>3046</v>
      </c>
    </row>
    <row r="489" spans="1:5" ht="45">
      <c r="A489" s="152" t="s">
        <v>418</v>
      </c>
      <c r="B489" s="152" t="s">
        <v>3090</v>
      </c>
      <c r="C489" s="36" t="s">
        <v>2328</v>
      </c>
      <c r="D489" s="153" t="str">
        <f>ADDRESS(5,MATCH(Tabla1[[#This Row],[Demanda Táctica]], Cartera1017[#Headers],0),4)</f>
        <v>AS5</v>
      </c>
      <c r="E489" s="62" t="s">
        <v>3039</v>
      </c>
    </row>
    <row r="490" spans="1:5" ht="60">
      <c r="A490" s="152" t="s">
        <v>419</v>
      </c>
      <c r="B490" s="152" t="s">
        <v>3091</v>
      </c>
      <c r="C490" s="36" t="s">
        <v>3058</v>
      </c>
      <c r="D490" s="153" t="str">
        <f>ADDRESS(5,MATCH(Tabla1[[#This Row],[Demanda Táctica]], Cartera1017[#Headers],0),4)</f>
        <v>AT5</v>
      </c>
      <c r="E490" s="62" t="s">
        <v>2197</v>
      </c>
    </row>
    <row r="491" spans="1:5">
      <c r="A491" s="152" t="s">
        <v>420</v>
      </c>
      <c r="B491" s="152" t="s">
        <v>3092</v>
      </c>
      <c r="C491" s="36" t="s">
        <v>3058</v>
      </c>
      <c r="D491" s="153" t="str">
        <f>ADDRESS(5,MATCH(Tabla1[[#This Row],[Demanda Táctica]], Cartera1017[#Headers],0),4)</f>
        <v>AU5</v>
      </c>
      <c r="E491" s="62" t="s">
        <v>3039</v>
      </c>
    </row>
    <row r="492" spans="1:5">
      <c r="A492" s="152" t="s">
        <v>421</v>
      </c>
      <c r="B492" s="152" t="s">
        <v>3093</v>
      </c>
      <c r="C492" s="36" t="s">
        <v>3058</v>
      </c>
      <c r="D492" s="153" t="str">
        <f>ADDRESS(5,MATCH(Tabla1[[#This Row],[Demanda Táctica]], Cartera1017[#Headers],0),4)</f>
        <v>AV5</v>
      </c>
      <c r="E492" s="62" t="s">
        <v>3039</v>
      </c>
    </row>
    <row r="493" spans="1:5" ht="30">
      <c r="A493" s="152" t="s">
        <v>422</v>
      </c>
      <c r="B493" s="152" t="s">
        <v>3094</v>
      </c>
      <c r="C493" s="36" t="s">
        <v>3058</v>
      </c>
      <c r="D493" s="153" t="str">
        <f>ADDRESS(5,MATCH(Tabla1[[#This Row],[Demanda Táctica]], Cartera1017[#Headers],0),4)</f>
        <v>AW5</v>
      </c>
      <c r="E493" s="62" t="s">
        <v>3039</v>
      </c>
    </row>
    <row r="494" spans="1:5" ht="30">
      <c r="A494" s="152" t="s">
        <v>423</v>
      </c>
      <c r="B494" s="152" t="s">
        <v>3095</v>
      </c>
      <c r="C494" s="36" t="s">
        <v>3058</v>
      </c>
      <c r="D494" s="153" t="str">
        <f>ADDRESS(5,MATCH(Tabla1[[#This Row],[Demanda Táctica]], Cartera1017[#Headers],0),4)</f>
        <v>AX5</v>
      </c>
      <c r="E494" s="62" t="s">
        <v>3039</v>
      </c>
    </row>
    <row r="495" spans="1:5" ht="30">
      <c r="A495" s="152" t="s">
        <v>424</v>
      </c>
      <c r="B495" s="152" t="s">
        <v>3096</v>
      </c>
      <c r="C495" s="36" t="s">
        <v>3058</v>
      </c>
      <c r="D495" s="153" t="str">
        <f>ADDRESS(5,MATCH(Tabla1[[#This Row],[Demanda Táctica]], Cartera1017[#Headers],0),4)</f>
        <v>AY5</v>
      </c>
      <c r="E495" s="62" t="s">
        <v>3039</v>
      </c>
    </row>
    <row r="496" spans="1:5" ht="30">
      <c r="A496" s="152" t="s">
        <v>425</v>
      </c>
      <c r="B496" s="152" t="s">
        <v>3097</v>
      </c>
      <c r="C496" s="36" t="s">
        <v>3058</v>
      </c>
      <c r="D496" s="153" t="str">
        <f>ADDRESS(5,MATCH(Tabla1[[#This Row],[Demanda Táctica]], Cartera1017[#Headers],0),4)</f>
        <v>AZ5</v>
      </c>
      <c r="E496" s="62" t="s">
        <v>3039</v>
      </c>
    </row>
    <row r="497" spans="1:5" ht="30">
      <c r="A497" s="152" t="s">
        <v>426</v>
      </c>
      <c r="B497" s="152" t="s">
        <v>3098</v>
      </c>
      <c r="C497" s="36" t="s">
        <v>3058</v>
      </c>
      <c r="D497" s="153" t="str">
        <f>ADDRESS(5,MATCH(Tabla1[[#This Row],[Demanda Táctica]], Cartera1017[#Headers],0),4)</f>
        <v>BA5</v>
      </c>
      <c r="E497" s="62" t="s">
        <v>3039</v>
      </c>
    </row>
    <row r="498" spans="1:5" ht="30">
      <c r="A498" s="152" t="s">
        <v>427</v>
      </c>
      <c r="B498" s="152" t="s">
        <v>3099</v>
      </c>
      <c r="C498" s="36" t="s">
        <v>3058</v>
      </c>
      <c r="D498" s="153" t="str">
        <f>ADDRESS(5,MATCH(Tabla1[[#This Row],[Demanda Táctica]], Cartera1017[#Headers],0),4)</f>
        <v>BB5</v>
      </c>
      <c r="E498" s="62" t="s">
        <v>3084</v>
      </c>
    </row>
    <row r="499" spans="1:5" ht="30">
      <c r="A499" s="152" t="s">
        <v>428</v>
      </c>
      <c r="B499" s="152" t="s">
        <v>3100</v>
      </c>
      <c r="C499" s="36" t="s">
        <v>2328</v>
      </c>
      <c r="D499" s="153" t="str">
        <f>ADDRESS(5,MATCH(Tabla1[[#This Row],[Demanda Táctica]], Cartera1017[#Headers],0),4)</f>
        <v>BC5</v>
      </c>
      <c r="E499" s="62" t="s">
        <v>3084</v>
      </c>
    </row>
    <row r="500" spans="1:5" ht="30">
      <c r="A500" s="152" t="s">
        <v>429</v>
      </c>
      <c r="B500" s="152" t="s">
        <v>3101</v>
      </c>
      <c r="C500" s="36" t="s">
        <v>2328</v>
      </c>
      <c r="D500" s="153" t="str">
        <f>ADDRESS(5,MATCH(Tabla1[[#This Row],[Demanda Táctica]], Cartera1017[#Headers],0),4)</f>
        <v>BD5</v>
      </c>
      <c r="E500" s="62" t="s">
        <v>3084</v>
      </c>
    </row>
    <row r="501" spans="1:5" ht="30">
      <c r="A501" s="152" t="s">
        <v>430</v>
      </c>
      <c r="B501" s="152" t="s">
        <v>3102</v>
      </c>
      <c r="C501" s="36" t="s">
        <v>2328</v>
      </c>
      <c r="D501" s="153" t="str">
        <f>ADDRESS(5,MATCH(Tabla1[[#This Row],[Demanda Táctica]], Cartera1017[#Headers],0),4)</f>
        <v>BE5</v>
      </c>
      <c r="E501" s="62" t="s">
        <v>3084</v>
      </c>
    </row>
    <row r="502" spans="1:5">
      <c r="A502" s="152" t="s">
        <v>2482</v>
      </c>
      <c r="B502" s="152" t="s">
        <v>3103</v>
      </c>
      <c r="C502" s="36" t="s">
        <v>2328</v>
      </c>
      <c r="D502" s="153" t="e">
        <f>ADDRESS(5,MATCH(Tabla1[[#This Row],[Demanda Táctica]], Cartera1017[#Headers],0),4)</f>
        <v>#N/A</v>
      </c>
      <c r="E502" s="62" t="s">
        <v>3039</v>
      </c>
    </row>
    <row r="503" spans="1:5" ht="30">
      <c r="A503" s="152" t="s">
        <v>432</v>
      </c>
      <c r="B503" s="152" t="s">
        <v>3104</v>
      </c>
      <c r="C503" s="36" t="s">
        <v>3058</v>
      </c>
      <c r="D503" s="153" t="str">
        <f>ADDRESS(5,MATCH(Tabla1[[#This Row],[Demanda Táctica]], Cartera1017[#Headers],0),4)</f>
        <v>BG5</v>
      </c>
      <c r="E503" s="62" t="s">
        <v>3039</v>
      </c>
    </row>
    <row r="504" spans="1:5" ht="45">
      <c r="A504" s="152" t="s">
        <v>433</v>
      </c>
      <c r="B504" s="152" t="s">
        <v>3105</v>
      </c>
      <c r="C504" s="36" t="s">
        <v>3106</v>
      </c>
      <c r="D504" s="153" t="str">
        <f>ADDRESS(5,MATCH(Tabla1[[#This Row],[Demanda Táctica]], Cartera1017[#Headers],0),4)</f>
        <v>BH5</v>
      </c>
      <c r="E504" s="62" t="s">
        <v>3039</v>
      </c>
    </row>
    <row r="505" spans="1:5" ht="45">
      <c r="A505" s="152" t="s">
        <v>434</v>
      </c>
      <c r="B505" s="152" t="s">
        <v>3107</v>
      </c>
      <c r="C505" s="36" t="s">
        <v>3106</v>
      </c>
      <c r="D505" s="153" t="str">
        <f>ADDRESS(5,MATCH(Tabla1[[#This Row],[Demanda Táctica]], Cartera1017[#Headers],0),4)</f>
        <v>BI5</v>
      </c>
      <c r="E505" s="62" t="s">
        <v>3039</v>
      </c>
    </row>
    <row r="506" spans="1:5" ht="30">
      <c r="A506" s="152" t="s">
        <v>435</v>
      </c>
      <c r="B506" s="152" t="s">
        <v>3108</v>
      </c>
      <c r="C506" s="36" t="s">
        <v>3058</v>
      </c>
      <c r="D506" s="153" t="str">
        <f>ADDRESS(5,MATCH(Tabla1[[#This Row],[Demanda Táctica]], Cartera1017[#Headers],0),4)</f>
        <v>BJ5</v>
      </c>
      <c r="E506" s="62" t="s">
        <v>3052</v>
      </c>
    </row>
    <row r="507" spans="1:5" ht="30">
      <c r="A507" s="152" t="s">
        <v>436</v>
      </c>
      <c r="B507" s="152" t="s">
        <v>3109</v>
      </c>
      <c r="C507" s="36" t="s">
        <v>3058</v>
      </c>
      <c r="D507" s="153" t="str">
        <f>ADDRESS(5,MATCH(Tabla1[[#This Row],[Demanda Táctica]], Cartera1017[#Headers],0),4)</f>
        <v>BK5</v>
      </c>
      <c r="E507" s="62" t="s">
        <v>3046</v>
      </c>
    </row>
    <row r="508" spans="1:5" ht="30">
      <c r="A508" s="152" t="s">
        <v>437</v>
      </c>
      <c r="B508" s="152" t="s">
        <v>3110</v>
      </c>
      <c r="C508" s="36" t="s">
        <v>3058</v>
      </c>
      <c r="D508" s="153" t="str">
        <f>ADDRESS(5,MATCH(Tabla1[[#This Row],[Demanda Táctica]], Cartera1017[#Headers],0),4)</f>
        <v>BL5</v>
      </c>
      <c r="E508" s="62" t="s">
        <v>3046</v>
      </c>
    </row>
    <row r="509" spans="1:5" ht="30">
      <c r="A509" s="152" t="s">
        <v>438</v>
      </c>
      <c r="B509" s="152" t="s">
        <v>3111</v>
      </c>
      <c r="C509" s="36" t="s">
        <v>2328</v>
      </c>
      <c r="D509" s="153" t="str">
        <f>ADDRESS(5,MATCH(Tabla1[[#This Row],[Demanda Táctica]], Cartera1017[#Headers],0),4)</f>
        <v>BM5</v>
      </c>
      <c r="E509" s="62" t="s">
        <v>3046</v>
      </c>
    </row>
    <row r="510" spans="1:5" ht="30">
      <c r="A510" s="152" t="s">
        <v>439</v>
      </c>
      <c r="B510" s="152" t="s">
        <v>3112</v>
      </c>
      <c r="C510" s="36" t="s">
        <v>3058</v>
      </c>
      <c r="D510" s="153" t="str">
        <f>ADDRESS(5,MATCH(Tabla1[[#This Row],[Demanda Táctica]], Cartera1017[#Headers],0),4)</f>
        <v>BN5</v>
      </c>
      <c r="E510" s="62" t="s">
        <v>891</v>
      </c>
    </row>
    <row r="511" spans="1:5" ht="30">
      <c r="A511" s="152" t="s">
        <v>440</v>
      </c>
      <c r="B511" s="152" t="s">
        <v>3113</v>
      </c>
      <c r="C511" s="36" t="s">
        <v>3058</v>
      </c>
      <c r="D511" s="153" t="str">
        <f>ADDRESS(5,MATCH(Tabla1[[#This Row],[Demanda Táctica]], Cartera1017[#Headers],0),4)</f>
        <v>BO5</v>
      </c>
      <c r="E511" s="62" t="s">
        <v>891</v>
      </c>
    </row>
    <row r="512" spans="1:5" ht="30">
      <c r="A512" s="183" t="s">
        <v>3114</v>
      </c>
      <c r="B512" s="152" t="s">
        <v>3115</v>
      </c>
      <c r="C512" s="36" t="s">
        <v>3058</v>
      </c>
      <c r="D512" s="153" t="e">
        <f>ADDRESS(5,MATCH(Tabla1[[#This Row],[Demanda Táctica]], Cartera1017[#Headers],0),4)</f>
        <v>#N/A</v>
      </c>
      <c r="E512" s="62" t="s">
        <v>891</v>
      </c>
    </row>
    <row r="513" spans="1:5" ht="75">
      <c r="A513" s="152" t="s">
        <v>442</v>
      </c>
      <c r="B513" s="152" t="s">
        <v>3116</v>
      </c>
      <c r="C513" s="36" t="s">
        <v>3058</v>
      </c>
      <c r="D513" s="153" t="str">
        <f>ADDRESS(5,MATCH(Tabla1[[#This Row],[Demanda Táctica]], Cartera1017[#Headers],0),4)</f>
        <v>BQ5</v>
      </c>
      <c r="E513" s="62" t="s">
        <v>3039</v>
      </c>
    </row>
    <row r="514" spans="1:5" ht="45">
      <c r="A514" s="152" t="s">
        <v>443</v>
      </c>
      <c r="B514" s="152" t="s">
        <v>3117</v>
      </c>
      <c r="C514" s="36" t="s">
        <v>3058</v>
      </c>
      <c r="D514" s="153" t="str">
        <f>ADDRESS(5,MATCH(Tabla1[[#This Row],[Demanda Táctica]], Cartera1017[#Headers],0),4)</f>
        <v>BR5</v>
      </c>
      <c r="E514" s="62" t="s">
        <v>3039</v>
      </c>
    </row>
    <row r="515" spans="1:5" ht="45">
      <c r="A515" s="152" t="s">
        <v>444</v>
      </c>
      <c r="B515" s="152" t="s">
        <v>3118</v>
      </c>
      <c r="C515" s="36" t="s">
        <v>3058</v>
      </c>
      <c r="D515" s="153" t="str">
        <f>ADDRESS(5,MATCH(Tabla1[[#This Row],[Demanda Táctica]], Cartera1017[#Headers],0),4)</f>
        <v>BS5</v>
      </c>
      <c r="E515" s="62" t="s">
        <v>3039</v>
      </c>
    </row>
    <row r="516" spans="1:5" ht="45">
      <c r="A516" s="183" t="s">
        <v>445</v>
      </c>
      <c r="B516" s="152" t="s">
        <v>3119</v>
      </c>
      <c r="C516" s="36" t="s">
        <v>3058</v>
      </c>
      <c r="D516" s="153" t="str">
        <f>ADDRESS(5,MATCH(Tabla1[[#This Row],[Demanda Táctica]], Cartera1017[#Headers],0),4)</f>
        <v>BT5</v>
      </c>
      <c r="E516" s="62" t="s">
        <v>2197</v>
      </c>
    </row>
    <row r="517" spans="1:5" ht="60">
      <c r="A517" s="152" t="s">
        <v>446</v>
      </c>
      <c r="B517" s="152" t="s">
        <v>3120</v>
      </c>
      <c r="C517" s="36" t="s">
        <v>3058</v>
      </c>
      <c r="D517" s="153" t="str">
        <f>ADDRESS(5,MATCH(Tabla1[[#This Row],[Demanda Táctica]], Cartera1017[#Headers],0),4)</f>
        <v>BU5</v>
      </c>
      <c r="E517" s="62" t="s">
        <v>2197</v>
      </c>
    </row>
    <row r="518" spans="1:5" ht="60">
      <c r="A518" s="152" t="s">
        <v>447</v>
      </c>
      <c r="B518" s="152" t="s">
        <v>3121</v>
      </c>
      <c r="C518" s="36" t="s">
        <v>3058</v>
      </c>
      <c r="D518" s="153" t="str">
        <f>ADDRESS(5,MATCH(Tabla1[[#This Row],[Demanda Táctica]], Cartera1017[#Headers],0),4)</f>
        <v>BV5</v>
      </c>
      <c r="E518" s="62" t="s">
        <v>2197</v>
      </c>
    </row>
    <row r="519" spans="1:5" ht="60">
      <c r="A519" s="152" t="s">
        <v>448</v>
      </c>
      <c r="B519" s="152" t="s">
        <v>3122</v>
      </c>
      <c r="C519" s="36" t="s">
        <v>3058</v>
      </c>
      <c r="D519" s="153" t="str">
        <f>ADDRESS(5,MATCH(Tabla1[[#This Row],[Demanda Táctica]], Cartera1017[#Headers],0),4)</f>
        <v>BW5</v>
      </c>
      <c r="E519" s="62" t="s">
        <v>3039</v>
      </c>
    </row>
    <row r="520" spans="1:5" ht="45">
      <c r="A520" s="152" t="s">
        <v>449</v>
      </c>
      <c r="B520" s="152" t="s">
        <v>3123</v>
      </c>
      <c r="C520" s="36" t="s">
        <v>3058</v>
      </c>
      <c r="D520" s="153" t="str">
        <f>ADDRESS(5,MATCH(Tabla1[[#This Row],[Demanda Táctica]], Cartera1017[#Headers],0),4)</f>
        <v>BX5</v>
      </c>
      <c r="E520" s="62" t="s">
        <v>3039</v>
      </c>
    </row>
    <row r="521" spans="1:5" ht="30">
      <c r="A521" s="152" t="s">
        <v>450</v>
      </c>
      <c r="B521" s="152" t="s">
        <v>3124</v>
      </c>
      <c r="C521" s="36" t="s">
        <v>3058</v>
      </c>
      <c r="D521" s="153" t="str">
        <f>ADDRESS(5,MATCH(Tabla1[[#This Row],[Demanda Táctica]], Cartera1017[#Headers],0),4)</f>
        <v>BY5</v>
      </c>
      <c r="E521" s="62" t="s">
        <v>3039</v>
      </c>
    </row>
    <row r="522" spans="1:5" ht="45">
      <c r="A522" s="152" t="s">
        <v>451</v>
      </c>
      <c r="B522" s="152"/>
      <c r="C522" s="36" t="s">
        <v>3058</v>
      </c>
      <c r="D522" s="153" t="str">
        <f>ADDRESS(5,MATCH(Tabla1[[#This Row],[Demanda Táctica]], Cartera1017[#Headers],0),4)</f>
        <v>BZ5</v>
      </c>
      <c r="E522" s="62"/>
    </row>
    <row r="523" spans="1:5" ht="45">
      <c r="A523" s="184" t="s">
        <v>452</v>
      </c>
      <c r="B523" s="185" t="s">
        <v>3125</v>
      </c>
      <c r="C523" s="36" t="s">
        <v>3058</v>
      </c>
      <c r="D523" s="186" t="str">
        <f>ADDRESS(5,MATCH(Tabla1[[#This Row],[Demanda Táctica]], Cartera1017[#Headers],0),4)</f>
        <v>CA5</v>
      </c>
      <c r="E523" s="62" t="s">
        <v>3039</v>
      </c>
    </row>
    <row r="524" spans="1:5" ht="60">
      <c r="A524" s="184" t="s">
        <v>453</v>
      </c>
      <c r="B524" s="185" t="s">
        <v>3126</v>
      </c>
      <c r="C524" s="36" t="s">
        <v>3058</v>
      </c>
      <c r="D524" s="186" t="str">
        <f>ADDRESS(5,MATCH(Tabla1[[#This Row],[Demanda Táctica]], Cartera1017[#Headers],0),4)</f>
        <v>CB5</v>
      </c>
      <c r="E524" s="62" t="s">
        <v>2197</v>
      </c>
    </row>
    <row r="529" spans="1:4" ht="31.5" customHeight="1">
      <c r="A529" s="598" t="s">
        <v>3127</v>
      </c>
      <c r="B529" s="598"/>
      <c r="C529" s="598"/>
    </row>
    <row r="532" spans="1:4">
      <c r="A532" s="193" t="s">
        <v>7</v>
      </c>
      <c r="B532" s="194" t="s">
        <v>17</v>
      </c>
      <c r="C532" s="194" t="s">
        <v>2869</v>
      </c>
      <c r="D532" s="194" t="s">
        <v>3128</v>
      </c>
    </row>
    <row r="533" spans="1:4">
      <c r="A533" s="339" t="s">
        <v>2539</v>
      </c>
      <c r="B533" s="195">
        <v>0</v>
      </c>
      <c r="C533" s="36" t="s">
        <v>3129</v>
      </c>
      <c r="D533" s="173" t="s">
        <v>2693</v>
      </c>
    </row>
    <row r="534" spans="1:4" ht="30">
      <c r="A534" s="339" t="s">
        <v>340</v>
      </c>
      <c r="B534" s="195">
        <v>0.1</v>
      </c>
      <c r="C534" s="36" t="s">
        <v>3130</v>
      </c>
      <c r="D534" s="173" t="s">
        <v>2664</v>
      </c>
    </row>
    <row r="535" spans="1:4">
      <c r="A535" s="339" t="s">
        <v>48</v>
      </c>
      <c r="B535" s="195">
        <v>0.15</v>
      </c>
      <c r="C535" s="36" t="s">
        <v>3131</v>
      </c>
      <c r="D535" s="173" t="s">
        <v>2664</v>
      </c>
    </row>
    <row r="536" spans="1:4">
      <c r="A536" s="339" t="s">
        <v>48</v>
      </c>
      <c r="B536" s="195">
        <v>0.25</v>
      </c>
      <c r="C536" s="36" t="s">
        <v>3132</v>
      </c>
      <c r="D536" s="173" t="s">
        <v>2664</v>
      </c>
    </row>
    <row r="537" spans="1:4">
      <c r="A537" s="339" t="s">
        <v>178</v>
      </c>
      <c r="B537" s="195">
        <v>0.5</v>
      </c>
      <c r="C537" s="36" t="s">
        <v>3133</v>
      </c>
      <c r="D537" s="173" t="s">
        <v>2664</v>
      </c>
    </row>
    <row r="538" spans="1:4">
      <c r="A538" s="339" t="s">
        <v>87</v>
      </c>
      <c r="B538" s="195">
        <v>0.7</v>
      </c>
      <c r="C538" s="36" t="s">
        <v>3134</v>
      </c>
      <c r="D538" s="173" t="s">
        <v>2664</v>
      </c>
    </row>
    <row r="539" spans="1:4">
      <c r="A539" s="339" t="s">
        <v>42</v>
      </c>
      <c r="B539" s="195">
        <v>0.85</v>
      </c>
      <c r="C539" s="36" t="s">
        <v>3135</v>
      </c>
      <c r="D539" s="173" t="s">
        <v>2664</v>
      </c>
    </row>
    <row r="540" spans="1:4">
      <c r="A540" s="339" t="s">
        <v>35</v>
      </c>
      <c r="B540" s="195">
        <v>0.9</v>
      </c>
      <c r="C540" s="36" t="s">
        <v>3136</v>
      </c>
      <c r="D540" s="173" t="s">
        <v>2664</v>
      </c>
    </row>
    <row r="541" spans="1:4" ht="30">
      <c r="A541" s="339" t="s">
        <v>53</v>
      </c>
      <c r="B541" s="195">
        <v>1</v>
      </c>
      <c r="C541" s="36" t="s">
        <v>3137</v>
      </c>
      <c r="D541" s="173" t="s">
        <v>2602</v>
      </c>
    </row>
    <row r="542" spans="1:4">
      <c r="A542" s="340" t="s">
        <v>502</v>
      </c>
      <c r="B542" s="195">
        <v>-0.01</v>
      </c>
      <c r="C542" s="36" t="s">
        <v>3138</v>
      </c>
      <c r="D542" s="197" t="s">
        <v>2674</v>
      </c>
    </row>
    <row r="543" spans="1:4">
      <c r="A543" s="341" t="s">
        <v>28</v>
      </c>
      <c r="B543" s="196">
        <v>0.12</v>
      </c>
      <c r="C543" s="36" t="s">
        <v>3139</v>
      </c>
      <c r="D543" s="197" t="s">
        <v>2678</v>
      </c>
    </row>
    <row r="548" spans="1:2">
      <c r="A548" t="s">
        <v>7</v>
      </c>
      <c r="B548" t="s">
        <v>3140</v>
      </c>
    </row>
    <row r="549" spans="1:2">
      <c r="A549" s="40" t="s">
        <v>340</v>
      </c>
      <c r="B549" s="40" t="s">
        <v>2293</v>
      </c>
    </row>
    <row r="550" spans="1:2">
      <c r="A550" s="40" t="s">
        <v>48</v>
      </c>
      <c r="B550" s="40" t="s">
        <v>2293</v>
      </c>
    </row>
    <row r="551" spans="1:2">
      <c r="A551" s="40" t="s">
        <v>178</v>
      </c>
      <c r="B551" s="40" t="s">
        <v>2294</v>
      </c>
    </row>
    <row r="552" spans="1:2">
      <c r="A552" s="40" t="s">
        <v>87</v>
      </c>
      <c r="B552" s="40" t="s">
        <v>2294</v>
      </c>
    </row>
    <row r="553" spans="1:2">
      <c r="A553" s="40" t="s">
        <v>42</v>
      </c>
      <c r="B553" s="40" t="s">
        <v>2294</v>
      </c>
    </row>
    <row r="554" spans="1:2">
      <c r="A554" s="40" t="s">
        <v>35</v>
      </c>
      <c r="B554" s="40" t="s">
        <v>2295</v>
      </c>
    </row>
    <row r="555" spans="1:2">
      <c r="A555" s="40" t="s">
        <v>53</v>
      </c>
      <c r="B555" s="40" t="s">
        <v>2296</v>
      </c>
    </row>
    <row r="556" spans="1:2">
      <c r="A556" s="40" t="s">
        <v>502</v>
      </c>
      <c r="B556" s="40" t="s">
        <v>2297</v>
      </c>
    </row>
    <row r="557" spans="1:2">
      <c r="A557" s="40" t="s">
        <v>28</v>
      </c>
      <c r="B557" s="40" t="s">
        <v>2298</v>
      </c>
    </row>
    <row r="558" spans="1:2">
      <c r="A558" s="40" t="s">
        <v>3141</v>
      </c>
      <c r="B558" s="40" t="s">
        <v>2297</v>
      </c>
    </row>
    <row r="559" spans="1:2">
      <c r="A559" s="40" t="s">
        <v>2539</v>
      </c>
      <c r="B559" s="40" t="s">
        <v>3142</v>
      </c>
    </row>
    <row r="577" spans="1:4">
      <c r="A577" t="s">
        <v>2688</v>
      </c>
      <c r="B577" t="s">
        <v>2689</v>
      </c>
      <c r="C577" t="s">
        <v>2654</v>
      </c>
      <c r="D577" t="s">
        <v>3143</v>
      </c>
    </row>
    <row r="578" spans="1:4">
      <c r="A578" t="s">
        <v>2000</v>
      </c>
      <c r="B578" t="s">
        <v>340</v>
      </c>
      <c r="C578" t="s">
        <v>2693</v>
      </c>
      <c r="D578" t="s">
        <v>2293</v>
      </c>
    </row>
    <row r="579" spans="1:4">
      <c r="A579" t="s">
        <v>592</v>
      </c>
      <c r="B579" t="s">
        <v>48</v>
      </c>
      <c r="C579" t="s">
        <v>2664</v>
      </c>
      <c r="D579" t="s">
        <v>2293</v>
      </c>
    </row>
    <row r="580" spans="1:4">
      <c r="A580" t="s">
        <v>572</v>
      </c>
      <c r="B580" t="s">
        <v>48</v>
      </c>
      <c r="C580" t="s">
        <v>2664</v>
      </c>
      <c r="D580" t="s">
        <v>2293</v>
      </c>
    </row>
    <row r="581" spans="1:4">
      <c r="A581" t="s">
        <v>581</v>
      </c>
      <c r="B581" t="s">
        <v>48</v>
      </c>
      <c r="C581" t="s">
        <v>2664</v>
      </c>
      <c r="D581" t="s">
        <v>2293</v>
      </c>
    </row>
    <row r="582" spans="1:4">
      <c r="A582" t="s">
        <v>1281</v>
      </c>
      <c r="B582" t="s">
        <v>178</v>
      </c>
      <c r="C582" t="s">
        <v>2664</v>
      </c>
      <c r="D582" t="s">
        <v>2294</v>
      </c>
    </row>
    <row r="583" spans="1:4">
      <c r="A583" t="s">
        <v>1260</v>
      </c>
      <c r="B583" t="s">
        <v>87</v>
      </c>
      <c r="C583" t="s">
        <v>2664</v>
      </c>
      <c r="D583" t="s">
        <v>2294</v>
      </c>
    </row>
    <row r="584" spans="1:4">
      <c r="A584" t="s">
        <v>2026</v>
      </c>
      <c r="B584" t="s">
        <v>87</v>
      </c>
      <c r="C584" t="s">
        <v>2664</v>
      </c>
      <c r="D584" t="s">
        <v>2294</v>
      </c>
    </row>
    <row r="585" spans="1:4">
      <c r="A585" t="s">
        <v>2110</v>
      </c>
      <c r="B585" t="s">
        <v>87</v>
      </c>
      <c r="C585" t="s">
        <v>2664</v>
      </c>
      <c r="D585" t="s">
        <v>2294</v>
      </c>
    </row>
    <row r="586" spans="1:4">
      <c r="A586" t="s">
        <v>655</v>
      </c>
      <c r="B586" t="s">
        <v>42</v>
      </c>
      <c r="C586" t="s">
        <v>2664</v>
      </c>
      <c r="D586" t="s">
        <v>2294</v>
      </c>
    </row>
    <row r="587" spans="1:4">
      <c r="A587" t="s">
        <v>734</v>
      </c>
      <c r="B587" t="s">
        <v>35</v>
      </c>
      <c r="C587" t="s">
        <v>2664</v>
      </c>
      <c r="D587" t="s">
        <v>2295</v>
      </c>
    </row>
    <row r="588" spans="1:4">
      <c r="A588" t="s">
        <v>583</v>
      </c>
      <c r="B588" t="s">
        <v>35</v>
      </c>
      <c r="C588" t="s">
        <v>2664</v>
      </c>
      <c r="D588" t="s">
        <v>2295</v>
      </c>
    </row>
    <row r="589" spans="1:4">
      <c r="A589" t="s">
        <v>536</v>
      </c>
      <c r="B589" t="s">
        <v>53</v>
      </c>
      <c r="C589" t="s">
        <v>2602</v>
      </c>
      <c r="D589" t="s">
        <v>2296</v>
      </c>
    </row>
    <row r="590" spans="1:4">
      <c r="A590" t="s">
        <v>1639</v>
      </c>
      <c r="B590" t="s">
        <v>53</v>
      </c>
      <c r="C590" t="s">
        <v>2602</v>
      </c>
      <c r="D590" t="s">
        <v>2296</v>
      </c>
    </row>
    <row r="591" spans="1:4">
      <c r="A591" t="s">
        <v>636</v>
      </c>
      <c r="B591" t="s">
        <v>53</v>
      </c>
      <c r="C591" t="s">
        <v>2602</v>
      </c>
      <c r="D591" t="s">
        <v>2296</v>
      </c>
    </row>
    <row r="592" spans="1:4">
      <c r="A592" t="s">
        <v>1698</v>
      </c>
      <c r="B592" t="s">
        <v>53</v>
      </c>
      <c r="C592" t="s">
        <v>2602</v>
      </c>
      <c r="D592" t="s">
        <v>2296</v>
      </c>
    </row>
    <row r="593" spans="1:4">
      <c r="A593" t="s">
        <v>507</v>
      </c>
      <c r="B593" t="s">
        <v>502</v>
      </c>
      <c r="C593" t="s">
        <v>2674</v>
      </c>
      <c r="D593" t="s">
        <v>2297</v>
      </c>
    </row>
    <row r="594" spans="1:4">
      <c r="A594" t="s">
        <v>562</v>
      </c>
      <c r="B594" t="s">
        <v>28</v>
      </c>
      <c r="C594" t="s">
        <v>2678</v>
      </c>
      <c r="D594" t="s">
        <v>2298</v>
      </c>
    </row>
    <row r="604" spans="1:4">
      <c r="A604" t="s">
        <v>2689</v>
      </c>
      <c r="B604" t="s">
        <v>2654</v>
      </c>
      <c r="C604" t="s">
        <v>3143</v>
      </c>
    </row>
    <row r="605" spans="1:4">
      <c r="A605" t="s">
        <v>340</v>
      </c>
      <c r="B605" t="s">
        <v>2693</v>
      </c>
      <c r="C605" t="s">
        <v>2293</v>
      </c>
    </row>
    <row r="606" spans="1:4">
      <c r="A606" t="s">
        <v>48</v>
      </c>
      <c r="B606" t="s">
        <v>2664</v>
      </c>
      <c r="C606" t="s">
        <v>2293</v>
      </c>
    </row>
    <row r="607" spans="1:4">
      <c r="A607" t="s">
        <v>178</v>
      </c>
      <c r="B607" t="s">
        <v>2664</v>
      </c>
      <c r="C607" t="s">
        <v>2294</v>
      </c>
    </row>
    <row r="608" spans="1:4">
      <c r="A608" t="s">
        <v>87</v>
      </c>
      <c r="B608" t="s">
        <v>2664</v>
      </c>
      <c r="C608" t="s">
        <v>2294</v>
      </c>
    </row>
    <row r="609" spans="1:5">
      <c r="A609" t="s">
        <v>42</v>
      </c>
      <c r="B609" t="s">
        <v>2664</v>
      </c>
      <c r="C609" t="s">
        <v>2294</v>
      </c>
    </row>
    <row r="610" spans="1:5">
      <c r="A610" t="s">
        <v>35</v>
      </c>
      <c r="B610" t="s">
        <v>2664</v>
      </c>
      <c r="C610" t="s">
        <v>2295</v>
      </c>
    </row>
    <row r="611" spans="1:5">
      <c r="A611" t="s">
        <v>53</v>
      </c>
      <c r="B611" t="s">
        <v>2602</v>
      </c>
      <c r="C611" t="s">
        <v>2296</v>
      </c>
    </row>
    <row r="612" spans="1:5">
      <c r="A612" t="s">
        <v>502</v>
      </c>
      <c r="B612" t="s">
        <v>2674</v>
      </c>
      <c r="C612" t="s">
        <v>2297</v>
      </c>
    </row>
    <row r="613" spans="1:5">
      <c r="A613" t="s">
        <v>28</v>
      </c>
      <c r="B613" t="s">
        <v>2678</v>
      </c>
      <c r="C613" t="s">
        <v>2298</v>
      </c>
    </row>
    <row r="618" spans="1:5" ht="30">
      <c r="A618" s="542" t="s">
        <v>2688</v>
      </c>
      <c r="B618" s="543" t="s">
        <v>3144</v>
      </c>
      <c r="C618" s="544" t="s">
        <v>7</v>
      </c>
      <c r="D618" s="545" t="s">
        <v>3145</v>
      </c>
      <c r="E618" s="559" t="s">
        <v>3143</v>
      </c>
    </row>
    <row r="619" spans="1:5">
      <c r="A619" s="546" t="s">
        <v>2000</v>
      </c>
      <c r="B619" s="547"/>
      <c r="C619" s="548" t="s">
        <v>340</v>
      </c>
      <c r="D619" s="539">
        <v>0.1</v>
      </c>
      <c r="E619" s="40" t="str">
        <f>VLOOKUP(TablaEquivalencia[[#This Row],[Estado TI]],$A$605:$C$613,3,FALSE)</f>
        <v>1. DESARROLLO</v>
      </c>
    </row>
    <row r="620" spans="1:5">
      <c r="A620" s="549"/>
      <c r="B620" s="547"/>
      <c r="C620" s="550" t="s">
        <v>340</v>
      </c>
      <c r="D620" s="539">
        <v>0.1</v>
      </c>
      <c r="E620" s="40" t="str">
        <f>VLOOKUP(TablaEquivalencia[[#This Row],[Estado TI]],$A$605:$C$613,3,FALSE)</f>
        <v>1. DESARROLLO</v>
      </c>
    </row>
    <row r="621" spans="1:5">
      <c r="A621" s="546" t="s">
        <v>592</v>
      </c>
      <c r="B621" s="551" t="s">
        <v>1115</v>
      </c>
      <c r="C621" s="537" t="s">
        <v>48</v>
      </c>
      <c r="D621" s="539">
        <v>0.15</v>
      </c>
      <c r="E621" s="40" t="str">
        <f>VLOOKUP(TablaEquivalencia[[#This Row],[Estado TI]],$A$605:$C$613,3,FALSE)</f>
        <v>1. DESARROLLO</v>
      </c>
    </row>
    <row r="622" spans="1:5">
      <c r="A622" s="546" t="s">
        <v>592</v>
      </c>
      <c r="B622" s="551" t="s">
        <v>613</v>
      </c>
      <c r="C622" s="537" t="s">
        <v>48</v>
      </c>
      <c r="D622" s="539">
        <v>0.25</v>
      </c>
      <c r="E622" s="40" t="str">
        <f>VLOOKUP(TablaEquivalencia[[#This Row],[Estado TI]],$A$605:$C$613,3,FALSE)</f>
        <v>1. DESARROLLO</v>
      </c>
    </row>
    <row r="623" spans="1:5">
      <c r="A623" s="546" t="s">
        <v>572</v>
      </c>
      <c r="B623" s="547"/>
      <c r="C623" s="538" t="s">
        <v>48</v>
      </c>
      <c r="D623" s="539">
        <v>0.3</v>
      </c>
      <c r="E623" s="40" t="str">
        <f>VLOOKUP(TablaEquivalencia[[#This Row],[Estado TI]],$A$605:$C$613,3,FALSE)</f>
        <v>1. DESARROLLO</v>
      </c>
    </row>
    <row r="624" spans="1:5">
      <c r="A624" s="546" t="s">
        <v>581</v>
      </c>
      <c r="B624" s="547"/>
      <c r="C624" s="537" t="s">
        <v>48</v>
      </c>
      <c r="D624" s="539">
        <v>0.45</v>
      </c>
      <c r="E624" s="40" t="str">
        <f>VLOOKUP(TablaEquivalencia[[#This Row],[Estado TI]],$A$605:$C$613,3,FALSE)</f>
        <v>1. DESARROLLO</v>
      </c>
    </row>
    <row r="625" spans="1:5">
      <c r="A625" s="546" t="s">
        <v>1281</v>
      </c>
      <c r="B625" s="547"/>
      <c r="C625" s="550" t="s">
        <v>178</v>
      </c>
      <c r="D625" s="539">
        <v>0.5</v>
      </c>
      <c r="E625" s="40" t="str">
        <f>VLOOKUP(TablaEquivalencia[[#This Row],[Estado TI]],$A$605:$C$613,3,FALSE)</f>
        <v>2. CALIDAD</v>
      </c>
    </row>
    <row r="626" spans="1:5">
      <c r="A626" s="552" t="s">
        <v>1260</v>
      </c>
      <c r="B626" s="547"/>
      <c r="C626" s="548" t="s">
        <v>87</v>
      </c>
      <c r="D626" s="539">
        <v>0.7</v>
      </c>
      <c r="E626" s="40" t="str">
        <f>VLOOKUP(TablaEquivalencia[[#This Row],[Estado TI]],$A$605:$C$613,3,FALSE)</f>
        <v>2. CALIDAD</v>
      </c>
    </row>
    <row r="627" spans="1:5">
      <c r="A627" s="552" t="s">
        <v>2026</v>
      </c>
      <c r="B627" s="547"/>
      <c r="C627" s="550" t="s">
        <v>87</v>
      </c>
      <c r="D627" s="539">
        <v>0.75</v>
      </c>
      <c r="E627" s="40" t="str">
        <f>VLOOKUP(TablaEquivalencia[[#This Row],[Estado TI]],$A$605:$C$613,3,FALSE)</f>
        <v>2. CALIDAD</v>
      </c>
    </row>
    <row r="628" spans="1:5">
      <c r="A628" s="552" t="s">
        <v>2110</v>
      </c>
      <c r="B628" s="547"/>
      <c r="C628" s="548" t="s">
        <v>87</v>
      </c>
      <c r="D628" s="539">
        <v>0.7</v>
      </c>
      <c r="E628" s="40" t="str">
        <f>VLOOKUP(TablaEquivalencia[[#This Row],[Estado TI]],$A$605:$C$613,3,FALSE)</f>
        <v>2. CALIDAD</v>
      </c>
    </row>
    <row r="629" spans="1:5">
      <c r="A629" s="552" t="s">
        <v>655</v>
      </c>
      <c r="B629" s="547"/>
      <c r="C629" s="550" t="s">
        <v>42</v>
      </c>
      <c r="D629" s="539">
        <v>0.85</v>
      </c>
      <c r="E629" s="40" t="str">
        <f>VLOOKUP(TablaEquivalencia[[#This Row],[Estado TI]],$A$605:$C$613,3,FALSE)</f>
        <v>2. CALIDAD</v>
      </c>
    </row>
    <row r="630" spans="1:5">
      <c r="A630" s="553" t="s">
        <v>734</v>
      </c>
      <c r="B630" s="547"/>
      <c r="C630" s="554" t="s">
        <v>35</v>
      </c>
      <c r="D630" s="539">
        <v>0.9</v>
      </c>
      <c r="E630" s="40" t="str">
        <f>VLOOKUP(TablaEquivalencia[[#This Row],[Estado TI]],$A$605:$C$613,3,FALSE)</f>
        <v>3. DESPLIEGUE</v>
      </c>
    </row>
    <row r="631" spans="1:5">
      <c r="A631" s="555" t="s">
        <v>583</v>
      </c>
      <c r="B631" s="547"/>
      <c r="C631" s="550" t="s">
        <v>35</v>
      </c>
      <c r="D631" s="539">
        <v>0.9</v>
      </c>
      <c r="E631" s="40" t="str">
        <f>VLOOKUP(TablaEquivalencia[[#This Row],[Estado TI]],$A$605:$C$613,3,FALSE)</f>
        <v>3. DESPLIEGUE</v>
      </c>
    </row>
    <row r="632" spans="1:5">
      <c r="A632" s="553" t="s">
        <v>536</v>
      </c>
      <c r="B632" s="547"/>
      <c r="C632" s="554" t="s">
        <v>53</v>
      </c>
      <c r="D632" s="539">
        <v>1</v>
      </c>
      <c r="E632" s="40" t="str">
        <f>VLOOKUP(TablaEquivalencia[[#This Row],[Estado TI]],$A$605:$C$613,3,FALSE)</f>
        <v>4. PRODUCCIÓN</v>
      </c>
    </row>
    <row r="633" spans="1:5">
      <c r="A633" s="553" t="s">
        <v>1639</v>
      </c>
      <c r="B633" s="547"/>
      <c r="C633" s="554" t="s">
        <v>53</v>
      </c>
      <c r="D633" s="539">
        <v>1</v>
      </c>
      <c r="E633" s="40" t="str">
        <f>VLOOKUP(TablaEquivalencia[[#This Row],[Estado TI]],$A$605:$C$613,3,FALSE)</f>
        <v>4. PRODUCCIÓN</v>
      </c>
    </row>
    <row r="634" spans="1:5">
      <c r="A634" s="553" t="s">
        <v>636</v>
      </c>
      <c r="B634" s="547"/>
      <c r="C634" s="554" t="s">
        <v>53</v>
      </c>
      <c r="D634" s="539">
        <v>1</v>
      </c>
      <c r="E634" s="40" t="str">
        <f>VLOOKUP(TablaEquivalencia[[#This Row],[Estado TI]],$A$605:$C$613,3,FALSE)</f>
        <v>4. PRODUCCIÓN</v>
      </c>
    </row>
    <row r="635" spans="1:5">
      <c r="A635" s="556" t="s">
        <v>1698</v>
      </c>
      <c r="B635" s="547"/>
      <c r="C635" s="554" t="s">
        <v>53</v>
      </c>
      <c r="D635" s="539">
        <v>1</v>
      </c>
      <c r="E635" s="40" t="str">
        <f>VLOOKUP(TablaEquivalencia[[#This Row],[Estado TI]],$A$605:$C$613,3,FALSE)</f>
        <v>4. PRODUCCIÓN</v>
      </c>
    </row>
    <row r="636" spans="1:5">
      <c r="A636" s="557" t="s">
        <v>507</v>
      </c>
      <c r="B636" s="547"/>
      <c r="C636" s="548" t="s">
        <v>502</v>
      </c>
      <c r="D636" s="539">
        <v>-0.01</v>
      </c>
      <c r="E636" s="40" t="str">
        <f>VLOOKUP(TablaEquivalencia[[#This Row],[Estado TI]],$A$605:$C$613,3,FALSE)</f>
        <v>5. DESCARTADO</v>
      </c>
    </row>
    <row r="637" spans="1:5">
      <c r="A637" s="558" t="s">
        <v>562</v>
      </c>
      <c r="B637" s="547"/>
      <c r="C637" s="550" t="s">
        <v>28</v>
      </c>
      <c r="D637" s="539">
        <v>0.12</v>
      </c>
      <c r="E637" s="40" t="str">
        <f>VLOOKUP(TablaEquivalencia[[#This Row],[Estado TI]],$A$605:$C$613,3,FALSE)</f>
        <v>6. PARALIZADO</v>
      </c>
    </row>
  </sheetData>
  <mergeCells count="3">
    <mergeCell ref="A3:B3"/>
    <mergeCell ref="A444:C444"/>
    <mergeCell ref="A529:C529"/>
  </mergeCells>
  <conditionalFormatting sqref="B447:B473 B478:B482 B484:B485 B487:B488 B491:B492 B498:B505 B510:B512 B519:B524 B514:B517">
    <cfRule type="expression" dxfId="315" priority="13">
      <formula>ISBLANK(B447)</formula>
    </cfRule>
  </conditionalFormatting>
  <conditionalFormatting sqref="B474">
    <cfRule type="expression" dxfId="314" priority="12">
      <formula>ISBLANK(B474)</formula>
    </cfRule>
  </conditionalFormatting>
  <conditionalFormatting sqref="B475">
    <cfRule type="expression" dxfId="313" priority="11">
      <formula>ISBLANK(B475)</formula>
    </cfRule>
  </conditionalFormatting>
  <conditionalFormatting sqref="B476">
    <cfRule type="expression" dxfId="312" priority="10">
      <formula>ISBLANK(B476)</formula>
    </cfRule>
  </conditionalFormatting>
  <conditionalFormatting sqref="B477">
    <cfRule type="expression" dxfId="311" priority="9">
      <formula>ISBLANK(B477)</formula>
    </cfRule>
  </conditionalFormatting>
  <conditionalFormatting sqref="B483">
    <cfRule type="expression" dxfId="310" priority="8">
      <formula>ISBLANK(B483)</formula>
    </cfRule>
  </conditionalFormatting>
  <conditionalFormatting sqref="B486">
    <cfRule type="expression" dxfId="309" priority="7">
      <formula>ISBLANK(B486)</formula>
    </cfRule>
  </conditionalFormatting>
  <conditionalFormatting sqref="B489">
    <cfRule type="expression" dxfId="308" priority="6">
      <formula>ISBLANK(B489)</formula>
    </cfRule>
  </conditionalFormatting>
  <conditionalFormatting sqref="B490">
    <cfRule type="expression" dxfId="307" priority="5">
      <formula>ISBLANK(B490)</formula>
    </cfRule>
  </conditionalFormatting>
  <conditionalFormatting sqref="B493:B497">
    <cfRule type="expression" dxfId="306" priority="4">
      <formula>ISBLANK(B493)</formula>
    </cfRule>
  </conditionalFormatting>
  <conditionalFormatting sqref="B506:B509">
    <cfRule type="expression" dxfId="305" priority="3">
      <formula>ISBLANK(B506)</formula>
    </cfRule>
  </conditionalFormatting>
  <conditionalFormatting sqref="B513">
    <cfRule type="expression" dxfId="304" priority="2">
      <formula>ISBLANK(B513)</formula>
    </cfRule>
  </conditionalFormatting>
  <conditionalFormatting sqref="B518">
    <cfRule type="expression" dxfId="303" priority="1">
      <formula>ISBLANK(B518)</formula>
    </cfRule>
  </conditionalFormatting>
  <dataValidations count="2">
    <dataValidation type="list" allowBlank="1" showInputMessage="1" showErrorMessage="1" sqref="B325:B441" xr:uid="{00000000-0002-0000-0D00-000000000000}">
      <formula1>$A$300:$A$317</formula1>
    </dataValidation>
    <dataValidation type="list" allowBlank="1" showInputMessage="1" showErrorMessage="1" sqref="E447:E524" xr:uid="{07A2B9B3-BF57-42CB-8EDE-698F4E5595D9}">
      <formula1>"Anexo2,MEMORANDO,ClearQuest,INDRA,Cumplimiento Normativo,Gestor,Automático,Backlog"</formula1>
    </dataValidation>
  </dataValidations>
  <pageMargins left="0.25" right="0.25" top="0.75" bottom="0.75" header="0.3" footer="0.3"/>
  <pageSetup paperSize="9" fitToHeight="0" orientation="landscape" r:id="rId1"/>
  <tableParts count="6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60b2574-c8e5-4143-9c8d-933800433a55" xsi:nil="true"/>
    <lcf76f155ced4ddcb4097134ff3c332f xmlns="48d89991-397d-4ecb-be1d-011b72cd479f">
      <Terms xmlns="http://schemas.microsoft.com/office/infopath/2007/PartnerControls"/>
    </lcf76f155ced4ddcb4097134ff3c332f>
    <Gerencia xmlns="48d89991-397d-4ecb-be1d-011b72cd479f" xsi:nil="true"/>
    <Ingrese_x0020_la_x0020_priodidad_x0020_del_x0020_requerimiento xmlns="48d89991-397d-4ecb-be1d-011b72cd479f" xsi:nil="true"/>
    <Cuenta_x0020_con_x0020_Anexo_x0020_el_x0020_Memorando xmlns="48d89991-397d-4ecb-be1d-011b72cd479f" xsi:nil="true"/>
    <Ingrese_x0020_Memorando_x0020_con_x0020_el_x0020_que_x0020_se_x0020_solicita xmlns="48d89991-397d-4ecb-be1d-011b72cd479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9199AA3C3A3F98418CD0F4EF2538A19D" ma:contentTypeVersion="18" ma:contentTypeDescription="Crear nuevo documento." ma:contentTypeScope="" ma:versionID="5578302ceb7389941f651da5f95b9ecb">
  <xsd:schema xmlns:xsd="http://www.w3.org/2001/XMLSchema" xmlns:xs="http://www.w3.org/2001/XMLSchema" xmlns:p="http://schemas.microsoft.com/office/2006/metadata/properties" xmlns:ns2="48d89991-397d-4ecb-be1d-011b72cd479f" xmlns:ns3="860b2574-c8e5-4143-9c8d-933800433a55" targetNamespace="http://schemas.microsoft.com/office/2006/metadata/properties" ma:root="true" ma:fieldsID="bec263dc390e7aa8dfe72606a62fcc44" ns2:_="" ns3:_="">
    <xsd:import namespace="48d89991-397d-4ecb-be1d-011b72cd479f"/>
    <xsd:import namespace="860b2574-c8e5-4143-9c8d-933800433a5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Ingrese_x0020_Memorando_x0020_con_x0020_el_x0020_que_x0020_se_x0020_solicita" minOccurs="0"/>
                <xsd:element ref="ns2:Cuenta_x0020_con_x0020_Anexo_x0020_el_x0020_Memorando" minOccurs="0"/>
                <xsd:element ref="ns2:Gerencia" minOccurs="0"/>
                <xsd:element ref="ns2:Ingrese_x0020_la_x0020_priodidad_x0020_del_x0020_requerimiento"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8d89991-397d-4ecb-be1d-011b72cd47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Etiquetas de imagen" ma:readOnly="false" ma:fieldId="{5cf76f15-5ced-4ddc-b409-7134ff3c332f}" ma:taxonomyMulti="true" ma:sspId="140dcf0f-ef43-4134-b02e-4da2af1727e6"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Ingrese_x0020_Memorando_x0020_con_x0020_el_x0020_que_x0020_se_x0020_solicita" ma:index="21" nillable="true" ma:displayName="Ingrese Memorando con el que se solicita" ma:format="Dropdown" ma:internalName="Ingrese_x0020_Memorando_x0020_con_x0020_el_x0020_que_x0020_se_x0020_solicita">
      <xsd:simpleType>
        <xsd:restriction base="dms:Text">
          <xsd:maxLength value="255"/>
        </xsd:restriction>
      </xsd:simpleType>
    </xsd:element>
    <xsd:element name="Cuenta_x0020_con_x0020_Anexo_x0020_el_x0020_Memorando" ma:index="22" nillable="true" ma:displayName="Cuenta con Anexo el Memorando" ma:format="Dropdown" ma:internalName="Cuenta_x0020_con_x0020_Anexo_x0020_el_x0020_Memorando">
      <xsd:simpleType>
        <xsd:restriction base="dms:Choice">
          <xsd:enumeration value="Si"/>
          <xsd:enumeration value="No"/>
        </xsd:restriction>
      </xsd:simpleType>
    </xsd:element>
    <xsd:element name="Gerencia" ma:index="23" nillable="true" ma:displayName="Gerencia" ma:format="Dropdown" ma:internalName="Gerencia">
      <xsd:simpleType>
        <xsd:restriction base="dms:Choice">
          <xsd:enumeration value="Gerencia de TI"/>
          <xsd:enumeration value="Gerencia de Operaciones"/>
          <xsd:enumeration value="Gerencia de Recursos Humanos y Cultura"/>
        </xsd:restriction>
      </xsd:simpleType>
    </xsd:element>
    <xsd:element name="Ingrese_x0020_la_x0020_priodidad_x0020_del_x0020_requerimiento" ma:index="24" nillable="true" ma:displayName="Ingrese la priodidad del requerimiento" ma:format="Dropdown" ma:internalName="Ingrese_x0020_la_x0020_priodidad_x0020_del_x0020_requerimiento"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860b2574-c8e5-4143-9c8d-933800433a55" elementFormDefault="qualified">
    <xsd:import namespace="http://schemas.microsoft.com/office/2006/documentManagement/types"/>
    <xsd:import namespace="http://schemas.microsoft.com/office/infopath/2007/PartnerControls"/>
    <xsd:element name="SharedWithUsers" ma:index="12"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Detalles de uso compartido" ma:internalName="SharedWithDetails" ma:readOnly="true">
      <xsd:simpleType>
        <xsd:restriction base="dms:Note">
          <xsd:maxLength value="255"/>
        </xsd:restriction>
      </xsd:simpleType>
    </xsd:element>
    <xsd:element name="TaxCatchAll" ma:index="16" nillable="true" ma:displayName="Taxonomy Catch All Column" ma:hidden="true" ma:list="{bcaf0f1f-a108-470f-a8d6-f756cdded91f}" ma:internalName="TaxCatchAll" ma:showField="CatchAllData" ma:web="860b2574-c8e5-4143-9c8d-933800433a5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9EA67CFE-B301-4E67-AFB1-B0C3DBE0338D}"/>
</file>

<file path=customXml/itemProps2.xml><?xml version="1.0" encoding="utf-8"?>
<ds:datastoreItem xmlns:ds="http://schemas.openxmlformats.org/officeDocument/2006/customXml" ds:itemID="{CCF68156-75D3-49E9-B4B7-2A1B210E9F81}"/>
</file>

<file path=customXml/itemProps3.xml><?xml version="1.0" encoding="utf-8"?>
<ds:datastoreItem xmlns:ds="http://schemas.openxmlformats.org/officeDocument/2006/customXml" ds:itemID="{45636E34-4660-4522-B301-1A367F079C68}"/>
</file>

<file path=customXml/itemProps4.xml><?xml version="1.0" encoding="utf-8"?>
<ds:datastoreItem xmlns:ds="http://schemas.openxmlformats.org/officeDocument/2006/customXml" ds:itemID="{05028A26-77A5-4D39-811C-52EABDF5601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Administrador</dc:creator>
  <cp:keywords/>
  <dc:description/>
  <cp:lastModifiedBy>MARIA HAYDEE BARBOZA MUNOZ</cp:lastModifiedBy>
  <cp:revision/>
  <dcterms:created xsi:type="dcterms:W3CDTF">2023-11-23T20:11:17Z</dcterms:created>
  <dcterms:modified xsi:type="dcterms:W3CDTF">2026-05-20T17:10:54Z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0x0101009199AA3C3A3F98418CD0F4EF2538A19D</vt:lpwstr>
  </property>
  <property fmtid="{D5CDD505-2E9C-101B-9397-08002B2CF9AE}" pid="3" name="MediaServiceImageTags">
    <vt:lpwstr/>
  </property>
</Properties>
</file>