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ate1904="1"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13_ncr:40009_{FA09FCD7-3405-4C64-8CDD-A450FD561D4A}" xr6:coauthVersionLast="47" xr6:coauthVersionMax="47" xr10:uidLastSave="{00000000-0000-0000-0000-000000000000}"/>
  <bookViews>
    <workbookView xWindow="28680" yWindow="-120" windowWidth="21840" windowHeight="13290"/>
  </bookViews>
  <sheets>
    <sheet name="Recovered_Sheet1" sheetId="1" r:id="rId1"/>
    <sheet name="Thermobar_in" sheetId="2" r:id="rId2"/>
  </sheets>
  <definedNames>
    <definedName name="_xlnm.Print_Area" localSheetId="0">Recovered_Sheet1!$A$1:$N$131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5" i="1" l="1"/>
  <c r="B121" i="1"/>
  <c r="B60" i="1"/>
  <c r="B59" i="1"/>
  <c r="B58" i="1"/>
  <c r="B99" i="1"/>
  <c r="B94" i="1"/>
  <c r="B93" i="1"/>
  <c r="B92" i="1"/>
  <c r="B52" i="1"/>
  <c r="B238" i="1"/>
  <c r="B237" i="1"/>
  <c r="B236" i="1"/>
  <c r="B233" i="1" l="1"/>
  <c r="B232" i="1"/>
  <c r="B231" i="1"/>
  <c r="B230" i="1"/>
  <c r="B229" i="1"/>
  <c r="B228" i="1"/>
  <c r="B226" i="1"/>
  <c r="B198" i="1"/>
  <c r="B193" i="1"/>
  <c r="B192" i="1"/>
  <c r="N228" i="1"/>
  <c r="N227" i="1"/>
  <c r="B203" i="1"/>
  <c r="B204" i="1"/>
  <c r="B189" i="1"/>
  <c r="U198" i="1"/>
  <c r="B195" i="1"/>
  <c r="P200" i="1"/>
  <c r="P199" i="1"/>
  <c r="B33" i="1"/>
  <c r="D33" i="1"/>
  <c r="E33" i="1"/>
  <c r="F33" i="1"/>
  <c r="G33" i="1"/>
  <c r="H33" i="1"/>
  <c r="I33" i="1"/>
  <c r="J33" i="1"/>
  <c r="K33" i="1"/>
  <c r="L33" i="1"/>
  <c r="M33" i="1"/>
  <c r="N33" i="1"/>
  <c r="B45" i="1"/>
  <c r="C45" i="1"/>
  <c r="D45" i="1"/>
  <c r="E45" i="1"/>
  <c r="F45" i="1"/>
  <c r="G45" i="1"/>
  <c r="H45" i="1"/>
  <c r="I45" i="1"/>
  <c r="J45" i="1"/>
  <c r="K45" i="1"/>
  <c r="L45" i="1"/>
  <c r="M45" i="1"/>
  <c r="N45" i="1"/>
  <c r="A120" i="1"/>
  <c r="A121" i="1"/>
  <c r="A122" i="1"/>
  <c r="A123" i="1"/>
  <c r="A124" i="1"/>
  <c r="A125" i="1"/>
  <c r="C189" i="1"/>
  <c r="D189" i="1"/>
  <c r="E189" i="1"/>
  <c r="F189" i="1"/>
  <c r="F201" i="1" s="1"/>
  <c r="G189" i="1"/>
  <c r="H189" i="1"/>
  <c r="I189" i="1"/>
  <c r="J189" i="1"/>
  <c r="J201" i="1"/>
  <c r="K189" i="1"/>
  <c r="K199" i="1" s="1"/>
  <c r="L189" i="1"/>
  <c r="L220" i="1" s="1"/>
  <c r="M189" i="1"/>
  <c r="M198" i="1" s="1"/>
  <c r="M203" i="1" s="1"/>
  <c r="N189" i="1"/>
  <c r="N201" i="1"/>
  <c r="N203" i="1" s="1"/>
  <c r="C192" i="1"/>
  <c r="E192" i="1"/>
  <c r="E193" i="1" s="1"/>
  <c r="G192" i="1"/>
  <c r="G193" i="1"/>
  <c r="G195" i="1" s="1"/>
  <c r="G198" i="1"/>
  <c r="M192" i="1"/>
  <c r="M193" i="1"/>
  <c r="C199" i="1"/>
  <c r="E199" i="1"/>
  <c r="G199" i="1"/>
  <c r="M199" i="1"/>
  <c r="C201" i="1"/>
  <c r="D201" i="1"/>
  <c r="E201" i="1"/>
  <c r="G201" i="1"/>
  <c r="I201" i="1"/>
  <c r="M201" i="1"/>
  <c r="C202" i="1"/>
  <c r="E202" i="1"/>
  <c r="G202" i="1"/>
  <c r="K202" i="1"/>
  <c r="M202" i="1"/>
  <c r="C214" i="1"/>
  <c r="E214" i="1"/>
  <c r="G214" i="1"/>
  <c r="M214" i="1"/>
  <c r="C220" i="1"/>
  <c r="C219" i="1" s="1"/>
  <c r="D220" i="1"/>
  <c r="D80" i="1"/>
  <c r="D221" i="1"/>
  <c r="E220" i="1"/>
  <c r="E219" i="1" s="1"/>
  <c r="F221" i="1"/>
  <c r="F81" i="1"/>
  <c r="G220" i="1"/>
  <c r="G80" i="1"/>
  <c r="G79" i="1" s="1"/>
  <c r="J220" i="1"/>
  <c r="J80" i="1" s="1"/>
  <c r="J79" i="1" s="1"/>
  <c r="J221" i="1"/>
  <c r="J81" i="1"/>
  <c r="K220" i="1"/>
  <c r="L221" i="1"/>
  <c r="L81" i="1" s="1"/>
  <c r="M220" i="1"/>
  <c r="M80" i="1"/>
  <c r="N220" i="1"/>
  <c r="N80" i="1"/>
  <c r="N221" i="1"/>
  <c r="N81" i="1" s="1"/>
  <c r="C221" i="1"/>
  <c r="C81" i="1"/>
  <c r="E221" i="1"/>
  <c r="E81" i="1" s="1"/>
  <c r="G221" i="1"/>
  <c r="G81" i="1"/>
  <c r="M221" i="1"/>
  <c r="M81" i="1" s="1"/>
  <c r="E227" i="1"/>
  <c r="G227" i="1"/>
  <c r="M227" i="1"/>
  <c r="C230" i="1"/>
  <c r="D230" i="1"/>
  <c r="E230" i="1"/>
  <c r="F230" i="1"/>
  <c r="G230" i="1"/>
  <c r="H230" i="1"/>
  <c r="I230" i="1"/>
  <c r="J230" i="1"/>
  <c r="K230" i="1"/>
  <c r="L230" i="1"/>
  <c r="M230" i="1"/>
  <c r="N230" i="1"/>
  <c r="N219" i="1"/>
  <c r="L201" i="1"/>
  <c r="N192" i="1"/>
  <c r="N199" i="1"/>
  <c r="N202" i="1"/>
  <c r="N214" i="1"/>
  <c r="L199" i="1"/>
  <c r="L202" i="1"/>
  <c r="L214" i="1"/>
  <c r="J192" i="1"/>
  <c r="J199" i="1"/>
  <c r="J202" i="1"/>
  <c r="J214" i="1"/>
  <c r="H202" i="1"/>
  <c r="H214" i="1"/>
  <c r="F192" i="1"/>
  <c r="F199" i="1"/>
  <c r="F202" i="1"/>
  <c r="F214" i="1"/>
  <c r="D192" i="1"/>
  <c r="D199" i="1"/>
  <c r="D202" i="1"/>
  <c r="D214" i="1"/>
  <c r="G219" i="1"/>
  <c r="N44" i="1"/>
  <c r="N222" i="1"/>
  <c r="C44" i="1"/>
  <c r="C222" i="1"/>
  <c r="D193" i="1"/>
  <c r="D198" i="1" s="1"/>
  <c r="D227" i="1"/>
  <c r="F227" i="1"/>
  <c r="F193" i="1"/>
  <c r="J227" i="1"/>
  <c r="J193" i="1"/>
  <c r="J195" i="1" s="1"/>
  <c r="J234" i="1" s="1"/>
  <c r="N193" i="1"/>
  <c r="M204" i="1"/>
  <c r="M205" i="1" s="1"/>
  <c r="N198" i="1"/>
  <c r="N195" i="1"/>
  <c r="N231" i="1" s="1"/>
  <c r="J198" i="1"/>
  <c r="F198" i="1"/>
  <c r="F203" i="1" s="1"/>
  <c r="F195" i="1"/>
  <c r="J231" i="1"/>
  <c r="N234" i="1"/>
  <c r="J203" i="1"/>
  <c r="D195" i="1"/>
  <c r="F235" i="1"/>
  <c r="F207" i="1"/>
  <c r="E198" i="1" l="1"/>
  <c r="E195" i="1" s="1"/>
  <c r="B221" i="1"/>
  <c r="B81" i="1" s="1"/>
  <c r="B199" i="1"/>
  <c r="B201" i="1"/>
  <c r="B202" i="1"/>
  <c r="B214" i="1"/>
  <c r="B220" i="1"/>
  <c r="K80" i="1"/>
  <c r="D234" i="1"/>
  <c r="D231" i="1"/>
  <c r="F234" i="1"/>
  <c r="F231" i="1"/>
  <c r="E44" i="1"/>
  <c r="E222" i="1"/>
  <c r="C193" i="1"/>
  <c r="C227" i="1"/>
  <c r="I192" i="1"/>
  <c r="I220" i="1"/>
  <c r="I214" i="1"/>
  <c r="I221" i="1"/>
  <c r="I81" i="1" s="1"/>
  <c r="I202" i="1"/>
  <c r="D81" i="1"/>
  <c r="D79" i="1" s="1"/>
  <c r="D219" i="1"/>
  <c r="N235" i="1"/>
  <c r="N207" i="1"/>
  <c r="J204" i="1"/>
  <c r="D203" i="1"/>
  <c r="N79" i="1"/>
  <c r="J82" i="1"/>
  <c r="J89" i="1" s="1"/>
  <c r="M195" i="1"/>
  <c r="M207" i="1"/>
  <c r="M235" i="1"/>
  <c r="F204" i="1"/>
  <c r="F208" i="1" s="1"/>
  <c r="M79" i="1"/>
  <c r="G82" i="1"/>
  <c r="G89" i="1" s="1"/>
  <c r="G204" i="1"/>
  <c r="G205" i="1" s="1"/>
  <c r="G203" i="1"/>
  <c r="L80" i="1"/>
  <c r="L79" i="1" s="1"/>
  <c r="L219" i="1"/>
  <c r="J235" i="1"/>
  <c r="J207" i="1"/>
  <c r="G44" i="1"/>
  <c r="G222" i="1"/>
  <c r="M219" i="1"/>
  <c r="G234" i="1"/>
  <c r="G231" i="1"/>
  <c r="I199" i="1"/>
  <c r="H199" i="1"/>
  <c r="J219" i="1"/>
  <c r="K221" i="1"/>
  <c r="K81" i="1" s="1"/>
  <c r="H221" i="1"/>
  <c r="H81" i="1" s="1"/>
  <c r="H192" i="1"/>
  <c r="L192" i="1"/>
  <c r="F220" i="1"/>
  <c r="C80" i="1"/>
  <c r="C79" i="1" s="1"/>
  <c r="K214" i="1"/>
  <c r="N204" i="1"/>
  <c r="H201" i="1"/>
  <c r="H220" i="1"/>
  <c r="E80" i="1"/>
  <c r="E79" i="1" s="1"/>
  <c r="K192" i="1"/>
  <c r="J205" i="1"/>
  <c r="K201" i="1"/>
  <c r="D82" i="1" l="1"/>
  <c r="D89" i="1" s="1"/>
  <c r="F212" i="1"/>
  <c r="F229" i="1"/>
  <c r="F209" i="1"/>
  <c r="F213" i="1" s="1"/>
  <c r="F215" i="1" s="1"/>
  <c r="E234" i="1"/>
  <c r="E231" i="1"/>
  <c r="D235" i="1"/>
  <c r="D207" i="1"/>
  <c r="B227" i="1"/>
  <c r="K193" i="1"/>
  <c r="K227" i="1"/>
  <c r="L193" i="1"/>
  <c r="L227" i="1"/>
  <c r="J44" i="1"/>
  <c r="J222" i="1"/>
  <c r="M231" i="1"/>
  <c r="M234" i="1"/>
  <c r="K219" i="1"/>
  <c r="B219" i="1"/>
  <c r="B80" i="1"/>
  <c r="B79" i="1" s="1"/>
  <c r="E82" i="1"/>
  <c r="E89" i="1" s="1"/>
  <c r="H193" i="1"/>
  <c r="H227" i="1"/>
  <c r="J208" i="1"/>
  <c r="N208" i="1"/>
  <c r="C198" i="1"/>
  <c r="C195" i="1"/>
  <c r="K79" i="1"/>
  <c r="F80" i="1"/>
  <c r="F79" i="1" s="1"/>
  <c r="F219" i="1"/>
  <c r="H80" i="1"/>
  <c r="H79" i="1" s="1"/>
  <c r="H219" i="1"/>
  <c r="M82" i="1"/>
  <c r="M89" i="1" s="1"/>
  <c r="F205" i="1"/>
  <c r="C82" i="1"/>
  <c r="C89" i="1"/>
  <c r="L44" i="1"/>
  <c r="L222" i="1"/>
  <c r="N205" i="1"/>
  <c r="D44" i="1"/>
  <c r="D222" i="1"/>
  <c r="E203" i="1"/>
  <c r="L82" i="1"/>
  <c r="L89" i="1"/>
  <c r="N89" i="1"/>
  <c r="N82" i="1"/>
  <c r="I80" i="1"/>
  <c r="I79" i="1" s="1"/>
  <c r="I219" i="1"/>
  <c r="M44" i="1"/>
  <c r="M222" i="1"/>
  <c r="M208" i="1"/>
  <c r="G207" i="1"/>
  <c r="G235" i="1"/>
  <c r="D204" i="1"/>
  <c r="D205" i="1" s="1"/>
  <c r="I193" i="1"/>
  <c r="I227" i="1"/>
  <c r="F225" i="1" l="1"/>
  <c r="C203" i="1"/>
  <c r="C204" i="1"/>
  <c r="C205" i="1" s="1"/>
  <c r="H195" i="1"/>
  <c r="H198" i="1"/>
  <c r="I198" i="1"/>
  <c r="M212" i="1"/>
  <c r="M225" i="1" s="1"/>
  <c r="M229" i="1"/>
  <c r="L198" i="1"/>
  <c r="H44" i="1"/>
  <c r="H222" i="1"/>
  <c r="N209" i="1"/>
  <c r="N213" i="1" s="1"/>
  <c r="K198" i="1"/>
  <c r="K195" i="1" s="1"/>
  <c r="D208" i="1"/>
  <c r="D209" i="1" s="1"/>
  <c r="D213" i="1" s="1"/>
  <c r="E207" i="1"/>
  <c r="E235" i="1"/>
  <c r="K44" i="1"/>
  <c r="K222" i="1"/>
  <c r="H82" i="1"/>
  <c r="H89" i="1"/>
  <c r="N212" i="1"/>
  <c r="N225" i="1" s="1"/>
  <c r="N229" i="1"/>
  <c r="G208" i="1"/>
  <c r="G209" i="1" s="1"/>
  <c r="I44" i="1"/>
  <c r="I222" i="1"/>
  <c r="F44" i="1"/>
  <c r="F222" i="1"/>
  <c r="C234" i="1"/>
  <c r="C231" i="1"/>
  <c r="I82" i="1"/>
  <c r="I89" i="1" s="1"/>
  <c r="F82" i="1"/>
  <c r="F89" i="1" s="1"/>
  <c r="J212" i="1"/>
  <c r="J229" i="1"/>
  <c r="B82" i="1"/>
  <c r="B89" i="1"/>
  <c r="M209" i="1"/>
  <c r="M213" i="1" s="1"/>
  <c r="M215" i="1" s="1"/>
  <c r="E204" i="1"/>
  <c r="E205" i="1" s="1"/>
  <c r="K82" i="1"/>
  <c r="K89" i="1"/>
  <c r="J209" i="1"/>
  <c r="B44" i="1"/>
  <c r="B222" i="1"/>
  <c r="F210" i="1"/>
  <c r="F224" i="1" s="1"/>
  <c r="K234" i="1" l="1"/>
  <c r="K231" i="1"/>
  <c r="G213" i="1"/>
  <c r="G215" i="1" s="1"/>
  <c r="G210" i="1"/>
  <c r="H234" i="1"/>
  <c r="H231" i="1"/>
  <c r="J213" i="1"/>
  <c r="J215" i="1" s="1"/>
  <c r="J210" i="1"/>
  <c r="G212" i="1"/>
  <c r="G225" i="1" s="1"/>
  <c r="G229" i="1"/>
  <c r="K203" i="1"/>
  <c r="K204" i="1" s="1"/>
  <c r="N215" i="1"/>
  <c r="N210" i="1"/>
  <c r="C207" i="1"/>
  <c r="C235" i="1"/>
  <c r="F226" i="1"/>
  <c r="F236" i="1" s="1"/>
  <c r="F238" i="1" s="1"/>
  <c r="F233" i="1"/>
  <c r="F228" i="1"/>
  <c r="F232" i="1"/>
  <c r="F237" i="1" s="1"/>
  <c r="E208" i="1"/>
  <c r="E209" i="1" s="1"/>
  <c r="I204" i="1"/>
  <c r="I205" i="1"/>
  <c r="I203" i="1"/>
  <c r="I195" i="1"/>
  <c r="D212" i="1"/>
  <c r="D215" i="1" s="1"/>
  <c r="L203" i="1"/>
  <c r="D225" i="1"/>
  <c r="D210" i="1"/>
  <c r="L195" i="1"/>
  <c r="H203" i="1"/>
  <c r="M210" i="1"/>
  <c r="M224" i="1" s="1"/>
  <c r="E213" i="1" l="1"/>
  <c r="E210" i="1"/>
  <c r="K205" i="1"/>
  <c r="I234" i="1"/>
  <c r="I231" i="1"/>
  <c r="E225" i="1"/>
  <c r="D224" i="1"/>
  <c r="C208" i="1"/>
  <c r="C209" i="1" s="1"/>
  <c r="M226" i="1"/>
  <c r="M228" i="1"/>
  <c r="M232" i="1"/>
  <c r="M237" i="1" s="1"/>
  <c r="M233" i="1"/>
  <c r="L235" i="1"/>
  <c r="L207" i="1"/>
  <c r="B235" i="1"/>
  <c r="B207" i="1"/>
  <c r="N224" i="1"/>
  <c r="G224" i="1"/>
  <c r="F62" i="1"/>
  <c r="F74" i="1"/>
  <c r="F99" i="1" s="1"/>
  <c r="F52" i="1"/>
  <c r="F55" i="1"/>
  <c r="F59" i="1"/>
  <c r="F131" i="1" s="1"/>
  <c r="F60" i="1"/>
  <c r="F61" i="1"/>
  <c r="H235" i="1"/>
  <c r="H207" i="1"/>
  <c r="E212" i="1"/>
  <c r="E229" i="1"/>
  <c r="L204" i="1"/>
  <c r="L205" i="1" s="1"/>
  <c r="H204" i="1"/>
  <c r="H205" i="1" s="1"/>
  <c r="D229" i="1"/>
  <c r="J225" i="1"/>
  <c r="B234" i="1"/>
  <c r="L234" i="1"/>
  <c r="L231" i="1"/>
  <c r="I235" i="1"/>
  <c r="I207" i="1"/>
  <c r="K207" i="1"/>
  <c r="K235" i="1"/>
  <c r="J224" i="1"/>
  <c r="C213" i="1" l="1"/>
  <c r="C210" i="1"/>
  <c r="K208" i="1"/>
  <c r="K209" i="1"/>
  <c r="K213" i="1" s="1"/>
  <c r="F42" i="1"/>
  <c r="N233" i="1"/>
  <c r="N226" i="1"/>
  <c r="N232" i="1"/>
  <c r="N237" i="1" s="1"/>
  <c r="I208" i="1"/>
  <c r="I209" i="1"/>
  <c r="I213" i="1" s="1"/>
  <c r="B208" i="1"/>
  <c r="B209" i="1" s="1"/>
  <c r="B213" i="1" s="1"/>
  <c r="M236" i="1"/>
  <c r="M238" i="1" s="1"/>
  <c r="H209" i="1"/>
  <c r="H213" i="1" s="1"/>
  <c r="H210" i="1"/>
  <c r="H208" i="1"/>
  <c r="F88" i="1"/>
  <c r="B205" i="1"/>
  <c r="F58" i="1"/>
  <c r="F114" i="1"/>
  <c r="F53" i="1"/>
  <c r="F92" i="1"/>
  <c r="F94" i="1"/>
  <c r="F93" i="1"/>
  <c r="F106" i="1"/>
  <c r="F111" i="1"/>
  <c r="L208" i="1"/>
  <c r="L209" i="1"/>
  <c r="L213" i="1" s="1"/>
  <c r="C212" i="1"/>
  <c r="C225" i="1" s="1"/>
  <c r="E224" i="1"/>
  <c r="D232" i="1"/>
  <c r="D226" i="1"/>
  <c r="D228" i="1"/>
  <c r="D233" i="1"/>
  <c r="E215" i="1"/>
  <c r="G226" i="1"/>
  <c r="G228" i="1"/>
  <c r="G232" i="1"/>
  <c r="G237" i="1" s="1"/>
  <c r="G233" i="1"/>
  <c r="J233" i="1"/>
  <c r="J226" i="1"/>
  <c r="J228" i="1"/>
  <c r="J232" i="1"/>
  <c r="J237" i="1" s="1"/>
  <c r="B210" i="1" l="1"/>
  <c r="E228" i="1"/>
  <c r="E232" i="1"/>
  <c r="E233" i="1"/>
  <c r="E226" i="1"/>
  <c r="E236" i="1" s="1"/>
  <c r="H215" i="1"/>
  <c r="H224" i="1" s="1"/>
  <c r="I210" i="1"/>
  <c r="G236" i="1"/>
  <c r="G238" i="1" s="1"/>
  <c r="M61" i="1"/>
  <c r="M60" i="1"/>
  <c r="M52" i="1"/>
  <c r="M55" i="1"/>
  <c r="M62" i="1"/>
  <c r="M74" i="1"/>
  <c r="M99" i="1" s="1"/>
  <c r="M59" i="1"/>
  <c r="M131" i="1" s="1"/>
  <c r="I229" i="1"/>
  <c r="I212" i="1"/>
  <c r="I225" i="1" s="1"/>
  <c r="C229" i="1"/>
  <c r="F117" i="1"/>
  <c r="F141" i="1" s="1"/>
  <c r="F148" i="1" s="1"/>
  <c r="F149" i="1" s="1"/>
  <c r="F155" i="1" s="1"/>
  <c r="F156" i="1" s="1"/>
  <c r="F162" i="1" s="1"/>
  <c r="F163" i="1" s="1"/>
  <c r="F169" i="1" s="1"/>
  <c r="F170" i="1" s="1"/>
  <c r="F176" i="1" s="1"/>
  <c r="F177" i="1" s="1"/>
  <c r="F183" i="1" s="1"/>
  <c r="K215" i="1"/>
  <c r="L215" i="1"/>
  <c r="B215" i="1"/>
  <c r="K212" i="1"/>
  <c r="K229" i="1"/>
  <c r="J236" i="1"/>
  <c r="J238" i="1" s="1"/>
  <c r="L212" i="1"/>
  <c r="L225" i="1" s="1"/>
  <c r="L229" i="1"/>
  <c r="B212" i="1"/>
  <c r="B225" i="1" s="1"/>
  <c r="K210" i="1"/>
  <c r="K224" i="1" s="1"/>
  <c r="D236" i="1"/>
  <c r="L210" i="1"/>
  <c r="L224" i="1" s="1"/>
  <c r="K225" i="1"/>
  <c r="N236" i="1"/>
  <c r="N238" i="1" s="1"/>
  <c r="C224" i="1"/>
  <c r="D237" i="1"/>
  <c r="F63" i="1"/>
  <c r="H229" i="1"/>
  <c r="H212" i="1"/>
  <c r="H225" i="1"/>
  <c r="C215" i="1"/>
  <c r="B224" i="1" l="1"/>
  <c r="H226" i="1"/>
  <c r="H228" i="1"/>
  <c r="H232" i="1"/>
  <c r="H233" i="1"/>
  <c r="F91" i="1"/>
  <c r="F67" i="1"/>
  <c r="F86" i="1"/>
  <c r="F87" i="1"/>
  <c r="F85" i="1"/>
  <c r="F48" i="1"/>
  <c r="M114" i="1"/>
  <c r="F64" i="1"/>
  <c r="M53" i="1"/>
  <c r="M58" i="1" s="1"/>
  <c r="M94" i="1"/>
  <c r="M111" i="1"/>
  <c r="M93" i="1"/>
  <c r="M92" i="1"/>
  <c r="M106" i="1"/>
  <c r="C226" i="1"/>
  <c r="C228" i="1"/>
  <c r="C232" i="1"/>
  <c r="C233" i="1"/>
  <c r="M42" i="1"/>
  <c r="N52" i="1"/>
  <c r="N55" i="1"/>
  <c r="N59" i="1"/>
  <c r="N131" i="1" s="1"/>
  <c r="N60" i="1"/>
  <c r="N61" i="1"/>
  <c r="N62" i="1"/>
  <c r="N74" i="1"/>
  <c r="N99" i="1" s="1"/>
  <c r="E237" i="1"/>
  <c r="E238" i="1" s="1"/>
  <c r="J55" i="1"/>
  <c r="J59" i="1"/>
  <c r="J131" i="1" s="1"/>
  <c r="J60" i="1"/>
  <c r="J61" i="1"/>
  <c r="J62" i="1"/>
  <c r="J74" i="1"/>
  <c r="J99" i="1" s="1"/>
  <c r="J52" i="1"/>
  <c r="M88" i="1"/>
  <c r="L226" i="1"/>
  <c r="L236" i="1" s="1"/>
  <c r="L238" i="1" s="1"/>
  <c r="L228" i="1"/>
  <c r="L232" i="1"/>
  <c r="L237" i="1" s="1"/>
  <c r="L233" i="1"/>
  <c r="F124" i="1"/>
  <c r="F184" i="1"/>
  <c r="F125" i="1" s="1"/>
  <c r="G55" i="1"/>
  <c r="G59" i="1"/>
  <c r="G131" i="1" s="1"/>
  <c r="G60" i="1"/>
  <c r="G62" i="1"/>
  <c r="G52" i="1"/>
  <c r="G61" i="1"/>
  <c r="G74" i="1"/>
  <c r="G99" i="1" s="1"/>
  <c r="I215" i="1"/>
  <c r="I224" i="1" s="1"/>
  <c r="K232" i="1"/>
  <c r="K237" i="1" s="1"/>
  <c r="K233" i="1"/>
  <c r="K226" i="1"/>
  <c r="K228" i="1"/>
  <c r="D238" i="1"/>
  <c r="E59" i="1" l="1"/>
  <c r="E131" i="1" s="1"/>
  <c r="E62" i="1"/>
  <c r="E74" i="1"/>
  <c r="E99" i="1" s="1"/>
  <c r="E61" i="1"/>
  <c r="E60" i="1"/>
  <c r="E52" i="1"/>
  <c r="E55" i="1"/>
  <c r="I226" i="1"/>
  <c r="I228" i="1"/>
  <c r="I232" i="1"/>
  <c r="I233" i="1"/>
  <c r="M63" i="1"/>
  <c r="H237" i="1"/>
  <c r="L59" i="1"/>
  <c r="L131" i="1" s="1"/>
  <c r="L74" i="1"/>
  <c r="L99" i="1" s="1"/>
  <c r="L60" i="1"/>
  <c r="L62" i="1"/>
  <c r="L52" i="1"/>
  <c r="L55" i="1"/>
  <c r="L61" i="1"/>
  <c r="D60" i="1"/>
  <c r="D61" i="1"/>
  <c r="D62" i="1"/>
  <c r="D74" i="1"/>
  <c r="D99" i="1" s="1"/>
  <c r="D52" i="1"/>
  <c r="D55" i="1"/>
  <c r="D59" i="1"/>
  <c r="D131" i="1" s="1"/>
  <c r="G58" i="1"/>
  <c r="G114" i="1"/>
  <c r="C237" i="1"/>
  <c r="G88" i="1"/>
  <c r="N114" i="1"/>
  <c r="H236" i="1"/>
  <c r="H238" i="1" s="1"/>
  <c r="N42" i="1"/>
  <c r="K236" i="1"/>
  <c r="K238" i="1" s="1"/>
  <c r="G111" i="1"/>
  <c r="G106" i="1"/>
  <c r="G93" i="1"/>
  <c r="G53" i="1"/>
  <c r="G92" i="1"/>
  <c r="G94" i="1"/>
  <c r="J88" i="1"/>
  <c r="N53" i="1"/>
  <c r="N92" i="1"/>
  <c r="N93" i="1"/>
  <c r="N106" i="1"/>
  <c r="N94" i="1"/>
  <c r="N111" i="1"/>
  <c r="C236" i="1"/>
  <c r="C238" i="1" s="1"/>
  <c r="J42" i="1"/>
  <c r="F70" i="1"/>
  <c r="F69" i="1"/>
  <c r="J111" i="1"/>
  <c r="J92" i="1"/>
  <c r="J94" i="1"/>
  <c r="J93" i="1"/>
  <c r="J53" i="1"/>
  <c r="J106" i="1"/>
  <c r="F68" i="1"/>
  <c r="G42" i="1"/>
  <c r="J114" i="1"/>
  <c r="J58" i="1"/>
  <c r="N88" i="1"/>
  <c r="M117" i="1"/>
  <c r="M141" i="1" s="1"/>
  <c r="M148" i="1" s="1"/>
  <c r="M149" i="1" s="1"/>
  <c r="M155" i="1" s="1"/>
  <c r="M156" i="1" s="1"/>
  <c r="M162" i="1" s="1"/>
  <c r="M163" i="1" s="1"/>
  <c r="M169" i="1" s="1"/>
  <c r="M170" i="1" s="1"/>
  <c r="M176" i="1" s="1"/>
  <c r="M177" i="1" s="1"/>
  <c r="M183" i="1" s="1"/>
  <c r="F65" i="1"/>
  <c r="F43" i="1"/>
  <c r="F46" i="1" s="1"/>
  <c r="J63" i="1" l="1"/>
  <c r="N58" i="1"/>
  <c r="G64" i="1"/>
  <c r="G65" i="1"/>
  <c r="G63" i="1"/>
  <c r="D114" i="1"/>
  <c r="J117" i="1"/>
  <c r="J141" i="1" s="1"/>
  <c r="J148" i="1" s="1"/>
  <c r="J149" i="1" s="1"/>
  <c r="J155" i="1" s="1"/>
  <c r="J156" i="1" s="1"/>
  <c r="J162" i="1" s="1"/>
  <c r="J163" i="1" s="1"/>
  <c r="J169" i="1" s="1"/>
  <c r="J170" i="1" s="1"/>
  <c r="J176" i="1" s="1"/>
  <c r="J177" i="1" s="1"/>
  <c r="J183" i="1" s="1"/>
  <c r="H60" i="1"/>
  <c r="H61" i="1"/>
  <c r="H52" i="1"/>
  <c r="H62" i="1"/>
  <c r="H74" i="1"/>
  <c r="H99" i="1" s="1"/>
  <c r="H55" i="1"/>
  <c r="H59" i="1"/>
  <c r="H131" i="1" s="1"/>
  <c r="D106" i="1"/>
  <c r="D111" i="1"/>
  <c r="D53" i="1"/>
  <c r="D92" i="1"/>
  <c r="D94" i="1"/>
  <c r="D93" i="1"/>
  <c r="E42" i="1"/>
  <c r="I237" i="1"/>
  <c r="F72" i="1"/>
  <c r="F73" i="1"/>
  <c r="F75" i="1" s="1"/>
  <c r="N117" i="1"/>
  <c r="N141" i="1" s="1"/>
  <c r="N148" i="1" s="1"/>
  <c r="N149" i="1" s="1"/>
  <c r="N155" i="1" s="1"/>
  <c r="N156" i="1" s="1"/>
  <c r="N162" i="1" s="1"/>
  <c r="N163" i="1" s="1"/>
  <c r="N169" i="1" s="1"/>
  <c r="N170" i="1" s="1"/>
  <c r="N176" i="1" s="1"/>
  <c r="N177" i="1" s="1"/>
  <c r="N183" i="1" s="1"/>
  <c r="L63" i="1"/>
  <c r="I236" i="1"/>
  <c r="I238" i="1" s="1"/>
  <c r="E88" i="1"/>
  <c r="C60" i="1"/>
  <c r="C62" i="1"/>
  <c r="C55" i="1"/>
  <c r="C59" i="1"/>
  <c r="C131" i="1" s="1"/>
  <c r="C52" i="1"/>
  <c r="C61" i="1"/>
  <c r="C74" i="1"/>
  <c r="C99" i="1" s="1"/>
  <c r="F83" i="1"/>
  <c r="L88" i="1"/>
  <c r="M43" i="1"/>
  <c r="M46" i="1" s="1"/>
  <c r="M67" i="1"/>
  <c r="M86" i="1"/>
  <c r="M91" i="1"/>
  <c r="E114" i="1"/>
  <c r="E58" i="1"/>
  <c r="L58" i="1"/>
  <c r="L114" i="1"/>
  <c r="L42" i="1"/>
  <c r="F84" i="1"/>
  <c r="K59" i="1"/>
  <c r="K131" i="1" s="1"/>
  <c r="K62" i="1"/>
  <c r="K74" i="1"/>
  <c r="K99" i="1" s="1"/>
  <c r="K61" i="1"/>
  <c r="K60" i="1"/>
  <c r="K52" i="1"/>
  <c r="K55" i="1"/>
  <c r="G117" i="1"/>
  <c r="G141" i="1" s="1"/>
  <c r="G148" i="1" s="1"/>
  <c r="G149" i="1" s="1"/>
  <c r="G155" i="1" s="1"/>
  <c r="G156" i="1" s="1"/>
  <c r="G162" i="1" s="1"/>
  <c r="G163" i="1" s="1"/>
  <c r="G169" i="1" s="1"/>
  <c r="G170" i="1" s="1"/>
  <c r="G176" i="1" s="1"/>
  <c r="G177" i="1" s="1"/>
  <c r="G183" i="1" s="1"/>
  <c r="D88" i="1"/>
  <c r="L111" i="1"/>
  <c r="L53" i="1"/>
  <c r="L92" i="1"/>
  <c r="L93" i="1"/>
  <c r="L94" i="1"/>
  <c r="L106" i="1"/>
  <c r="E111" i="1"/>
  <c r="E106" i="1"/>
  <c r="E93" i="1"/>
  <c r="E53" i="1"/>
  <c r="E92" i="1"/>
  <c r="E94" i="1"/>
  <c r="M124" i="1"/>
  <c r="M184" i="1"/>
  <c r="M125" i="1" s="1"/>
  <c r="D42" i="1"/>
  <c r="M64" i="1"/>
  <c r="B106" i="1" l="1"/>
  <c r="K42" i="1"/>
  <c r="L64" i="1"/>
  <c r="L65" i="1" s="1"/>
  <c r="C114" i="1"/>
  <c r="D58" i="1"/>
  <c r="G68" i="1"/>
  <c r="M48" i="1"/>
  <c r="N63" i="1"/>
  <c r="K88" i="1"/>
  <c r="E63" i="1"/>
  <c r="C42" i="1"/>
  <c r="N124" i="1"/>
  <c r="N184" i="1"/>
  <c r="N125" i="1" s="1"/>
  <c r="H94" i="1"/>
  <c r="H93" i="1"/>
  <c r="H106" i="1"/>
  <c r="H111" i="1"/>
  <c r="H53" i="1"/>
  <c r="H92" i="1"/>
  <c r="J43" i="1"/>
  <c r="J46" i="1" s="1"/>
  <c r="J67" i="1"/>
  <c r="J85" i="1"/>
  <c r="J48" i="1"/>
  <c r="J86" i="1"/>
  <c r="M68" i="1"/>
  <c r="M69" i="1" s="1"/>
  <c r="G124" i="1"/>
  <c r="G184" i="1"/>
  <c r="G125" i="1" s="1"/>
  <c r="E117" i="1"/>
  <c r="E141" i="1" s="1"/>
  <c r="E148" i="1" s="1"/>
  <c r="E149" i="1" s="1"/>
  <c r="E155" i="1" s="1"/>
  <c r="E156" i="1" s="1"/>
  <c r="E162" i="1" s="1"/>
  <c r="E163" i="1" s="1"/>
  <c r="E169" i="1" s="1"/>
  <c r="E170" i="1" s="1"/>
  <c r="E176" i="1" s="1"/>
  <c r="E177" i="1" s="1"/>
  <c r="E183" i="1" s="1"/>
  <c r="H88" i="1"/>
  <c r="J65" i="1"/>
  <c r="K114" i="1"/>
  <c r="M85" i="1"/>
  <c r="F95" i="1"/>
  <c r="F100" i="1" s="1"/>
  <c r="F98" i="1"/>
  <c r="F96" i="1"/>
  <c r="F97" i="1"/>
  <c r="H42" i="1"/>
  <c r="J64" i="1"/>
  <c r="L43" i="1"/>
  <c r="L46" i="1" s="1"/>
  <c r="K93" i="1"/>
  <c r="K53" i="1"/>
  <c r="K58" i="1" s="1"/>
  <c r="K94" i="1"/>
  <c r="K111" i="1"/>
  <c r="K92" i="1"/>
  <c r="K106" i="1"/>
  <c r="L117" i="1"/>
  <c r="L141" i="1" s="1"/>
  <c r="L148" i="1" s="1"/>
  <c r="L149" i="1" s="1"/>
  <c r="L155" i="1" s="1"/>
  <c r="L156" i="1" s="1"/>
  <c r="L162" i="1" s="1"/>
  <c r="L163" i="1" s="1"/>
  <c r="L169" i="1" s="1"/>
  <c r="L170" i="1" s="1"/>
  <c r="L176" i="1" s="1"/>
  <c r="L177" i="1" s="1"/>
  <c r="L183" i="1" s="1"/>
  <c r="M87" i="1"/>
  <c r="L86" i="1"/>
  <c r="C88" i="1"/>
  <c r="B62" i="1"/>
  <c r="B74" i="1"/>
  <c r="B55" i="1"/>
  <c r="B131" i="1"/>
  <c r="B42" i="1"/>
  <c r="B61" i="1"/>
  <c r="D117" i="1"/>
  <c r="D141" i="1" s="1"/>
  <c r="D148" i="1" s="1"/>
  <c r="D149" i="1" s="1"/>
  <c r="D155" i="1" s="1"/>
  <c r="D156" i="1" s="1"/>
  <c r="D162" i="1" s="1"/>
  <c r="D163" i="1" s="1"/>
  <c r="D169" i="1" s="1"/>
  <c r="D170" i="1" s="1"/>
  <c r="D176" i="1" s="1"/>
  <c r="D177" i="1" s="1"/>
  <c r="D183" i="1" s="1"/>
  <c r="M65" i="1"/>
  <c r="C92" i="1"/>
  <c r="C94" i="1"/>
  <c r="C93" i="1"/>
  <c r="C53" i="1"/>
  <c r="C58" i="1" s="1"/>
  <c r="C111" i="1"/>
  <c r="C106" i="1"/>
  <c r="I61" i="1"/>
  <c r="I74" i="1"/>
  <c r="I99" i="1" s="1"/>
  <c r="I52" i="1"/>
  <c r="I55" i="1"/>
  <c r="I59" i="1"/>
  <c r="I131" i="1" s="1"/>
  <c r="I60" i="1"/>
  <c r="I62" i="1"/>
  <c r="H114" i="1"/>
  <c r="H58" i="1"/>
  <c r="J124" i="1"/>
  <c r="J184" i="1"/>
  <c r="J125" i="1" s="1"/>
  <c r="G67" i="1"/>
  <c r="G91" i="1"/>
  <c r="G85" i="1"/>
  <c r="G87" i="1"/>
  <c r="G48" i="1"/>
  <c r="G86" i="1"/>
  <c r="L67" i="1"/>
  <c r="L48" i="1" s="1"/>
  <c r="M72" i="1" l="1"/>
  <c r="M84" i="1" s="1"/>
  <c r="M73" i="1"/>
  <c r="C63" i="1"/>
  <c r="K63" i="1"/>
  <c r="D124" i="1"/>
  <c r="D184" i="1"/>
  <c r="D125" i="1" s="1"/>
  <c r="H64" i="1"/>
  <c r="H65" i="1"/>
  <c r="H63" i="1"/>
  <c r="B111" i="1"/>
  <c r="B53" i="1"/>
  <c r="F110" i="1"/>
  <c r="F116" i="1"/>
  <c r="F140" i="1" s="1"/>
  <c r="F146" i="1" s="1"/>
  <c r="F147" i="1" s="1"/>
  <c r="F153" i="1" s="1"/>
  <c r="F154" i="1" s="1"/>
  <c r="F160" i="1" s="1"/>
  <c r="F161" i="1" s="1"/>
  <c r="F167" i="1" s="1"/>
  <c r="F168" i="1" s="1"/>
  <c r="F174" i="1" s="1"/>
  <c r="F175" i="1" s="1"/>
  <c r="F181" i="1" s="1"/>
  <c r="F105" i="1"/>
  <c r="M98" i="1"/>
  <c r="E67" i="1"/>
  <c r="E86" i="1"/>
  <c r="E48" i="1"/>
  <c r="E87" i="1"/>
  <c r="N67" i="1"/>
  <c r="N43" i="1" s="1"/>
  <c r="N46" i="1" s="1"/>
  <c r="N86" i="1"/>
  <c r="I111" i="1"/>
  <c r="I53" i="1"/>
  <c r="I106" i="1"/>
  <c r="I93" i="1"/>
  <c r="I92" i="1"/>
  <c r="I94" i="1"/>
  <c r="B114" i="1"/>
  <c r="I42" i="1"/>
  <c r="I88" i="1"/>
  <c r="L124" i="1"/>
  <c r="L184" i="1"/>
  <c r="L125" i="1" s="1"/>
  <c r="F104" i="1"/>
  <c r="F109" i="1"/>
  <c r="F115" i="1"/>
  <c r="F139" i="1" s="1"/>
  <c r="F144" i="1" s="1"/>
  <c r="F145" i="1" s="1"/>
  <c r="F151" i="1" s="1"/>
  <c r="F152" i="1" s="1"/>
  <c r="F158" i="1" s="1"/>
  <c r="F159" i="1" s="1"/>
  <c r="F165" i="1" s="1"/>
  <c r="F166" i="1" s="1"/>
  <c r="F172" i="1" s="1"/>
  <c r="F173" i="1" s="1"/>
  <c r="F179" i="1" s="1"/>
  <c r="M97" i="1"/>
  <c r="N64" i="1"/>
  <c r="L68" i="1"/>
  <c r="H117" i="1"/>
  <c r="H141" i="1" s="1"/>
  <c r="H148" i="1" s="1"/>
  <c r="H149" i="1" s="1"/>
  <c r="H155" i="1" s="1"/>
  <c r="H156" i="1" s="1"/>
  <c r="H162" i="1" s="1"/>
  <c r="H163" i="1" s="1"/>
  <c r="H169" i="1" s="1"/>
  <c r="H170" i="1" s="1"/>
  <c r="H176" i="1" s="1"/>
  <c r="H177" i="1" s="1"/>
  <c r="H183" i="1" s="1"/>
  <c r="M96" i="1"/>
  <c r="E64" i="1"/>
  <c r="B88" i="1"/>
  <c r="K117" i="1"/>
  <c r="K141" i="1" s="1"/>
  <c r="K148" i="1" s="1"/>
  <c r="K149" i="1" s="1"/>
  <c r="K155" i="1" s="1"/>
  <c r="K156" i="1" s="1"/>
  <c r="K162" i="1" s="1"/>
  <c r="K163" i="1" s="1"/>
  <c r="K169" i="1" s="1"/>
  <c r="K170" i="1" s="1"/>
  <c r="K176" i="1" s="1"/>
  <c r="K177" i="1" s="1"/>
  <c r="K183" i="1" s="1"/>
  <c r="E124" i="1"/>
  <c r="E184" i="1"/>
  <c r="E125" i="1" s="1"/>
  <c r="M95" i="1"/>
  <c r="M100" i="1" s="1"/>
  <c r="L85" i="1"/>
  <c r="D63" i="1"/>
  <c r="C117" i="1"/>
  <c r="C141" i="1" s="1"/>
  <c r="C148" i="1" s="1"/>
  <c r="C149" i="1" s="1"/>
  <c r="C155" i="1" s="1"/>
  <c r="C156" i="1" s="1"/>
  <c r="C162" i="1" s="1"/>
  <c r="C163" i="1" s="1"/>
  <c r="C169" i="1" s="1"/>
  <c r="C170" i="1" s="1"/>
  <c r="C176" i="1" s="1"/>
  <c r="C177" i="1" s="1"/>
  <c r="C183" i="1" s="1"/>
  <c r="G70" i="1"/>
  <c r="G69" i="1"/>
  <c r="J68" i="1"/>
  <c r="J91" i="1"/>
  <c r="M70" i="1"/>
  <c r="L69" i="1"/>
  <c r="L70" i="1"/>
  <c r="G43" i="1"/>
  <c r="G46" i="1" s="1"/>
  <c r="I114" i="1"/>
  <c r="I58" i="1"/>
  <c r="J87" i="1"/>
  <c r="L91" i="1"/>
  <c r="L87" i="1"/>
  <c r="F122" i="1" l="1"/>
  <c r="F182" i="1"/>
  <c r="F123" i="1" s="1"/>
  <c r="B63" i="1"/>
  <c r="C124" i="1"/>
  <c r="C184" i="1"/>
  <c r="C125" i="1" s="1"/>
  <c r="M105" i="1"/>
  <c r="M116" i="1"/>
  <c r="M140" i="1" s="1"/>
  <c r="M146" i="1" s="1"/>
  <c r="M147" i="1" s="1"/>
  <c r="M153" i="1" s="1"/>
  <c r="M154" i="1" s="1"/>
  <c r="M160" i="1" s="1"/>
  <c r="M161" i="1" s="1"/>
  <c r="M167" i="1" s="1"/>
  <c r="M168" i="1" s="1"/>
  <c r="M174" i="1" s="1"/>
  <c r="M175" i="1" s="1"/>
  <c r="M181" i="1" s="1"/>
  <c r="M110" i="1"/>
  <c r="N91" i="1"/>
  <c r="D43" i="1"/>
  <c r="D46" i="1" s="1"/>
  <c r="D67" i="1"/>
  <c r="E68" i="1"/>
  <c r="F120" i="1"/>
  <c r="F180" i="1"/>
  <c r="F121" i="1" s="1"/>
  <c r="N48" i="1"/>
  <c r="C67" i="1"/>
  <c r="C48" i="1" s="1"/>
  <c r="C87" i="1"/>
  <c r="C85" i="1"/>
  <c r="C91" i="1"/>
  <c r="L72" i="1"/>
  <c r="L73" i="1"/>
  <c r="L75" i="1" s="1"/>
  <c r="K124" i="1"/>
  <c r="K184" i="1"/>
  <c r="K125" i="1" s="1"/>
  <c r="M109" i="1"/>
  <c r="M104" i="1"/>
  <c r="M115" i="1"/>
  <c r="M139" i="1" s="1"/>
  <c r="M144" i="1" s="1"/>
  <c r="M145" i="1" s="1"/>
  <c r="M151" i="1" s="1"/>
  <c r="M152" i="1" s="1"/>
  <c r="M158" i="1" s="1"/>
  <c r="M159" i="1" s="1"/>
  <c r="M165" i="1" s="1"/>
  <c r="M166" i="1" s="1"/>
  <c r="M172" i="1" s="1"/>
  <c r="M173" i="1" s="1"/>
  <c r="M179" i="1" s="1"/>
  <c r="B117" i="1"/>
  <c r="B141" i="1" s="1"/>
  <c r="B148" i="1" s="1"/>
  <c r="B149" i="1" s="1"/>
  <c r="B155" i="1" s="1"/>
  <c r="B156" i="1" s="1"/>
  <c r="B162" i="1" s="1"/>
  <c r="B163" i="1" s="1"/>
  <c r="B169" i="1" s="1"/>
  <c r="B170" i="1" s="1"/>
  <c r="B176" i="1" s="1"/>
  <c r="B177" i="1" s="1"/>
  <c r="B183" i="1" s="1"/>
  <c r="N85" i="1"/>
  <c r="E43" i="1"/>
  <c r="E46" i="1" s="1"/>
  <c r="K43" i="1"/>
  <c r="K46" i="1" s="1"/>
  <c r="K67" i="1"/>
  <c r="K85" i="1" s="1"/>
  <c r="L83" i="1"/>
  <c r="I64" i="1"/>
  <c r="I65" i="1" s="1"/>
  <c r="I63" i="1"/>
  <c r="D64" i="1"/>
  <c r="H124" i="1"/>
  <c r="H184" i="1"/>
  <c r="H125" i="1" s="1"/>
  <c r="C64" i="1"/>
  <c r="J69" i="1"/>
  <c r="H68" i="1"/>
  <c r="M83" i="1"/>
  <c r="G72" i="1"/>
  <c r="G73" i="1"/>
  <c r="G75" i="1" s="1"/>
  <c r="G83" i="1" s="1"/>
  <c r="N68" i="1"/>
  <c r="N65" i="1"/>
  <c r="E85" i="1"/>
  <c r="K65" i="1"/>
  <c r="M75" i="1"/>
  <c r="I117" i="1"/>
  <c r="I141" i="1" s="1"/>
  <c r="I148" i="1" s="1"/>
  <c r="I149" i="1" s="1"/>
  <c r="I155" i="1" s="1"/>
  <c r="I156" i="1" s="1"/>
  <c r="I162" i="1" s="1"/>
  <c r="I163" i="1" s="1"/>
  <c r="I169" i="1" s="1"/>
  <c r="I170" i="1" s="1"/>
  <c r="I176" i="1" s="1"/>
  <c r="I177" i="1" s="1"/>
  <c r="I183" i="1" s="1"/>
  <c r="E65" i="1"/>
  <c r="N87" i="1"/>
  <c r="E91" i="1"/>
  <c r="H43" i="1"/>
  <c r="H46" i="1" s="1"/>
  <c r="H67" i="1"/>
  <c r="H48" i="1" s="1"/>
  <c r="H85" i="1"/>
  <c r="K64" i="1"/>
  <c r="B91" i="1" l="1"/>
  <c r="M122" i="1"/>
  <c r="M182" i="1"/>
  <c r="M123" i="1" s="1"/>
  <c r="G96" i="1"/>
  <c r="G98" i="1"/>
  <c r="G97" i="1"/>
  <c r="G84" i="1"/>
  <c r="G95" i="1"/>
  <c r="G100" i="1" s="1"/>
  <c r="C68" i="1"/>
  <c r="K91" i="1"/>
  <c r="H69" i="1"/>
  <c r="H70" i="1"/>
  <c r="N69" i="1"/>
  <c r="K87" i="1"/>
  <c r="B67" i="1"/>
  <c r="B43" i="1" s="1"/>
  <c r="B46" i="1" s="1"/>
  <c r="K68" i="1"/>
  <c r="C65" i="1"/>
  <c r="C86" i="1"/>
  <c r="D48" i="1"/>
  <c r="H86" i="1"/>
  <c r="I124" i="1"/>
  <c r="I184" i="1"/>
  <c r="I125" i="1" s="1"/>
  <c r="D68" i="1"/>
  <c r="K48" i="1"/>
  <c r="D65" i="1"/>
  <c r="D86" i="1"/>
  <c r="H91" i="1"/>
  <c r="C69" i="1"/>
  <c r="D85" i="1"/>
  <c r="B64" i="1"/>
  <c r="B124" i="1"/>
  <c r="B184" i="1"/>
  <c r="B125" i="1" s="1"/>
  <c r="C43" i="1"/>
  <c r="C46" i="1" s="1"/>
  <c r="D87" i="1"/>
  <c r="H87" i="1"/>
  <c r="J72" i="1"/>
  <c r="J73" i="1"/>
  <c r="J75" i="1" s="1"/>
  <c r="J70" i="1"/>
  <c r="I43" i="1"/>
  <c r="I46" i="1" s="1"/>
  <c r="I67" i="1"/>
  <c r="I86" i="1" s="1"/>
  <c r="I85" i="1"/>
  <c r="I48" i="1"/>
  <c r="I91" i="1"/>
  <c r="K86" i="1"/>
  <c r="M120" i="1"/>
  <c r="M180" i="1"/>
  <c r="M121" i="1" s="1"/>
  <c r="L97" i="1"/>
  <c r="L84" i="1"/>
  <c r="L98" i="1"/>
  <c r="L95" i="1"/>
  <c r="L96" i="1"/>
  <c r="E69" i="1"/>
  <c r="D91" i="1"/>
  <c r="B65" i="1" l="1"/>
  <c r="B86" i="1"/>
  <c r="C96" i="1"/>
  <c r="L100" i="1"/>
  <c r="L104" i="1" s="1"/>
  <c r="J84" i="1"/>
  <c r="J98" i="1"/>
  <c r="J97" i="1"/>
  <c r="J95" i="1"/>
  <c r="J100" i="1" s="1"/>
  <c r="J96" i="1"/>
  <c r="K69" i="1"/>
  <c r="L115" i="1"/>
  <c r="L139" i="1" s="1"/>
  <c r="L144" i="1" s="1"/>
  <c r="L145" i="1" s="1"/>
  <c r="L151" i="1" s="1"/>
  <c r="L152" i="1" s="1"/>
  <c r="L158" i="1" s="1"/>
  <c r="L159" i="1" s="1"/>
  <c r="L165" i="1" s="1"/>
  <c r="L166" i="1" s="1"/>
  <c r="L172" i="1" s="1"/>
  <c r="L173" i="1" s="1"/>
  <c r="L179" i="1" s="1"/>
  <c r="N72" i="1"/>
  <c r="N73" i="1"/>
  <c r="N75" i="1" s="1"/>
  <c r="G104" i="1"/>
  <c r="G109" i="1"/>
  <c r="G115" i="1"/>
  <c r="G139" i="1" s="1"/>
  <c r="G144" i="1" s="1"/>
  <c r="G145" i="1" s="1"/>
  <c r="G151" i="1" s="1"/>
  <c r="G152" i="1" s="1"/>
  <c r="G158" i="1" s="1"/>
  <c r="G159" i="1" s="1"/>
  <c r="G165" i="1" s="1"/>
  <c r="G166" i="1" s="1"/>
  <c r="G172" i="1" s="1"/>
  <c r="G173" i="1" s="1"/>
  <c r="G179" i="1" s="1"/>
  <c r="G105" i="1"/>
  <c r="G116" i="1"/>
  <c r="G140" i="1" s="1"/>
  <c r="G146" i="1"/>
  <c r="G147" i="1" s="1"/>
  <c r="G153" i="1"/>
  <c r="G154" i="1" s="1"/>
  <c r="G160" i="1" s="1"/>
  <c r="G161" i="1" s="1"/>
  <c r="G167" i="1" s="1"/>
  <c r="G168" i="1" s="1"/>
  <c r="G174" i="1" s="1"/>
  <c r="G175" i="1" s="1"/>
  <c r="G181" i="1" s="1"/>
  <c r="G110" i="1"/>
  <c r="I87" i="1"/>
  <c r="B68" i="1"/>
  <c r="I68" i="1"/>
  <c r="L110" i="1"/>
  <c r="L116" i="1"/>
  <c r="L140" i="1" s="1"/>
  <c r="L105" i="1"/>
  <c r="L146" i="1"/>
  <c r="L147" i="1" s="1"/>
  <c r="L153" i="1" s="1"/>
  <c r="L154" i="1" s="1"/>
  <c r="L160" i="1" s="1"/>
  <c r="L161" i="1" s="1"/>
  <c r="L167" i="1" s="1"/>
  <c r="L168" i="1" s="1"/>
  <c r="L174" i="1" s="1"/>
  <c r="L175" i="1" s="1"/>
  <c r="L181" i="1" s="1"/>
  <c r="B48" i="1"/>
  <c r="H72" i="1"/>
  <c r="H73" i="1"/>
  <c r="C72" i="1"/>
  <c r="C97" i="1" s="1"/>
  <c r="C73" i="1"/>
  <c r="C75" i="1" s="1"/>
  <c r="K70" i="1"/>
  <c r="I69" i="1"/>
  <c r="I70" i="1"/>
  <c r="C70" i="1"/>
  <c r="C83" i="1" s="1"/>
  <c r="B85" i="1"/>
  <c r="N70" i="1"/>
  <c r="E72" i="1"/>
  <c r="E73" i="1"/>
  <c r="E75" i="1" s="1"/>
  <c r="E70" i="1"/>
  <c r="E83" i="1" s="1"/>
  <c r="J83" i="1"/>
  <c r="B87" i="1"/>
  <c r="D69" i="1"/>
  <c r="D70" i="1" s="1"/>
  <c r="C116" i="1" l="1"/>
  <c r="C140" i="1" s="1"/>
  <c r="C146" i="1" s="1"/>
  <c r="C147" i="1" s="1"/>
  <c r="C153" i="1" s="1"/>
  <c r="C154" i="1" s="1"/>
  <c r="C160" i="1" s="1"/>
  <c r="C161" i="1" s="1"/>
  <c r="C167" i="1" s="1"/>
  <c r="C168" i="1" s="1"/>
  <c r="C174" i="1" s="1"/>
  <c r="C175" i="1" s="1"/>
  <c r="C181" i="1" s="1"/>
  <c r="L122" i="1"/>
  <c r="L182" i="1"/>
  <c r="L123" i="1" s="1"/>
  <c r="G122" i="1"/>
  <c r="G182" i="1"/>
  <c r="G123" i="1" s="1"/>
  <c r="G120" i="1"/>
  <c r="G180" i="1"/>
  <c r="G121" i="1" s="1"/>
  <c r="I72" i="1"/>
  <c r="I84" i="1" s="1"/>
  <c r="I73" i="1"/>
  <c r="I75" i="1" s="1"/>
  <c r="I83" i="1" s="1"/>
  <c r="L109" i="1"/>
  <c r="C109" i="1"/>
  <c r="J105" i="1"/>
  <c r="J116" i="1"/>
  <c r="J140" i="1" s="1"/>
  <c r="J146" i="1" s="1"/>
  <c r="J147" i="1" s="1"/>
  <c r="J153" i="1" s="1"/>
  <c r="J154" i="1" s="1"/>
  <c r="J160" i="1" s="1"/>
  <c r="J161" i="1" s="1"/>
  <c r="J167" i="1" s="1"/>
  <c r="J168" i="1" s="1"/>
  <c r="J174" i="1" s="1"/>
  <c r="J175" i="1" s="1"/>
  <c r="J181" i="1" s="1"/>
  <c r="J110" i="1"/>
  <c r="E95" i="1"/>
  <c r="E100" i="1" s="1"/>
  <c r="E84" i="1"/>
  <c r="E98" i="1"/>
  <c r="E96" i="1"/>
  <c r="E97" i="1"/>
  <c r="C98" i="1"/>
  <c r="C110" i="1" s="1"/>
  <c r="N83" i="1"/>
  <c r="N98" i="1"/>
  <c r="N95" i="1"/>
  <c r="N97" i="1"/>
  <c r="N96" i="1"/>
  <c r="N84" i="1"/>
  <c r="L120" i="1"/>
  <c r="L180" i="1"/>
  <c r="L121" i="1" s="1"/>
  <c r="C84" i="1"/>
  <c r="C95" i="1"/>
  <c r="C100" i="1" s="1"/>
  <c r="C104" i="1" s="1"/>
  <c r="K72" i="1"/>
  <c r="K73" i="1"/>
  <c r="K75" i="1" s="1"/>
  <c r="K83" i="1" s="1"/>
  <c r="H98" i="1"/>
  <c r="H95" i="1"/>
  <c r="H100" i="1" s="1"/>
  <c r="H97" i="1"/>
  <c r="H96" i="1"/>
  <c r="H84" i="1"/>
  <c r="D72" i="1"/>
  <c r="D73" i="1"/>
  <c r="H75" i="1"/>
  <c r="H83" i="1" s="1"/>
  <c r="I97" i="1"/>
  <c r="I96" i="1"/>
  <c r="B69" i="1"/>
  <c r="J109" i="1"/>
  <c r="J104" i="1"/>
  <c r="J115" i="1"/>
  <c r="J139" i="1" s="1"/>
  <c r="J144" i="1" s="1"/>
  <c r="J145" i="1" s="1"/>
  <c r="J151" i="1" s="1"/>
  <c r="J152" i="1" s="1"/>
  <c r="J158" i="1" s="1"/>
  <c r="J159" i="1" s="1"/>
  <c r="J165" i="1" s="1"/>
  <c r="J166" i="1" s="1"/>
  <c r="J172" i="1" s="1"/>
  <c r="J173" i="1" s="1"/>
  <c r="J179" i="1" s="1"/>
  <c r="C122" i="1" l="1"/>
  <c r="C182" i="1"/>
  <c r="C123" i="1" s="1"/>
  <c r="J122" i="1"/>
  <c r="J182" i="1"/>
  <c r="J123" i="1" s="1"/>
  <c r="H110" i="1"/>
  <c r="H116" i="1"/>
  <c r="H140" i="1" s="1"/>
  <c r="H146" i="1" s="1"/>
  <c r="H147" i="1" s="1"/>
  <c r="H153" i="1" s="1"/>
  <c r="H154" i="1" s="1"/>
  <c r="H160" i="1" s="1"/>
  <c r="H161" i="1" s="1"/>
  <c r="H167" i="1" s="1"/>
  <c r="H168" i="1" s="1"/>
  <c r="H174" i="1" s="1"/>
  <c r="H175" i="1" s="1"/>
  <c r="H181" i="1" s="1"/>
  <c r="H105" i="1"/>
  <c r="J120" i="1"/>
  <c r="J180" i="1"/>
  <c r="J121" i="1" s="1"/>
  <c r="N105" i="1"/>
  <c r="N110" i="1"/>
  <c r="N116" i="1"/>
  <c r="N140" i="1" s="1"/>
  <c r="N146" i="1" s="1"/>
  <c r="N147" i="1" s="1"/>
  <c r="N153" i="1" s="1"/>
  <c r="N154" i="1" s="1"/>
  <c r="N160" i="1" s="1"/>
  <c r="N161" i="1" s="1"/>
  <c r="N167" i="1" s="1"/>
  <c r="N168" i="1" s="1"/>
  <c r="N174" i="1" s="1"/>
  <c r="N175" i="1" s="1"/>
  <c r="N181" i="1" s="1"/>
  <c r="D75" i="1"/>
  <c r="D83" i="1" s="1"/>
  <c r="K97" i="1"/>
  <c r="K95" i="1"/>
  <c r="K100" i="1" s="1"/>
  <c r="K98" i="1"/>
  <c r="K84" i="1"/>
  <c r="K96" i="1"/>
  <c r="N100" i="1"/>
  <c r="C115" i="1"/>
  <c r="C139" i="1" s="1"/>
  <c r="C144" i="1" s="1"/>
  <c r="C145" i="1" s="1"/>
  <c r="C151" i="1" s="1"/>
  <c r="C152" i="1" s="1"/>
  <c r="C158" i="1" s="1"/>
  <c r="C159" i="1" s="1"/>
  <c r="C165" i="1" s="1"/>
  <c r="C166" i="1" s="1"/>
  <c r="C172" i="1" s="1"/>
  <c r="C173" i="1" s="1"/>
  <c r="C179" i="1" s="1"/>
  <c r="C105" i="1"/>
  <c r="I116" i="1"/>
  <c r="I140" i="1" s="1"/>
  <c r="I146" i="1" s="1"/>
  <c r="I147" i="1" s="1"/>
  <c r="I153" i="1" s="1"/>
  <c r="I154" i="1" s="1"/>
  <c r="I160" i="1" s="1"/>
  <c r="I161" i="1" s="1"/>
  <c r="I167" i="1" s="1"/>
  <c r="I168" i="1" s="1"/>
  <c r="I174" i="1" s="1"/>
  <c r="I175" i="1" s="1"/>
  <c r="I181" i="1" s="1"/>
  <c r="D98" i="1"/>
  <c r="D96" i="1"/>
  <c r="D97" i="1"/>
  <c r="D95" i="1"/>
  <c r="D100" i="1" s="1"/>
  <c r="D84" i="1"/>
  <c r="E105" i="1"/>
  <c r="E110" i="1"/>
  <c r="E116" i="1"/>
  <c r="E140" i="1" s="1"/>
  <c r="E146" i="1" s="1"/>
  <c r="E147" i="1" s="1"/>
  <c r="E153" i="1" s="1"/>
  <c r="E154" i="1" s="1"/>
  <c r="E160" i="1" s="1"/>
  <c r="E161" i="1" s="1"/>
  <c r="E167" i="1" s="1"/>
  <c r="E168" i="1" s="1"/>
  <c r="E174" i="1" s="1"/>
  <c r="E175" i="1" s="1"/>
  <c r="E181" i="1" s="1"/>
  <c r="I109" i="1"/>
  <c r="I115" i="1"/>
  <c r="I139" i="1" s="1"/>
  <c r="I144" i="1" s="1"/>
  <c r="I145" i="1" s="1"/>
  <c r="I151" i="1" s="1"/>
  <c r="I152" i="1" s="1"/>
  <c r="I158" i="1" s="1"/>
  <c r="I159" i="1" s="1"/>
  <c r="I165" i="1" s="1"/>
  <c r="I166" i="1" s="1"/>
  <c r="I172" i="1" s="1"/>
  <c r="I173" i="1" s="1"/>
  <c r="I179" i="1" s="1"/>
  <c r="B72" i="1"/>
  <c r="B73" i="1"/>
  <c r="B70" i="1"/>
  <c r="E104" i="1"/>
  <c r="E109" i="1"/>
  <c r="E115" i="1"/>
  <c r="E139" i="1" s="1"/>
  <c r="E144" i="1" s="1"/>
  <c r="E145" i="1" s="1"/>
  <c r="E151" i="1" s="1"/>
  <c r="E152" i="1" s="1"/>
  <c r="E158" i="1" s="1"/>
  <c r="E159" i="1" s="1"/>
  <c r="E165" i="1" s="1"/>
  <c r="E166" i="1" s="1"/>
  <c r="E172" i="1" s="1"/>
  <c r="E173" i="1" s="1"/>
  <c r="E179" i="1" s="1"/>
  <c r="I95" i="1"/>
  <c r="I100" i="1" s="1"/>
  <c r="I104" i="1" s="1"/>
  <c r="H109" i="1"/>
  <c r="H104" i="1"/>
  <c r="H115" i="1"/>
  <c r="H139" i="1" s="1"/>
  <c r="H144" i="1" s="1"/>
  <c r="H145" i="1" s="1"/>
  <c r="H151" i="1" s="1"/>
  <c r="H152" i="1" s="1"/>
  <c r="H158" i="1" s="1"/>
  <c r="H159" i="1" s="1"/>
  <c r="H165" i="1" s="1"/>
  <c r="H166" i="1" s="1"/>
  <c r="H172" i="1" s="1"/>
  <c r="H173" i="1" s="1"/>
  <c r="H179" i="1" s="1"/>
  <c r="I98" i="1"/>
  <c r="I105" i="1" s="1"/>
  <c r="N104" i="1"/>
  <c r="N109" i="1"/>
  <c r="N115" i="1"/>
  <c r="N139" i="1" s="1"/>
  <c r="N144" i="1" s="1"/>
  <c r="N145" i="1" s="1"/>
  <c r="N151" i="1" s="1"/>
  <c r="N152" i="1" s="1"/>
  <c r="N158" i="1" s="1"/>
  <c r="N159" i="1" s="1"/>
  <c r="N165" i="1" s="1"/>
  <c r="N166" i="1" s="1"/>
  <c r="N172" i="1" s="1"/>
  <c r="N173" i="1" s="1"/>
  <c r="N179" i="1" s="1"/>
  <c r="B97" i="1" l="1"/>
  <c r="B96" i="1"/>
  <c r="B98" i="1"/>
  <c r="B95" i="1"/>
  <c r="B75" i="1"/>
  <c r="B83" i="1" s="1"/>
  <c r="H122" i="1"/>
  <c r="H182" i="1"/>
  <c r="H123" i="1" s="1"/>
  <c r="I122" i="1"/>
  <c r="I182" i="1"/>
  <c r="I123" i="1" s="1"/>
  <c r="N122" i="1"/>
  <c r="N182" i="1"/>
  <c r="N123" i="1" s="1"/>
  <c r="E122" i="1"/>
  <c r="E182" i="1"/>
  <c r="E123" i="1" s="1"/>
  <c r="C120" i="1"/>
  <c r="C180" i="1"/>
  <c r="C121" i="1" s="1"/>
  <c r="E120" i="1"/>
  <c r="E180" i="1"/>
  <c r="E121" i="1" s="1"/>
  <c r="K109" i="1"/>
  <c r="K104" i="1"/>
  <c r="K115" i="1"/>
  <c r="K139" i="1" s="1"/>
  <c r="K144" i="1" s="1"/>
  <c r="K145" i="1" s="1"/>
  <c r="K151" i="1" s="1"/>
  <c r="K152" i="1" s="1"/>
  <c r="K158" i="1" s="1"/>
  <c r="K159" i="1" s="1"/>
  <c r="K165" i="1" s="1"/>
  <c r="K166" i="1" s="1"/>
  <c r="K172" i="1" s="1"/>
  <c r="K173" i="1" s="1"/>
  <c r="K179" i="1" s="1"/>
  <c r="D110" i="1"/>
  <c r="D116" i="1"/>
  <c r="D140" i="1" s="1"/>
  <c r="D105" i="1"/>
  <c r="D146" i="1"/>
  <c r="D147" i="1" s="1"/>
  <c r="D153" i="1" s="1"/>
  <c r="D154" i="1" s="1"/>
  <c r="D160" i="1" s="1"/>
  <c r="D161" i="1" s="1"/>
  <c r="D167" i="1" s="1"/>
  <c r="D168" i="1" s="1"/>
  <c r="D174" i="1" s="1"/>
  <c r="D175" i="1" s="1"/>
  <c r="D181" i="1" s="1"/>
  <c r="N120" i="1"/>
  <c r="N180" i="1"/>
  <c r="N121" i="1" s="1"/>
  <c r="H120" i="1"/>
  <c r="H180" i="1"/>
  <c r="H121" i="1" s="1"/>
  <c r="B84" i="1"/>
  <c r="D104" i="1"/>
  <c r="D109" i="1"/>
  <c r="D115" i="1"/>
  <c r="D139" i="1" s="1"/>
  <c r="D144" i="1" s="1"/>
  <c r="D145" i="1" s="1"/>
  <c r="D151" i="1" s="1"/>
  <c r="D152" i="1" s="1"/>
  <c r="D158" i="1" s="1"/>
  <c r="D159" i="1" s="1"/>
  <c r="D165" i="1" s="1"/>
  <c r="D166" i="1" s="1"/>
  <c r="D172" i="1" s="1"/>
  <c r="D173" i="1" s="1"/>
  <c r="D179" i="1" s="1"/>
  <c r="I110" i="1"/>
  <c r="I120" i="1"/>
  <c r="I180" i="1"/>
  <c r="I121" i="1" s="1"/>
  <c r="K116" i="1"/>
  <c r="K140" i="1" s="1"/>
  <c r="K146" i="1"/>
  <c r="K147" i="1" s="1"/>
  <c r="K153" i="1" s="1"/>
  <c r="K154" i="1" s="1"/>
  <c r="K160" i="1" s="1"/>
  <c r="K161" i="1" s="1"/>
  <c r="K167" i="1" s="1"/>
  <c r="K168" i="1" s="1"/>
  <c r="K174" i="1" s="1"/>
  <c r="K175" i="1" s="1"/>
  <c r="K181" i="1" s="1"/>
  <c r="K105" i="1"/>
  <c r="K110" i="1"/>
  <c r="B100" i="1" l="1"/>
  <c r="B104" i="1" s="1"/>
  <c r="B105" i="1"/>
  <c r="K122" i="1"/>
  <c r="K182" i="1"/>
  <c r="K123" i="1" s="1"/>
  <c r="D122" i="1"/>
  <c r="D182" i="1"/>
  <c r="D123" i="1" s="1"/>
  <c r="K120" i="1"/>
  <c r="K180" i="1"/>
  <c r="K121" i="1" s="1"/>
  <c r="D120" i="1"/>
  <c r="D180" i="1"/>
  <c r="D121" i="1" s="1"/>
  <c r="B110" i="1"/>
  <c r="B116" i="1"/>
  <c r="B140" i="1" s="1"/>
  <c r="B146" i="1" s="1"/>
  <c r="B147" i="1" s="1"/>
  <c r="B153" i="1" s="1"/>
  <c r="B154" i="1" s="1"/>
  <c r="B160" i="1" s="1"/>
  <c r="B161" i="1" s="1"/>
  <c r="B167" i="1" s="1"/>
  <c r="B168" i="1" s="1"/>
  <c r="B174" i="1" s="1"/>
  <c r="B175" i="1" s="1"/>
  <c r="B181" i="1" s="1"/>
  <c r="B109" i="1" l="1"/>
  <c r="B115" i="1"/>
  <c r="B139" i="1" s="1"/>
  <c r="B144" i="1" s="1"/>
  <c r="B151" i="1" s="1"/>
  <c r="B152" i="1" s="1"/>
  <c r="B158" i="1" s="1"/>
  <c r="B159" i="1" s="1"/>
  <c r="B165" i="1" s="1"/>
  <c r="B166" i="1" s="1"/>
  <c r="B172" i="1" s="1"/>
  <c r="B173" i="1" s="1"/>
  <c r="B179" i="1" s="1"/>
  <c r="B120" i="1" s="1"/>
  <c r="B122" i="1"/>
  <c r="B182" i="1"/>
  <c r="B123" i="1" s="1"/>
  <c r="B180" i="1" l="1"/>
</calcChain>
</file>

<file path=xl/sharedStrings.xml><?xml version="1.0" encoding="utf-8"?>
<sst xmlns="http://schemas.openxmlformats.org/spreadsheetml/2006/main" count="284" uniqueCount="182">
  <si>
    <t>Formula per 23 Oxygens (all Fe as FeO)</t>
  </si>
  <si>
    <t>Atom prop</t>
  </si>
  <si>
    <t>f2</t>
  </si>
  <si>
    <t>f3</t>
  </si>
  <si>
    <t>f4</t>
  </si>
  <si>
    <t>f5</t>
  </si>
  <si>
    <t>f6</t>
  </si>
  <si>
    <t>f7</t>
  </si>
  <si>
    <t>f8</t>
  </si>
  <si>
    <t>f9</t>
  </si>
  <si>
    <t>f10</t>
  </si>
  <si>
    <t>smallest f1-5</t>
  </si>
  <si>
    <t>largest f6-10</t>
  </si>
  <si>
    <t xml:space="preserve">av f </t>
  </si>
  <si>
    <t>Plagioclase-Hornblende Thermobarometry (temperature by Holland and Blundy, 1994; Blundy and Holland, 1990;</t>
  </si>
  <si>
    <t xml:space="preserve">              at pressure by Schmidt, 1992 and Anderson and Smith, 1995)</t>
  </si>
  <si>
    <t>Spreadsheet prepared by Lawford Anderson, University of Southern California (anderson@usc.edu)</t>
  </si>
  <si>
    <t xml:space="preserve">References: </t>
  </si>
  <si>
    <t>Anderson, J. L. 1996. Status of thermobarometry in granitic batholiths: Transactions of the Royal Society of Edinburgh, v. 87, 125-138. [also published in GSA Special Paper 315]</t>
  </si>
  <si>
    <t>cm</t>
  </si>
  <si>
    <t>XSi,T1</t>
  </si>
  <si>
    <t>XAl,T1</t>
  </si>
  <si>
    <t>XAl,M2</t>
  </si>
  <si>
    <t>Xvac,A</t>
  </si>
  <si>
    <t>XNa,A</t>
  </si>
  <si>
    <t>XNa,M4</t>
  </si>
  <si>
    <t>XCa,M4</t>
  </si>
  <si>
    <t>XK,A</t>
  </si>
  <si>
    <t>Ked-tr</t>
  </si>
  <si>
    <t>Thermometry based on arbitrary pressure (user may input arbitary pressures in Kb))</t>
  </si>
  <si>
    <t>P kb (var input)</t>
  </si>
  <si>
    <t>T (C) HB1 '94</t>
  </si>
  <si>
    <t>T (C) HB2 '94</t>
  </si>
  <si>
    <t>T (C) BH '90</t>
  </si>
  <si>
    <t>Results based on Schmidt pressure (used for purposes of calculation)</t>
  </si>
  <si>
    <t>Pschmidt (kb)</t>
  </si>
  <si>
    <t>Preferred values,</t>
    <phoneticPr fontId="7" type="noConversion"/>
  </si>
  <si>
    <t xml:space="preserve"> see Anderson (1996)</t>
    <phoneticPr fontId="7" type="noConversion"/>
  </si>
  <si>
    <t>**********************************************************************************************************************************</t>
    <phoneticPr fontId="7" type="noConversion"/>
  </si>
  <si>
    <t>Data below used for iterative calculations</t>
    <phoneticPr fontId="7" type="noConversion"/>
  </si>
  <si>
    <t>Blundy, J. D. &amp; Holland, T. J. B. 1990. Calcic amphibole equilibria and a new amphibole-plagioclase geothermometer. CONTRIB MINERAL  PETROL 104, 208-24.</t>
  </si>
  <si>
    <t>Holland, T. &amp;  Blundy, J. 1994. Non-ideal interactions in calcic amphiboles and their bearing on amphibole-plagioclase thermometry. CONTRIB MINERAL PETROL 116, 433-47.</t>
  </si>
  <si>
    <t>Extend cell formatting as needed, and re-save</t>
  </si>
  <si>
    <t xml:space="preserve">Final P-T Solution - see section below "Results based on iteration using Anderson and Smith pressure at various thermometers"; Note preferred calibration as explained in Anderson (1996). </t>
  </si>
  <si>
    <t>g1.c</t>
  </si>
  <si>
    <t>XAb</t>
  </si>
  <si>
    <t>X An</t>
  </si>
  <si>
    <t>Do not add data below this row (except where indicated)</t>
  </si>
  <si>
    <t>Fe2O3,calc</t>
  </si>
  <si>
    <t>FeO,calc</t>
  </si>
  <si>
    <t>H2O,calc</t>
  </si>
  <si>
    <t>O=F, Cl</t>
  </si>
  <si>
    <t>SUM</t>
  </si>
  <si>
    <t xml:space="preserve">      Fe3/Fe* = </t>
  </si>
  <si>
    <t>Formula per Holland and Blundy, 1994</t>
  </si>
  <si>
    <t>T-sites</t>
  </si>
  <si>
    <t>Si</t>
  </si>
  <si>
    <t>Aliv</t>
  </si>
  <si>
    <t>Al(total)</t>
  </si>
  <si>
    <t>M1,2,3 sites</t>
  </si>
  <si>
    <t>Alvi</t>
  </si>
  <si>
    <t>Ti</t>
  </si>
  <si>
    <t>Fe3+</t>
  </si>
  <si>
    <t>Mg</t>
  </si>
  <si>
    <t>Mn</t>
  </si>
  <si>
    <t>Fe2+</t>
  </si>
  <si>
    <t>Ca</t>
  </si>
  <si>
    <t>M4 site</t>
  </si>
  <si>
    <t>Fe</t>
  </si>
  <si>
    <t>Na</t>
  </si>
  <si>
    <t>A site</t>
  </si>
  <si>
    <t>K</t>
  </si>
  <si>
    <t>Sum A</t>
  </si>
  <si>
    <t>OH site</t>
  </si>
  <si>
    <t>O</t>
  </si>
  <si>
    <t>OH</t>
  </si>
  <si>
    <t>Sum cations</t>
  </si>
  <si>
    <t>Cation CHG</t>
  </si>
  <si>
    <t>Add data for elements</t>
  </si>
  <si>
    <t>Catalina granite, Santa Catalina Mtns., Arizona</t>
  </si>
  <si>
    <t>Texture</t>
  </si>
  <si>
    <t>rim</t>
  </si>
  <si>
    <t>Sample</t>
  </si>
  <si>
    <t>sc86-15</t>
  </si>
  <si>
    <t>sc86-16</t>
  </si>
  <si>
    <t>sc86-17</t>
  </si>
  <si>
    <t>Specimen</t>
  </si>
  <si>
    <t>b1</t>
  </si>
  <si>
    <t>c1</t>
  </si>
  <si>
    <t>e1</t>
  </si>
  <si>
    <t>f1</t>
  </si>
  <si>
    <t>g1</t>
  </si>
  <si>
    <t>l1</t>
  </si>
  <si>
    <t>l1a</t>
  </si>
  <si>
    <t>l1b</t>
  </si>
  <si>
    <t>h1</t>
  </si>
  <si>
    <t>o1.1</t>
  </si>
  <si>
    <t>o1.2</t>
  </si>
  <si>
    <t>i1</t>
  </si>
  <si>
    <t>SiO2</t>
  </si>
  <si>
    <t>TiO2</t>
  </si>
  <si>
    <t>Al2O3</t>
  </si>
  <si>
    <t>FeO*</t>
  </si>
  <si>
    <t>MgO</t>
  </si>
  <si>
    <t>MnO</t>
  </si>
  <si>
    <t>CaO</t>
  </si>
  <si>
    <t>Na2O</t>
  </si>
  <si>
    <t>K2O</t>
  </si>
  <si>
    <t>F</t>
  </si>
  <si>
    <t>Cl</t>
  </si>
  <si>
    <t>Sum</t>
  </si>
  <si>
    <t>Add data for Plagioclase</t>
  </si>
  <si>
    <t>Plag</t>
  </si>
  <si>
    <t>h1.1</t>
  </si>
  <si>
    <t>h1.2</t>
  </si>
  <si>
    <t>h1.3</t>
  </si>
  <si>
    <t>I1rim</t>
  </si>
  <si>
    <t>i1c</t>
  </si>
  <si>
    <t>i1b</t>
  </si>
  <si>
    <t>c1-d</t>
  </si>
  <si>
    <t>c1rim</t>
  </si>
  <si>
    <t>c1-c</t>
  </si>
  <si>
    <t>c 1-b</t>
  </si>
  <si>
    <t>g1.b</t>
  </si>
  <si>
    <t>k1.b</t>
  </si>
  <si>
    <t xml:space="preserve">To use this spreadsheet, simply paste in amphibole (wt. % elements, excluding Sum) and plagioclase (mole fraction) analyses in the examples shown below and use the "Save As" option to protect the original.  Cells below the data section are not protected and modification could currupt calculations. </t>
  </si>
  <si>
    <t>Iteration 7</t>
  </si>
  <si>
    <t>T (C) HB1*</t>
  </si>
  <si>
    <t xml:space="preserve">    P(Kb) HB1*</t>
  </si>
  <si>
    <t>Fe#</t>
  </si>
  <si>
    <t>Mg/Fe2+</t>
  </si>
  <si>
    <t>Mg/Fe</t>
  </si>
  <si>
    <t>XMg</t>
  </si>
  <si>
    <t>XOH</t>
  </si>
  <si>
    <t>HB 1 refers to Holland and Blundy Hbld-Plag thermometry calibration reaction edenite + 4 quartz = tremolite + albite</t>
  </si>
  <si>
    <t>HB 2 refers to Holland and Blundy Hbld-Plag thermometry calibration reaction edenite + albite = richterite + anorthite</t>
  </si>
  <si>
    <t>BH refers to Blundy and Holland Hbld-Plag thermometry calibration reaction edenite + 4 quartz = tremolite + albite</t>
  </si>
  <si>
    <t>Temperature based on Ti (Otten, 1984) - warning: semi empirical; best used to determine magmatic versus secondary compositions</t>
  </si>
  <si>
    <t>T (C) Ti-hbld</t>
  </si>
  <si>
    <t>Iterations for Anderson and Smith/Holland and Blundy</t>
  </si>
  <si>
    <t>Iteration 1 (using T at Schmidt P)</t>
  </si>
  <si>
    <t>Pas HB1</t>
  </si>
  <si>
    <t>Pas HB2</t>
  </si>
  <si>
    <t>Pas BH</t>
  </si>
  <si>
    <t>Iteration 2 (using prior P for new T and P)</t>
  </si>
  <si>
    <t>T (C) HB1</t>
  </si>
  <si>
    <t xml:space="preserve">    P(Kb) HB1 </t>
  </si>
  <si>
    <t>T (C) HB2</t>
  </si>
  <si>
    <t xml:space="preserve">   P(Kb) HB2</t>
  </si>
  <si>
    <t>T (C) BH</t>
  </si>
  <si>
    <t xml:space="preserve">   P(Kb) BH</t>
  </si>
  <si>
    <t>Iteration 3</t>
  </si>
  <si>
    <t>Iteration 4</t>
  </si>
  <si>
    <t>Iteration 5</t>
  </si>
  <si>
    <t>Iteration 6</t>
  </si>
  <si>
    <t>Results based on iteration using Anderson and Smith pressure at various thermometers (note: jla prefers HB2 results)</t>
  </si>
  <si>
    <t>*</t>
  </si>
  <si>
    <t>Johnson, M. C. &amp; Rutherford, M. J. 1989. Experimental calibration of an aluminum-in-hornblende geobarometer with application to Long Valley caldera (California) volcanic rocks. GEOL 17, 837-841.</t>
  </si>
  <si>
    <t xml:space="preserve">Otten, M. T. 1984. The origin of brown hornblende in the Artfjallet gabbro and dolerites. CONTRIB MINERAL PETROL  86, 189-99. </t>
  </si>
  <si>
    <t>Schmidt, M. W. 1992. Amphibole composition in tonalite as a function of pressure: an experimental calibration of the Al-in-hornblende barometer. CONTRIB MINERAL PETROL 110, 304-10.</t>
  </si>
  <si>
    <t xml:space="preserve">Schmidt, M. W. 1993. Phase relations and compositions in tonalite as a function of pressure: an experimental study at 650 °C. AMER J SCIENCE 293, 1011-60. </t>
  </si>
  <si>
    <t>Anderson, J. L. &amp; Smith, D. R. 1995. The effect of temperature and oxygen fugacity on Al-in-hornblende barometry. AM MINERAL 80, 549-59.</t>
  </si>
  <si>
    <t>FeOt</t>
  </si>
  <si>
    <t>First Fe if logic true</t>
  </si>
  <si>
    <t>Al Total</t>
  </si>
  <si>
    <t xml:space="preserve">* They make their sites sum to 5, we don’t. </t>
  </si>
  <si>
    <t>Also allocate Mn first….</t>
  </si>
  <si>
    <t>sum cations* constant</t>
  </si>
  <si>
    <t>Si sites * constant</t>
  </si>
  <si>
    <t>Si_T</t>
  </si>
  <si>
    <t>Al_T</t>
  </si>
  <si>
    <t>Al_C</t>
  </si>
  <si>
    <t>Ti_C</t>
  </si>
  <si>
    <t>Mg_C</t>
  </si>
  <si>
    <t>Mn_C</t>
  </si>
  <si>
    <t>Fe3_C</t>
  </si>
  <si>
    <t>Fe2_C</t>
  </si>
  <si>
    <t>Fe2_B</t>
  </si>
  <si>
    <t>Ca_B</t>
  </si>
  <si>
    <t>Na_B</t>
  </si>
  <si>
    <t>Na_A</t>
  </si>
  <si>
    <t>K_B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</si>
</sst>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2" formatCode="0.000"/>
    <numFmt numFmtId="173" formatCode="0.0000"/>
    <numFmt numFmtId="174" formatCode="0.0"/>
    <numFmt numFmtId="176" formatCode="0.000000"/>
  </numFmts>
  <fonts count="10">
    <font>
      <sz val="10"/>
      <name val="Geneva"/>
    </font>
    <font>
      <b/>
      <sz val="10"/>
      <name val="Geneva"/>
    </font>
    <font>
      <sz val="10"/>
      <name val="Geneva"/>
    </font>
    <font>
      <u/>
      <sz val="10"/>
      <name val="Geneva"/>
    </font>
    <font>
      <b/>
      <u/>
      <sz val="10"/>
      <name val="Geneva"/>
    </font>
    <font>
      <b/>
      <sz val="10"/>
      <name val="Geneva"/>
    </font>
    <font>
      <u/>
      <sz val="9"/>
      <name val="Geneva"/>
    </font>
    <font>
      <sz val="8"/>
      <name val="Verdana"/>
    </font>
    <font>
      <sz val="9"/>
      <name val="Geneva"/>
    </font>
    <font>
      <b/>
      <sz val="7"/>
      <name val="Segoe U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indexed="64"/>
      </patternFill>
    </fill>
  </fills>
  <borders count="8">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89">
    <xf numFmtId="0" fontId="0" fillId="0" borderId="0" xfId="0"/>
    <xf numFmtId="2" fontId="0" fillId="0" borderId="0" xfId="0" applyNumberFormat="1"/>
    <xf numFmtId="172" fontId="0" fillId="0" borderId="0" xfId="0" applyNumberFormat="1"/>
    <xf numFmtId="172" fontId="3" fillId="0" borderId="0" xfId="0" applyNumberFormat="1" applyFont="1"/>
    <xf numFmtId="2" fontId="3" fillId="0" borderId="0" xfId="0" applyNumberFormat="1" applyFont="1"/>
    <xf numFmtId="0" fontId="3" fillId="0" borderId="0" xfId="0" applyFont="1" applyAlignment="1">
      <alignment horizontal="center"/>
    </xf>
    <xf numFmtId="172" fontId="1" fillId="0" borderId="0" xfId="0" applyNumberFormat="1" applyFont="1"/>
    <xf numFmtId="172" fontId="2" fillId="0" borderId="0" xfId="0" applyNumberFormat="1" applyFont="1"/>
    <xf numFmtId="0" fontId="3" fillId="0" borderId="0" xfId="0" applyFont="1"/>
    <xf numFmtId="172" fontId="1" fillId="0" borderId="0" xfId="0" applyNumberFormat="1" applyFont="1" applyFill="1" applyBorder="1"/>
    <xf numFmtId="172" fontId="0" fillId="0" borderId="0" xfId="0" applyNumberFormat="1" applyFill="1" applyBorder="1"/>
    <xf numFmtId="172" fontId="1" fillId="0" borderId="0" xfId="0" applyNumberFormat="1" applyFont="1" applyAlignment="1">
      <alignment horizontal="center"/>
    </xf>
    <xf numFmtId="0" fontId="0" fillId="0" borderId="0" xfId="0" applyBorder="1"/>
    <xf numFmtId="0" fontId="4" fillId="0" borderId="0" xfId="0" applyFont="1"/>
    <xf numFmtId="0" fontId="0" fillId="0" borderId="0" xfId="0" applyAlignment="1">
      <alignment horizontal="right"/>
    </xf>
    <xf numFmtId="0" fontId="3" fillId="0" borderId="0" xfId="0" applyFont="1" applyAlignment="1">
      <alignment horizontal="right"/>
    </xf>
    <xf numFmtId="172" fontId="5" fillId="0" borderId="0" xfId="0" applyNumberFormat="1" applyFont="1" applyFill="1" applyBorder="1" applyAlignment="1">
      <alignment horizontal="left"/>
    </xf>
    <xf numFmtId="172" fontId="5" fillId="0" borderId="0" xfId="0" applyNumberFormat="1" applyFont="1" applyBorder="1"/>
    <xf numFmtId="172" fontId="5" fillId="0" borderId="0" xfId="0" applyNumberFormat="1" applyFont="1" applyBorder="1" applyAlignment="1">
      <alignment horizontal="center"/>
    </xf>
    <xf numFmtId="172" fontId="4" fillId="0" borderId="0" xfId="0" applyNumberFormat="1" applyFont="1"/>
    <xf numFmtId="172" fontId="2" fillId="0" borderId="0" xfId="0" applyNumberFormat="1" applyFont="1" applyBorder="1"/>
    <xf numFmtId="0" fontId="0" fillId="0" borderId="0" xfId="0" applyAlignment="1">
      <alignment horizontal="center"/>
    </xf>
    <xf numFmtId="0" fontId="0" fillId="0" borderId="0" xfId="0" applyBorder="1" applyAlignment="1">
      <alignment horizontal="center"/>
    </xf>
    <xf numFmtId="172" fontId="4" fillId="0" borderId="0" xfId="0" applyNumberFormat="1" applyFont="1" applyFill="1" applyBorder="1" applyAlignment="1">
      <alignment horizontal="left"/>
    </xf>
    <xf numFmtId="172" fontId="0" fillId="0" borderId="0" xfId="0" applyNumberFormat="1" applyBorder="1"/>
    <xf numFmtId="2" fontId="2" fillId="0" borderId="0" xfId="0" applyNumberFormat="1" applyFont="1" applyBorder="1"/>
    <xf numFmtId="174" fontId="2" fillId="0" borderId="0" xfId="0" applyNumberFormat="1" applyFont="1"/>
    <xf numFmtId="174" fontId="2" fillId="0" borderId="0" xfId="0" applyNumberFormat="1" applyFont="1" applyBorder="1"/>
    <xf numFmtId="174" fontId="0" fillId="0" borderId="0" xfId="0" applyNumberFormat="1" applyBorder="1" applyAlignment="1">
      <alignment horizontal="right"/>
    </xf>
    <xf numFmtId="174" fontId="0" fillId="0" borderId="0" xfId="0" applyNumberFormat="1" applyBorder="1"/>
    <xf numFmtId="2" fontId="0" fillId="0" borderId="0" xfId="0" applyNumberFormat="1" applyBorder="1"/>
    <xf numFmtId="174" fontId="1" fillId="0" borderId="0" xfId="0" applyNumberFormat="1" applyFont="1" applyBorder="1"/>
    <xf numFmtId="172" fontId="5" fillId="0" borderId="0" xfId="0" applyNumberFormat="1" applyFont="1" applyAlignment="1">
      <alignment horizontal="center"/>
    </xf>
    <xf numFmtId="2" fontId="1" fillId="0" borderId="0" xfId="0" applyNumberFormat="1" applyFont="1" applyBorder="1"/>
    <xf numFmtId="172" fontId="0" fillId="0" borderId="0" xfId="0" applyNumberFormat="1" applyBorder="1" applyAlignment="1">
      <alignment horizontal="right"/>
    </xf>
    <xf numFmtId="2" fontId="0" fillId="0" borderId="0" xfId="0" applyNumberFormat="1" applyBorder="1" applyAlignment="1">
      <alignment horizontal="right"/>
    </xf>
    <xf numFmtId="2" fontId="3" fillId="0" borderId="0" xfId="0" applyNumberFormat="1" applyFont="1" applyBorder="1"/>
    <xf numFmtId="2" fontId="3" fillId="0" borderId="0" xfId="0" applyNumberFormat="1" applyFont="1" applyBorder="1" applyAlignment="1">
      <alignment horizontal="center"/>
    </xf>
    <xf numFmtId="0" fontId="6" fillId="0" borderId="0" xfId="0" applyFont="1" applyBorder="1" applyAlignment="1">
      <alignment horizontal="right"/>
    </xf>
    <xf numFmtId="174" fontId="0" fillId="0" borderId="0" xfId="0" applyNumberFormat="1" applyBorder="1" applyAlignment="1">
      <alignment horizontal="center"/>
    </xf>
    <xf numFmtId="0" fontId="1" fillId="0" borderId="0" xfId="0" applyFont="1"/>
    <xf numFmtId="2" fontId="2" fillId="0" borderId="0" xfId="0" applyNumberFormat="1" applyFont="1"/>
    <xf numFmtId="0" fontId="2" fillId="0" borderId="0" xfId="0" applyFont="1"/>
    <xf numFmtId="174" fontId="2" fillId="0" borderId="0" xfId="0" applyNumberFormat="1" applyFont="1" applyBorder="1" applyAlignment="1">
      <alignment horizontal="right"/>
    </xf>
    <xf numFmtId="2" fontId="2" fillId="0" borderId="1" xfId="0" applyNumberFormat="1" applyFont="1" applyBorder="1"/>
    <xf numFmtId="172" fontId="2" fillId="0" borderId="1" xfId="0" applyNumberFormat="1" applyFont="1" applyBorder="1"/>
    <xf numFmtId="2" fontId="1" fillId="0" borderId="1" xfId="0" applyNumberFormat="1" applyFont="1" applyBorder="1"/>
    <xf numFmtId="172" fontId="1" fillId="0" borderId="1" xfId="0" applyNumberFormat="1" applyFont="1" applyBorder="1"/>
    <xf numFmtId="0" fontId="0" fillId="0" borderId="2" xfId="0" applyBorder="1"/>
    <xf numFmtId="174" fontId="2" fillId="0" borderId="3" xfId="0" applyNumberFormat="1" applyFont="1" applyBorder="1"/>
    <xf numFmtId="2" fontId="2" fillId="0" borderId="4" xfId="0" applyNumberFormat="1" applyFont="1" applyBorder="1"/>
    <xf numFmtId="174" fontId="1" fillId="0" borderId="3" xfId="0" applyNumberFormat="1" applyFont="1" applyBorder="1"/>
    <xf numFmtId="2" fontId="1" fillId="0" borderId="4" xfId="0" applyNumberFormat="1" applyFont="1" applyBorder="1"/>
    <xf numFmtId="2" fontId="0" fillId="0" borderId="0" xfId="0" applyNumberFormat="1" applyAlignment="1">
      <alignment horizontal="right"/>
    </xf>
    <xf numFmtId="0" fontId="4" fillId="0" borderId="5" xfId="0" applyFont="1" applyBorder="1"/>
    <xf numFmtId="0" fontId="2" fillId="0" borderId="0" xfId="0" applyFont="1" applyBorder="1"/>
    <xf numFmtId="2" fontId="3" fillId="0" borderId="0" xfId="0" applyNumberFormat="1" applyFont="1" applyBorder="1" applyAlignment="1">
      <alignment horizontal="left"/>
    </xf>
    <xf numFmtId="172" fontId="3" fillId="0" borderId="0" xfId="0" applyNumberFormat="1" applyFont="1" applyBorder="1"/>
    <xf numFmtId="172" fontId="1" fillId="0" borderId="0" xfId="0" applyNumberFormat="1" applyFont="1" applyBorder="1" applyAlignment="1">
      <alignment horizontal="center"/>
    </xf>
    <xf numFmtId="174" fontId="1" fillId="0" borderId="2" xfId="0" applyNumberFormat="1" applyFont="1" applyBorder="1"/>
    <xf numFmtId="174" fontId="2" fillId="0" borderId="2" xfId="0" applyNumberFormat="1" applyFont="1" applyBorder="1"/>
    <xf numFmtId="172" fontId="0" fillId="0" borderId="2" xfId="0" applyNumberFormat="1" applyBorder="1"/>
    <xf numFmtId="0" fontId="3" fillId="0" borderId="0" xfId="0" applyFont="1" applyBorder="1" applyAlignment="1">
      <alignment horizontal="center"/>
    </xf>
    <xf numFmtId="172" fontId="1" fillId="0" borderId="0" xfId="0" applyNumberFormat="1" applyFont="1" applyBorder="1"/>
    <xf numFmtId="172" fontId="1" fillId="0" borderId="5" xfId="0" applyNumberFormat="1" applyFont="1" applyBorder="1"/>
    <xf numFmtId="172" fontId="1" fillId="0" borderId="2" xfId="0" applyNumberFormat="1" applyFont="1" applyBorder="1"/>
    <xf numFmtId="172" fontId="1" fillId="0" borderId="6" xfId="0" applyNumberFormat="1" applyFont="1" applyBorder="1"/>
    <xf numFmtId="172" fontId="1" fillId="0" borderId="4" xfId="0" applyNumberFormat="1" applyFont="1" applyBorder="1"/>
    <xf numFmtId="172" fontId="1" fillId="0" borderId="7" xfId="0" applyNumberFormat="1" applyFont="1" applyBorder="1"/>
    <xf numFmtId="172" fontId="0" fillId="2" borderId="0" xfId="0" applyNumberFormat="1" applyFill="1" applyBorder="1"/>
    <xf numFmtId="172" fontId="0" fillId="3" borderId="0" xfId="0" applyNumberFormat="1" applyFill="1" applyBorder="1"/>
    <xf numFmtId="173" fontId="8" fillId="0" borderId="0" xfId="0" applyNumberFormat="1" applyFont="1"/>
    <xf numFmtId="173" fontId="8" fillId="0" borderId="0" xfId="0" applyNumberFormat="1" applyFont="1" applyBorder="1"/>
    <xf numFmtId="173" fontId="6" fillId="0" borderId="0" xfId="0" applyNumberFormat="1" applyFont="1"/>
    <xf numFmtId="173" fontId="6" fillId="0" borderId="0" xfId="0" applyNumberFormat="1" applyFont="1" applyBorder="1"/>
    <xf numFmtId="176" fontId="0" fillId="0" borderId="0" xfId="0" applyNumberFormat="1" applyBorder="1"/>
    <xf numFmtId="173" fontId="8" fillId="2" borderId="0" xfId="0" applyNumberFormat="1" applyFont="1" applyFill="1"/>
    <xf numFmtId="1" fontId="3" fillId="4" borderId="0" xfId="0" applyNumberFormat="1" applyFont="1" applyFill="1"/>
    <xf numFmtId="0" fontId="0" fillId="4" borderId="0" xfId="0" applyFill="1"/>
    <xf numFmtId="0" fontId="0" fillId="4" borderId="0" xfId="0" applyFill="1" applyBorder="1"/>
    <xf numFmtId="1" fontId="0" fillId="4" borderId="0" xfId="0" applyNumberFormat="1" applyFill="1" applyBorder="1"/>
    <xf numFmtId="1" fontId="0" fillId="4" borderId="0" xfId="0" applyNumberFormat="1" applyFill="1"/>
    <xf numFmtId="172" fontId="0" fillId="4" borderId="0" xfId="0" applyNumberFormat="1" applyFill="1"/>
    <xf numFmtId="172" fontId="0" fillId="4" borderId="0" xfId="0" applyNumberFormat="1" applyFill="1" applyBorder="1"/>
    <xf numFmtId="172" fontId="3" fillId="4" borderId="0" xfId="0" applyNumberFormat="1" applyFont="1" applyFill="1"/>
    <xf numFmtId="172" fontId="3" fillId="4" borderId="0" xfId="0" applyNumberFormat="1" applyFont="1" applyFill="1" applyBorder="1"/>
    <xf numFmtId="172" fontId="2" fillId="4" borderId="0" xfId="0" applyNumberFormat="1" applyFont="1" applyFill="1"/>
    <xf numFmtId="0" fontId="9" fillId="5" borderId="0" xfId="0" applyFont="1" applyFill="1" applyAlignment="1">
      <alignment horizontal="right" vertical="center" wrapText="1"/>
    </xf>
    <xf numFmtId="0" fontId="9" fillId="0" borderId="0" xfId="0" applyFo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38"/>
  <sheetViews>
    <sheetView tabSelected="1" topLeftCell="A122" workbookViewId="0">
      <selection activeCell="B146" sqref="B146"/>
    </sheetView>
  </sheetViews>
  <sheetFormatPr defaultColWidth="12.44140625" defaultRowHeight="13.2"/>
  <cols>
    <col min="1" max="1" width="12.44140625" customWidth="1"/>
    <col min="2" max="6" width="6.5546875" customWidth="1"/>
    <col min="7" max="7" width="6.5546875" style="12" customWidth="1"/>
    <col min="8" max="14" width="6.5546875" customWidth="1"/>
    <col min="15" max="20" width="6.5546875" style="12" customWidth="1"/>
    <col min="21" max="21" width="13.77734375" style="12" customWidth="1"/>
    <col min="22" max="44" width="6.5546875" style="12" customWidth="1"/>
    <col min="45" max="220" width="6.5546875" customWidth="1"/>
  </cols>
  <sheetData>
    <row r="1" spans="1:6">
      <c r="A1" s="40" t="s">
        <v>14</v>
      </c>
      <c r="E1" s="12"/>
      <c r="F1" s="12"/>
    </row>
    <row r="2" spans="1:6">
      <c r="A2" s="40" t="s">
        <v>15</v>
      </c>
      <c r="E2" s="12"/>
      <c r="F2" s="12"/>
    </row>
    <row r="3" spans="1:6">
      <c r="E3" s="12"/>
      <c r="F3" s="12"/>
    </row>
    <row r="4" spans="1:6">
      <c r="A4" s="8" t="s">
        <v>16</v>
      </c>
      <c r="E4" s="12"/>
      <c r="F4" s="12"/>
    </row>
    <row r="5" spans="1:6">
      <c r="A5" t="s">
        <v>17</v>
      </c>
      <c r="B5" t="s">
        <v>18</v>
      </c>
      <c r="E5" s="12"/>
      <c r="F5" s="12"/>
    </row>
    <row r="6" spans="1:6">
      <c r="B6" t="s">
        <v>161</v>
      </c>
      <c r="E6" s="12"/>
      <c r="F6" s="12"/>
    </row>
    <row r="7" spans="1:6">
      <c r="B7" t="s">
        <v>40</v>
      </c>
      <c r="E7" s="12"/>
      <c r="F7" s="12"/>
    </row>
    <row r="8" spans="1:6">
      <c r="B8" t="s">
        <v>41</v>
      </c>
      <c r="E8" s="12"/>
      <c r="F8" s="12"/>
    </row>
    <row r="9" spans="1:6">
      <c r="B9" t="s">
        <v>157</v>
      </c>
      <c r="E9" s="12"/>
      <c r="F9" s="12"/>
    </row>
    <row r="10" spans="1:6">
      <c r="B10" t="s">
        <v>158</v>
      </c>
      <c r="E10" s="12"/>
      <c r="F10" s="12"/>
    </row>
    <row r="11" spans="1:6">
      <c r="B11" t="s">
        <v>159</v>
      </c>
      <c r="E11" s="12"/>
      <c r="F11" s="12"/>
    </row>
    <row r="12" spans="1:6">
      <c r="B12" t="s">
        <v>160</v>
      </c>
      <c r="E12" s="12"/>
      <c r="F12" s="12"/>
    </row>
    <row r="13" spans="1:6">
      <c r="E13" s="12"/>
      <c r="F13" s="12"/>
    </row>
    <row r="14" spans="1:6">
      <c r="A14" t="s">
        <v>125</v>
      </c>
      <c r="E14" s="12"/>
      <c r="F14" s="12"/>
    </row>
    <row r="15" spans="1:6">
      <c r="B15" t="s">
        <v>42</v>
      </c>
      <c r="E15" s="12"/>
      <c r="F15" s="12"/>
    </row>
    <row r="16" spans="1:6">
      <c r="A16" s="12"/>
      <c r="B16" s="55" t="s">
        <v>43</v>
      </c>
      <c r="E16" s="12"/>
      <c r="F16" s="12"/>
    </row>
    <row r="17" spans="1:44">
      <c r="A17" s="12"/>
      <c r="B17" s="55"/>
      <c r="E17" s="12"/>
      <c r="F17" s="12"/>
    </row>
    <row r="18" spans="1:44">
      <c r="A18" s="13" t="s">
        <v>78</v>
      </c>
      <c r="E18" s="12"/>
      <c r="F18" s="40" t="s">
        <v>79</v>
      </c>
    </row>
    <row r="19" spans="1:44">
      <c r="A19" s="14" t="s">
        <v>80</v>
      </c>
      <c r="B19" s="37" t="s">
        <v>81</v>
      </c>
      <c r="C19" s="37" t="s">
        <v>81</v>
      </c>
      <c r="D19" s="37" t="s">
        <v>81</v>
      </c>
      <c r="E19" s="37" t="s">
        <v>81</v>
      </c>
      <c r="F19" s="37" t="s">
        <v>81</v>
      </c>
      <c r="G19" s="37" t="s">
        <v>81</v>
      </c>
      <c r="H19" s="37" t="s">
        <v>81</v>
      </c>
      <c r="I19" s="37" t="s">
        <v>81</v>
      </c>
      <c r="J19" s="37" t="s">
        <v>81</v>
      </c>
      <c r="K19" s="37" t="s">
        <v>81</v>
      </c>
      <c r="L19" s="37" t="s">
        <v>81</v>
      </c>
      <c r="M19" s="37" t="s">
        <v>81</v>
      </c>
      <c r="N19" s="37" t="s">
        <v>81</v>
      </c>
    </row>
    <row r="20" spans="1:44" s="5" customFormat="1">
      <c r="A20" s="5" t="s">
        <v>82</v>
      </c>
      <c r="B20" s="38" t="s">
        <v>83</v>
      </c>
      <c r="C20" s="38" t="s">
        <v>83</v>
      </c>
      <c r="D20" s="38" t="s">
        <v>83</v>
      </c>
      <c r="E20" s="38" t="s">
        <v>83</v>
      </c>
      <c r="F20" s="38" t="s">
        <v>83</v>
      </c>
      <c r="G20" s="38" t="s">
        <v>83</v>
      </c>
      <c r="H20" s="38" t="s">
        <v>84</v>
      </c>
      <c r="I20" s="38" t="s">
        <v>84</v>
      </c>
      <c r="J20" s="38" t="s">
        <v>84</v>
      </c>
      <c r="K20" s="38" t="s">
        <v>84</v>
      </c>
      <c r="L20" s="38" t="s">
        <v>85</v>
      </c>
      <c r="M20" s="38" t="s">
        <v>85</v>
      </c>
      <c r="N20" s="38" t="s">
        <v>85</v>
      </c>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row>
    <row r="21" spans="1:44">
      <c r="A21" s="15" t="s">
        <v>86</v>
      </c>
      <c r="B21" s="39" t="s">
        <v>87</v>
      </c>
      <c r="C21" s="39" t="s">
        <v>88</v>
      </c>
      <c r="D21" s="39" t="s">
        <v>89</v>
      </c>
      <c r="E21" s="39" t="s">
        <v>90</v>
      </c>
      <c r="F21" s="39" t="s">
        <v>91</v>
      </c>
      <c r="G21" s="39" t="s">
        <v>92</v>
      </c>
      <c r="H21" s="39" t="s">
        <v>90</v>
      </c>
      <c r="I21" s="39" t="s">
        <v>93</v>
      </c>
      <c r="J21" s="39" t="s">
        <v>94</v>
      </c>
      <c r="K21" s="39" t="s">
        <v>95</v>
      </c>
      <c r="L21" s="39" t="s">
        <v>96</v>
      </c>
      <c r="M21" s="39" t="s">
        <v>97</v>
      </c>
      <c r="N21" s="39" t="s">
        <v>98</v>
      </c>
    </row>
    <row r="22" spans="1:44" s="1" customFormat="1">
      <c r="A22" s="1" t="s">
        <v>99</v>
      </c>
      <c r="B22" s="30">
        <v>46.42</v>
      </c>
      <c r="C22" s="30">
        <v>45.82</v>
      </c>
      <c r="D22" s="30">
        <v>46.78</v>
      </c>
      <c r="E22" s="30">
        <v>46.01</v>
      </c>
      <c r="F22" s="30">
        <v>47.27</v>
      </c>
      <c r="G22" s="30">
        <v>48.9</v>
      </c>
      <c r="H22" s="30">
        <v>48.66</v>
      </c>
      <c r="I22" s="30">
        <v>48.59</v>
      </c>
      <c r="J22" s="30">
        <v>49.21</v>
      </c>
      <c r="K22" s="30">
        <v>48.8</v>
      </c>
      <c r="L22" s="30">
        <v>48.88</v>
      </c>
      <c r="M22" s="30">
        <v>47.27</v>
      </c>
      <c r="N22" s="30">
        <v>46.97</v>
      </c>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row>
    <row r="23" spans="1:44" s="1" customFormat="1">
      <c r="A23" s="1" t="s">
        <v>100</v>
      </c>
      <c r="B23" s="30">
        <v>1.27</v>
      </c>
      <c r="C23" s="30">
        <v>1.31</v>
      </c>
      <c r="D23" s="30">
        <v>1.3</v>
      </c>
      <c r="E23" s="30">
        <v>1.27</v>
      </c>
      <c r="F23" s="30">
        <v>1.26</v>
      </c>
      <c r="G23" s="30">
        <v>0.52</v>
      </c>
      <c r="H23" s="30">
        <v>0.64</v>
      </c>
      <c r="I23" s="30">
        <v>0.6</v>
      </c>
      <c r="J23" s="30">
        <v>0.81</v>
      </c>
      <c r="K23" s="30">
        <v>0.57999999999999996</v>
      </c>
      <c r="L23" s="30">
        <v>0.75</v>
      </c>
      <c r="M23" s="30">
        <v>0.75</v>
      </c>
      <c r="N23" s="30">
        <v>1.29</v>
      </c>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row>
    <row r="24" spans="1:44" s="1" customFormat="1">
      <c r="A24" s="1" t="s">
        <v>101</v>
      </c>
      <c r="B24" s="30">
        <v>6.81</v>
      </c>
      <c r="C24" s="30">
        <v>6.87</v>
      </c>
      <c r="D24" s="30">
        <v>6.69</v>
      </c>
      <c r="E24" s="30">
        <v>6.45</v>
      </c>
      <c r="F24" s="30">
        <v>6.31</v>
      </c>
      <c r="G24" s="30">
        <v>5.09</v>
      </c>
      <c r="H24" s="30">
        <v>5.84</v>
      </c>
      <c r="I24" s="30">
        <v>5.2</v>
      </c>
      <c r="J24" s="30">
        <v>5.79</v>
      </c>
      <c r="K24" s="30">
        <v>5.32</v>
      </c>
      <c r="L24" s="30">
        <v>5.69</v>
      </c>
      <c r="M24" s="30">
        <v>6.07</v>
      </c>
      <c r="N24" s="30">
        <v>7.14</v>
      </c>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row>
    <row r="25" spans="1:44" s="1" customFormat="1">
      <c r="A25" s="1" t="s">
        <v>102</v>
      </c>
      <c r="B25" s="30">
        <v>14.21</v>
      </c>
      <c r="C25" s="30">
        <v>14.29</v>
      </c>
      <c r="D25" s="30">
        <v>14.45</v>
      </c>
      <c r="E25" s="30">
        <v>13.94</v>
      </c>
      <c r="F25" s="30">
        <v>14.63</v>
      </c>
      <c r="G25" s="30">
        <v>13.68</v>
      </c>
      <c r="H25" s="30">
        <v>14.31</v>
      </c>
      <c r="I25" s="30">
        <v>13.68</v>
      </c>
      <c r="J25" s="30">
        <v>14.24</v>
      </c>
      <c r="K25" s="30">
        <v>13.48</v>
      </c>
      <c r="L25" s="30">
        <v>14.53</v>
      </c>
      <c r="M25" s="30">
        <v>14.34</v>
      </c>
      <c r="N25" s="30">
        <v>14.76</v>
      </c>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row>
    <row r="26" spans="1:44" s="1" customFormat="1">
      <c r="A26" s="1" t="s">
        <v>103</v>
      </c>
      <c r="B26" s="30">
        <v>13.67</v>
      </c>
      <c r="C26" s="30">
        <v>13.44</v>
      </c>
      <c r="D26" s="30">
        <v>13.68</v>
      </c>
      <c r="E26" s="30">
        <v>13.27</v>
      </c>
      <c r="F26" s="30">
        <v>13.55</v>
      </c>
      <c r="G26" s="30">
        <v>14.34</v>
      </c>
      <c r="H26" s="30">
        <v>14.39</v>
      </c>
      <c r="I26" s="30">
        <v>14.49</v>
      </c>
      <c r="J26" s="30">
        <v>14.23</v>
      </c>
      <c r="K26" s="30">
        <v>14.61</v>
      </c>
      <c r="L26" s="30">
        <v>14.27</v>
      </c>
      <c r="M26" s="30">
        <v>14.01</v>
      </c>
      <c r="N26" s="30">
        <v>13.54</v>
      </c>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row>
    <row r="27" spans="1:44" s="1" customFormat="1">
      <c r="A27" s="1" t="s">
        <v>104</v>
      </c>
      <c r="B27" s="30">
        <v>0.76</v>
      </c>
      <c r="C27" s="30">
        <v>0.69</v>
      </c>
      <c r="D27" s="30">
        <v>0.7</v>
      </c>
      <c r="E27" s="30">
        <v>0.75</v>
      </c>
      <c r="F27" s="30">
        <v>0.8</v>
      </c>
      <c r="G27" s="30">
        <v>0.8</v>
      </c>
      <c r="H27" s="30">
        <v>0.89</v>
      </c>
      <c r="I27" s="30">
        <v>0.87</v>
      </c>
      <c r="J27" s="30">
        <v>0.81</v>
      </c>
      <c r="K27" s="30">
        <v>0.85</v>
      </c>
      <c r="L27" s="30">
        <v>0.81</v>
      </c>
      <c r="M27" s="30">
        <v>0.73</v>
      </c>
      <c r="N27" s="30">
        <v>0.69299999999999995</v>
      </c>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row>
    <row r="28" spans="1:44" s="1" customFormat="1">
      <c r="A28" s="1" t="s">
        <v>105</v>
      </c>
      <c r="B28" s="30">
        <v>11.59</v>
      </c>
      <c r="C28" s="30">
        <v>11.28</v>
      </c>
      <c r="D28" s="30">
        <v>11.59</v>
      </c>
      <c r="E28" s="30">
        <v>11.3</v>
      </c>
      <c r="F28" s="30">
        <v>11.29</v>
      </c>
      <c r="G28" s="30">
        <v>11.64</v>
      </c>
      <c r="H28" s="30">
        <v>11.66</v>
      </c>
      <c r="I28" s="30">
        <v>11.06</v>
      </c>
      <c r="J28" s="30">
        <v>11.41</v>
      </c>
      <c r="K28" s="30">
        <v>11.64</v>
      </c>
      <c r="L28" s="30">
        <v>12.01</v>
      </c>
      <c r="M28" s="30">
        <v>11.76</v>
      </c>
      <c r="N28" s="30">
        <v>11.88</v>
      </c>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row>
    <row r="29" spans="1:44" s="1" customFormat="1">
      <c r="A29" s="1" t="s">
        <v>106</v>
      </c>
      <c r="B29" s="30">
        <v>1.36</v>
      </c>
      <c r="C29" s="30">
        <v>1.47</v>
      </c>
      <c r="D29" s="30">
        <v>1.47</v>
      </c>
      <c r="E29" s="30">
        <v>1.4</v>
      </c>
      <c r="F29" s="30">
        <v>1.23</v>
      </c>
      <c r="G29" s="30">
        <v>1.24</v>
      </c>
      <c r="H29" s="30">
        <v>1.24</v>
      </c>
      <c r="I29" s="30">
        <v>1.1100000000000001</v>
      </c>
      <c r="J29" s="30">
        <v>1.29</v>
      </c>
      <c r="K29" s="30">
        <v>1.08</v>
      </c>
      <c r="L29" s="30">
        <v>1.2</v>
      </c>
      <c r="M29" s="30">
        <v>1.34</v>
      </c>
      <c r="N29" s="30">
        <v>1.53</v>
      </c>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row>
    <row r="30" spans="1:44" s="1" customFormat="1">
      <c r="A30" s="1" t="s">
        <v>107</v>
      </c>
      <c r="B30" s="30">
        <v>0.9</v>
      </c>
      <c r="C30" s="30">
        <v>0.93</v>
      </c>
      <c r="D30" s="30">
        <v>0.95</v>
      </c>
      <c r="E30" s="30">
        <v>0.86</v>
      </c>
      <c r="F30" s="30">
        <v>0.7</v>
      </c>
      <c r="G30" s="30">
        <v>0.59</v>
      </c>
      <c r="H30" s="30">
        <v>0.59</v>
      </c>
      <c r="I30" s="30">
        <v>0.56000000000000005</v>
      </c>
      <c r="J30" s="30">
        <v>0.64</v>
      </c>
      <c r="K30" s="30">
        <v>0.53</v>
      </c>
      <c r="L30" s="30">
        <v>0.68</v>
      </c>
      <c r="M30" s="30">
        <v>0.69</v>
      </c>
      <c r="N30" s="30">
        <v>0.9</v>
      </c>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row>
    <row r="31" spans="1:44" s="1" customFormat="1">
      <c r="A31" s="1" t="s">
        <v>108</v>
      </c>
      <c r="B31" s="30">
        <v>0</v>
      </c>
      <c r="C31" s="30">
        <v>0</v>
      </c>
      <c r="D31" s="30">
        <v>0</v>
      </c>
      <c r="E31" s="30">
        <v>0</v>
      </c>
      <c r="F31" s="30">
        <v>0</v>
      </c>
      <c r="G31" s="30">
        <v>0</v>
      </c>
      <c r="H31" s="30">
        <v>0</v>
      </c>
      <c r="I31" s="30">
        <v>0</v>
      </c>
      <c r="J31" s="30">
        <v>0</v>
      </c>
      <c r="K31" s="30">
        <v>0</v>
      </c>
      <c r="L31" s="30">
        <v>0</v>
      </c>
      <c r="M31" s="30">
        <v>0</v>
      </c>
      <c r="N31" s="30">
        <v>0</v>
      </c>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row>
    <row r="32" spans="1:44" s="4" customFormat="1">
      <c r="A32" s="4" t="s">
        <v>109</v>
      </c>
      <c r="B32" s="36">
        <v>0</v>
      </c>
      <c r="C32" s="36">
        <v>0</v>
      </c>
      <c r="D32" s="36">
        <v>0</v>
      </c>
      <c r="E32" s="36">
        <v>0</v>
      </c>
      <c r="F32" s="36">
        <v>0</v>
      </c>
      <c r="G32" s="36">
        <v>0</v>
      </c>
      <c r="H32" s="36">
        <v>0</v>
      </c>
      <c r="I32" s="36">
        <v>0</v>
      </c>
      <c r="J32" s="36">
        <v>0</v>
      </c>
      <c r="K32" s="36">
        <v>0</v>
      </c>
      <c r="L32" s="36">
        <v>0</v>
      </c>
      <c r="M32" s="36">
        <v>0</v>
      </c>
      <c r="N32" s="36">
        <v>0</v>
      </c>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row>
    <row r="33" spans="1:44" s="1" customFormat="1">
      <c r="A33" s="1" t="s">
        <v>110</v>
      </c>
      <c r="B33" s="1">
        <f>SUM(B22:B32)</f>
        <v>96.990000000000023</v>
      </c>
      <c r="C33" s="1">
        <v>96.1</v>
      </c>
      <c r="D33" s="1">
        <f t="shared" ref="D33:N33" si="0">SUM(D22:D32)</f>
        <v>97.610000000000014</v>
      </c>
      <c r="E33" s="1">
        <f t="shared" si="0"/>
        <v>95.25</v>
      </c>
      <c r="F33" s="1">
        <f t="shared" si="0"/>
        <v>97.039999999999992</v>
      </c>
      <c r="G33" s="30">
        <f t="shared" si="0"/>
        <v>96.8</v>
      </c>
      <c r="H33" s="1">
        <f t="shared" si="0"/>
        <v>98.22</v>
      </c>
      <c r="I33" s="1">
        <f t="shared" si="0"/>
        <v>96.160000000000011</v>
      </c>
      <c r="J33" s="1">
        <f t="shared" si="0"/>
        <v>98.43</v>
      </c>
      <c r="K33" s="1">
        <f t="shared" si="0"/>
        <v>96.889999999999986</v>
      </c>
      <c r="L33" s="1">
        <f t="shared" si="0"/>
        <v>98.820000000000007</v>
      </c>
      <c r="M33" s="1">
        <f t="shared" si="0"/>
        <v>96.960000000000022</v>
      </c>
      <c r="N33" s="1">
        <f t="shared" si="0"/>
        <v>98.702999999999989</v>
      </c>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row>
    <row r="34" spans="1:44" s="1" customFormat="1" ht="12.75" customHeight="1">
      <c r="E34" s="30"/>
      <c r="G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row>
    <row r="35" spans="1:44" s="1" customFormat="1" ht="12.75" customHeight="1">
      <c r="A35" s="16"/>
      <c r="B35" s="32"/>
      <c r="C35" s="32"/>
      <c r="D35" s="32"/>
      <c r="E35" s="18"/>
      <c r="G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row>
    <row r="36" spans="1:44" s="1" customFormat="1" ht="12.75" customHeight="1">
      <c r="A36" s="19" t="s">
        <v>111</v>
      </c>
      <c r="B36" s="7"/>
      <c r="C36" s="7"/>
      <c r="D36" s="7"/>
      <c r="E36" s="20"/>
      <c r="G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row>
    <row r="37" spans="1:44" s="1" customFormat="1" ht="12.75" customHeight="1">
      <c r="A37" s="21" t="s">
        <v>112</v>
      </c>
      <c r="B37" s="22" t="s">
        <v>113</v>
      </c>
      <c r="C37" s="22" t="s">
        <v>114</v>
      </c>
      <c r="D37" s="22" t="s">
        <v>115</v>
      </c>
      <c r="E37" s="22" t="s">
        <v>116</v>
      </c>
      <c r="F37" s="22" t="s">
        <v>117</v>
      </c>
      <c r="G37" s="22" t="s">
        <v>118</v>
      </c>
      <c r="H37" s="22" t="s">
        <v>119</v>
      </c>
      <c r="I37" s="22" t="s">
        <v>120</v>
      </c>
      <c r="J37" s="22" t="s">
        <v>121</v>
      </c>
      <c r="K37" s="22" t="s">
        <v>122</v>
      </c>
      <c r="L37" s="22" t="s">
        <v>123</v>
      </c>
      <c r="M37" s="22" t="s">
        <v>124</v>
      </c>
      <c r="N37" s="22" t="s">
        <v>44</v>
      </c>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row>
    <row r="38" spans="1:44" s="1" customFormat="1" ht="12.75" customHeight="1">
      <c r="A38" s="21" t="s">
        <v>45</v>
      </c>
      <c r="B38" s="34">
        <v>0.78100000000000003</v>
      </c>
      <c r="C38" s="34">
        <v>0.77700000000000002</v>
      </c>
      <c r="D38" s="34">
        <v>0.73799999999999999</v>
      </c>
      <c r="E38" s="34">
        <v>0.745</v>
      </c>
      <c r="F38" s="34">
        <v>0.72199999999999998</v>
      </c>
      <c r="G38" s="34">
        <v>0.73099999999999998</v>
      </c>
      <c r="H38" s="34">
        <v>0.76300000000000001</v>
      </c>
      <c r="I38" s="34">
        <v>0.78700000000000003</v>
      </c>
      <c r="J38" s="34">
        <v>0.72199999999999998</v>
      </c>
      <c r="K38" s="34">
        <v>0.71499999999999997</v>
      </c>
      <c r="L38" s="34">
        <v>0.76800000000000002</v>
      </c>
      <c r="M38" s="34">
        <v>0.748</v>
      </c>
      <c r="N38" s="34">
        <v>0.71499999999999997</v>
      </c>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row>
    <row r="39" spans="1:44" s="1" customFormat="1" ht="12.75" customHeight="1">
      <c r="A39" s="21" t="s">
        <v>46</v>
      </c>
      <c r="B39" s="34">
        <v>0.188</v>
      </c>
      <c r="C39" s="34">
        <v>0.20399999999999999</v>
      </c>
      <c r="D39" s="34">
        <v>0.23300000000000001</v>
      </c>
      <c r="E39" s="34">
        <v>0.23100000000000001</v>
      </c>
      <c r="F39" s="34">
        <v>0.247</v>
      </c>
      <c r="G39" s="34">
        <v>0.23</v>
      </c>
      <c r="H39" s="34">
        <v>0.214</v>
      </c>
      <c r="I39" s="34">
        <v>0.188</v>
      </c>
      <c r="J39" s="34">
        <v>0.252</v>
      </c>
      <c r="K39" s="34">
        <v>0.253</v>
      </c>
      <c r="L39" s="34">
        <v>0.20200000000000001</v>
      </c>
      <c r="M39" s="34">
        <v>0.219</v>
      </c>
      <c r="N39" s="34">
        <v>0.25800000000000001</v>
      </c>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row>
    <row r="40" spans="1:44" s="1" customFormat="1" ht="12.75" customHeight="1">
      <c r="G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row>
    <row r="41" spans="1:44" s="1" customFormat="1" ht="12.75" customHeight="1">
      <c r="A41" s="23" t="s">
        <v>47</v>
      </c>
      <c r="G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row>
    <row r="42" spans="1:44" s="1" customFormat="1">
      <c r="A42" s="1" t="s">
        <v>48</v>
      </c>
      <c r="B42" s="1">
        <f>B60*159.7*B189/46/B238</f>
        <v>3.9297212139368942</v>
      </c>
      <c r="C42" s="1">
        <f t="shared" ref="B42:N42" si="1">C60*159.7*C189/46/C238</f>
        <v>3.7121281967141853</v>
      </c>
      <c r="D42" s="1">
        <f t="shared" si="1"/>
        <v>3.3159369865599517</v>
      </c>
      <c r="E42" s="1">
        <f t="shared" si="1"/>
        <v>3.5822062943653297</v>
      </c>
      <c r="F42" s="1">
        <f t="shared" si="1"/>
        <v>4.0470832842124107</v>
      </c>
      <c r="G42" s="30">
        <f t="shared" si="1"/>
        <v>3.756027612428658</v>
      </c>
      <c r="H42" s="1">
        <f t="shared" si="1"/>
        <v>4.5585578036048373</v>
      </c>
      <c r="I42" s="1">
        <f t="shared" si="1"/>
        <v>4.2247764854523284</v>
      </c>
      <c r="J42" s="1">
        <f t="shared" si="1"/>
        <v>4.6500857596940808</v>
      </c>
      <c r="K42" s="1">
        <f t="shared" si="1"/>
        <v>4.4088126479447061</v>
      </c>
      <c r="L42" s="1">
        <f t="shared" si="1"/>
        <v>3.8416152503415004</v>
      </c>
      <c r="M42" s="1">
        <f t="shared" si="1"/>
        <v>3.9782547672698847</v>
      </c>
      <c r="N42" s="1">
        <f t="shared" si="1"/>
        <v>4.1380549585422504</v>
      </c>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row>
    <row r="43" spans="1:44" s="1" customFormat="1">
      <c r="A43" s="1" t="s">
        <v>49</v>
      </c>
      <c r="B43" s="1">
        <f t="shared" ref="B43:N43" si="2">(B63+B67)*71.85*B189*2/46/B238</f>
        <v>10.673989114322284</v>
      </c>
      <c r="C43" s="1">
        <f t="shared" si="2"/>
        <v>10.949781954490742</v>
      </c>
      <c r="D43" s="1">
        <f t="shared" si="2"/>
        <v>11.466279618230024</v>
      </c>
      <c r="E43" s="1">
        <f t="shared" si="2"/>
        <v>10.71668726048655</v>
      </c>
      <c r="F43" s="1">
        <f t="shared" si="2"/>
        <v>10.988385297800102</v>
      </c>
      <c r="G43" s="30">
        <f t="shared" si="2"/>
        <v>10.300280726950545</v>
      </c>
      <c r="H43" s="1">
        <f t="shared" si="2"/>
        <v>10.208154311972356</v>
      </c>
      <c r="I43" s="1">
        <f t="shared" si="2"/>
        <v>9.8784947967470291</v>
      </c>
      <c r="J43" s="1">
        <f t="shared" si="2"/>
        <v>10.055796345222046</v>
      </c>
      <c r="K43" s="1">
        <f t="shared" si="2"/>
        <v>9.512896822106109</v>
      </c>
      <c r="L43" s="1">
        <f t="shared" si="2"/>
        <v>11.073267930657021</v>
      </c>
      <c r="M43" s="1">
        <f t="shared" si="2"/>
        <v>10.76031803345847</v>
      </c>
      <c r="N43" s="1">
        <f t="shared" si="2"/>
        <v>11.036527880134495</v>
      </c>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row>
    <row r="44" spans="1:44" s="1" customFormat="1">
      <c r="A44" s="1" t="s">
        <v>50</v>
      </c>
      <c r="B44" s="1">
        <f t="shared" ref="B44:N44" si="3">B219/2*B189/23*18.016</f>
        <v>2.0075359674590478</v>
      </c>
      <c r="C44" s="1">
        <f t="shared" si="3"/>
        <v>1.9870013543314973</v>
      </c>
      <c r="D44" s="1">
        <f t="shared" si="3"/>
        <v>2.0186976579450859</v>
      </c>
      <c r="E44" s="1">
        <f t="shared" si="3"/>
        <v>1.9738456115866732</v>
      </c>
      <c r="F44" s="1">
        <f t="shared" si="3"/>
        <v>2.0131672973881432</v>
      </c>
      <c r="G44" s="30">
        <f t="shared" si="3"/>
        <v>2.0221214731215671</v>
      </c>
      <c r="H44" s="1">
        <f t="shared" si="3"/>
        <v>2.0446189150457577</v>
      </c>
      <c r="I44" s="1">
        <f t="shared" si="3"/>
        <v>2.011837164771006</v>
      </c>
      <c r="J44" s="1">
        <f t="shared" si="3"/>
        <v>2.0539395118719663</v>
      </c>
      <c r="K44" s="1">
        <f t="shared" si="3"/>
        <v>2.0270888441440085</v>
      </c>
      <c r="L44" s="1">
        <f t="shared" si="3"/>
        <v>2.0533689026611692</v>
      </c>
      <c r="M44" s="1">
        <f t="shared" si="3"/>
        <v>2.0105089933096409</v>
      </c>
      <c r="N44" s="1">
        <f t="shared" si="3"/>
        <v>2.0388040523126176</v>
      </c>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row>
    <row r="45" spans="1:44" s="1" customFormat="1">
      <c r="A45" s="4" t="s">
        <v>51</v>
      </c>
      <c r="B45" s="4">
        <f t="shared" ref="B45:N45" si="4">16/38*B31+16/70.914*B32</f>
        <v>0</v>
      </c>
      <c r="C45" s="4">
        <f t="shared" si="4"/>
        <v>0</v>
      </c>
      <c r="D45" s="4">
        <f t="shared" si="4"/>
        <v>0</v>
      </c>
      <c r="E45" s="4">
        <f t="shared" si="4"/>
        <v>0</v>
      </c>
      <c r="F45" s="4">
        <f t="shared" si="4"/>
        <v>0</v>
      </c>
      <c r="G45" s="36">
        <f t="shared" si="4"/>
        <v>0</v>
      </c>
      <c r="H45" s="4">
        <f t="shared" si="4"/>
        <v>0</v>
      </c>
      <c r="I45" s="4">
        <f t="shared" si="4"/>
        <v>0</v>
      </c>
      <c r="J45" s="4">
        <f t="shared" si="4"/>
        <v>0</v>
      </c>
      <c r="K45" s="4">
        <f t="shared" si="4"/>
        <v>0</v>
      </c>
      <c r="L45" s="4">
        <f t="shared" si="4"/>
        <v>0</v>
      </c>
      <c r="M45" s="4">
        <f t="shared" si="4"/>
        <v>0</v>
      </c>
      <c r="N45" s="4">
        <f t="shared" si="4"/>
        <v>0</v>
      </c>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row>
    <row r="46" spans="1:44" s="1" customFormat="1">
      <c r="A46" s="1" t="s">
        <v>52</v>
      </c>
      <c r="B46" s="1">
        <f t="shared" ref="B46:N46" si="5">B22+B23+B24+B26+B27+B28+B29+B30+B31+B32+B42+B43+B44-B45</f>
        <v>99.391246295718247</v>
      </c>
      <c r="C46" s="1">
        <f t="shared" si="5"/>
        <v>98.458911505536435</v>
      </c>
      <c r="D46" s="1">
        <f t="shared" si="5"/>
        <v>99.960914262735045</v>
      </c>
      <c r="E46" s="1">
        <f t="shared" si="5"/>
        <v>97.582739166438557</v>
      </c>
      <c r="F46" s="1">
        <f t="shared" si="5"/>
        <v>99.458635879400646</v>
      </c>
      <c r="G46" s="30">
        <f t="shared" si="5"/>
        <v>99.198429812500777</v>
      </c>
      <c r="H46" s="1">
        <f t="shared" si="5"/>
        <v>100.72133103062295</v>
      </c>
      <c r="I46" s="1">
        <f t="shared" si="5"/>
        <v>98.595108446970386</v>
      </c>
      <c r="J46" s="1">
        <f t="shared" si="5"/>
        <v>100.9498216167881</v>
      </c>
      <c r="K46" s="1">
        <f t="shared" si="5"/>
        <v>99.358798314194814</v>
      </c>
      <c r="L46" s="1">
        <f t="shared" si="5"/>
        <v>101.25825208365971</v>
      </c>
      <c r="M46" s="1">
        <f t="shared" si="5"/>
        <v>99.369081794038024</v>
      </c>
      <c r="N46" s="1">
        <f t="shared" si="5"/>
        <v>101.15638689098937</v>
      </c>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row>
    <row r="47" spans="1:44" s="1" customFormat="1">
      <c r="G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row>
    <row r="48" spans="1:44" s="1" customFormat="1" ht="12.75" customHeight="1">
      <c r="A48" s="16" t="s">
        <v>53</v>
      </c>
      <c r="B48" s="17">
        <f t="shared" ref="B48:N48" si="6">B60/(B60+B63+B67)</f>
        <v>0.2488396119407261</v>
      </c>
      <c r="C48" s="17">
        <f t="shared" si="6"/>
        <v>0.23374513964375493</v>
      </c>
      <c r="D48" s="17">
        <f t="shared" si="6"/>
        <v>0.20648583956885641</v>
      </c>
      <c r="E48" s="17">
        <f t="shared" si="6"/>
        <v>0.23122759967815276</v>
      </c>
      <c r="F48" s="17">
        <f t="shared" si="6"/>
        <v>0.2489141970061447</v>
      </c>
      <c r="G48" s="17">
        <f t="shared" si="6"/>
        <v>0.24705550241589588</v>
      </c>
      <c r="H48" s="17">
        <f t="shared" si="6"/>
        <v>0.28664190692017094</v>
      </c>
      <c r="I48" s="17">
        <f t="shared" si="6"/>
        <v>0.27788780725533418</v>
      </c>
      <c r="J48" s="17">
        <f t="shared" si="6"/>
        <v>0.29383452631867663</v>
      </c>
      <c r="K48" s="17">
        <f t="shared" si="6"/>
        <v>0.2942954879743242</v>
      </c>
      <c r="L48" s="17">
        <f t="shared" si="6"/>
        <v>0.23790310181300603</v>
      </c>
      <c r="M48" s="17">
        <f t="shared" si="6"/>
        <v>0.24962914689968829</v>
      </c>
      <c r="N48" s="17">
        <f t="shared" si="6"/>
        <v>0.25226775879847607</v>
      </c>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row>
    <row r="50" spans="1:44" s="6" customFormat="1">
      <c r="A50" s="6" t="s">
        <v>54</v>
      </c>
      <c r="B50"/>
      <c r="C50"/>
      <c r="D50"/>
      <c r="E50"/>
      <c r="F50"/>
      <c r="G50" s="12"/>
      <c r="H50"/>
      <c r="I50"/>
      <c r="J50"/>
      <c r="K50"/>
      <c r="L50"/>
      <c r="M50"/>
      <c r="N50"/>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row>
    <row r="51" spans="1:44" s="81" customFormat="1">
      <c r="A51" s="77" t="s">
        <v>55</v>
      </c>
      <c r="B51" s="78"/>
      <c r="C51" s="78"/>
      <c r="D51" s="78"/>
      <c r="E51" s="78"/>
      <c r="F51" s="78"/>
      <c r="G51" s="79"/>
      <c r="H51" s="78"/>
      <c r="I51" s="78"/>
      <c r="J51" s="78"/>
      <c r="K51" s="78"/>
      <c r="L51" s="78"/>
      <c r="M51" s="78"/>
      <c r="N51" s="78"/>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row>
    <row r="52" spans="1:44" s="82" customFormat="1">
      <c r="A52" s="82" t="s">
        <v>56</v>
      </c>
      <c r="B52" s="82">
        <f>B$238*B192</f>
        <v>6.8667008306294575</v>
      </c>
      <c r="C52" s="82">
        <f t="shared" ref="B52:N52" si="7">C$238*C192</f>
        <v>6.8509635372805882</v>
      </c>
      <c r="D52" s="82">
        <f t="shared" si="7"/>
        <v>6.8922356789165553</v>
      </c>
      <c r="E52" s="82">
        <f t="shared" si="7"/>
        <v>6.9270202258010132</v>
      </c>
      <c r="F52" s="82">
        <f t="shared" si="7"/>
        <v>6.9710889920882053</v>
      </c>
      <c r="G52" s="83">
        <f t="shared" si="7"/>
        <v>7.1848717023294899</v>
      </c>
      <c r="H52" s="82">
        <f t="shared" si="7"/>
        <v>7.0581751245761719</v>
      </c>
      <c r="I52" s="82">
        <f t="shared" si="7"/>
        <v>7.1673711734574415</v>
      </c>
      <c r="J52" s="82">
        <f t="shared" si="7"/>
        <v>7.1043744251179115</v>
      </c>
      <c r="K52" s="82">
        <f t="shared" si="7"/>
        <v>7.1415878418285184</v>
      </c>
      <c r="L52" s="82">
        <f t="shared" si="7"/>
        <v>7.072179881826802</v>
      </c>
      <c r="M52" s="82">
        <f t="shared" si="7"/>
        <v>6.9813768959438027</v>
      </c>
      <c r="N52" s="82">
        <f t="shared" si="7"/>
        <v>6.839103357080603</v>
      </c>
      <c r="O52" s="87" t="s">
        <v>169</v>
      </c>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row>
    <row r="53" spans="1:44" s="82" customFormat="1">
      <c r="A53" s="82" t="s">
        <v>57</v>
      </c>
      <c r="B53" s="82">
        <f t="shared" ref="B53:N53" si="8">8-B52</f>
        <v>1.1332991693705425</v>
      </c>
      <c r="C53" s="82">
        <f t="shared" si="8"/>
        <v>1.1490364627194118</v>
      </c>
      <c r="D53" s="82">
        <f t="shared" si="8"/>
        <v>1.1077643210834447</v>
      </c>
      <c r="E53" s="82">
        <f t="shared" si="8"/>
        <v>1.0729797741989868</v>
      </c>
      <c r="F53" s="82">
        <f t="shared" si="8"/>
        <v>1.0289110079117947</v>
      </c>
      <c r="G53" s="83">
        <f t="shared" si="8"/>
        <v>0.81512829767051009</v>
      </c>
      <c r="H53" s="82">
        <f t="shared" si="8"/>
        <v>0.94182487542382809</v>
      </c>
      <c r="I53" s="82">
        <f t="shared" si="8"/>
        <v>0.83262882654255854</v>
      </c>
      <c r="J53" s="82">
        <f t="shared" si="8"/>
        <v>0.89562557488208849</v>
      </c>
      <c r="K53" s="82">
        <f t="shared" si="8"/>
        <v>0.85841215817148164</v>
      </c>
      <c r="L53" s="82">
        <f t="shared" si="8"/>
        <v>0.92782011817319798</v>
      </c>
      <c r="M53" s="82">
        <f t="shared" si="8"/>
        <v>1.0186231040561973</v>
      </c>
      <c r="N53" s="82">
        <f t="shared" si="8"/>
        <v>1.160896642919397</v>
      </c>
      <c r="O53" s="88" t="s">
        <v>170</v>
      </c>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row>
    <row r="54" spans="1:44" s="82" customFormat="1">
      <c r="G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row>
    <row r="55" spans="1:44" s="82" customFormat="1">
      <c r="A55" s="82" t="s">
        <v>58</v>
      </c>
      <c r="B55" s="82">
        <f t="shared" ref="B55:N55" si="9">B$238*B195</f>
        <v>1.1876204647225512</v>
      </c>
      <c r="C55" s="82">
        <f t="shared" si="9"/>
        <v>1.2109908974203207</v>
      </c>
      <c r="D55" s="82">
        <f t="shared" si="9"/>
        <v>1.1620199664010211</v>
      </c>
      <c r="E55" s="82">
        <f t="shared" si="9"/>
        <v>1.1448313339027987</v>
      </c>
      <c r="F55" s="82">
        <f t="shared" si="9"/>
        <v>1.0970639755210525</v>
      </c>
      <c r="G55" s="83">
        <f t="shared" si="9"/>
        <v>0.8816891798568961</v>
      </c>
      <c r="H55" s="82">
        <f t="shared" si="9"/>
        <v>0.99866709973532297</v>
      </c>
      <c r="I55" s="82">
        <f t="shared" si="9"/>
        <v>0.90428205100446268</v>
      </c>
      <c r="J55" s="82">
        <f t="shared" si="9"/>
        <v>0.98545911603009395</v>
      </c>
      <c r="K55" s="82">
        <f t="shared" si="9"/>
        <v>0.91785517974665698</v>
      </c>
      <c r="L55" s="82">
        <f t="shared" si="9"/>
        <v>0.97055899308454996</v>
      </c>
      <c r="M55" s="82">
        <f t="shared" si="9"/>
        <v>1.0568947573415852</v>
      </c>
      <c r="N55" s="82">
        <f t="shared" si="9"/>
        <v>1.2256441287648909</v>
      </c>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row>
    <row r="56" spans="1:44" s="82" customFormat="1">
      <c r="G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row>
    <row r="57" spans="1:44" s="82" customFormat="1">
      <c r="A57" s="84" t="s">
        <v>59</v>
      </c>
      <c r="G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row>
    <row r="58" spans="1:44" s="82" customFormat="1">
      <c r="A58" s="82" t="s">
        <v>60</v>
      </c>
      <c r="B58" s="82">
        <f>B55-B53</f>
        <v>5.4321295352008692E-2</v>
      </c>
      <c r="C58" s="82">
        <f t="shared" ref="B58:N58" si="10">C55-C53</f>
        <v>6.1954434700908889E-2</v>
      </c>
      <c r="D58" s="82">
        <f t="shared" si="10"/>
        <v>5.4255645317576429E-2</v>
      </c>
      <c r="E58" s="82">
        <f t="shared" si="10"/>
        <v>7.1851559703811851E-2</v>
      </c>
      <c r="F58" s="82">
        <f t="shared" si="10"/>
        <v>6.815296760925782E-2</v>
      </c>
      <c r="G58" s="83">
        <f t="shared" si="10"/>
        <v>6.6560882186386006E-2</v>
      </c>
      <c r="H58" s="82">
        <f t="shared" si="10"/>
        <v>5.6842224311494882E-2</v>
      </c>
      <c r="I58" s="82">
        <f t="shared" si="10"/>
        <v>7.1653224461904141E-2</v>
      </c>
      <c r="J58" s="82">
        <f t="shared" si="10"/>
        <v>8.9833541148005458E-2</v>
      </c>
      <c r="K58" s="82">
        <f t="shared" si="10"/>
        <v>5.9443021575175337E-2</v>
      </c>
      <c r="L58" s="82">
        <f t="shared" si="10"/>
        <v>4.2738874911351976E-2</v>
      </c>
      <c r="M58" s="82">
        <f t="shared" si="10"/>
        <v>3.8271653285387952E-2</v>
      </c>
      <c r="N58" s="82">
        <f t="shared" si="10"/>
        <v>6.4747485845493946E-2</v>
      </c>
      <c r="O58" s="88" t="s">
        <v>171</v>
      </c>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row>
    <row r="59" spans="1:44" s="82" customFormat="1">
      <c r="A59" s="82" t="s">
        <v>61</v>
      </c>
      <c r="B59" s="82">
        <f>B$238*B199</f>
        <v>0.14128697795955242</v>
      </c>
      <c r="C59" s="82">
        <f t="shared" ref="B59:N59" si="11">C$238*C199</f>
        <v>0.14730696834358634</v>
      </c>
      <c r="D59" s="82">
        <f t="shared" si="11"/>
        <v>0.1440451629441474</v>
      </c>
      <c r="E59" s="82">
        <f t="shared" si="11"/>
        <v>0.14379817295468669</v>
      </c>
      <c r="F59" s="82">
        <f t="shared" si="11"/>
        <v>0.13974651763338911</v>
      </c>
      <c r="G59" s="83">
        <f t="shared" si="11"/>
        <v>5.7460437281865395E-2</v>
      </c>
      <c r="H59" s="82">
        <f t="shared" si="11"/>
        <v>6.9816122308377804E-2</v>
      </c>
      <c r="I59" s="82">
        <f t="shared" si="11"/>
        <v>6.6560974496530464E-2</v>
      </c>
      <c r="J59" s="82">
        <f t="shared" si="11"/>
        <v>8.7945357920811304E-2</v>
      </c>
      <c r="K59" s="82">
        <f t="shared" si="11"/>
        <v>6.3834928850862727E-2</v>
      </c>
      <c r="L59" s="82">
        <f t="shared" si="11"/>
        <v>8.1609137758181086E-2</v>
      </c>
      <c r="M59" s="82">
        <f t="shared" si="11"/>
        <v>8.3305211284029748E-2</v>
      </c>
      <c r="N59" s="82">
        <f t="shared" si="11"/>
        <v>0.14126147671224001</v>
      </c>
      <c r="O59" s="83" t="s">
        <v>172</v>
      </c>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row>
    <row r="60" spans="1:44" s="82" customFormat="1">
      <c r="A60" s="82" t="s">
        <v>62</v>
      </c>
      <c r="B60" s="82">
        <f>IF(46*(1-B238)&lt;B238*(B203+B207),46*(1-B238),B238*(B203+B207))</f>
        <v>0.43745362041821467</v>
      </c>
      <c r="C60" s="82">
        <f t="shared" ref="B60:N60" si="12">IF(46*(1-C238)&lt;C238*(C203+C207),46*(1-C238),C238*(C203+C207))</f>
        <v>0.41768302041309124</v>
      </c>
      <c r="D60" s="82">
        <f t="shared" si="12"/>
        <v>0.36764905558470318</v>
      </c>
      <c r="E60" s="82">
        <f t="shared" si="12"/>
        <v>0.40585611949662903</v>
      </c>
      <c r="F60" s="82">
        <f t="shared" si="12"/>
        <v>0.44914280807987828</v>
      </c>
      <c r="G60" s="83">
        <f t="shared" si="12"/>
        <v>0.41530409964181958</v>
      </c>
      <c r="H60" s="82">
        <f t="shared" si="12"/>
        <v>0.49759393101100136</v>
      </c>
      <c r="I60" s="82">
        <f t="shared" si="12"/>
        <v>0.46896887222184414</v>
      </c>
      <c r="J60" s="82">
        <f t="shared" si="12"/>
        <v>0.50519695376749962</v>
      </c>
      <c r="K60" s="82">
        <f t="shared" si="12"/>
        <v>0.48553874099490191</v>
      </c>
      <c r="L60" s="82">
        <f t="shared" si="12"/>
        <v>0.41827629410988942</v>
      </c>
      <c r="M60" s="82">
        <f t="shared" si="12"/>
        <v>0.44215583183362805</v>
      </c>
      <c r="N60" s="82">
        <f t="shared" si="12"/>
        <v>0.45342153706213528</v>
      </c>
      <c r="O60" s="83" t="s">
        <v>175</v>
      </c>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row>
    <row r="61" spans="1:44" s="82" customFormat="1">
      <c r="A61" s="82" t="s">
        <v>63</v>
      </c>
      <c r="B61" s="82">
        <f t="shared" ref="B61:N61" si="13">B$238*B201</f>
        <v>3.0136525863504535</v>
      </c>
      <c r="C61" s="82">
        <f t="shared" si="13"/>
        <v>2.9948668627614623</v>
      </c>
      <c r="D61" s="82">
        <f t="shared" si="13"/>
        <v>3.0037769487020629</v>
      </c>
      <c r="E61" s="82">
        <f t="shared" si="13"/>
        <v>2.9774661025415683</v>
      </c>
      <c r="F61" s="82">
        <f t="shared" si="13"/>
        <v>2.9780775341553398</v>
      </c>
      <c r="G61" s="83">
        <f t="shared" si="13"/>
        <v>3.1400820065768942</v>
      </c>
      <c r="H61" s="82">
        <f t="shared" si="13"/>
        <v>3.1107334527453343</v>
      </c>
      <c r="I61" s="82">
        <f t="shared" si="13"/>
        <v>3.1853933029238028</v>
      </c>
      <c r="J61" s="82">
        <f t="shared" si="13"/>
        <v>3.0616747872798564</v>
      </c>
      <c r="K61" s="82">
        <f t="shared" si="13"/>
        <v>3.1864481565509224</v>
      </c>
      <c r="L61" s="82">
        <f t="shared" si="13"/>
        <v>3.0770018328425466</v>
      </c>
      <c r="M61" s="82">
        <f t="shared" si="13"/>
        <v>3.0837225597265752</v>
      </c>
      <c r="N61" s="82">
        <f t="shared" si="13"/>
        <v>2.9381837458323727</v>
      </c>
      <c r="O61" s="83" t="s">
        <v>173</v>
      </c>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row>
    <row r="62" spans="1:44" s="82" customFormat="1">
      <c r="A62" s="82" t="s">
        <v>64</v>
      </c>
      <c r="B62" s="82">
        <f t="shared" ref="B62:N62" si="14">B$238*B202</f>
        <v>9.5228644475156582E-2</v>
      </c>
      <c r="C62" s="82">
        <f t="shared" si="14"/>
        <v>8.7388982321909017E-2</v>
      </c>
      <c r="D62" s="82">
        <f t="shared" si="14"/>
        <v>8.7359263120146649E-2</v>
      </c>
      <c r="E62" s="82">
        <f t="shared" si="14"/>
        <v>9.564593250933584E-2</v>
      </c>
      <c r="F62" s="82">
        <f t="shared" si="14"/>
        <v>9.9934635206213068E-2</v>
      </c>
      <c r="G62" s="83">
        <f t="shared" si="14"/>
        <v>9.9566024133526623E-2</v>
      </c>
      <c r="H62" s="82">
        <f t="shared" si="14"/>
        <v>0.10935064564841451</v>
      </c>
      <c r="I62" s="82">
        <f t="shared" si="14"/>
        <v>0.10870343530160045</v>
      </c>
      <c r="J62" s="82">
        <f t="shared" si="14"/>
        <v>9.9053201266885021E-2</v>
      </c>
      <c r="K62" s="82">
        <f t="shared" si="14"/>
        <v>0.10536707059162047</v>
      </c>
      <c r="L62" s="82">
        <f t="shared" si="14"/>
        <v>9.9270027000690222E-2</v>
      </c>
      <c r="M62" s="82">
        <f t="shared" si="14"/>
        <v>9.1324932968021882E-2</v>
      </c>
      <c r="N62" s="82">
        <f t="shared" si="14"/>
        <v>8.547180222822244E-2</v>
      </c>
      <c r="O62" s="83" t="s">
        <v>174</v>
      </c>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row>
    <row r="63" spans="1:44" s="82" customFormat="1">
      <c r="A63" s="82" t="s">
        <v>65</v>
      </c>
      <c r="B63" s="82">
        <f t="shared" ref="B63:N63" si="15">IF((B238*(B203+B207)-B60+B62+B61+B60+B59+B58)&gt;5,5-(B62+B61+B60+B59+B58),B238*(B203+B207)-B60)</f>
        <v>1.2580568754446144</v>
      </c>
      <c r="C63" s="82">
        <f t="shared" si="15"/>
        <v>1.2907997314590425</v>
      </c>
      <c r="D63" s="82">
        <f t="shared" si="15"/>
        <v>1.3429139243313637</v>
      </c>
      <c r="E63" s="82">
        <f t="shared" si="15"/>
        <v>1.3053821127939682</v>
      </c>
      <c r="F63" s="82">
        <f t="shared" si="15"/>
        <v>1.2649455373159215</v>
      </c>
      <c r="G63" s="83">
        <f t="shared" si="15"/>
        <v>1.2210265501795083</v>
      </c>
      <c r="H63" s="82">
        <f t="shared" si="15"/>
        <v>1.1556636239753773</v>
      </c>
      <c r="I63" s="82">
        <f t="shared" si="15"/>
        <v>1.0987201905943178</v>
      </c>
      <c r="J63" s="82">
        <f t="shared" si="15"/>
        <v>1.156296158616942</v>
      </c>
      <c r="K63" s="82">
        <f t="shared" si="15"/>
        <v>1.0993680814365172</v>
      </c>
      <c r="L63" s="82">
        <f t="shared" si="15"/>
        <v>1.2811038333773404</v>
      </c>
      <c r="M63" s="82">
        <f t="shared" si="15"/>
        <v>1.2612198109023578</v>
      </c>
      <c r="N63" s="82">
        <f t="shared" si="15"/>
        <v>1.3169139523195357</v>
      </c>
      <c r="O63" s="83" t="s">
        <v>176</v>
      </c>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row>
    <row r="64" spans="1:44" s="82" customFormat="1">
      <c r="A64" s="82" t="s">
        <v>66</v>
      </c>
      <c r="B64" s="84">
        <f t="shared" ref="B64:N64" si="16">IF(SUM(B58:B63)&gt;=5,0,5-SUM(B58:B63))</f>
        <v>0</v>
      </c>
      <c r="C64" s="84">
        <f t="shared" si="16"/>
        <v>0</v>
      </c>
      <c r="D64" s="84">
        <f t="shared" si="16"/>
        <v>0</v>
      </c>
      <c r="E64" s="84">
        <f t="shared" si="16"/>
        <v>0</v>
      </c>
      <c r="F64" s="84">
        <f t="shared" si="16"/>
        <v>0</v>
      </c>
      <c r="G64" s="85">
        <f t="shared" si="16"/>
        <v>0</v>
      </c>
      <c r="H64" s="84">
        <f t="shared" si="16"/>
        <v>0</v>
      </c>
      <c r="I64" s="84">
        <f t="shared" si="16"/>
        <v>0</v>
      </c>
      <c r="J64" s="84">
        <f t="shared" si="16"/>
        <v>0</v>
      </c>
      <c r="K64" s="84">
        <f t="shared" si="16"/>
        <v>0</v>
      </c>
      <c r="L64" s="84">
        <f t="shared" si="16"/>
        <v>0</v>
      </c>
      <c r="M64" s="84">
        <f t="shared" si="16"/>
        <v>0</v>
      </c>
      <c r="N64" s="84">
        <f t="shared" si="16"/>
        <v>0</v>
      </c>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row>
    <row r="65" spans="1:44" s="82" customFormat="1">
      <c r="B65" s="82">
        <f t="shared" ref="B65:N65" si="17">SUM(B58:B64)</f>
        <v>5</v>
      </c>
      <c r="C65" s="82">
        <f t="shared" si="17"/>
        <v>5</v>
      </c>
      <c r="D65" s="82">
        <f t="shared" si="17"/>
        <v>5</v>
      </c>
      <c r="E65" s="82">
        <f t="shared" si="17"/>
        <v>5</v>
      </c>
      <c r="F65" s="82">
        <f t="shared" si="17"/>
        <v>5</v>
      </c>
      <c r="G65" s="83">
        <f t="shared" si="17"/>
        <v>5</v>
      </c>
      <c r="H65" s="82">
        <f t="shared" si="17"/>
        <v>5</v>
      </c>
      <c r="I65" s="82">
        <f t="shared" si="17"/>
        <v>5</v>
      </c>
      <c r="J65" s="82">
        <f t="shared" si="17"/>
        <v>5</v>
      </c>
      <c r="K65" s="82">
        <f t="shared" si="17"/>
        <v>5</v>
      </c>
      <c r="L65" s="82">
        <f t="shared" si="17"/>
        <v>5</v>
      </c>
      <c r="M65" s="82">
        <f t="shared" si="17"/>
        <v>5</v>
      </c>
      <c r="N65" s="82">
        <f t="shared" si="17"/>
        <v>5</v>
      </c>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row>
    <row r="66" spans="1:44" s="82" customFormat="1">
      <c r="A66" s="84" t="s">
        <v>67</v>
      </c>
      <c r="G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row>
    <row r="67" spans="1:44" s="82" customFormat="1">
      <c r="A67" s="82" t="s">
        <v>68</v>
      </c>
      <c r="B67" s="82">
        <f t="shared" ref="B67:N67" si="18">B238*(B203+B207)-B60-B63</f>
        <v>6.2463714940942161E-2</v>
      </c>
      <c r="C67" s="82">
        <f t="shared" si="18"/>
        <v>7.8433635136688773E-2</v>
      </c>
      <c r="D67" s="82">
        <f t="shared" si="18"/>
        <v>6.9941951329370866E-2</v>
      </c>
      <c r="E67" s="82">
        <f t="shared" si="18"/>
        <v>4.3985279355689189E-2</v>
      </c>
      <c r="F67" s="82">
        <f t="shared" si="18"/>
        <v>9.0319814050367597E-2</v>
      </c>
      <c r="G67" s="83">
        <f t="shared" si="18"/>
        <v>4.4684731664457411E-2</v>
      </c>
      <c r="H67" s="82">
        <f t="shared" si="18"/>
        <v>8.2685163080941759E-2</v>
      </c>
      <c r="I67" s="82">
        <f t="shared" si="18"/>
        <v>0.11993040078605799</v>
      </c>
      <c r="J67" s="82">
        <f t="shared" si="18"/>
        <v>5.7831570446026825E-2</v>
      </c>
      <c r="K67" s="82">
        <f t="shared" si="18"/>
        <v>6.4927309708801451E-2</v>
      </c>
      <c r="L67" s="82">
        <f t="shared" si="18"/>
        <v>5.879910986739012E-2</v>
      </c>
      <c r="M67" s="82">
        <f t="shared" si="18"/>
        <v>6.7875180034743021E-2</v>
      </c>
      <c r="N67" s="82">
        <f t="shared" si="18"/>
        <v>2.7046543192498662E-2</v>
      </c>
      <c r="O67" s="83" t="s">
        <v>177</v>
      </c>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row>
    <row r="68" spans="1:44" s="82" customFormat="1">
      <c r="A68" s="82" t="s">
        <v>66</v>
      </c>
      <c r="B68" s="82">
        <f t="shared" ref="B68:N68" si="19">IF(B$238*(B208+B212+B204)-B64&lt;2-B67,B$238*(B208+B212+B204)-B64,2-B67)</f>
        <v>1.8370485127635703</v>
      </c>
      <c r="C68" s="82">
        <f t="shared" si="19"/>
        <v>1.8071735848047052</v>
      </c>
      <c r="D68" s="82">
        <f t="shared" si="19"/>
        <v>1.8296900957143807</v>
      </c>
      <c r="E68" s="82">
        <f t="shared" si="19"/>
        <v>1.8229168737517552</v>
      </c>
      <c r="F68" s="82">
        <f t="shared" si="19"/>
        <v>1.7840341590821067</v>
      </c>
      <c r="G68" s="83">
        <f t="shared" si="19"/>
        <v>1.8325563497159612</v>
      </c>
      <c r="H68" s="82">
        <f t="shared" si="19"/>
        <v>1.8122289945904084</v>
      </c>
      <c r="I68" s="82">
        <f t="shared" si="19"/>
        <v>1.7480840999981277</v>
      </c>
      <c r="J68" s="82">
        <f t="shared" si="19"/>
        <v>1.7650309314896031</v>
      </c>
      <c r="K68" s="82">
        <f t="shared" si="19"/>
        <v>1.8252490865494175</v>
      </c>
      <c r="L68" s="82">
        <f t="shared" si="19"/>
        <v>1.8619126719831867</v>
      </c>
      <c r="M68" s="82">
        <f t="shared" si="19"/>
        <v>1.8610455503458194</v>
      </c>
      <c r="N68" s="82">
        <f t="shared" si="19"/>
        <v>1.8534857295914307</v>
      </c>
      <c r="O68" s="83" t="s">
        <v>178</v>
      </c>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row>
    <row r="69" spans="1:44" s="82" customFormat="1">
      <c r="A69" s="82" t="s">
        <v>69</v>
      </c>
      <c r="B69" s="84">
        <f t="shared" ref="B69:N69" si="20">IF(B67+B68&gt;=2,0,2-B67-B68)</f>
        <v>0.10048777229548755</v>
      </c>
      <c r="C69" s="84">
        <f t="shared" si="20"/>
        <v>0.11439278005860598</v>
      </c>
      <c r="D69" s="84">
        <f t="shared" si="20"/>
        <v>0.10036795295624845</v>
      </c>
      <c r="E69" s="84">
        <f t="shared" si="20"/>
        <v>0.13309784689255566</v>
      </c>
      <c r="F69" s="84">
        <f t="shared" si="20"/>
        <v>0.12564602686752568</v>
      </c>
      <c r="G69" s="85">
        <f t="shared" si="20"/>
        <v>0.12275891861958144</v>
      </c>
      <c r="H69" s="84">
        <f t="shared" si="20"/>
        <v>0.10508584232864981</v>
      </c>
      <c r="I69" s="84">
        <f t="shared" si="20"/>
        <v>0.13198549921581426</v>
      </c>
      <c r="J69" s="84">
        <f t="shared" si="20"/>
        <v>0.17713749806437007</v>
      </c>
      <c r="K69" s="84">
        <f t="shared" si="20"/>
        <v>0.10982360374178102</v>
      </c>
      <c r="L69" s="84">
        <f t="shared" si="20"/>
        <v>7.9288218149423217E-2</v>
      </c>
      <c r="M69" s="84">
        <f t="shared" si="20"/>
        <v>7.1079269619437557E-2</v>
      </c>
      <c r="N69" s="84">
        <f t="shared" si="20"/>
        <v>0.11946772721607068</v>
      </c>
      <c r="O69" s="83" t="s">
        <v>179</v>
      </c>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row>
    <row r="70" spans="1:44" s="82" customFormat="1">
      <c r="B70" s="82">
        <f t="shared" ref="B70:N70" si="21">SUM(B67:B69)</f>
        <v>2</v>
      </c>
      <c r="C70" s="82">
        <f t="shared" si="21"/>
        <v>2</v>
      </c>
      <c r="D70" s="82">
        <f t="shared" si="21"/>
        <v>2</v>
      </c>
      <c r="E70" s="82">
        <f t="shared" si="21"/>
        <v>2</v>
      </c>
      <c r="F70" s="82">
        <f t="shared" si="21"/>
        <v>2</v>
      </c>
      <c r="G70" s="83">
        <f t="shared" si="21"/>
        <v>2</v>
      </c>
      <c r="H70" s="82">
        <f t="shared" si="21"/>
        <v>2</v>
      </c>
      <c r="I70" s="82">
        <f t="shared" si="21"/>
        <v>2</v>
      </c>
      <c r="J70" s="82">
        <f t="shared" si="21"/>
        <v>2</v>
      </c>
      <c r="K70" s="82">
        <f t="shared" si="21"/>
        <v>2</v>
      </c>
      <c r="L70" s="82">
        <f t="shared" si="21"/>
        <v>2</v>
      </c>
      <c r="M70" s="82">
        <f t="shared" si="21"/>
        <v>2</v>
      </c>
      <c r="N70" s="82">
        <f t="shared" si="21"/>
        <v>2</v>
      </c>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row>
    <row r="71" spans="1:44" s="82" customFormat="1">
      <c r="A71" s="84" t="s">
        <v>70</v>
      </c>
      <c r="G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row>
    <row r="72" spans="1:44" s="82" customFormat="1">
      <c r="A72" s="86" t="s">
        <v>66</v>
      </c>
      <c r="B72" s="82">
        <f t="shared" ref="B72:N72" si="22">IF(B69&gt;=0,0,B238*(B212+B208+B204)-B68-B64)</f>
        <v>0</v>
      </c>
      <c r="C72" s="82">
        <f t="shared" si="22"/>
        <v>0</v>
      </c>
      <c r="D72" s="82">
        <f t="shared" si="22"/>
        <v>0</v>
      </c>
      <c r="E72" s="82">
        <f t="shared" si="22"/>
        <v>0</v>
      </c>
      <c r="F72" s="82">
        <f t="shared" si="22"/>
        <v>0</v>
      </c>
      <c r="G72" s="83">
        <f t="shared" si="22"/>
        <v>0</v>
      </c>
      <c r="H72" s="82">
        <f t="shared" si="22"/>
        <v>0</v>
      </c>
      <c r="I72" s="82">
        <f t="shared" si="22"/>
        <v>0</v>
      </c>
      <c r="J72" s="82">
        <f t="shared" si="22"/>
        <v>0</v>
      </c>
      <c r="K72" s="82">
        <f t="shared" si="22"/>
        <v>0</v>
      </c>
      <c r="L72" s="82">
        <f t="shared" si="22"/>
        <v>0</v>
      </c>
      <c r="M72" s="82">
        <f t="shared" si="22"/>
        <v>0</v>
      </c>
      <c r="N72" s="82">
        <f t="shared" si="22"/>
        <v>0</v>
      </c>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row>
    <row r="73" spans="1:44" s="82" customFormat="1">
      <c r="A73" s="82" t="s">
        <v>69</v>
      </c>
      <c r="B73" s="82">
        <f t="shared" ref="B73:N73" si="23">B238*(B209+B213)-B69</f>
        <v>0.28958758290661468</v>
      </c>
      <c r="C73" s="82">
        <f t="shared" si="23"/>
        <v>0.31177490942472946</v>
      </c>
      <c r="D73" s="82">
        <f t="shared" si="23"/>
        <v>0.31956876622224623</v>
      </c>
      <c r="E73" s="82">
        <f t="shared" si="23"/>
        <v>0.27558731689035759</v>
      </c>
      <c r="F73" s="82">
        <f t="shared" si="23"/>
        <v>0.2260656199202663</v>
      </c>
      <c r="G73" s="83">
        <f t="shared" si="23"/>
        <v>0.23050432927981468</v>
      </c>
      <c r="H73" s="82">
        <f t="shared" si="23"/>
        <v>0.24365966714511073</v>
      </c>
      <c r="I73" s="82">
        <f t="shared" si="23"/>
        <v>0.18548442576900881</v>
      </c>
      <c r="J73" s="82">
        <f t="shared" si="23"/>
        <v>0.1839635936606247</v>
      </c>
      <c r="K73" s="82">
        <f t="shared" si="23"/>
        <v>0.19663042130879799</v>
      </c>
      <c r="L73" s="82">
        <f t="shared" si="23"/>
        <v>0.25735507090242637</v>
      </c>
      <c r="M73" s="82">
        <f t="shared" si="23"/>
        <v>0.3126517383650711</v>
      </c>
      <c r="N73" s="82">
        <f t="shared" si="23"/>
        <v>0.31248542906764176</v>
      </c>
      <c r="O73" s="83" t="s">
        <v>180</v>
      </c>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row>
    <row r="74" spans="1:44" s="82" customFormat="1">
      <c r="A74" s="82" t="s">
        <v>71</v>
      </c>
      <c r="B74" s="84">
        <f t="shared" ref="B74:N74" si="24">B238*B214</f>
        <v>0.16985048707008735</v>
      </c>
      <c r="C74" s="84">
        <f t="shared" si="24"/>
        <v>0.17740294155211209</v>
      </c>
      <c r="D74" s="84">
        <f t="shared" si="24"/>
        <v>0.1785684810268742</v>
      </c>
      <c r="E74" s="84">
        <f t="shared" si="24"/>
        <v>0.16518627909136771</v>
      </c>
      <c r="F74" s="84">
        <f t="shared" si="24"/>
        <v>0.13170260390313504</v>
      </c>
      <c r="G74" s="85">
        <f t="shared" si="24"/>
        <v>0.11059703061834136</v>
      </c>
      <c r="H74" s="84">
        <f t="shared" si="24"/>
        <v>0.10918265066810108</v>
      </c>
      <c r="I74" s="84">
        <f t="shared" si="24"/>
        <v>0.1053858543125534</v>
      </c>
      <c r="J74" s="84">
        <f t="shared" si="24"/>
        <v>0.11787826852870453</v>
      </c>
      <c r="K74" s="84">
        <f t="shared" si="24"/>
        <v>9.8953720332655551E-2</v>
      </c>
      <c r="L74" s="84">
        <f t="shared" si="24"/>
        <v>0.12551982088259012</v>
      </c>
      <c r="M74" s="84">
        <f t="shared" si="24"/>
        <v>0.1300127276234917</v>
      </c>
      <c r="N74" s="84">
        <f t="shared" si="24"/>
        <v>0.1671869647357129</v>
      </c>
      <c r="O74" s="83" t="s">
        <v>181</v>
      </c>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row>
    <row r="75" spans="1:44" s="82" customFormat="1">
      <c r="A75" s="82" t="s">
        <v>72</v>
      </c>
      <c r="B75" s="82">
        <f t="shared" ref="B75:N75" si="25">B73+B74+B72</f>
        <v>0.459438069976702</v>
      </c>
      <c r="C75" s="82">
        <f t="shared" si="25"/>
        <v>0.48917785097684152</v>
      </c>
      <c r="D75" s="82">
        <f t="shared" si="25"/>
        <v>0.49813724724912045</v>
      </c>
      <c r="E75" s="82">
        <f t="shared" si="25"/>
        <v>0.44077359598172527</v>
      </c>
      <c r="F75" s="82">
        <f t="shared" si="25"/>
        <v>0.35776822382340134</v>
      </c>
      <c r="G75" s="83">
        <f t="shared" si="25"/>
        <v>0.34110135989815604</v>
      </c>
      <c r="H75" s="82">
        <f t="shared" si="25"/>
        <v>0.35284231781321179</v>
      </c>
      <c r="I75" s="82">
        <f t="shared" si="25"/>
        <v>0.29087028008156224</v>
      </c>
      <c r="J75" s="82">
        <f t="shared" si="25"/>
        <v>0.30184186218932924</v>
      </c>
      <c r="K75" s="82">
        <f t="shared" si="25"/>
        <v>0.29558414164145352</v>
      </c>
      <c r="L75" s="82">
        <f t="shared" si="25"/>
        <v>0.38287489178501649</v>
      </c>
      <c r="M75" s="82">
        <f t="shared" si="25"/>
        <v>0.44266446598856279</v>
      </c>
      <c r="N75" s="82">
        <f t="shared" si="25"/>
        <v>0.47967239380335469</v>
      </c>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row>
    <row r="76" spans="1:44" s="82" customFormat="1">
      <c r="G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row>
    <row r="77" spans="1:44" s="82" customFormat="1">
      <c r="A77" s="84" t="s">
        <v>73</v>
      </c>
      <c r="G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row>
    <row r="78" spans="1:44" s="82" customFormat="1">
      <c r="A78" s="82" t="s">
        <v>74</v>
      </c>
      <c r="B78" s="82">
        <v>0</v>
      </c>
      <c r="C78" s="82">
        <v>0</v>
      </c>
      <c r="D78" s="82">
        <v>0</v>
      </c>
      <c r="E78" s="82">
        <v>0</v>
      </c>
      <c r="F78" s="82">
        <v>0</v>
      </c>
      <c r="G78" s="83">
        <v>0</v>
      </c>
      <c r="H78" s="82">
        <v>0</v>
      </c>
      <c r="I78" s="82">
        <v>0</v>
      </c>
      <c r="J78" s="82">
        <v>0</v>
      </c>
      <c r="K78" s="82">
        <v>0</v>
      </c>
      <c r="L78" s="82">
        <v>0</v>
      </c>
      <c r="M78" s="82">
        <v>0</v>
      </c>
      <c r="N78" s="82">
        <v>0</v>
      </c>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row>
    <row r="79" spans="1:44" s="82" customFormat="1">
      <c r="A79" s="82" t="s">
        <v>75</v>
      </c>
      <c r="B79" s="82">
        <f t="shared" ref="B79:N79" si="26">2-(B78+B80+B81)</f>
        <v>2</v>
      </c>
      <c r="C79" s="82">
        <f t="shared" si="26"/>
        <v>2</v>
      </c>
      <c r="D79" s="82">
        <f t="shared" si="26"/>
        <v>2</v>
      </c>
      <c r="E79" s="82">
        <f t="shared" si="26"/>
        <v>2</v>
      </c>
      <c r="F79" s="82">
        <f t="shared" si="26"/>
        <v>2</v>
      </c>
      <c r="G79" s="83">
        <f t="shared" si="26"/>
        <v>2</v>
      </c>
      <c r="H79" s="82">
        <f t="shared" si="26"/>
        <v>2</v>
      </c>
      <c r="I79" s="82">
        <f t="shared" si="26"/>
        <v>2</v>
      </c>
      <c r="J79" s="82">
        <f t="shared" si="26"/>
        <v>2</v>
      </c>
      <c r="K79" s="82">
        <f t="shared" si="26"/>
        <v>2</v>
      </c>
      <c r="L79" s="82">
        <f t="shared" si="26"/>
        <v>2</v>
      </c>
      <c r="M79" s="82">
        <f t="shared" si="26"/>
        <v>2</v>
      </c>
      <c r="N79" s="82">
        <f t="shared" si="26"/>
        <v>2</v>
      </c>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row>
    <row r="80" spans="1:44" s="82" customFormat="1">
      <c r="A80" s="82" t="s">
        <v>108</v>
      </c>
      <c r="B80" s="82">
        <f t="shared" ref="B80:N80" si="27">B220</f>
        <v>0</v>
      </c>
      <c r="C80" s="82">
        <f t="shared" si="27"/>
        <v>0</v>
      </c>
      <c r="D80" s="82">
        <f t="shared" si="27"/>
        <v>0</v>
      </c>
      <c r="E80" s="82">
        <f t="shared" si="27"/>
        <v>0</v>
      </c>
      <c r="F80" s="82">
        <f t="shared" si="27"/>
        <v>0</v>
      </c>
      <c r="G80" s="83">
        <f t="shared" si="27"/>
        <v>0</v>
      </c>
      <c r="H80" s="82">
        <f t="shared" si="27"/>
        <v>0</v>
      </c>
      <c r="I80" s="82">
        <f t="shared" si="27"/>
        <v>0</v>
      </c>
      <c r="J80" s="82">
        <f t="shared" si="27"/>
        <v>0</v>
      </c>
      <c r="K80" s="82">
        <f t="shared" si="27"/>
        <v>0</v>
      </c>
      <c r="L80" s="82">
        <f t="shared" si="27"/>
        <v>0</v>
      </c>
      <c r="M80" s="82">
        <f t="shared" si="27"/>
        <v>0</v>
      </c>
      <c r="N80" s="82">
        <f t="shared" si="27"/>
        <v>0</v>
      </c>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row>
    <row r="81" spans="1:44" s="82" customFormat="1">
      <c r="A81" s="82" t="s">
        <v>109</v>
      </c>
      <c r="B81" s="84">
        <f t="shared" ref="B81:N81" si="28">B221</f>
        <v>0</v>
      </c>
      <c r="C81" s="84">
        <f t="shared" si="28"/>
        <v>0</v>
      </c>
      <c r="D81" s="84">
        <f t="shared" si="28"/>
        <v>0</v>
      </c>
      <c r="E81" s="84">
        <f t="shared" si="28"/>
        <v>0</v>
      </c>
      <c r="F81" s="84">
        <f t="shared" si="28"/>
        <v>0</v>
      </c>
      <c r="G81" s="85">
        <f t="shared" si="28"/>
        <v>0</v>
      </c>
      <c r="H81" s="84">
        <f t="shared" si="28"/>
        <v>0</v>
      </c>
      <c r="I81" s="84">
        <f t="shared" si="28"/>
        <v>0</v>
      </c>
      <c r="J81" s="84">
        <f t="shared" si="28"/>
        <v>0</v>
      </c>
      <c r="K81" s="84">
        <f t="shared" si="28"/>
        <v>0</v>
      </c>
      <c r="L81" s="84">
        <f t="shared" si="28"/>
        <v>0</v>
      </c>
      <c r="M81" s="84">
        <f t="shared" si="28"/>
        <v>0</v>
      </c>
      <c r="N81" s="84">
        <f t="shared" si="28"/>
        <v>0</v>
      </c>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row>
    <row r="82" spans="1:44" s="82" customFormat="1">
      <c r="B82" s="82">
        <f t="shared" ref="B82:N82" si="29">SUM(B78:B81)</f>
        <v>2</v>
      </c>
      <c r="C82" s="82">
        <f t="shared" si="29"/>
        <v>2</v>
      </c>
      <c r="D82" s="82">
        <f t="shared" si="29"/>
        <v>2</v>
      </c>
      <c r="E82" s="82">
        <f t="shared" si="29"/>
        <v>2</v>
      </c>
      <c r="F82" s="82">
        <f t="shared" si="29"/>
        <v>2</v>
      </c>
      <c r="G82" s="83">
        <f t="shared" si="29"/>
        <v>2</v>
      </c>
      <c r="H82" s="82">
        <f t="shared" si="29"/>
        <v>2</v>
      </c>
      <c r="I82" s="82">
        <f t="shared" si="29"/>
        <v>2</v>
      </c>
      <c r="J82" s="82">
        <f t="shared" si="29"/>
        <v>2</v>
      </c>
      <c r="K82" s="82">
        <f t="shared" si="29"/>
        <v>2</v>
      </c>
      <c r="L82" s="82">
        <f t="shared" si="29"/>
        <v>2</v>
      </c>
      <c r="M82" s="82">
        <f t="shared" si="29"/>
        <v>2</v>
      </c>
      <c r="N82" s="82">
        <f t="shared" si="29"/>
        <v>2</v>
      </c>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row>
    <row r="83" spans="1:44" s="82" customFormat="1">
      <c r="A83" s="82" t="s">
        <v>76</v>
      </c>
      <c r="B83" s="82">
        <f t="shared" ref="B83:N83" si="30">8+5+B70+B75</f>
        <v>15.459438069976702</v>
      </c>
      <c r="C83" s="82">
        <f t="shared" si="30"/>
        <v>15.489177850976841</v>
      </c>
      <c r="D83" s="82">
        <f t="shared" si="30"/>
        <v>15.498137247249121</v>
      </c>
      <c r="E83" s="82">
        <f t="shared" si="30"/>
        <v>15.440773595981724</v>
      </c>
      <c r="F83" s="82">
        <f t="shared" si="30"/>
        <v>15.357768223823401</v>
      </c>
      <c r="G83" s="83">
        <f t="shared" si="30"/>
        <v>15.341101359898156</v>
      </c>
      <c r="H83" s="82">
        <f t="shared" si="30"/>
        <v>15.352842317813211</v>
      </c>
      <c r="I83" s="82">
        <f t="shared" si="30"/>
        <v>15.290870280081561</v>
      </c>
      <c r="J83" s="82">
        <f t="shared" si="30"/>
        <v>15.301841862189329</v>
      </c>
      <c r="K83" s="82">
        <f t="shared" si="30"/>
        <v>15.295584141641454</v>
      </c>
      <c r="L83" s="82">
        <f t="shared" si="30"/>
        <v>15.382874891785017</v>
      </c>
      <c r="M83" s="82">
        <f t="shared" si="30"/>
        <v>15.442664465988562</v>
      </c>
      <c r="N83" s="82">
        <f t="shared" si="30"/>
        <v>15.479672393803355</v>
      </c>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row>
    <row r="84" spans="1:44" s="82" customFormat="1">
      <c r="A84" s="82" t="s">
        <v>77</v>
      </c>
      <c r="B84" s="82">
        <f t="shared" ref="B84:N84" si="31">(B52+B59)*4+(B53+B58+B60)*3+(B61+B62+B63+B64+B67+B68+B72)*2+B69+B73+B74</f>
        <v>45.999999999999993</v>
      </c>
      <c r="C84" s="82">
        <f t="shared" si="31"/>
        <v>45.999999999999993</v>
      </c>
      <c r="D84" s="82">
        <f t="shared" si="31"/>
        <v>46</v>
      </c>
      <c r="E84" s="82">
        <f t="shared" si="31"/>
        <v>45.999999999999986</v>
      </c>
      <c r="F84" s="82">
        <f t="shared" si="31"/>
        <v>45.999999999999993</v>
      </c>
      <c r="G84" s="83">
        <f t="shared" si="31"/>
        <v>46.000000000000007</v>
      </c>
      <c r="H84" s="82">
        <f t="shared" si="31"/>
        <v>45.999999999999986</v>
      </c>
      <c r="I84" s="82">
        <f t="shared" si="31"/>
        <v>46</v>
      </c>
      <c r="J84" s="82">
        <f t="shared" si="31"/>
        <v>46</v>
      </c>
      <c r="K84" s="82">
        <f t="shared" si="31"/>
        <v>45.999999999999986</v>
      </c>
      <c r="L84" s="82">
        <f t="shared" si="31"/>
        <v>46</v>
      </c>
      <c r="M84" s="82">
        <f t="shared" si="31"/>
        <v>46.000000000000007</v>
      </c>
      <c r="N84" s="82">
        <f t="shared" si="31"/>
        <v>45.999999999999993</v>
      </c>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row>
    <row r="85" spans="1:44" s="82" customFormat="1">
      <c r="A85" s="82" t="s">
        <v>129</v>
      </c>
      <c r="B85" s="83">
        <f t="shared" ref="B85:N85" si="32">(B60+B63+B67)/(B60+B63+B67+B61)</f>
        <v>0.36842240299518364</v>
      </c>
      <c r="C85" s="83">
        <f t="shared" si="32"/>
        <v>0.37369246861924682</v>
      </c>
      <c r="D85" s="83">
        <f t="shared" si="32"/>
        <v>0.37215719640352291</v>
      </c>
      <c r="E85" s="83">
        <f t="shared" si="32"/>
        <v>0.37087230617964129</v>
      </c>
      <c r="F85" s="83">
        <f t="shared" si="32"/>
        <v>0.37729504593401858</v>
      </c>
      <c r="G85" s="83">
        <f t="shared" si="32"/>
        <v>0.34867899280526427</v>
      </c>
      <c r="H85" s="83">
        <f t="shared" si="32"/>
        <v>0.35817179792646436</v>
      </c>
      <c r="I85" s="83">
        <f t="shared" si="32"/>
        <v>0.34631952438025854</v>
      </c>
      <c r="J85" s="83">
        <f t="shared" si="32"/>
        <v>0.35961616259932228</v>
      </c>
      <c r="K85" s="83">
        <f t="shared" si="32"/>
        <v>0.34113685547224748</v>
      </c>
      <c r="L85" s="83">
        <f t="shared" si="32"/>
        <v>0.36362221224590574</v>
      </c>
      <c r="M85" s="83">
        <f t="shared" si="32"/>
        <v>0.36483224174951745</v>
      </c>
      <c r="N85" s="83">
        <f t="shared" si="32"/>
        <v>0.3795495864021059</v>
      </c>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row>
    <row r="86" spans="1:44" s="82" customFormat="1">
      <c r="A86" s="82" t="s">
        <v>130</v>
      </c>
      <c r="B86" s="83">
        <f t="shared" ref="B86:N86" si="33">B61/(B63+B67)</f>
        <v>2.2821700837474621</v>
      </c>
      <c r="C86" s="83">
        <f t="shared" si="33"/>
        <v>2.1872581663763255</v>
      </c>
      <c r="D86" s="83">
        <f t="shared" si="33"/>
        <v>2.1260321030956679</v>
      </c>
      <c r="E86" s="83">
        <f t="shared" si="33"/>
        <v>2.2065644389095627</v>
      </c>
      <c r="F86" s="83">
        <f t="shared" si="33"/>
        <v>2.1974128764917058</v>
      </c>
      <c r="G86" s="83">
        <f t="shared" si="33"/>
        <v>2.4808833196163271</v>
      </c>
      <c r="H86" s="83">
        <f t="shared" si="33"/>
        <v>2.5120010495103435</v>
      </c>
      <c r="I86" s="83">
        <f t="shared" si="33"/>
        <v>2.6138692464061259</v>
      </c>
      <c r="J86" s="83">
        <f t="shared" si="33"/>
        <v>2.5217073245191219</v>
      </c>
      <c r="K86" s="83">
        <f t="shared" si="33"/>
        <v>2.736803890820533</v>
      </c>
      <c r="L86" s="83">
        <f t="shared" si="33"/>
        <v>2.2964363563462511</v>
      </c>
      <c r="M86" s="83">
        <f t="shared" si="33"/>
        <v>2.3201671669474466</v>
      </c>
      <c r="N86" s="83">
        <f t="shared" si="33"/>
        <v>2.1862128802476124</v>
      </c>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row>
    <row r="87" spans="1:44" s="82" customFormat="1">
      <c r="A87" s="82" t="s">
        <v>131</v>
      </c>
      <c r="B87" s="83">
        <f t="shared" ref="B87:N87" si="34">B61/(B60+B63+B67)</f>
        <v>1.7142757657250092</v>
      </c>
      <c r="C87" s="83">
        <f t="shared" si="34"/>
        <v>1.6759972008397479</v>
      </c>
      <c r="D87" s="83">
        <f t="shared" si="34"/>
        <v>1.6870365793376174</v>
      </c>
      <c r="E87" s="83">
        <f t="shared" si="34"/>
        <v>1.6963458401653344</v>
      </c>
      <c r="F87" s="83">
        <f t="shared" si="34"/>
        <v>1.6504456148488102</v>
      </c>
      <c r="G87" s="83">
        <f t="shared" si="34"/>
        <v>1.8679674446532997</v>
      </c>
      <c r="H87" s="83">
        <f t="shared" si="34"/>
        <v>1.7919562784932279</v>
      </c>
      <c r="I87" s="83">
        <f t="shared" si="34"/>
        <v>1.8875068530701751</v>
      </c>
      <c r="J87" s="83">
        <f t="shared" si="34"/>
        <v>1.7807426473047083</v>
      </c>
      <c r="K87" s="83">
        <f t="shared" si="34"/>
        <v>1.931374854281475</v>
      </c>
      <c r="L87" s="83">
        <f t="shared" si="34"/>
        <v>1.7501070240553203</v>
      </c>
      <c r="M87" s="83">
        <f t="shared" si="34"/>
        <v>1.7409858163976886</v>
      </c>
      <c r="N87" s="83">
        <f t="shared" si="34"/>
        <v>1.634701856691186</v>
      </c>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row>
    <row r="88" spans="1:44" s="82" customFormat="1">
      <c r="A88" s="82" t="s">
        <v>132</v>
      </c>
      <c r="B88" s="83">
        <f t="shared" ref="B88:N88" si="35">B61/5</f>
        <v>0.60273051727009075</v>
      </c>
      <c r="C88" s="83">
        <f t="shared" si="35"/>
        <v>0.59897337255229244</v>
      </c>
      <c r="D88" s="83">
        <f t="shared" si="35"/>
        <v>0.60075538974041254</v>
      </c>
      <c r="E88" s="83">
        <f t="shared" si="35"/>
        <v>0.59549322050831366</v>
      </c>
      <c r="F88" s="83">
        <f t="shared" si="35"/>
        <v>0.59561550683106801</v>
      </c>
      <c r="G88" s="83">
        <f t="shared" si="35"/>
        <v>0.62801640131537884</v>
      </c>
      <c r="H88" s="83">
        <f t="shared" si="35"/>
        <v>0.62214669054906691</v>
      </c>
      <c r="I88" s="83">
        <f t="shared" si="35"/>
        <v>0.63707866058476059</v>
      </c>
      <c r="J88" s="83">
        <f t="shared" si="35"/>
        <v>0.61233495745597133</v>
      </c>
      <c r="K88" s="83">
        <f t="shared" si="35"/>
        <v>0.63728963131018446</v>
      </c>
      <c r="L88" s="83">
        <f t="shared" si="35"/>
        <v>0.61540036656850927</v>
      </c>
      <c r="M88" s="83">
        <f t="shared" si="35"/>
        <v>0.61674451194531499</v>
      </c>
      <c r="N88" s="83">
        <f t="shared" si="35"/>
        <v>0.58763674916647457</v>
      </c>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row>
    <row r="89" spans="1:44" s="82" customFormat="1">
      <c r="A89" s="82" t="s">
        <v>133</v>
      </c>
      <c r="B89" s="83">
        <f t="shared" ref="B89:N89" si="36">B79/B82</f>
        <v>1</v>
      </c>
      <c r="C89" s="83">
        <f t="shared" si="36"/>
        <v>1</v>
      </c>
      <c r="D89" s="83">
        <f t="shared" si="36"/>
        <v>1</v>
      </c>
      <c r="E89" s="83">
        <f t="shared" si="36"/>
        <v>1</v>
      </c>
      <c r="F89" s="83">
        <f t="shared" si="36"/>
        <v>1</v>
      </c>
      <c r="G89" s="83">
        <f t="shared" si="36"/>
        <v>1</v>
      </c>
      <c r="H89" s="83">
        <f t="shared" si="36"/>
        <v>1</v>
      </c>
      <c r="I89" s="83">
        <f t="shared" si="36"/>
        <v>1</v>
      </c>
      <c r="J89" s="83">
        <f t="shared" si="36"/>
        <v>1</v>
      </c>
      <c r="K89" s="83">
        <f t="shared" si="36"/>
        <v>1</v>
      </c>
      <c r="L89" s="83">
        <f t="shared" si="36"/>
        <v>1</v>
      </c>
      <c r="M89" s="83">
        <f t="shared" si="36"/>
        <v>1</v>
      </c>
      <c r="N89" s="83">
        <f t="shared" si="36"/>
        <v>1</v>
      </c>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row>
    <row r="90" spans="1:44" s="2" customFormat="1">
      <c r="A90"/>
      <c r="B90" s="12"/>
      <c r="C90" s="12"/>
      <c r="D90" s="12"/>
      <c r="E90" s="12"/>
      <c r="F90" s="12"/>
      <c r="G90" s="12"/>
      <c r="H90" s="12"/>
      <c r="I90" s="12"/>
      <c r="J90" s="12"/>
      <c r="K90" s="12"/>
      <c r="L90" s="12"/>
      <c r="M90" s="12"/>
      <c r="N90" s="12"/>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row>
    <row r="91" spans="1:44" s="2" customFormat="1">
      <c r="A91" t="s">
        <v>19</v>
      </c>
      <c r="B91" s="24">
        <f>(B52+B55+B59+B60+B61+B62+B63+B67)-13</f>
        <v>6.2463714940943049E-2</v>
      </c>
      <c r="C91" s="24">
        <f t="shared" ref="B91:N91" si="37">(C52+C55+C59+C60+C61+C62+C63+C67)-13</f>
        <v>7.8433635136690327E-2</v>
      </c>
      <c r="D91" s="24">
        <f t="shared" si="37"/>
        <v>6.9941951329370866E-2</v>
      </c>
      <c r="E91" s="24">
        <f t="shared" si="37"/>
        <v>4.3985279355691631E-2</v>
      </c>
      <c r="F91" s="24">
        <f t="shared" si="37"/>
        <v>9.0319814050367597E-2</v>
      </c>
      <c r="G91" s="24">
        <f t="shared" si="37"/>
        <v>4.4684731664457189E-2</v>
      </c>
      <c r="H91" s="24">
        <f t="shared" si="37"/>
        <v>8.2685163080942203E-2</v>
      </c>
      <c r="I91" s="24">
        <f t="shared" si="37"/>
        <v>0.11993040078605866</v>
      </c>
      <c r="J91" s="24">
        <f t="shared" si="37"/>
        <v>5.7831570446026603E-2</v>
      </c>
      <c r="K91" s="24">
        <f t="shared" si="37"/>
        <v>6.4927309708801673E-2</v>
      </c>
      <c r="L91" s="24">
        <f t="shared" si="37"/>
        <v>5.8799109867388566E-2</v>
      </c>
      <c r="M91" s="24">
        <f t="shared" si="37"/>
        <v>6.7875180034743465E-2</v>
      </c>
      <c r="N91" s="24">
        <f t="shared" si="37"/>
        <v>2.7046543192499328E-2</v>
      </c>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row>
    <row r="92" spans="1:44" s="2" customFormat="1">
      <c r="A92" t="s">
        <v>20</v>
      </c>
      <c r="B92" s="24">
        <f>(B52-4)/4</f>
        <v>0.71667520765736437</v>
      </c>
      <c r="C92" s="24">
        <f t="shared" ref="B92:N92" si="38">(C52-4)/4</f>
        <v>0.71274088432014704</v>
      </c>
      <c r="D92" s="24">
        <f t="shared" si="38"/>
        <v>0.72305891972913883</v>
      </c>
      <c r="E92" s="24">
        <f t="shared" si="38"/>
        <v>0.73175505645025329</v>
      </c>
      <c r="F92" s="24">
        <f t="shared" si="38"/>
        <v>0.74277224802205133</v>
      </c>
      <c r="G92" s="24">
        <f t="shared" si="38"/>
        <v>0.79621792558237248</v>
      </c>
      <c r="H92" s="24">
        <f t="shared" si="38"/>
        <v>0.76454378114404298</v>
      </c>
      <c r="I92" s="24">
        <f t="shared" si="38"/>
        <v>0.79184279336436036</v>
      </c>
      <c r="J92" s="24">
        <f t="shared" si="38"/>
        <v>0.77609360627947788</v>
      </c>
      <c r="K92" s="24">
        <f t="shared" si="38"/>
        <v>0.78539696045712959</v>
      </c>
      <c r="L92" s="24">
        <f t="shared" si="38"/>
        <v>0.7680449704567005</v>
      </c>
      <c r="M92" s="24">
        <f t="shared" si="38"/>
        <v>0.74534422398595068</v>
      </c>
      <c r="N92" s="24">
        <f t="shared" si="38"/>
        <v>0.70977583927015075</v>
      </c>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row>
    <row r="93" spans="1:44" s="2" customFormat="1">
      <c r="A93" s="2" t="s">
        <v>21</v>
      </c>
      <c r="B93" s="24">
        <f>(8-B52)/4</f>
        <v>0.28332479234263563</v>
      </c>
      <c r="C93" s="24">
        <f t="shared" ref="B93:N93" si="39">(8-C52)/4</f>
        <v>0.28725911567985296</v>
      </c>
      <c r="D93" s="24">
        <f t="shared" si="39"/>
        <v>0.27694108027086117</v>
      </c>
      <c r="E93" s="24">
        <f t="shared" si="39"/>
        <v>0.26824494354974671</v>
      </c>
      <c r="F93" s="24">
        <f t="shared" si="39"/>
        <v>0.25722775197794867</v>
      </c>
      <c r="G93" s="24">
        <f t="shared" si="39"/>
        <v>0.20378207441762752</v>
      </c>
      <c r="H93" s="24">
        <f t="shared" si="39"/>
        <v>0.23545621885595702</v>
      </c>
      <c r="I93" s="24">
        <f t="shared" si="39"/>
        <v>0.20815720663563964</v>
      </c>
      <c r="J93" s="24">
        <f t="shared" si="39"/>
        <v>0.22390639372052212</v>
      </c>
      <c r="K93" s="24">
        <f t="shared" si="39"/>
        <v>0.21460303954287041</v>
      </c>
      <c r="L93" s="24">
        <f t="shared" si="39"/>
        <v>0.2319550295432995</v>
      </c>
      <c r="M93" s="24">
        <f t="shared" si="39"/>
        <v>0.25465577601404932</v>
      </c>
      <c r="N93" s="24">
        <f t="shared" si="39"/>
        <v>0.29022416072984925</v>
      </c>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row>
    <row r="94" spans="1:44" s="2" customFormat="1">
      <c r="A94" s="2" t="s">
        <v>22</v>
      </c>
      <c r="B94" s="69">
        <f>(B52+B55-8)/2</f>
        <v>2.7160647676004679E-2</v>
      </c>
      <c r="C94" s="24">
        <f t="shared" ref="B94:N94" si="40">(C52+C55-8)/2</f>
        <v>3.0977217350454112E-2</v>
      </c>
      <c r="D94" s="24">
        <f t="shared" si="40"/>
        <v>2.7127822658788325E-2</v>
      </c>
      <c r="E94" s="24">
        <f t="shared" si="40"/>
        <v>3.592577985190637E-2</v>
      </c>
      <c r="F94" s="24">
        <f t="shared" si="40"/>
        <v>3.4076483804629021E-2</v>
      </c>
      <c r="G94" s="24">
        <f t="shared" si="40"/>
        <v>3.3280441093192614E-2</v>
      </c>
      <c r="H94" s="24">
        <f t="shared" si="40"/>
        <v>2.8421112155747608E-2</v>
      </c>
      <c r="I94" s="24">
        <f t="shared" si="40"/>
        <v>3.5826612230952293E-2</v>
      </c>
      <c r="J94" s="24">
        <f t="shared" si="40"/>
        <v>4.4916770574002562E-2</v>
      </c>
      <c r="K94" s="24">
        <f t="shared" si="40"/>
        <v>2.9721510787587668E-2</v>
      </c>
      <c r="L94" s="24">
        <f t="shared" si="40"/>
        <v>2.1369437455676099E-2</v>
      </c>
      <c r="M94" s="24">
        <f t="shared" si="40"/>
        <v>1.9135826642694198E-2</v>
      </c>
      <c r="N94" s="24">
        <f t="shared" si="40"/>
        <v>3.2373742922747084E-2</v>
      </c>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row>
    <row r="95" spans="1:44" s="2" customFormat="1">
      <c r="A95" s="2" t="s">
        <v>23</v>
      </c>
      <c r="B95" s="24">
        <f>3-B64-B68-B72-B69-B73-B74-B91</f>
        <v>0.54056193002329711</v>
      </c>
      <c r="C95" s="24">
        <f t="shared" ref="B95:N95" si="41">3-C64-C68-C72-C69-C73-C74-C91</f>
        <v>0.51082214902315681</v>
      </c>
      <c r="D95" s="24">
        <f t="shared" si="41"/>
        <v>0.50186275275087966</v>
      </c>
      <c r="E95" s="24">
        <f t="shared" si="41"/>
        <v>0.55922640401827228</v>
      </c>
      <c r="F95" s="24">
        <f t="shared" si="41"/>
        <v>0.64223177617659866</v>
      </c>
      <c r="G95" s="24">
        <f t="shared" si="41"/>
        <v>0.65889864010184418</v>
      </c>
      <c r="H95" s="24">
        <f t="shared" si="41"/>
        <v>0.64715768218678771</v>
      </c>
      <c r="I95" s="24">
        <f t="shared" si="41"/>
        <v>0.7091297199184371</v>
      </c>
      <c r="J95" s="24">
        <f t="shared" si="41"/>
        <v>0.69815813781067093</v>
      </c>
      <c r="K95" s="24">
        <f t="shared" si="41"/>
        <v>0.70441585835854625</v>
      </c>
      <c r="L95" s="24">
        <f t="shared" si="41"/>
        <v>0.61712510821498512</v>
      </c>
      <c r="M95" s="24">
        <f t="shared" si="41"/>
        <v>0.55733553401143676</v>
      </c>
      <c r="N95" s="24">
        <f t="shared" si="41"/>
        <v>0.52032760619664464</v>
      </c>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row>
    <row r="96" spans="1:44" s="2" customFormat="1">
      <c r="A96" s="2" t="s">
        <v>24</v>
      </c>
      <c r="B96" s="69">
        <f>B64+B68+B72+B69+B73+B91-2</f>
        <v>0.28958758290661546</v>
      </c>
      <c r="C96" s="24">
        <f t="shared" ref="B96:N96" si="42">C64+C68+C72+C69+C73+C91-2</f>
        <v>0.31177490942473085</v>
      </c>
      <c r="D96" s="24">
        <f t="shared" si="42"/>
        <v>0.31956876622224639</v>
      </c>
      <c r="E96" s="24">
        <f t="shared" si="42"/>
        <v>0.27558731689035998</v>
      </c>
      <c r="F96" s="24">
        <f t="shared" si="42"/>
        <v>0.22606561992026641</v>
      </c>
      <c r="G96" s="24">
        <f t="shared" si="42"/>
        <v>0.23050432927981435</v>
      </c>
      <c r="H96" s="24">
        <f t="shared" si="42"/>
        <v>0.24365966714511123</v>
      </c>
      <c r="I96" s="24">
        <f t="shared" si="42"/>
        <v>0.18548442576900959</v>
      </c>
      <c r="J96" s="24">
        <f t="shared" si="42"/>
        <v>0.18396359366062454</v>
      </c>
      <c r="K96" s="24">
        <f t="shared" si="42"/>
        <v>0.19663042130879838</v>
      </c>
      <c r="L96" s="24">
        <f t="shared" si="42"/>
        <v>0.25735507090242482</v>
      </c>
      <c r="M96" s="24">
        <f t="shared" si="42"/>
        <v>0.31265173836507154</v>
      </c>
      <c r="N96" s="24">
        <f t="shared" si="42"/>
        <v>0.31248542906764243</v>
      </c>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row>
    <row r="97" spans="1:44" s="2" customFormat="1">
      <c r="A97" s="2" t="s">
        <v>25</v>
      </c>
      <c r="B97" s="70">
        <f>(2-B64-B68-B72-B91)/2</f>
        <v>5.0243886147743333E-2</v>
      </c>
      <c r="C97" s="24">
        <f t="shared" ref="B97:N97" si="43">(2-C64-C68-C72-C91)/2</f>
        <v>5.7196390029302213E-2</v>
      </c>
      <c r="D97" s="24">
        <f t="shared" si="43"/>
        <v>5.0183976478124226E-2</v>
      </c>
      <c r="E97" s="24">
        <f t="shared" si="43"/>
        <v>6.6548923446276609E-2</v>
      </c>
      <c r="F97" s="24">
        <f t="shared" si="43"/>
        <v>6.2823013433762842E-2</v>
      </c>
      <c r="G97" s="24">
        <f t="shared" si="43"/>
        <v>6.1379459309790829E-2</v>
      </c>
      <c r="H97" s="24">
        <f t="shared" si="43"/>
        <v>5.2542921164324685E-2</v>
      </c>
      <c r="I97" s="24">
        <f t="shared" si="43"/>
        <v>6.5992749607906798E-2</v>
      </c>
      <c r="J97" s="24">
        <f t="shared" si="43"/>
        <v>8.8568749032185146E-2</v>
      </c>
      <c r="K97" s="24">
        <f t="shared" si="43"/>
        <v>5.4911801870890398E-2</v>
      </c>
      <c r="L97" s="24">
        <f t="shared" si="43"/>
        <v>3.9644109074712386E-2</v>
      </c>
      <c r="M97" s="24">
        <f t="shared" si="43"/>
        <v>3.5539634809718557E-2</v>
      </c>
      <c r="N97" s="24">
        <f t="shared" si="43"/>
        <v>5.9733863608035009E-2</v>
      </c>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row>
    <row r="98" spans="1:44" s="2" customFormat="1">
      <c r="A98" s="2" t="s">
        <v>26</v>
      </c>
      <c r="B98" s="24">
        <f>(B64+B68+B72)/2</f>
        <v>0.91852425638178514</v>
      </c>
      <c r="C98" s="24">
        <f t="shared" ref="B98:N98" si="44">(C64+C68+C72)/2</f>
        <v>0.90358679240235262</v>
      </c>
      <c r="D98" s="24">
        <f t="shared" si="44"/>
        <v>0.91484504785719034</v>
      </c>
      <c r="E98" s="24">
        <f t="shared" si="44"/>
        <v>0.91145843687587758</v>
      </c>
      <c r="F98" s="24">
        <f t="shared" si="44"/>
        <v>0.89201707954105336</v>
      </c>
      <c r="G98" s="24">
        <f t="shared" si="44"/>
        <v>0.91627817485798058</v>
      </c>
      <c r="H98" s="24">
        <f t="shared" si="44"/>
        <v>0.90611449729520421</v>
      </c>
      <c r="I98" s="24">
        <f t="shared" si="44"/>
        <v>0.87404204999906387</v>
      </c>
      <c r="J98" s="24">
        <f t="shared" si="44"/>
        <v>0.88251546574480155</v>
      </c>
      <c r="K98" s="24">
        <f t="shared" si="44"/>
        <v>0.91262454327470877</v>
      </c>
      <c r="L98" s="24">
        <f t="shared" si="44"/>
        <v>0.93095633599159333</v>
      </c>
      <c r="M98" s="24">
        <f t="shared" si="44"/>
        <v>0.93052277517290971</v>
      </c>
      <c r="N98" s="24">
        <f t="shared" si="44"/>
        <v>0.92674286479571533</v>
      </c>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row>
    <row r="99" spans="1:44" s="2" customFormat="1">
      <c r="A99" s="2" t="s">
        <v>27</v>
      </c>
      <c r="B99" s="69">
        <f>B74</f>
        <v>0.16985048707008735</v>
      </c>
      <c r="C99" s="24">
        <f t="shared" ref="B99:N99" si="45">C74</f>
        <v>0.17740294155211209</v>
      </c>
      <c r="D99" s="24">
        <f t="shared" si="45"/>
        <v>0.1785684810268742</v>
      </c>
      <c r="E99" s="24">
        <f t="shared" si="45"/>
        <v>0.16518627909136771</v>
      </c>
      <c r="F99" s="24">
        <f t="shared" si="45"/>
        <v>0.13170260390313504</v>
      </c>
      <c r="G99" s="24">
        <f t="shared" si="45"/>
        <v>0.11059703061834136</v>
      </c>
      <c r="H99" s="24">
        <f t="shared" si="45"/>
        <v>0.10918265066810108</v>
      </c>
      <c r="I99" s="24">
        <f t="shared" si="45"/>
        <v>0.1053858543125534</v>
      </c>
      <c r="J99" s="24">
        <f t="shared" si="45"/>
        <v>0.11787826852870453</v>
      </c>
      <c r="K99" s="24">
        <f t="shared" si="45"/>
        <v>9.8953720332655551E-2</v>
      </c>
      <c r="L99" s="24">
        <f t="shared" si="45"/>
        <v>0.12551982088259012</v>
      </c>
      <c r="M99" s="24">
        <f t="shared" si="45"/>
        <v>0.1300127276234917</v>
      </c>
      <c r="N99" s="24">
        <f t="shared" si="45"/>
        <v>0.1671869647357129</v>
      </c>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row>
    <row r="100" spans="1:44" s="2" customFormat="1">
      <c r="A100" s="2" t="s">
        <v>28</v>
      </c>
      <c r="B100" s="69">
        <f>(27/256)*(B95*B92*B38)/(B96*B93)</f>
        <v>0.38893601043198889</v>
      </c>
      <c r="C100" s="24">
        <f t="shared" ref="B100:N100" si="46">(27/256)*(C95*C92*C38)/(C96*C93)</f>
        <v>0.33314341101727829</v>
      </c>
      <c r="D100" s="24">
        <f t="shared" si="46"/>
        <v>0.31914430951656186</v>
      </c>
      <c r="E100" s="24">
        <f t="shared" si="46"/>
        <v>0.43495337140384893</v>
      </c>
      <c r="F100" s="24">
        <f t="shared" si="46"/>
        <v>0.62467785873247272</v>
      </c>
      <c r="G100" s="24">
        <f t="shared" si="46"/>
        <v>0.86108628559232092</v>
      </c>
      <c r="H100" s="24">
        <f t="shared" si="46"/>
        <v>0.694012025381185</v>
      </c>
      <c r="I100" s="24">
        <f t="shared" si="46"/>
        <v>1.2071584696650224</v>
      </c>
      <c r="J100" s="24">
        <f t="shared" si="46"/>
        <v>1.0016835152535097</v>
      </c>
      <c r="K100" s="24">
        <f t="shared" si="46"/>
        <v>0.9886933266697675</v>
      </c>
      <c r="L100" s="24">
        <f t="shared" si="46"/>
        <v>0.64314420517131565</v>
      </c>
      <c r="M100" s="24">
        <f t="shared" si="46"/>
        <v>0.41160879065268691</v>
      </c>
      <c r="N100" s="24">
        <f t="shared" si="46"/>
        <v>0.30708922994716614</v>
      </c>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row>
    <row r="101" spans="1:44" s="2" customFormat="1">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row>
    <row r="102" spans="1:44" s="2" customFormat="1">
      <c r="A102" s="8" t="s">
        <v>29</v>
      </c>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row>
    <row r="103" spans="1:44" s="2" customFormat="1">
      <c r="A103" s="2" t="s">
        <v>30</v>
      </c>
      <c r="B103" s="24">
        <v>2</v>
      </c>
      <c r="C103" s="24">
        <v>2</v>
      </c>
      <c r="D103" s="24">
        <v>2</v>
      </c>
      <c r="E103" s="24">
        <v>2</v>
      </c>
      <c r="F103" s="24">
        <v>2</v>
      </c>
      <c r="G103" s="24">
        <v>2</v>
      </c>
      <c r="H103" s="24">
        <v>2</v>
      </c>
      <c r="I103" s="24">
        <v>2</v>
      </c>
      <c r="J103" s="24">
        <v>2</v>
      </c>
      <c r="K103" s="24">
        <v>2</v>
      </c>
      <c r="L103" s="24">
        <v>2</v>
      </c>
      <c r="M103" s="24">
        <v>2</v>
      </c>
      <c r="N103" s="24">
        <v>2</v>
      </c>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row>
    <row r="104" spans="1:44" s="7" customFormat="1">
      <c r="A104" s="26" t="s">
        <v>31</v>
      </c>
      <c r="B104" s="27">
        <f>((-76.95+B103*0.79+39.4*B$96+22.4*B$99+(41.5-2.89*B103)*B$94)/(-0.065-0.0083144*LN(B$100)))-273.15</f>
        <v>762.49483099085012</v>
      </c>
      <c r="C104" s="27">
        <f t="shared" ref="B104:N104" si="47">((-76.95+C103*0.79+39.4*C$96+22.4*C$99+(41.5-2.89*C103)*C$94)/(-0.065-0.0083144*LN(C$100)))-273.15</f>
        <v>765.24492074168359</v>
      </c>
      <c r="D104" s="27">
        <f t="shared" si="47"/>
        <v>768.39700453243734</v>
      </c>
      <c r="E104" s="27">
        <f t="shared" si="47"/>
        <v>751.82141457430782</v>
      </c>
      <c r="F104" s="27">
        <f t="shared" si="47"/>
        <v>746.62066951778684</v>
      </c>
      <c r="G104" s="27">
        <f t="shared" si="47"/>
        <v>709.05549787263624</v>
      </c>
      <c r="H104" s="27">
        <f t="shared" si="47"/>
        <v>732.43208911232011</v>
      </c>
      <c r="I104" s="27">
        <f t="shared" si="47"/>
        <v>694.64402660868802</v>
      </c>
      <c r="J104" s="27">
        <f t="shared" si="47"/>
        <v>709.36066307035912</v>
      </c>
      <c r="K104" s="27">
        <f t="shared" si="47"/>
        <v>718.20803633020932</v>
      </c>
      <c r="L104" s="27">
        <f t="shared" si="47"/>
        <v>732.15101946253378</v>
      </c>
      <c r="M104" s="27">
        <f t="shared" si="47"/>
        <v>758.71852673958722</v>
      </c>
      <c r="N104" s="27">
        <f t="shared" si="47"/>
        <v>780.72111958470953</v>
      </c>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row>
    <row r="105" spans="1:44" s="7" customFormat="1">
      <c r="A105" s="26" t="s">
        <v>32</v>
      </c>
      <c r="B105" s="27">
        <f>((78.44+3-33.6*B$97-(66.8-2.92*B103)*B$94+78.5*B$93+9.4*B$96)/(0.0721-0.0083144*LN((27*B$97*B$92*B$39)/(64*B$98*B$93*B$38))))-273.15</f>
        <v>684.99517544921798</v>
      </c>
      <c r="C105" s="27">
        <f t="shared" ref="B105:N105" si="48">((78.44+3-33.6*C$97-(66.8-2.92*C103)*C$94+78.5*C$93+9.4*C$96)/(0.0721-0.0083144*LN((27*C$97*C$92*C$39)/(64*C$98*C$93*C$38))))-273.15</f>
        <v>701.55779786446499</v>
      </c>
      <c r="D105" s="27">
        <f t="shared" si="48"/>
        <v>706.13496493348453</v>
      </c>
      <c r="E105" s="27">
        <f t="shared" si="48"/>
        <v>709.61109028112458</v>
      </c>
      <c r="F105" s="27">
        <f t="shared" si="48"/>
        <v>708.44000031321718</v>
      </c>
      <c r="G105" s="27">
        <f t="shared" si="48"/>
        <v>681.64329795064089</v>
      </c>
      <c r="H105" s="27">
        <f t="shared" si="48"/>
        <v>678.52050338604806</v>
      </c>
      <c r="I105" s="27">
        <f t="shared" si="48"/>
        <v>663.53357239034858</v>
      </c>
      <c r="J105" s="27">
        <f t="shared" si="48"/>
        <v>708.51298900213885</v>
      </c>
      <c r="K105" s="27">
        <f t="shared" si="48"/>
        <v>686.87774438154383</v>
      </c>
      <c r="L105" s="27">
        <f t="shared" si="48"/>
        <v>659.02691439118325</v>
      </c>
      <c r="M105" s="27">
        <f t="shared" si="48"/>
        <v>673.94696802534941</v>
      </c>
      <c r="N105" s="27">
        <f t="shared" si="48"/>
        <v>727.5087867185191</v>
      </c>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row>
    <row r="106" spans="1:44" s="2" customFormat="1">
      <c r="A106" t="s">
        <v>33</v>
      </c>
      <c r="B106" s="28">
        <f>(0.677*B103-48.98)/(-0.0429-0.008314*LN(B$38*(B$52-4)/(8-B$52)))-273.15</f>
        <v>707.60442654267899</v>
      </c>
      <c r="C106" s="28">
        <f t="shared" ref="B106:N106" si="49">(0.677*C103-48.98)/(-0.0429-0.008314*LN(C$38*(C$52-4)/(8-C$52)))-273.15</f>
        <v>711.72384978801063</v>
      </c>
      <c r="D106" s="28">
        <f t="shared" si="49"/>
        <v>711.81595186003062</v>
      </c>
      <c r="E106" s="28">
        <f t="shared" si="49"/>
        <v>702.87113144816828</v>
      </c>
      <c r="F106" s="28">
        <f t="shared" si="49"/>
        <v>698.64507882006467</v>
      </c>
      <c r="G106" s="28">
        <f t="shared" si="49"/>
        <v>649.38080653700376</v>
      </c>
      <c r="H106" s="28">
        <f t="shared" si="49"/>
        <v>671.00600233176249</v>
      </c>
      <c r="I106" s="28">
        <f t="shared" si="49"/>
        <v>642.44140971744412</v>
      </c>
      <c r="J106" s="28">
        <f t="shared" si="49"/>
        <v>669.44343083227159</v>
      </c>
      <c r="K106" s="28">
        <f t="shared" si="49"/>
        <v>662.57454411001777</v>
      </c>
      <c r="L106" s="28">
        <f t="shared" si="49"/>
        <v>666.96458030150222</v>
      </c>
      <c r="M106" s="28">
        <f t="shared" si="49"/>
        <v>690.65239730759617</v>
      </c>
      <c r="N106" s="28">
        <f t="shared" si="49"/>
        <v>728.53145693395777</v>
      </c>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row>
    <row r="107" spans="1:44" s="2" customFormat="1">
      <c r="A107"/>
      <c r="B107" s="28"/>
      <c r="C107" s="28"/>
      <c r="D107" s="28"/>
      <c r="E107" s="28"/>
      <c r="F107" s="28"/>
      <c r="G107" s="28"/>
      <c r="H107" s="28"/>
      <c r="I107" s="28"/>
      <c r="J107" s="28"/>
      <c r="K107" s="28"/>
      <c r="L107" s="28"/>
      <c r="M107" s="28"/>
      <c r="N107" s="28"/>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row>
    <row r="108" spans="1:44" s="2" customFormat="1">
      <c r="A108" s="2" t="s">
        <v>30</v>
      </c>
      <c r="B108" s="24">
        <v>8</v>
      </c>
      <c r="C108" s="24">
        <v>8</v>
      </c>
      <c r="D108" s="24">
        <v>8</v>
      </c>
      <c r="E108" s="24">
        <v>8</v>
      </c>
      <c r="F108" s="24">
        <v>8</v>
      </c>
      <c r="G108" s="24">
        <v>8</v>
      </c>
      <c r="H108" s="24">
        <v>8</v>
      </c>
      <c r="I108" s="24">
        <v>8</v>
      </c>
      <c r="J108" s="24">
        <v>8</v>
      </c>
      <c r="K108" s="24">
        <v>8</v>
      </c>
      <c r="L108" s="24">
        <v>8</v>
      </c>
      <c r="M108" s="24">
        <v>8</v>
      </c>
      <c r="N108" s="24">
        <v>8</v>
      </c>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row>
    <row r="109" spans="1:44" s="7" customFormat="1">
      <c r="A109" s="26" t="s">
        <v>31</v>
      </c>
      <c r="B109" s="27">
        <f>((-76.95+B108*0.79+39.4*B$96+22.4*B$99+(41.5-2.89*B108)*B$94)/(-0.065-0.0083144*LN(B$100)))-273.15</f>
        <v>687.79394386741501</v>
      </c>
      <c r="C109" s="27">
        <f t="shared" ref="B109:N109" si="50">((-76.95+C108*0.79+39.4*C$96+22.4*C$99+(41.5-2.89*C108)*C$94)/(-0.065-0.0083144*LN(C$100)))-273.15</f>
        <v>690.00713215389112</v>
      </c>
      <c r="D109" s="27">
        <f t="shared" si="50"/>
        <v>691.47278926178478</v>
      </c>
      <c r="E109" s="27">
        <f t="shared" si="50"/>
        <v>680.93333134624584</v>
      </c>
      <c r="F109" s="27">
        <f t="shared" si="50"/>
        <v>678.70030011198332</v>
      </c>
      <c r="G109" s="27">
        <f t="shared" si="50"/>
        <v>643.7614875946341</v>
      </c>
      <c r="H109" s="27">
        <f t="shared" si="50"/>
        <v>663.88835024639457</v>
      </c>
      <c r="I109" s="27">
        <f t="shared" si="50"/>
        <v>632.76848906439466</v>
      </c>
      <c r="J109" s="27">
        <f t="shared" si="50"/>
        <v>648.4331078890533</v>
      </c>
      <c r="K109" s="27">
        <f t="shared" si="50"/>
        <v>653.11907087024656</v>
      </c>
      <c r="L109" s="27">
        <f t="shared" si="50"/>
        <v>660.90621028265548</v>
      </c>
      <c r="M109" s="27">
        <f t="shared" si="50"/>
        <v>682.21338489600441</v>
      </c>
      <c r="N109" s="27">
        <f t="shared" si="50"/>
        <v>704.99901742164366</v>
      </c>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row>
    <row r="110" spans="1:44" s="7" customFormat="1">
      <c r="A110" s="26" t="s">
        <v>32</v>
      </c>
      <c r="B110" s="27">
        <f t="shared" ref="B110:N110" si="51">((78.44+3-33.6*B$97-(66.8-2.92*B108)*B$94+78.5*B$93+9.4*B$96)/(0.0721-0.0083144*LN((27*B$97*B$92*B$39)/(64*B$98*B$93*B$38))))-273.15</f>
        <v>689.41921218147843</v>
      </c>
      <c r="C110" s="27">
        <f t="shared" si="51"/>
        <v>706.68816758663934</v>
      </c>
      <c r="D110" s="27">
        <f t="shared" si="51"/>
        <v>710.66059939386412</v>
      </c>
      <c r="E110" s="27">
        <f t="shared" si="51"/>
        <v>715.75612202414891</v>
      </c>
      <c r="F110" s="27">
        <f t="shared" si="51"/>
        <v>714.32564190647292</v>
      </c>
      <c r="G110" s="27">
        <f t="shared" si="51"/>
        <v>687.47200580589538</v>
      </c>
      <c r="H110" s="27">
        <f t="shared" si="51"/>
        <v>683.32088161666161</v>
      </c>
      <c r="I110" s="27">
        <f t="shared" si="51"/>
        <v>669.71443763495574</v>
      </c>
      <c r="J110" s="27">
        <f t="shared" si="51"/>
        <v>716.6419633358762</v>
      </c>
      <c r="K110" s="27">
        <f t="shared" si="51"/>
        <v>692.05931420216177</v>
      </c>
      <c r="L110" s="27">
        <f t="shared" si="51"/>
        <v>662.53682047862208</v>
      </c>
      <c r="M110" s="27">
        <f t="shared" si="51"/>
        <v>677.05967570593498</v>
      </c>
      <c r="N110" s="27">
        <f t="shared" si="51"/>
        <v>733.00951302975113</v>
      </c>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row>
    <row r="111" spans="1:44" s="2" customFormat="1">
      <c r="A111" t="s">
        <v>33</v>
      </c>
      <c r="B111" s="28">
        <f t="shared" ref="B111:N111" si="52">(0.677*B108-48.98)/(-0.0429-0.008314*LN(B$38*(B$52-4)/(8-B$52)))-273.15</f>
        <v>623.95632507254993</v>
      </c>
      <c r="C111" s="28">
        <f t="shared" si="52"/>
        <v>627.72440457239509</v>
      </c>
      <c r="D111" s="28">
        <f t="shared" si="52"/>
        <v>627.80865130034783</v>
      </c>
      <c r="E111" s="28">
        <f t="shared" si="52"/>
        <v>619.62673057590393</v>
      </c>
      <c r="F111" s="28">
        <f t="shared" si="52"/>
        <v>615.76111606511756</v>
      </c>
      <c r="G111" s="28">
        <f t="shared" si="52"/>
        <v>570.69857128413105</v>
      </c>
      <c r="H111" s="28">
        <f t="shared" si="52"/>
        <v>590.47936391006795</v>
      </c>
      <c r="I111" s="28">
        <f t="shared" si="52"/>
        <v>564.35103248080316</v>
      </c>
      <c r="J111" s="28">
        <f t="shared" si="52"/>
        <v>589.05006342705826</v>
      </c>
      <c r="K111" s="28">
        <f t="shared" si="52"/>
        <v>582.7670209467268</v>
      </c>
      <c r="L111" s="28">
        <f t="shared" si="52"/>
        <v>586.78263293693863</v>
      </c>
      <c r="M111" s="28">
        <f t="shared" si="52"/>
        <v>608.45012674396582</v>
      </c>
      <c r="N111" s="28">
        <f t="shared" si="52"/>
        <v>643.09849850650767</v>
      </c>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row>
    <row r="112" spans="1:44" s="2" customFormat="1">
      <c r="A112"/>
      <c r="B112" s="28"/>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row>
    <row r="113" spans="1:44" s="2" customFormat="1">
      <c r="A113" s="8" t="s">
        <v>34</v>
      </c>
      <c r="B113" s="12"/>
      <c r="C113" s="12"/>
      <c r="D113" s="12"/>
      <c r="E113" s="12"/>
      <c r="F113" s="12"/>
      <c r="G113" s="12"/>
      <c r="H113" s="12"/>
      <c r="I113" s="12"/>
      <c r="J113" s="12"/>
      <c r="K113" s="12"/>
      <c r="L113" s="12"/>
      <c r="M113" s="12"/>
      <c r="N113" s="12"/>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row>
    <row r="114" spans="1:44" s="7" customFormat="1">
      <c r="A114" s="41" t="s">
        <v>35</v>
      </c>
      <c r="B114" s="25">
        <f t="shared" ref="B114:N114" si="53">4.76*B55-3.01</f>
        <v>2.6430734120793442</v>
      </c>
      <c r="C114" s="25">
        <f t="shared" si="53"/>
        <v>2.7543166717207264</v>
      </c>
      <c r="D114" s="25">
        <f t="shared" si="53"/>
        <v>2.5212150400688609</v>
      </c>
      <c r="E114" s="25">
        <f t="shared" si="53"/>
        <v>2.4393971493773217</v>
      </c>
      <c r="F114" s="25">
        <f t="shared" si="53"/>
        <v>2.2120245234802098</v>
      </c>
      <c r="G114" s="25">
        <f t="shared" si="53"/>
        <v>1.1868404961188252</v>
      </c>
      <c r="H114" s="25">
        <f t="shared" si="53"/>
        <v>1.743655394740137</v>
      </c>
      <c r="I114" s="25">
        <f t="shared" si="53"/>
        <v>1.2943825627812426</v>
      </c>
      <c r="J114" s="25">
        <f t="shared" si="53"/>
        <v>1.680785392303247</v>
      </c>
      <c r="K114" s="25">
        <f t="shared" si="53"/>
        <v>1.3589906555940869</v>
      </c>
      <c r="L114" s="25">
        <f t="shared" si="53"/>
        <v>1.609860807082458</v>
      </c>
      <c r="M114" s="25">
        <f t="shared" si="53"/>
        <v>2.020819044945946</v>
      </c>
      <c r="N114" s="25">
        <f t="shared" si="53"/>
        <v>2.8240660529208812</v>
      </c>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row>
    <row r="115" spans="1:44" s="7" customFormat="1">
      <c r="A115" s="26" t="s">
        <v>31</v>
      </c>
      <c r="B115" s="27">
        <f t="shared" ref="B115:N115" si="54">((-76.95+B114*0.79+39.4*B$96+22.4*B$99+(41.5-2.89*B$114)*B$94)/(-0.065-0.0083144*LN(B$100)))-273.15</f>
        <v>754.48847192954656</v>
      </c>
      <c r="C115" s="27">
        <f t="shared" si="54"/>
        <v>755.78606769582177</v>
      </c>
      <c r="D115" s="27">
        <f t="shared" si="54"/>
        <v>761.7146615416774</v>
      </c>
      <c r="E115" s="27">
        <f t="shared" si="54"/>
        <v>746.63007762510199</v>
      </c>
      <c r="F115" s="27">
        <f t="shared" si="54"/>
        <v>744.22053885814273</v>
      </c>
      <c r="G115" s="27">
        <f t="shared" si="54"/>
        <v>717.90457203998164</v>
      </c>
      <c r="H115" s="27">
        <f t="shared" si="54"/>
        <v>735.3605587260904</v>
      </c>
      <c r="I115" s="27">
        <f t="shared" si="54"/>
        <v>701.92076964677767</v>
      </c>
      <c r="J115" s="27">
        <f t="shared" si="54"/>
        <v>712.60215734121289</v>
      </c>
      <c r="K115" s="27">
        <f t="shared" si="54"/>
        <v>725.16180884313428</v>
      </c>
      <c r="L115" s="27">
        <f t="shared" si="54"/>
        <v>736.78358485470073</v>
      </c>
      <c r="M115" s="27">
        <f t="shared" si="54"/>
        <v>758.4530660751476</v>
      </c>
      <c r="N115" s="27">
        <f t="shared" si="54"/>
        <v>770.32111727664471</v>
      </c>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row>
    <row r="116" spans="1:44" s="7" customFormat="1">
      <c r="A116" s="26" t="s">
        <v>32</v>
      </c>
      <c r="B116" s="27">
        <f t="shared" ref="B116:N116" si="55">((78.44+3-33.6*B$97-(66.8-2.92*B114)*B$94+78.5*B$93+9.4*B$96)/(0.0721-0.0083144*LN((27*B$97*B$92*B$39)/(64*B$98*B$93*B$38))))-273.15</f>
        <v>685.46933884864779</v>
      </c>
      <c r="C116" s="27">
        <f t="shared" si="55"/>
        <v>702.20278510005278</v>
      </c>
      <c r="D116" s="27">
        <f t="shared" si="55"/>
        <v>706.52810305791854</v>
      </c>
      <c r="E116" s="27">
        <f t="shared" si="55"/>
        <v>710.06110851957749</v>
      </c>
      <c r="F116" s="27">
        <f t="shared" si="55"/>
        <v>708.64798370558128</v>
      </c>
      <c r="G116" s="27">
        <f t="shared" si="55"/>
        <v>680.85335308599974</v>
      </c>
      <c r="H116" s="27">
        <f t="shared" si="55"/>
        <v>678.31541154227727</v>
      </c>
      <c r="I116" s="27">
        <f t="shared" si="55"/>
        <v>662.80668467473288</v>
      </c>
      <c r="J116" s="27">
        <f t="shared" si="55"/>
        <v>708.08050777665198</v>
      </c>
      <c r="K116" s="27">
        <f t="shared" si="55"/>
        <v>686.32417193592585</v>
      </c>
      <c r="L116" s="27">
        <f t="shared" si="55"/>
        <v>658.79868906982165</v>
      </c>
      <c r="M116" s="27">
        <f t="shared" si="55"/>
        <v>673.95776862553373</v>
      </c>
      <c r="N116" s="27">
        <f t="shared" si="55"/>
        <v>728.26428035510162</v>
      </c>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row>
    <row r="117" spans="1:44" s="7" customFormat="1">
      <c r="A117" s="42" t="s">
        <v>33</v>
      </c>
      <c r="B117" s="43">
        <f t="shared" ref="B117:N117" si="56">(0.677*B114-48.98)/(-0.0429-0.008314*LN(B$38*(B$52-4)/(8-B$52)))-273.15</f>
        <v>698.63911487161988</v>
      </c>
      <c r="C117" s="43">
        <f t="shared" si="56"/>
        <v>701.16348613110551</v>
      </c>
      <c r="D117" s="43">
        <f t="shared" si="56"/>
        <v>704.51830710548199</v>
      </c>
      <c r="E117" s="43">
        <f t="shared" si="56"/>
        <v>696.77490604068566</v>
      </c>
      <c r="F117" s="43">
        <f t="shared" si="56"/>
        <v>695.71617336885311</v>
      </c>
      <c r="G117" s="43">
        <f t="shared" si="56"/>
        <v>660.04434110075169</v>
      </c>
      <c r="H117" s="43">
        <f t="shared" si="56"/>
        <v>674.44643055494794</v>
      </c>
      <c r="I117" s="43">
        <f t="shared" si="56"/>
        <v>651.62506502697147</v>
      </c>
      <c r="J117" s="43">
        <f t="shared" si="56"/>
        <v>673.72055370521764</v>
      </c>
      <c r="K117" s="43">
        <f t="shared" si="56"/>
        <v>671.10077212694466</v>
      </c>
      <c r="L117" s="43">
        <f t="shared" si="56"/>
        <v>672.17826700673004</v>
      </c>
      <c r="M117" s="43">
        <f t="shared" si="56"/>
        <v>690.36716851334222</v>
      </c>
      <c r="N117" s="43">
        <f t="shared" si="56"/>
        <v>716.79772346051402</v>
      </c>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row>
    <row r="118" spans="1:44" s="2" customFormat="1">
      <c r="A118"/>
      <c r="B118" s="12"/>
      <c r="C118" s="12"/>
      <c r="D118" s="12"/>
      <c r="E118" s="12"/>
      <c r="F118" s="12"/>
      <c r="G118" s="12"/>
      <c r="H118" s="12"/>
      <c r="I118" s="12"/>
      <c r="J118" s="12"/>
      <c r="K118" s="12"/>
      <c r="L118" s="12"/>
      <c r="M118" s="12"/>
      <c r="N118" s="12"/>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row>
    <row r="119" spans="1:44" s="2" customFormat="1">
      <c r="A119" s="54" t="s">
        <v>155</v>
      </c>
      <c r="B119" s="48"/>
      <c r="C119" s="48"/>
      <c r="D119" s="48"/>
      <c r="E119" s="48"/>
      <c r="F119" s="48"/>
      <c r="G119" s="48"/>
      <c r="H119" s="48"/>
      <c r="I119" s="48"/>
      <c r="J119" s="48"/>
      <c r="K119" s="48"/>
      <c r="L119" s="48"/>
      <c r="M119" s="48"/>
      <c r="N119" s="48"/>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row>
    <row r="120" spans="1:44" s="7" customFormat="1">
      <c r="A120" s="49" t="str">
        <f t="shared" ref="A120:N120" si="57">A179</f>
        <v>T (C) HB1*</v>
      </c>
      <c r="B120" s="27">
        <f t="shared" si="57"/>
        <v>770.31975792974765</v>
      </c>
      <c r="C120" s="27">
        <f t="shared" si="57"/>
        <v>772.4197992254243</v>
      </c>
      <c r="D120" s="27">
        <f t="shared" si="57"/>
        <v>780.36240827513473</v>
      </c>
      <c r="E120" s="27">
        <f t="shared" si="57"/>
        <v>758.88109728948223</v>
      </c>
      <c r="F120" s="27">
        <f t="shared" si="57"/>
        <v>754.91011813193279</v>
      </c>
      <c r="G120" s="27">
        <f t="shared" si="57"/>
        <v>722.2437765633606</v>
      </c>
      <c r="H120" s="27">
        <f t="shared" si="57"/>
        <v>743.58644524134854</v>
      </c>
      <c r="I120" s="27">
        <f t="shared" si="57"/>
        <v>704.16274704100363</v>
      </c>
      <c r="J120" s="27">
        <f t="shared" si="57"/>
        <v>716.25242753973669</v>
      </c>
      <c r="K120" s="27">
        <f t="shared" si="57"/>
        <v>730.71867610090965</v>
      </c>
      <c r="L120" s="27">
        <f t="shared" si="57"/>
        <v>745.53056219504469</v>
      </c>
      <c r="M120" s="27">
        <f t="shared" si="57"/>
        <v>774.72951331183629</v>
      </c>
      <c r="N120" s="27">
        <f t="shared" si="57"/>
        <v>792.49802146368654</v>
      </c>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row>
    <row r="121" spans="1:44" s="45" customFormat="1">
      <c r="A121" s="50" t="str">
        <f t="shared" ref="A121:N121" si="58">A180</f>
        <v xml:space="preserve">    P(Kb) HB1*</v>
      </c>
      <c r="B121" s="44">
        <f>B180</f>
        <v>1.3713265713954561</v>
      </c>
      <c r="C121" s="44">
        <f t="shared" si="58"/>
        <v>1.4276130524945274</v>
      </c>
      <c r="D121" s="44">
        <f t="shared" si="58"/>
        <v>1.0663967246089554</v>
      </c>
      <c r="E121" s="44">
        <f t="shared" si="58"/>
        <v>1.4024026407792287</v>
      </c>
      <c r="F121" s="44">
        <f t="shared" si="58"/>
        <v>1.267686164316342</v>
      </c>
      <c r="G121" s="25">
        <f t="shared" si="58"/>
        <v>0.7881008995943406</v>
      </c>
      <c r="H121" s="44">
        <f t="shared" si="58"/>
        <v>1.0235863140539332</v>
      </c>
      <c r="I121" s="44">
        <f t="shared" si="58"/>
        <v>1.0769804352602113</v>
      </c>
      <c r="J121" s="44">
        <f t="shared" si="58"/>
        <v>1.3213148045580785</v>
      </c>
      <c r="K121" s="44">
        <f t="shared" si="58"/>
        <v>0.84674728894842022</v>
      </c>
      <c r="L121" s="44">
        <f t="shared" si="58"/>
        <v>0.87320222386816437</v>
      </c>
      <c r="M121" s="44">
        <f t="shared" si="58"/>
        <v>0.74413782260888817</v>
      </c>
      <c r="N121" s="44">
        <f t="shared" si="58"/>
        <v>1.0662598303071784</v>
      </c>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row>
    <row r="122" spans="1:44" s="6" customFormat="1">
      <c r="A122" s="51" t="str">
        <f t="shared" ref="A122:N122" si="59">A181</f>
        <v>T (C) HB2</v>
      </c>
      <c r="B122" s="31">
        <f t="shared" si="59"/>
        <v>685.40753819358065</v>
      </c>
      <c r="C122" s="31">
        <f t="shared" si="59"/>
        <v>701.98973310117981</v>
      </c>
      <c r="D122" s="31">
        <f t="shared" si="59"/>
        <v>706.31092955573774</v>
      </c>
      <c r="E122" s="31">
        <f t="shared" si="59"/>
        <v>709.73025847914141</v>
      </c>
      <c r="F122" s="31">
        <f t="shared" si="59"/>
        <v>708.35618238704342</v>
      </c>
      <c r="G122" s="59">
        <f t="shared" si="59"/>
        <v>680.82021979410536</v>
      </c>
      <c r="H122" s="31">
        <f t="shared" si="59"/>
        <v>678.29843666743068</v>
      </c>
      <c r="I122" s="31">
        <f t="shared" si="59"/>
        <v>662.86771040999872</v>
      </c>
      <c r="J122" s="31">
        <f t="shared" si="59"/>
        <v>707.71780758772286</v>
      </c>
      <c r="K122" s="31">
        <f t="shared" si="59"/>
        <v>686.26169019533597</v>
      </c>
      <c r="L122" s="31">
        <f t="shared" si="59"/>
        <v>658.84636840770725</v>
      </c>
      <c r="M122" s="31">
        <f t="shared" si="59"/>
        <v>673.96128494017057</v>
      </c>
      <c r="N122" s="31">
        <f t="shared" si="59"/>
        <v>727.73599584095098</v>
      </c>
      <c r="O122" s="64" t="s">
        <v>36</v>
      </c>
      <c r="P122" s="65"/>
      <c r="Q122" s="66"/>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row>
    <row r="123" spans="1:44" s="47" customFormat="1">
      <c r="A123" s="52" t="str">
        <f t="shared" ref="A123:N123" si="60">A182</f>
        <v xml:space="preserve">   P(Kb) HB2</v>
      </c>
      <c r="B123" s="46">
        <f t="shared" si="60"/>
        <v>2.5592576680329531</v>
      </c>
      <c r="C123" s="46">
        <f t="shared" si="60"/>
        <v>2.5051510048264256</v>
      </c>
      <c r="D123" s="46">
        <f t="shared" si="60"/>
        <v>2.2332905458366357</v>
      </c>
      <c r="E123" s="46">
        <f t="shared" si="60"/>
        <v>2.1163556541279069</v>
      </c>
      <c r="F123" s="46">
        <f t="shared" si="60"/>
        <v>1.9145534859578703</v>
      </c>
      <c r="G123" s="33">
        <f t="shared" si="60"/>
        <v>1.1527334939661824</v>
      </c>
      <c r="H123" s="46">
        <f t="shared" si="60"/>
        <v>1.7224384730337274</v>
      </c>
      <c r="I123" s="46">
        <f t="shared" si="60"/>
        <v>1.3536225554205983</v>
      </c>
      <c r="J123" s="46">
        <f t="shared" si="60"/>
        <v>1.4130762024047103</v>
      </c>
      <c r="K123" s="46">
        <f t="shared" si="60"/>
        <v>1.2866399092917413</v>
      </c>
      <c r="L123" s="46">
        <f t="shared" si="60"/>
        <v>1.6913661295003606</v>
      </c>
      <c r="M123" s="46">
        <f t="shared" si="60"/>
        <v>2.0275970305411168</v>
      </c>
      <c r="N123" s="46">
        <f t="shared" si="60"/>
        <v>2.2478317693777332</v>
      </c>
      <c r="O123" s="67" t="s">
        <v>37</v>
      </c>
      <c r="Q123" s="68"/>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c r="AP123" s="63"/>
      <c r="AQ123" s="63"/>
      <c r="AR123" s="63"/>
    </row>
    <row r="124" spans="1:44" s="7" customFormat="1">
      <c r="A124" s="49" t="str">
        <f t="shared" ref="A124:N124" si="61">A183</f>
        <v>T (C) BH</v>
      </c>
      <c r="B124" s="27">
        <f t="shared" si="61"/>
        <v>702.07001311674662</v>
      </c>
      <c r="C124" s="27">
        <f t="shared" si="61"/>
        <v>705.14199459310908</v>
      </c>
      <c r="D124" s="27">
        <f t="shared" si="61"/>
        <v>708.97079025383005</v>
      </c>
      <c r="E124" s="27">
        <f t="shared" si="61"/>
        <v>699.75629160361461</v>
      </c>
      <c r="F124" s="27">
        <f t="shared" si="61"/>
        <v>698.39819984721532</v>
      </c>
      <c r="G124" s="60">
        <f t="shared" si="61"/>
        <v>659.10475213263692</v>
      </c>
      <c r="H124" s="27">
        <f t="shared" si="61"/>
        <v>674.39628059153233</v>
      </c>
      <c r="I124" s="27">
        <f t="shared" si="61"/>
        <v>650.30724203767568</v>
      </c>
      <c r="J124" s="27">
        <f t="shared" si="61"/>
        <v>673.60752792024823</v>
      </c>
      <c r="K124" s="27">
        <f t="shared" si="61"/>
        <v>670.79534117325829</v>
      </c>
      <c r="L124" s="27">
        <f t="shared" si="61"/>
        <v>671.93847308839565</v>
      </c>
      <c r="M124" s="27">
        <f t="shared" si="61"/>
        <v>692.16879098965182</v>
      </c>
      <c r="N124" s="27">
        <f t="shared" si="61"/>
        <v>724.32174951319678</v>
      </c>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row>
    <row r="125" spans="1:44" s="7" customFormat="1">
      <c r="A125" s="50" t="str">
        <f t="shared" ref="A125:N125" si="62">A184</f>
        <v xml:space="preserve">   P(Kb) BH</v>
      </c>
      <c r="B125" s="44">
        <f t="shared" si="62"/>
        <v>2.3969759433064457</v>
      </c>
      <c r="C125" s="44">
        <f t="shared" si="62"/>
        <v>2.4701319555291228</v>
      </c>
      <c r="D125" s="44">
        <f t="shared" si="62"/>
        <v>2.203203703443994</v>
      </c>
      <c r="E125" s="44">
        <f t="shared" si="62"/>
        <v>2.2245065924613319</v>
      </c>
      <c r="F125" s="44">
        <f t="shared" si="62"/>
        <v>2.0178706718415582</v>
      </c>
      <c r="G125" s="25">
        <f t="shared" si="62"/>
        <v>1.2584898823276158</v>
      </c>
      <c r="H125" s="44">
        <f t="shared" si="62"/>
        <v>1.7473920447963736</v>
      </c>
      <c r="I125" s="44">
        <f t="shared" si="62"/>
        <v>1.3956362412297934</v>
      </c>
      <c r="J125" s="44">
        <f t="shared" si="62"/>
        <v>1.689220850296274</v>
      </c>
      <c r="K125" s="44">
        <f t="shared" si="62"/>
        <v>1.3819532265002725</v>
      </c>
      <c r="L125" s="44">
        <f t="shared" si="62"/>
        <v>1.6278045439181459</v>
      </c>
      <c r="M125" s="44">
        <f t="shared" si="62"/>
        <v>1.8893170534144719</v>
      </c>
      <c r="N125" s="44">
        <f t="shared" si="62"/>
        <v>2.2956266023933032</v>
      </c>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row>
    <row r="126" spans="1:44" s="2" customFormat="1">
      <c r="A126" s="53" t="s">
        <v>156</v>
      </c>
      <c r="B126" s="1" t="s">
        <v>134</v>
      </c>
      <c r="C126" s="1"/>
      <c r="D126" s="1"/>
      <c r="G126" s="61"/>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row>
    <row r="127" spans="1:44" s="24" customFormat="1">
      <c r="A127" s="35"/>
      <c r="B127" s="1" t="s">
        <v>135</v>
      </c>
      <c r="C127" s="29"/>
      <c r="D127" s="29"/>
      <c r="E127" s="29"/>
      <c r="F127" s="33"/>
      <c r="G127" s="31"/>
      <c r="H127" s="33"/>
      <c r="I127" s="31"/>
      <c r="J127" s="25"/>
      <c r="K127" s="27"/>
    </row>
    <row r="128" spans="1:44" s="24" customFormat="1">
      <c r="A128" s="35"/>
      <c r="B128" s="1" t="s">
        <v>136</v>
      </c>
      <c r="C128" s="29"/>
      <c r="D128" s="29"/>
      <c r="E128" s="29"/>
      <c r="F128" s="33"/>
      <c r="G128" s="31"/>
      <c r="H128" s="33"/>
      <c r="I128" s="31"/>
      <c r="J128" s="25"/>
      <c r="K128" s="27"/>
    </row>
    <row r="129" spans="1:44" s="24" customFormat="1">
      <c r="A129" s="35"/>
      <c r="B129" s="30"/>
      <c r="C129" s="29"/>
      <c r="D129" s="29"/>
      <c r="E129" s="29"/>
      <c r="F129" s="33"/>
      <c r="G129" s="31"/>
      <c r="H129" s="33"/>
      <c r="I129" s="31"/>
      <c r="J129" s="25"/>
      <c r="K129" s="27"/>
    </row>
    <row r="130" spans="1:44" s="24" customFormat="1">
      <c r="A130" s="56" t="s">
        <v>137</v>
      </c>
      <c r="B130" s="25"/>
      <c r="C130" s="27"/>
      <c r="D130" s="27"/>
    </row>
    <row r="131" spans="1:44" s="24" customFormat="1">
      <c r="A131" s="25" t="s">
        <v>138</v>
      </c>
      <c r="B131" s="27">
        <f t="shared" ref="B131:N131" si="63">IF(B59&lt;0.345,1204*B59+545,273*B59+877)</f>
        <v>715.10952146330112</v>
      </c>
      <c r="C131" s="27">
        <f t="shared" si="63"/>
        <v>722.35758988567795</v>
      </c>
      <c r="D131" s="27">
        <f t="shared" si="63"/>
        <v>718.43037618475341</v>
      </c>
      <c r="E131" s="27">
        <f t="shared" si="63"/>
        <v>718.13300023744273</v>
      </c>
      <c r="F131" s="27">
        <f t="shared" si="63"/>
        <v>713.25480723060048</v>
      </c>
      <c r="G131" s="27">
        <f t="shared" si="63"/>
        <v>614.18236648736593</v>
      </c>
      <c r="H131" s="27">
        <f t="shared" si="63"/>
        <v>629.05861125928686</v>
      </c>
      <c r="I131" s="27">
        <f t="shared" si="63"/>
        <v>625.13941329382271</v>
      </c>
      <c r="J131" s="27">
        <f t="shared" si="63"/>
        <v>650.88621093665677</v>
      </c>
      <c r="K131" s="27">
        <f t="shared" si="63"/>
        <v>621.8572543364387</v>
      </c>
      <c r="L131" s="27">
        <f t="shared" si="63"/>
        <v>643.25740186085</v>
      </c>
      <c r="M131" s="27">
        <f t="shared" si="63"/>
        <v>645.29947438597185</v>
      </c>
      <c r="N131" s="27">
        <f t="shared" si="63"/>
        <v>715.07881796153697</v>
      </c>
    </row>
    <row r="132" spans="1:44" s="24" customFormat="1">
      <c r="A132" s="25"/>
      <c r="B132" s="27"/>
      <c r="C132" s="27"/>
      <c r="D132" s="27"/>
      <c r="E132" s="27"/>
      <c r="F132" s="27"/>
      <c r="G132" s="27"/>
      <c r="H132" s="27"/>
      <c r="I132" s="27"/>
      <c r="J132" s="27"/>
      <c r="K132" s="27"/>
      <c r="L132" s="27"/>
      <c r="M132" s="27"/>
      <c r="N132" s="27"/>
    </row>
    <row r="133" spans="1:44" s="24" customFormat="1">
      <c r="A133" s="25"/>
      <c r="B133" s="27"/>
      <c r="C133" s="27"/>
      <c r="D133" s="27"/>
      <c r="E133" s="27"/>
      <c r="F133" s="27"/>
      <c r="G133" s="27"/>
      <c r="H133" s="27"/>
      <c r="I133" s="27"/>
      <c r="J133" s="27"/>
      <c r="K133" s="27"/>
      <c r="L133" s="27"/>
      <c r="M133" s="27"/>
      <c r="N133" s="27"/>
    </row>
    <row r="134" spans="1:44" s="24" customFormat="1">
      <c r="A134" s="25" t="s">
        <v>38</v>
      </c>
      <c r="B134" s="27"/>
      <c r="C134" s="27"/>
      <c r="D134" s="27"/>
      <c r="E134" s="27"/>
      <c r="F134" s="27"/>
      <c r="G134" s="27"/>
      <c r="H134" s="27"/>
      <c r="I134" s="27"/>
      <c r="J134" s="27"/>
      <c r="K134" s="27"/>
      <c r="L134" s="27"/>
      <c r="M134" s="27"/>
      <c r="N134" s="27"/>
    </row>
    <row r="135" spans="1:44" s="24" customFormat="1">
      <c r="A135" s="25" t="s">
        <v>39</v>
      </c>
      <c r="B135" s="27"/>
      <c r="C135" s="27"/>
      <c r="D135" s="27"/>
      <c r="E135" s="27"/>
      <c r="F135" s="27"/>
      <c r="G135" s="27"/>
      <c r="H135" s="27"/>
      <c r="I135" s="27"/>
      <c r="J135" s="27"/>
      <c r="K135" s="27"/>
      <c r="L135" s="27"/>
      <c r="M135" s="27"/>
      <c r="N135" s="27"/>
    </row>
    <row r="136" spans="1:44" s="2" customFormat="1">
      <c r="A136" s="12"/>
      <c r="B136" s="12"/>
      <c r="C136" s="12"/>
      <c r="D136" s="12"/>
      <c r="G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row>
    <row r="137" spans="1:44" s="2" customFormat="1">
      <c r="A137" s="8" t="s">
        <v>139</v>
      </c>
      <c r="B137"/>
      <c r="C137" s="12"/>
      <c r="D137" s="12"/>
      <c r="G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row>
    <row r="138" spans="1:44" s="2" customFormat="1">
      <c r="A138" s="8" t="s">
        <v>140</v>
      </c>
      <c r="B138" s="12"/>
      <c r="C138" s="12"/>
      <c r="D138" s="12"/>
      <c r="G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row>
    <row r="139" spans="1:44" s="2" customFormat="1">
      <c r="A139" t="s">
        <v>141</v>
      </c>
      <c r="B139" s="30">
        <f t="shared" ref="B139:N139" si="64">4.76*B$55-3.01-((B115-675)/85)*(0.53*B$55+0.005294*(B115-675))</f>
        <v>1.6609224407607552</v>
      </c>
      <c r="C139" s="30">
        <f t="shared" si="64"/>
        <v>1.7378315653201994</v>
      </c>
      <c r="D139" s="30">
        <f t="shared" si="64"/>
        <v>1.4245928649809911</v>
      </c>
      <c r="E139" s="30">
        <f t="shared" si="64"/>
        <v>1.6085133296367673</v>
      </c>
      <c r="F139" s="30">
        <f t="shared" si="64"/>
        <v>1.4400954462903586</v>
      </c>
      <c r="G139" s="30">
        <f t="shared" si="64"/>
        <v>0.83631919304257818</v>
      </c>
      <c r="H139" s="30">
        <f t="shared" si="64"/>
        <v>1.1408718751450282</v>
      </c>
      <c r="I139" s="30">
        <f t="shared" si="64"/>
        <v>1.0974530023637821</v>
      </c>
      <c r="J139" s="30">
        <f t="shared" si="64"/>
        <v>1.3616717411228076</v>
      </c>
      <c r="K139" s="30">
        <f t="shared" si="64"/>
        <v>0.91519446114900482</v>
      </c>
      <c r="L139" s="30">
        <f t="shared" si="64"/>
        <v>0.9982188977103108</v>
      </c>
      <c r="M139" s="30">
        <f t="shared" si="64"/>
        <v>1.0370990893869705</v>
      </c>
      <c r="N139" s="30">
        <f t="shared" si="64"/>
        <v>1.5296934432450706</v>
      </c>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row>
    <row r="140" spans="1:44" s="2" customFormat="1">
      <c r="A140" t="s">
        <v>142</v>
      </c>
      <c r="B140" s="30">
        <f t="shared" ref="B140:N140" si="65">4.76*B$55-3.01-((B116-675)/85)*(0.53*B$55+0.005294*(B116-675))</f>
        <v>2.5587196671319399</v>
      </c>
      <c r="C140" s="30">
        <f t="shared" si="65"/>
        <v>2.5028231727019401</v>
      </c>
      <c r="D140" s="30">
        <f t="shared" si="65"/>
        <v>2.2308670417759782</v>
      </c>
      <c r="E140" s="30">
        <f t="shared" si="65"/>
        <v>2.1125557981933523</v>
      </c>
      <c r="F140" s="30">
        <f t="shared" si="65"/>
        <v>1.9113396756217202</v>
      </c>
      <c r="G140" s="30">
        <f t="shared" si="65"/>
        <v>1.1525272508558153</v>
      </c>
      <c r="H140" s="30">
        <f t="shared" si="65"/>
        <v>1.7223257783822812</v>
      </c>
      <c r="I140" s="30">
        <f t="shared" si="65"/>
        <v>1.3538741894648072</v>
      </c>
      <c r="J140" s="30">
        <f t="shared" si="65"/>
        <v>1.409361172697239</v>
      </c>
      <c r="K140" s="30">
        <f t="shared" si="65"/>
        <v>1.2861944271251489</v>
      </c>
      <c r="L140" s="30">
        <f t="shared" si="65"/>
        <v>1.6915585909063378</v>
      </c>
      <c r="M140" s="30">
        <f t="shared" si="65"/>
        <v>2.0276197474928863</v>
      </c>
      <c r="N140" s="30">
        <f t="shared" si="65"/>
        <v>2.2403067800308794</v>
      </c>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row>
    <row r="141" spans="1:44" s="2" customFormat="1">
      <c r="A141" t="s">
        <v>143</v>
      </c>
      <c r="B141" s="30">
        <f t="shared" ref="B141:N141" si="66">4.76*B$55-3.01-((B117-675)/85)*(0.53*B$55+0.005294*(B117-675))</f>
        <v>2.4332180540670363</v>
      </c>
      <c r="C141" s="30">
        <f t="shared" si="66"/>
        <v>2.514125197040189</v>
      </c>
      <c r="D141" s="30">
        <f t="shared" si="66"/>
        <v>2.2530705646824494</v>
      </c>
      <c r="E141" s="30">
        <f t="shared" si="66"/>
        <v>2.2544290675884122</v>
      </c>
      <c r="F141" s="30">
        <f t="shared" si="66"/>
        <v>2.0435861120668064</v>
      </c>
      <c r="G141" s="30">
        <f t="shared" si="66"/>
        <v>1.255129795393342</v>
      </c>
      <c r="H141" s="30">
        <f t="shared" si="66"/>
        <v>1.7470833765649021</v>
      </c>
      <c r="I141" s="30">
        <f t="shared" si="66"/>
        <v>1.3921510006516389</v>
      </c>
      <c r="J141" s="30">
        <f t="shared" si="66"/>
        <v>1.6885451579587343</v>
      </c>
      <c r="K141" s="30">
        <f t="shared" si="66"/>
        <v>1.3803593754245957</v>
      </c>
      <c r="L141" s="30">
        <f t="shared" si="66"/>
        <v>1.6264412441511897</v>
      </c>
      <c r="M141" s="30">
        <f t="shared" si="66"/>
        <v>1.9048406718237114</v>
      </c>
      <c r="N141" s="30">
        <f t="shared" si="66"/>
        <v>2.3958269676450468</v>
      </c>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row>
    <row r="142" spans="1:44" s="2" customFormat="1">
      <c r="A142" s="8"/>
      <c r="B142" s="12"/>
      <c r="C142" s="12"/>
      <c r="D142" s="12"/>
      <c r="E142" s="12"/>
      <c r="F142" s="12"/>
      <c r="G142" s="12"/>
      <c r="H142" s="12"/>
      <c r="I142" s="12"/>
      <c r="J142" s="12"/>
      <c r="K142" s="12"/>
      <c r="L142" s="12"/>
      <c r="M142" s="12"/>
      <c r="N142" s="12"/>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row>
    <row r="143" spans="1:44" s="2" customFormat="1">
      <c r="A143" s="8" t="s">
        <v>144</v>
      </c>
      <c r="B143" s="12"/>
      <c r="C143" s="12"/>
      <c r="D143" s="12"/>
      <c r="E143" s="12"/>
      <c r="F143" s="12"/>
      <c r="G143" s="12"/>
      <c r="H143" s="12"/>
      <c r="I143" s="12"/>
      <c r="J143" s="12"/>
      <c r="K143" s="12"/>
      <c r="L143" s="12"/>
      <c r="M143" s="12"/>
      <c r="N143" s="12"/>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row>
    <row r="144" spans="1:44" s="2" customFormat="1">
      <c r="A144" s="26" t="s">
        <v>145</v>
      </c>
      <c r="B144" s="27">
        <f t="shared" ref="B144:N144" si="67">((-76.95+B139*0.79+39.4*B$96+22.4*B$99+(41.5-2.89*B139)*B$94)/(-0.065-0.0083144*LN(B$100)))-273.15</f>
        <v>766.71639673732022</v>
      </c>
      <c r="C144" s="27">
        <f t="shared" si="67"/>
        <v>768.53241628548892</v>
      </c>
      <c r="D144" s="27">
        <f t="shared" si="67"/>
        <v>775.77412825284921</v>
      </c>
      <c r="E144" s="27">
        <f t="shared" si="67"/>
        <v>756.44670451953846</v>
      </c>
      <c r="F144" s="27">
        <f t="shared" si="67"/>
        <v>752.95882353777858</v>
      </c>
      <c r="G144" s="27">
        <f t="shared" si="67"/>
        <v>721.71906230093487</v>
      </c>
      <c r="H144" s="27">
        <f t="shared" si="67"/>
        <v>742.24673141939206</v>
      </c>
      <c r="I144" s="27">
        <f t="shared" si="67"/>
        <v>703.951623381643</v>
      </c>
      <c r="J144" s="27">
        <f t="shared" si="67"/>
        <v>715.84262643978036</v>
      </c>
      <c r="K144" s="27">
        <f t="shared" si="67"/>
        <v>729.97618137171742</v>
      </c>
      <c r="L144" s="27">
        <f t="shared" si="67"/>
        <v>744.04630337463993</v>
      </c>
      <c r="M144" s="27">
        <f t="shared" si="67"/>
        <v>770.99633853088142</v>
      </c>
      <c r="N144" s="27">
        <f t="shared" si="67"/>
        <v>786.65655310780255</v>
      </c>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row>
    <row r="145" spans="1:44" s="2" customFormat="1">
      <c r="A145" s="1" t="s">
        <v>146</v>
      </c>
      <c r="B145" s="30">
        <f>4.76*B$55-3.01-((B144-675)/85)*(0.53*B$55+0.005294*(B144-675))</f>
        <v>1.4399857891811005</v>
      </c>
      <c r="C145" s="30">
        <f t="shared" ref="B145:N145" si="68">4.76*C$55-3.01-((C144-675)/85)*(0.53*C$55+0.005294*(C144-675))</f>
        <v>1.5031986954585541</v>
      </c>
      <c r="D145" s="30">
        <f t="shared" si="68"/>
        <v>1.1585486801791864</v>
      </c>
      <c r="E145" s="30">
        <f t="shared" si="68"/>
        <v>1.4448471662668716</v>
      </c>
      <c r="F145" s="30">
        <f t="shared" si="68"/>
        <v>1.3002200321489714</v>
      </c>
      <c r="G145" s="30">
        <f t="shared" si="68"/>
        <v>0.79405631100124685</v>
      </c>
      <c r="H145" s="30">
        <f t="shared" si="68"/>
        <v>1.0432626815018069</v>
      </c>
      <c r="I145" s="30">
        <f t="shared" si="68"/>
        <v>1.0789350105578555</v>
      </c>
      <c r="J145" s="30">
        <f t="shared" si="68"/>
        <v>1.3259282226289233</v>
      </c>
      <c r="K145" s="30">
        <f t="shared" si="68"/>
        <v>0.856115666584225</v>
      </c>
      <c r="L145" s="30">
        <f t="shared" si="68"/>
        <v>0.89508746638243253</v>
      </c>
      <c r="M145" s="30">
        <f t="shared" si="68"/>
        <v>0.81424802560280241</v>
      </c>
      <c r="N145" s="30">
        <f t="shared" si="68"/>
        <v>1.1942729089204853</v>
      </c>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row>
    <row r="146" spans="1:44" s="2" customFormat="1">
      <c r="A146" s="26" t="s">
        <v>147</v>
      </c>
      <c r="B146" s="27">
        <f t="shared" ref="B146:N146" si="69">((78.44+3-33.6*B$97-(66.8-2.92*B140)*B$94+78.5*B$93+9.4*B$96)/(0.0721-0.0083144*LN((27*B$97*B$92*B$39)/(64*B$98*B$93*B$38))))-273.15</f>
        <v>685.40714150428937</v>
      </c>
      <c r="C146" s="27">
        <f t="shared" si="69"/>
        <v>701.98774266127123</v>
      </c>
      <c r="D146" s="27">
        <f t="shared" si="69"/>
        <v>706.3091015734891</v>
      </c>
      <c r="E146" s="27">
        <f t="shared" si="69"/>
        <v>709.72636677325102</v>
      </c>
      <c r="F146" s="27">
        <f t="shared" si="69"/>
        <v>708.3530298310784</v>
      </c>
      <c r="G146" s="27">
        <f t="shared" si="69"/>
        <v>680.82001943896569</v>
      </c>
      <c r="H146" s="27">
        <f t="shared" si="69"/>
        <v>678.29834650460532</v>
      </c>
      <c r="I146" s="27">
        <f t="shared" si="69"/>
        <v>662.86796962935171</v>
      </c>
      <c r="J146" s="27">
        <f t="shared" si="69"/>
        <v>707.71277435753007</v>
      </c>
      <c r="K146" s="27">
        <f t="shared" si="69"/>
        <v>686.26130547917751</v>
      </c>
      <c r="L146" s="27">
        <f t="shared" si="69"/>
        <v>658.8464809946172</v>
      </c>
      <c r="M146" s="27">
        <f t="shared" si="69"/>
        <v>673.96129672537563</v>
      </c>
      <c r="N146" s="27">
        <f t="shared" si="69"/>
        <v>727.72909702313302</v>
      </c>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row>
    <row r="147" spans="1:44" s="2" customFormat="1">
      <c r="A147" s="1" t="s">
        <v>148</v>
      </c>
      <c r="B147" s="30">
        <f t="shared" ref="B147:N147" si="70">4.76*B$55-3.01-((B146-675)/85)*(0.53*B$55+0.005294*(B146-675))</f>
        <v>2.5592611198447051</v>
      </c>
      <c r="C147" s="30">
        <f t="shared" si="70"/>
        <v>2.5051727259569736</v>
      </c>
      <c r="D147" s="30">
        <f t="shared" si="70"/>
        <v>2.2333109199036949</v>
      </c>
      <c r="E147" s="30">
        <f t="shared" si="70"/>
        <v>2.1164002697422015</v>
      </c>
      <c r="F147" s="30">
        <f t="shared" si="70"/>
        <v>1.9145881493297792</v>
      </c>
      <c r="G147" s="30">
        <f t="shared" si="70"/>
        <v>1.1527347406906339</v>
      </c>
      <c r="H147" s="30">
        <f t="shared" si="70"/>
        <v>1.7224390715207014</v>
      </c>
      <c r="I147" s="30">
        <f t="shared" si="70"/>
        <v>1.3536214855638451</v>
      </c>
      <c r="J147" s="30">
        <f t="shared" si="70"/>
        <v>1.4131276410007052</v>
      </c>
      <c r="K147" s="30">
        <f t="shared" si="70"/>
        <v>1.2866426507337549</v>
      </c>
      <c r="L147" s="30">
        <f t="shared" si="70"/>
        <v>1.6913656746992978</v>
      </c>
      <c r="M147" s="30">
        <f t="shared" si="70"/>
        <v>2.0275969544008765</v>
      </c>
      <c r="N147" s="30">
        <f t="shared" si="70"/>
        <v>2.2479298075516683</v>
      </c>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row>
    <row r="148" spans="1:44" s="2" customFormat="1">
      <c r="A148" t="s">
        <v>149</v>
      </c>
      <c r="B148" s="28">
        <f t="shared" ref="B148:N148" si="71">(0.677*B141-48.98)/(-0.0429-0.008314*LN(B$38*(B$52-4)/(8-B$52)))-273.15</f>
        <v>701.56478191846384</v>
      </c>
      <c r="C148" s="28">
        <f t="shared" si="71"/>
        <v>704.52614456755316</v>
      </c>
      <c r="D148" s="28">
        <f t="shared" si="71"/>
        <v>708.27265602834939</v>
      </c>
      <c r="E148" s="28">
        <f t="shared" si="71"/>
        <v>699.34116556552067</v>
      </c>
      <c r="F148" s="28">
        <f t="shared" si="71"/>
        <v>698.04298053853495</v>
      </c>
      <c r="G148" s="28">
        <f t="shared" si="71"/>
        <v>659.14881531562321</v>
      </c>
      <c r="H148" s="28">
        <f t="shared" si="71"/>
        <v>674.40042324612818</v>
      </c>
      <c r="I148" s="28">
        <f t="shared" si="71"/>
        <v>650.3526026611155</v>
      </c>
      <c r="J148" s="28">
        <f t="shared" si="71"/>
        <v>673.6165814233309</v>
      </c>
      <c r="K148" s="28">
        <f t="shared" si="71"/>
        <v>670.81654135980409</v>
      </c>
      <c r="L148" s="28">
        <f t="shared" si="71"/>
        <v>671.9566917180091</v>
      </c>
      <c r="M148" s="28">
        <f t="shared" si="71"/>
        <v>691.95611611449624</v>
      </c>
      <c r="N148" s="28">
        <f t="shared" si="71"/>
        <v>722.89534545541062</v>
      </c>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row>
    <row r="149" spans="1:44" s="2" customFormat="1">
      <c r="A149" s="1" t="s">
        <v>150</v>
      </c>
      <c r="B149" s="30">
        <f t="shared" ref="B149:N149" si="72">4.76*B$55-3.01-((B148-675)/85)*(0.53*B$55+0.005294*(B148-675))</f>
        <v>2.4024049880721967</v>
      </c>
      <c r="C149" s="30">
        <f t="shared" si="72"/>
        <v>2.4770708341609891</v>
      </c>
      <c r="D149" s="30">
        <f t="shared" si="72"/>
        <v>2.2111859023148002</v>
      </c>
      <c r="E149" s="30">
        <f t="shared" si="72"/>
        <v>2.2287393276528982</v>
      </c>
      <c r="F149" s="30">
        <f t="shared" si="72"/>
        <v>2.0213280151711843</v>
      </c>
      <c r="G149" s="30">
        <f t="shared" si="72"/>
        <v>1.2583347645525058</v>
      </c>
      <c r="H149" s="30">
        <f t="shared" si="72"/>
        <v>1.747366559023835</v>
      </c>
      <c r="I149" s="30">
        <f t="shared" si="72"/>
        <v>1.395519871109302</v>
      </c>
      <c r="J149" s="30">
        <f t="shared" si="72"/>
        <v>1.6891667851440093</v>
      </c>
      <c r="K149" s="30">
        <f t="shared" si="72"/>
        <v>1.3818429714255269</v>
      </c>
      <c r="L149" s="30">
        <f t="shared" si="72"/>
        <v>1.6277012170098437</v>
      </c>
      <c r="M149" s="30">
        <f t="shared" si="72"/>
        <v>1.8911706062255054</v>
      </c>
      <c r="N149" s="30">
        <f t="shared" si="72"/>
        <v>2.3151642884911325</v>
      </c>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row>
    <row r="150" spans="1:44" s="2" customFormat="1">
      <c r="A150" s="8" t="s">
        <v>151</v>
      </c>
      <c r="B150" s="12"/>
      <c r="C150" s="12"/>
      <c r="D150" s="12"/>
      <c r="E150" s="12"/>
      <c r="F150" s="12"/>
      <c r="G150" s="12"/>
      <c r="H150" s="12"/>
      <c r="I150" s="12"/>
      <c r="J150" s="12"/>
      <c r="K150" s="12"/>
      <c r="L150" s="12"/>
      <c r="M150" s="12"/>
      <c r="N150" s="12"/>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row>
    <row r="151" spans="1:44" s="2" customFormat="1">
      <c r="A151" s="26" t="s">
        <v>145</v>
      </c>
      <c r="B151" s="27">
        <f t="shared" ref="B151:N151" si="73">((-76.95+B145*0.79+39.4*B$96+22.4*B$99+(41.5-2.89*B145)*B$94)/(-0.065-0.0083144*LN(B$100)))-273.15</f>
        <v>769.46709071583393</v>
      </c>
      <c r="C151" s="27">
        <f t="shared" si="73"/>
        <v>771.4746259952218</v>
      </c>
      <c r="D151" s="27">
        <f t="shared" si="73"/>
        <v>779.1850016100492</v>
      </c>
      <c r="E151" s="27">
        <f t="shared" si="73"/>
        <v>758.38036795463574</v>
      </c>
      <c r="F151" s="27">
        <f t="shared" si="73"/>
        <v>754.54222183765739</v>
      </c>
      <c r="G151" s="27">
        <f t="shared" si="73"/>
        <v>722.17898114333229</v>
      </c>
      <c r="H151" s="27">
        <f t="shared" si="73"/>
        <v>743.36181459939121</v>
      </c>
      <c r="I151" s="27">
        <f t="shared" si="73"/>
        <v>704.1425918311819</v>
      </c>
      <c r="J151" s="27">
        <f t="shared" si="73"/>
        <v>716.20558730568212</v>
      </c>
      <c r="K151" s="27">
        <f t="shared" si="73"/>
        <v>730.61707764152447</v>
      </c>
      <c r="L151" s="27">
        <f t="shared" si="73"/>
        <v>745.27089989887372</v>
      </c>
      <c r="M151" s="27">
        <f t="shared" si="73"/>
        <v>773.83788057168147</v>
      </c>
      <c r="N151" s="27">
        <f t="shared" si="73"/>
        <v>790.88967776908851</v>
      </c>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row>
    <row r="152" spans="1:44" s="2" customFormat="1">
      <c r="A152" s="1" t="s">
        <v>146</v>
      </c>
      <c r="B152" s="30">
        <f t="shared" ref="B152:N152" si="74">4.76*B$55-3.01-((B151-675)/85)*(0.53*B$55+0.005294*(B151-675))</f>
        <v>1.3877195542386027</v>
      </c>
      <c r="C152" s="30">
        <f t="shared" si="74"/>
        <v>1.4461640482432143</v>
      </c>
      <c r="D152" s="30">
        <f t="shared" si="74"/>
        <v>1.0902941261803374</v>
      </c>
      <c r="E152" s="30">
        <f t="shared" si="74"/>
        <v>1.4111933436811319</v>
      </c>
      <c r="F152" s="30">
        <f t="shared" si="74"/>
        <v>1.273856367723545</v>
      </c>
      <c r="G152" s="30">
        <f t="shared" si="74"/>
        <v>0.78883817187579197</v>
      </c>
      <c r="H152" s="30">
        <f t="shared" si="74"/>
        <v>1.0269010633060229</v>
      </c>
      <c r="I152" s="30">
        <f t="shared" si="74"/>
        <v>1.0771672711982034</v>
      </c>
      <c r="J152" s="30">
        <f t="shared" si="74"/>
        <v>1.3218431767600292</v>
      </c>
      <c r="K152" s="30">
        <f t="shared" si="74"/>
        <v>0.84803325617912828</v>
      </c>
      <c r="L152" s="30">
        <f t="shared" si="74"/>
        <v>0.87705072215893742</v>
      </c>
      <c r="M152" s="30">
        <f t="shared" si="74"/>
        <v>0.76104076675728871</v>
      </c>
      <c r="N152" s="30">
        <f t="shared" si="74"/>
        <v>1.1019299770150504</v>
      </c>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row>
    <row r="153" spans="1:44" s="2" customFormat="1">
      <c r="A153" s="26" t="s">
        <v>147</v>
      </c>
      <c r="B153" s="27">
        <f t="shared" ref="B153:N153" si="75">((78.44+3-33.6*B$97-(66.8-2.92*B147)*B$94+78.5*B$93+9.4*B$96)/(0.0721-0.0083144*LN((27*B$97*B$92*B$39)/(64*B$98*B$93*B$38))))-273.15</f>
        <v>685.40754073873768</v>
      </c>
      <c r="C153" s="27">
        <f t="shared" si="75"/>
        <v>701.98975167408469</v>
      </c>
      <c r="D153" s="27">
        <f t="shared" si="75"/>
        <v>706.31094492333443</v>
      </c>
      <c r="E153" s="27">
        <f t="shared" si="75"/>
        <v>709.7303041732016</v>
      </c>
      <c r="F153" s="27">
        <f t="shared" si="75"/>
        <v>708.35621638974021</v>
      </c>
      <c r="G153" s="27">
        <f t="shared" si="75"/>
        <v>680.82022100523739</v>
      </c>
      <c r="H153" s="27">
        <f t="shared" si="75"/>
        <v>678.29843714625792</v>
      </c>
      <c r="I153" s="27">
        <f t="shared" si="75"/>
        <v>662.86770930789203</v>
      </c>
      <c r="J153" s="27">
        <f t="shared" si="75"/>
        <v>707.71787727822471</v>
      </c>
      <c r="K153" s="27">
        <f t="shared" si="75"/>
        <v>686.2616925628314</v>
      </c>
      <c r="L153" s="27">
        <f t="shared" si="75"/>
        <v>658.84636814165572</v>
      </c>
      <c r="M153" s="27">
        <f t="shared" si="75"/>
        <v>673.96128490067008</v>
      </c>
      <c r="N153" s="27">
        <f t="shared" si="75"/>
        <v>727.7360857211421</v>
      </c>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row>
    <row r="154" spans="1:44" s="2" customFormat="1">
      <c r="A154" s="1" t="s">
        <v>148</v>
      </c>
      <c r="B154" s="30">
        <f t="shared" ref="B154:N154" si="76">4.76*B$55-3.01-((B153-675)/85)*(0.53*B$55+0.005294*(B153-675))</f>
        <v>2.5592576458860781</v>
      </c>
      <c r="C154" s="30">
        <f t="shared" si="76"/>
        <v>2.5051508021430311</v>
      </c>
      <c r="D154" s="30">
        <f t="shared" si="76"/>
        <v>2.2332903745528769</v>
      </c>
      <c r="E154" s="30">
        <f t="shared" si="76"/>
        <v>2.1163551302671038</v>
      </c>
      <c r="F154" s="30">
        <f t="shared" si="76"/>
        <v>1.9145531120804793</v>
      </c>
      <c r="G154" s="30">
        <f t="shared" si="76"/>
        <v>1.15273348642981</v>
      </c>
      <c r="H154" s="30">
        <f t="shared" si="76"/>
        <v>1.7224384698553432</v>
      </c>
      <c r="I154" s="30">
        <f t="shared" si="76"/>
        <v>1.3536225599692233</v>
      </c>
      <c r="J154" s="30">
        <f t="shared" si="76"/>
        <v>1.413075490159708</v>
      </c>
      <c r="K154" s="30">
        <f t="shared" si="76"/>
        <v>1.2866398924211908</v>
      </c>
      <c r="L154" s="30">
        <f t="shared" si="76"/>
        <v>1.6913661305750887</v>
      </c>
      <c r="M154" s="30">
        <f t="shared" si="76"/>
        <v>2.0275970307963163</v>
      </c>
      <c r="N154" s="30">
        <f t="shared" si="76"/>
        <v>2.2478304920632799</v>
      </c>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row>
    <row r="155" spans="1:44" s="2" customFormat="1">
      <c r="A155" t="s">
        <v>149</v>
      </c>
      <c r="B155" s="28">
        <f t="shared" ref="B155:N155" si="77">(0.677*B149-48.98)/(-0.0429-0.008314*LN(B$38*(B$52-4)/(8-B$52)))-273.15</f>
        <v>701.9943576636208</v>
      </c>
      <c r="C155" s="28">
        <f t="shared" si="77"/>
        <v>705.04490222166498</v>
      </c>
      <c r="D155" s="28">
        <f t="shared" si="77"/>
        <v>708.85909226507601</v>
      </c>
      <c r="E155" s="28">
        <f t="shared" si="77"/>
        <v>699.69758673376998</v>
      </c>
      <c r="F155" s="28">
        <f t="shared" si="77"/>
        <v>698.35045375088362</v>
      </c>
      <c r="G155" s="28">
        <f t="shared" si="77"/>
        <v>659.10678629272979</v>
      </c>
      <c r="H155" s="28">
        <f t="shared" si="77"/>
        <v>674.39662262421518</v>
      </c>
      <c r="I155" s="28">
        <f t="shared" si="77"/>
        <v>650.30875660029869</v>
      </c>
      <c r="J155" s="28">
        <f t="shared" si="77"/>
        <v>673.60825230621515</v>
      </c>
      <c r="K155" s="28">
        <f t="shared" si="77"/>
        <v>670.79680767276921</v>
      </c>
      <c r="L155" s="28">
        <f t="shared" si="77"/>
        <v>671.9398538717702</v>
      </c>
      <c r="M155" s="28">
        <f t="shared" si="77"/>
        <v>692.14340118631719</v>
      </c>
      <c r="N155" s="28">
        <f t="shared" si="77"/>
        <v>724.04388734121108</v>
      </c>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row>
    <row r="156" spans="1:44" s="2" customFormat="1">
      <c r="A156" s="1" t="s">
        <v>150</v>
      </c>
      <c r="B156" s="30">
        <f t="shared" ref="B156:N156" si="78">4.76*B$55-3.01-((B155-675)/85)*(0.53*B$55+0.005294*(B155-675))</f>
        <v>2.3977909355562432</v>
      </c>
      <c r="C156" s="30">
        <f t="shared" si="78"/>
        <v>2.4712290474761107</v>
      </c>
      <c r="D156" s="30">
        <f t="shared" si="78"/>
        <v>2.2044848951181741</v>
      </c>
      <c r="E156" s="30">
        <f t="shared" si="78"/>
        <v>2.2251064660596946</v>
      </c>
      <c r="F156" s="30">
        <f t="shared" si="78"/>
        <v>2.018336298108709</v>
      </c>
      <c r="G156" s="30">
        <f t="shared" si="78"/>
        <v>1.2584827266992453</v>
      </c>
      <c r="H156" s="30">
        <f t="shared" si="78"/>
        <v>1.7473899406789406</v>
      </c>
      <c r="I156" s="30">
        <f t="shared" si="78"/>
        <v>1.3956323598408473</v>
      </c>
      <c r="J156" s="30">
        <f t="shared" si="78"/>
        <v>1.6892165248285391</v>
      </c>
      <c r="K156" s="30">
        <f t="shared" si="78"/>
        <v>1.3819456015295548</v>
      </c>
      <c r="L156" s="30">
        <f t="shared" si="78"/>
        <v>1.6277967142570211</v>
      </c>
      <c r="M156" s="30">
        <f t="shared" si="78"/>
        <v>1.889538632607876</v>
      </c>
      <c r="N156" s="30">
        <f t="shared" si="78"/>
        <v>2.2994524018742584</v>
      </c>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row>
    <row r="157" spans="1:44" s="2" customFormat="1">
      <c r="A157" s="8" t="s">
        <v>152</v>
      </c>
      <c r="B157" s="12"/>
      <c r="C157" s="12"/>
      <c r="D157" s="12"/>
      <c r="E157" s="12"/>
      <c r="F157" s="12"/>
      <c r="G157" s="12"/>
      <c r="H157" s="12"/>
      <c r="I157" s="12"/>
      <c r="J157" s="12"/>
      <c r="K157" s="12"/>
      <c r="L157" s="12"/>
      <c r="M157" s="12"/>
      <c r="N157" s="12"/>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row>
    <row r="158" spans="1:44" s="2" customFormat="1">
      <c r="A158" s="26" t="s">
        <v>145</v>
      </c>
      <c r="B158" s="27">
        <f t="shared" ref="B158:N158" si="79">((-76.95+B152*0.79+39.4*B$96+22.4*B$99+(41.5-2.89*B152)*B$94)/(-0.065-0.0083144*LN(B$100)))-273.15</f>
        <v>770.11781306863497</v>
      </c>
      <c r="C158" s="27">
        <f t="shared" si="79"/>
        <v>772.18981945011626</v>
      </c>
      <c r="D158" s="27">
        <f t="shared" si="79"/>
        <v>780.0600729442175</v>
      </c>
      <c r="E158" s="27">
        <f t="shared" si="79"/>
        <v>758.77797711736901</v>
      </c>
      <c r="F158" s="27">
        <f t="shared" si="79"/>
        <v>754.84066014210146</v>
      </c>
      <c r="G158" s="27">
        <f t="shared" si="79"/>
        <v>722.23576668161388</v>
      </c>
      <c r="H158" s="27">
        <f t="shared" si="79"/>
        <v>743.54872901356362</v>
      </c>
      <c r="I158" s="27">
        <f t="shared" si="79"/>
        <v>704.16082180170122</v>
      </c>
      <c r="J158" s="27">
        <f t="shared" si="79"/>
        <v>716.24706928194769</v>
      </c>
      <c r="K158" s="27">
        <f t="shared" si="79"/>
        <v>730.70475693013987</v>
      </c>
      <c r="L158" s="27">
        <f t="shared" si="79"/>
        <v>745.48507063227851</v>
      </c>
      <c r="M158" s="27">
        <f t="shared" si="79"/>
        <v>774.51631871919551</v>
      </c>
      <c r="N158" s="27">
        <f t="shared" si="79"/>
        <v>792.05507792305195</v>
      </c>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row>
    <row r="159" spans="1:44" s="2" customFormat="1">
      <c r="A159" s="1" t="s">
        <v>146</v>
      </c>
      <c r="B159" s="30">
        <f t="shared" ref="B159:N159" si="80">4.76*B$55-3.01-((B158-675)/85)*(0.53*B$55+0.005294*(B158-675))</f>
        <v>1.375217253793573</v>
      </c>
      <c r="C159" s="30">
        <f t="shared" si="80"/>
        <v>1.4321371293982037</v>
      </c>
      <c r="D159" s="30">
        <f t="shared" si="80"/>
        <v>1.0725495943145245</v>
      </c>
      <c r="E159" s="30">
        <f t="shared" si="80"/>
        <v>1.4042155513304653</v>
      </c>
      <c r="F159" s="30">
        <f t="shared" si="80"/>
        <v>1.2688523758365595</v>
      </c>
      <c r="G159" s="30">
        <f t="shared" si="80"/>
        <v>0.78819206806529674</v>
      </c>
      <c r="H159" s="30">
        <f t="shared" si="80"/>
        <v>1.0241433104897162</v>
      </c>
      <c r="I159" s="30">
        <f t="shared" si="80"/>
        <v>1.076998284141564</v>
      </c>
      <c r="J159" s="30">
        <f t="shared" si="80"/>
        <v>1.3213752611924174</v>
      </c>
      <c r="K159" s="30">
        <f t="shared" si="80"/>
        <v>0.84692354477137943</v>
      </c>
      <c r="L159" s="30">
        <f t="shared" si="80"/>
        <v>0.87387706873781157</v>
      </c>
      <c r="M159" s="30">
        <f t="shared" si="80"/>
        <v>0.74818842369613781</v>
      </c>
      <c r="N159" s="30">
        <f t="shared" si="80"/>
        <v>1.0761156653946131</v>
      </c>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row>
    <row r="160" spans="1:44" s="2" customFormat="1">
      <c r="A160" s="26" t="s">
        <v>147</v>
      </c>
      <c r="B160" s="27">
        <f t="shared" ref="B160:N160" si="81">((78.44+3-33.6*B$97-(66.8-2.92*B154)*B$94+78.5*B$93+9.4*B$96)/(0.0721-0.0083144*LN((27*B$97*B$92*B$39)/(64*B$98*B$93*B$38))))-273.15</f>
        <v>685.4075381772509</v>
      </c>
      <c r="C160" s="27">
        <f t="shared" si="81"/>
        <v>701.98973292787275</v>
      </c>
      <c r="D160" s="27">
        <f t="shared" si="81"/>
        <v>706.310929426543</v>
      </c>
      <c r="E160" s="27">
        <f t="shared" si="81"/>
        <v>709.73025794261696</v>
      </c>
      <c r="F160" s="27">
        <f t="shared" si="81"/>
        <v>708.3561820202915</v>
      </c>
      <c r="G160" s="27">
        <f t="shared" si="81"/>
        <v>680.82021978678415</v>
      </c>
      <c r="H160" s="27">
        <f t="shared" si="81"/>
        <v>678.29843666488762</v>
      </c>
      <c r="I160" s="27">
        <f t="shared" si="81"/>
        <v>662.86771041468444</v>
      </c>
      <c r="J160" s="27">
        <f t="shared" si="81"/>
        <v>707.71780662275</v>
      </c>
      <c r="K160" s="27">
        <f t="shared" si="81"/>
        <v>686.26169018076666</v>
      </c>
      <c r="L160" s="27">
        <f t="shared" si="81"/>
        <v>658.84636840833582</v>
      </c>
      <c r="M160" s="27">
        <f t="shared" si="81"/>
        <v>673.96128494030279</v>
      </c>
      <c r="N160" s="27">
        <f t="shared" si="81"/>
        <v>727.73599466992209</v>
      </c>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row>
    <row r="161" spans="1:44" s="2" customFormat="1">
      <c r="A161" s="1" t="s">
        <v>148</v>
      </c>
      <c r="B161" s="30">
        <f t="shared" ref="B161:N161" si="82">4.76*B$55-3.01-((B160-675)/85)*(0.53*B$55+0.005294*(B160-675))</f>
        <v>2.5592576681750474</v>
      </c>
      <c r="C161" s="30">
        <f t="shared" si="82"/>
        <v>2.5051510067176999</v>
      </c>
      <c r="D161" s="30">
        <f t="shared" si="82"/>
        <v>2.2332905472766109</v>
      </c>
      <c r="E161" s="30">
        <f t="shared" si="82"/>
        <v>2.1163556602789049</v>
      </c>
      <c r="F161" s="30">
        <f t="shared" si="82"/>
        <v>1.9145534899904983</v>
      </c>
      <c r="G161" s="30">
        <f t="shared" si="82"/>
        <v>1.1527334940117393</v>
      </c>
      <c r="H161" s="30">
        <f t="shared" si="82"/>
        <v>1.7224384730506079</v>
      </c>
      <c r="I161" s="30">
        <f t="shared" si="82"/>
        <v>1.3536225554012593</v>
      </c>
      <c r="J161" s="30">
        <f t="shared" si="82"/>
        <v>1.4130762122668405</v>
      </c>
      <c r="K161" s="30">
        <f t="shared" si="82"/>
        <v>1.2866399093955607</v>
      </c>
      <c r="L161" s="30">
        <f t="shared" si="82"/>
        <v>1.6913661294978215</v>
      </c>
      <c r="M161" s="30">
        <f t="shared" si="82"/>
        <v>2.0275970305402624</v>
      </c>
      <c r="N161" s="30">
        <f t="shared" si="82"/>
        <v>2.2478317860195705</v>
      </c>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row>
    <row r="162" spans="1:44" s="2" customFormat="1">
      <c r="A162" t="s">
        <v>149</v>
      </c>
      <c r="B162" s="28">
        <f t="shared" ref="B162:N162" si="83">(0.677*B156-48.98)/(-0.0429-0.008314*LN(B$38*(B$52-4)/(8-B$52)))-273.15</f>
        <v>702.05868378579464</v>
      </c>
      <c r="C162" s="28">
        <f t="shared" si="83"/>
        <v>705.12668669509799</v>
      </c>
      <c r="D162" s="28">
        <f t="shared" si="83"/>
        <v>708.952914519346</v>
      </c>
      <c r="E162" s="28">
        <f t="shared" si="83"/>
        <v>699.74798929823294</v>
      </c>
      <c r="F162" s="28">
        <f t="shared" si="83"/>
        <v>698.3917813118137</v>
      </c>
      <c r="G162" s="28">
        <f t="shared" si="83"/>
        <v>659.1048459606568</v>
      </c>
      <c r="H162" s="28">
        <f t="shared" si="83"/>
        <v>674.39630881653409</v>
      </c>
      <c r="I162" s="28">
        <f t="shared" si="83"/>
        <v>650.30729255238521</v>
      </c>
      <c r="J162" s="28">
        <f t="shared" si="83"/>
        <v>673.6075858494263</v>
      </c>
      <c r="K162" s="28">
        <f t="shared" si="83"/>
        <v>670.79544256370173</v>
      </c>
      <c r="L162" s="28">
        <f t="shared" si="83"/>
        <v>671.93857767922896</v>
      </c>
      <c r="M162" s="28">
        <f t="shared" si="83"/>
        <v>692.16575984246208</v>
      </c>
      <c r="N162" s="28">
        <f t="shared" si="83"/>
        <v>724.2676061672372</v>
      </c>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row>
    <row r="163" spans="1:44" s="2" customFormat="1">
      <c r="A163" s="1" t="s">
        <v>150</v>
      </c>
      <c r="B163" s="30">
        <f t="shared" ref="B163:N163" si="84">4.76*B$55-3.01-((B162-675)/85)*(0.53*B$55+0.005294*(B162-675))</f>
        <v>2.3970980329974423</v>
      </c>
      <c r="C163" s="30">
        <f t="shared" si="84"/>
        <v>2.4703050045760477</v>
      </c>
      <c r="D163" s="30">
        <f t="shared" si="84"/>
        <v>2.2034088450943368</v>
      </c>
      <c r="E163" s="30">
        <f t="shared" si="84"/>
        <v>2.2245914553323991</v>
      </c>
      <c r="F163" s="30">
        <f t="shared" si="84"/>
        <v>2.0179332827716769</v>
      </c>
      <c r="G163" s="30">
        <f t="shared" si="84"/>
        <v>1.2584895522772044</v>
      </c>
      <c r="H163" s="30">
        <f t="shared" si="84"/>
        <v>1.7473918711622956</v>
      </c>
      <c r="I163" s="30">
        <f t="shared" si="84"/>
        <v>1.3956361117797094</v>
      </c>
      <c r="J163" s="30">
        <f t="shared" si="84"/>
        <v>1.6892205043908308</v>
      </c>
      <c r="K163" s="30">
        <f t="shared" si="84"/>
        <v>1.381952699335746</v>
      </c>
      <c r="L163" s="30">
        <f t="shared" si="84"/>
        <v>1.6278039508495172</v>
      </c>
      <c r="M163" s="30">
        <f t="shared" si="84"/>
        <v>1.8893435107411194</v>
      </c>
      <c r="N163" s="30">
        <f t="shared" si="84"/>
        <v>2.2963728400257857</v>
      </c>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row>
    <row r="164" spans="1:44" s="2" customFormat="1">
      <c r="A164" s="8" t="s">
        <v>153</v>
      </c>
      <c r="B164" s="12"/>
      <c r="C164" s="12"/>
      <c r="D164" s="12"/>
      <c r="E164" s="12"/>
      <c r="F164" s="12"/>
      <c r="G164" s="12"/>
      <c r="H164" s="12"/>
      <c r="I164" s="12"/>
      <c r="J164" s="12"/>
      <c r="K164" s="12"/>
      <c r="L164" s="12"/>
      <c r="M164" s="12"/>
      <c r="N164" s="12"/>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row>
    <row r="165" spans="1:44" s="2" customFormat="1">
      <c r="A165" s="26" t="s">
        <v>145</v>
      </c>
      <c r="B165" s="27">
        <f t="shared" ref="B165:N165" si="85">((-76.95+B159*0.79+39.4*B$96+22.4*B$99+(41.5-2.89*B159)*B$94)/(-0.065-0.0083144*LN(B$100)))-273.15</f>
        <v>770.2734685576894</v>
      </c>
      <c r="C165" s="27">
        <f t="shared" si="85"/>
        <v>772.36571184254956</v>
      </c>
      <c r="D165" s="27">
        <f t="shared" si="85"/>
        <v>780.28757030907138</v>
      </c>
      <c r="E165" s="27">
        <f t="shared" si="85"/>
        <v>758.86041750485253</v>
      </c>
      <c r="F165" s="27">
        <f t="shared" si="85"/>
        <v>754.89730563834598</v>
      </c>
      <c r="G165" s="27">
        <f t="shared" si="85"/>
        <v>722.24279779975438</v>
      </c>
      <c r="H165" s="27">
        <f t="shared" si="85"/>
        <v>743.58023346171342</v>
      </c>
      <c r="I165" s="27">
        <f t="shared" si="85"/>
        <v>704.16256449586228</v>
      </c>
      <c r="J165" s="27">
        <f t="shared" si="85"/>
        <v>716.25182077387558</v>
      </c>
      <c r="K165" s="27">
        <f t="shared" si="85"/>
        <v>730.71679525805473</v>
      </c>
      <c r="L165" s="27">
        <f t="shared" si="85"/>
        <v>745.52275502101031</v>
      </c>
      <c r="M165" s="27">
        <f t="shared" si="85"/>
        <v>774.68019710734814</v>
      </c>
      <c r="N165" s="27">
        <f t="shared" si="85"/>
        <v>792.38086358001726</v>
      </c>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row>
    <row r="166" spans="1:44" s="2" customFormat="1">
      <c r="A166" s="1" t="s">
        <v>146</v>
      </c>
      <c r="B166" s="30">
        <f t="shared" ref="B166:N166" si="86">4.76*B$55-3.01-((B165-675)/85)*(0.53*B$55+0.005294*(B165-675))</f>
        <v>1.3722188341059842</v>
      </c>
      <c r="C166" s="30">
        <f t="shared" si="86"/>
        <v>1.42867763197117</v>
      </c>
      <c r="D166" s="30">
        <f t="shared" si="86"/>
        <v>1.0679208231802619</v>
      </c>
      <c r="E166" s="30">
        <f t="shared" si="86"/>
        <v>1.4027663091914682</v>
      </c>
      <c r="F166" s="30">
        <f t="shared" si="86"/>
        <v>1.2679013334760931</v>
      </c>
      <c r="G166" s="30">
        <f t="shared" si="86"/>
        <v>0.78811204030994442</v>
      </c>
      <c r="H166" s="30">
        <f t="shared" si="86"/>
        <v>1.0236780623285333</v>
      </c>
      <c r="I166" s="30">
        <f t="shared" si="86"/>
        <v>1.0769821276548712</v>
      </c>
      <c r="J166" s="30">
        <f t="shared" si="86"/>
        <v>1.3213216508102341</v>
      </c>
      <c r="K166" s="30">
        <f t="shared" si="86"/>
        <v>0.84677110711544201</v>
      </c>
      <c r="L166" s="30">
        <f t="shared" si="86"/>
        <v>0.87331805776374072</v>
      </c>
      <c r="M166" s="30">
        <f t="shared" si="86"/>
        <v>0.74507531160469109</v>
      </c>
      <c r="N166" s="30">
        <f t="shared" si="86"/>
        <v>1.0688690607094933</v>
      </c>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row>
    <row r="167" spans="1:44" s="2" customFormat="1">
      <c r="A167" s="26" t="s">
        <v>147</v>
      </c>
      <c r="B167" s="27">
        <f t="shared" ref="B167:N167" si="87">((78.44+3-33.6*B$97-(66.8-2.92*B161)*B$94+78.5*B$93+9.4*B$96)/(0.0721-0.0083144*LN((27*B$97*B$92*B$39)/(64*B$98*B$93*B$38))))-273.15</f>
        <v>685.40753819368535</v>
      </c>
      <c r="C167" s="27">
        <f t="shared" si="87"/>
        <v>701.98973310279678</v>
      </c>
      <c r="D167" s="27">
        <f t="shared" si="87"/>
        <v>706.31092955682379</v>
      </c>
      <c r="E167" s="27">
        <f t="shared" si="87"/>
        <v>709.73025848544023</v>
      </c>
      <c r="F167" s="27">
        <f t="shared" si="87"/>
        <v>708.3561823909987</v>
      </c>
      <c r="G167" s="27">
        <f t="shared" si="87"/>
        <v>680.82021979414969</v>
      </c>
      <c r="H167" s="27">
        <f t="shared" si="87"/>
        <v>678.29843666744409</v>
      </c>
      <c r="I167" s="27">
        <f t="shared" si="87"/>
        <v>662.86771040997883</v>
      </c>
      <c r="J167" s="27">
        <f t="shared" si="87"/>
        <v>707.71780760108174</v>
      </c>
      <c r="K167" s="27">
        <f t="shared" si="87"/>
        <v>686.26169019542567</v>
      </c>
      <c r="L167" s="27">
        <f t="shared" si="87"/>
        <v>658.84636840770565</v>
      </c>
      <c r="M167" s="27">
        <f t="shared" si="87"/>
        <v>673.96128494017</v>
      </c>
      <c r="N167" s="27">
        <f t="shared" si="87"/>
        <v>727.73599585620548</v>
      </c>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row>
    <row r="168" spans="1:44" s="2" customFormat="1">
      <c r="A168" s="1" t="s">
        <v>148</v>
      </c>
      <c r="B168" s="30">
        <f t="shared" ref="B168:N168" si="88">4.76*B$55-3.01-((B167-675)/85)*(0.53*B$55+0.005294*(B167-675))</f>
        <v>2.5592576680320418</v>
      </c>
      <c r="C168" s="30">
        <f t="shared" si="88"/>
        <v>2.5051510048087797</v>
      </c>
      <c r="D168" s="30">
        <f t="shared" si="88"/>
        <v>2.2332905458245307</v>
      </c>
      <c r="E168" s="30">
        <f t="shared" si="88"/>
        <v>2.116355654055694</v>
      </c>
      <c r="F168" s="30">
        <f t="shared" si="88"/>
        <v>1.91455348591438</v>
      </c>
      <c r="G168" s="30">
        <f t="shared" si="88"/>
        <v>1.1527334939659066</v>
      </c>
      <c r="H168" s="30">
        <f t="shared" si="88"/>
        <v>1.7224384730336384</v>
      </c>
      <c r="I168" s="30">
        <f t="shared" si="88"/>
        <v>1.3536225554206804</v>
      </c>
      <c r="J168" s="30">
        <f t="shared" si="88"/>
        <v>1.4130762022681811</v>
      </c>
      <c r="K168" s="30">
        <f t="shared" si="88"/>
        <v>1.2866399092911021</v>
      </c>
      <c r="L168" s="30">
        <f t="shared" si="88"/>
        <v>1.691366129500367</v>
      </c>
      <c r="M168" s="30">
        <f t="shared" si="88"/>
        <v>2.0275970305411204</v>
      </c>
      <c r="N168" s="30">
        <f t="shared" si="88"/>
        <v>2.2478317691609471</v>
      </c>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row>
    <row r="169" spans="1:44" s="2" customFormat="1">
      <c r="A169" t="s">
        <v>149</v>
      </c>
      <c r="B169" s="28">
        <f t="shared" ref="B169:N169" si="89">(0.677*B163-48.98)/(-0.0429-0.008314*LN(B$38*(B$52-4)/(8-B$52)))-273.15</f>
        <v>702.06834378305257</v>
      </c>
      <c r="C169" s="28">
        <f t="shared" si="89"/>
        <v>705.13962321025792</v>
      </c>
      <c r="D169" s="28">
        <f t="shared" si="89"/>
        <v>708.96798052897429</v>
      </c>
      <c r="E169" s="28">
        <f t="shared" si="89"/>
        <v>699.75513459147237</v>
      </c>
      <c r="F169" s="28">
        <f t="shared" si="89"/>
        <v>698.39734856317762</v>
      </c>
      <c r="G169" s="28">
        <f t="shared" si="89"/>
        <v>659.10475645203508</v>
      </c>
      <c r="H169" s="28">
        <f t="shared" si="89"/>
        <v>674.39628290731162</v>
      </c>
      <c r="I169" s="28">
        <f t="shared" si="89"/>
        <v>650.30724372066504</v>
      </c>
      <c r="J169" s="28">
        <f t="shared" si="89"/>
        <v>673.60753252769064</v>
      </c>
      <c r="K169" s="28">
        <f t="shared" si="89"/>
        <v>670.79534815397983</v>
      </c>
      <c r="L169" s="28">
        <f t="shared" si="89"/>
        <v>671.93848097188265</v>
      </c>
      <c r="M169" s="28">
        <f t="shared" si="89"/>
        <v>692.16843308587602</v>
      </c>
      <c r="N169" s="28">
        <f t="shared" si="89"/>
        <v>724.31145551379973</v>
      </c>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row>
    <row r="170" spans="1:44" s="2" customFormat="1">
      <c r="A170" s="1" t="s">
        <v>150</v>
      </c>
      <c r="B170" s="30">
        <f t="shared" ref="B170:N170" si="90">4.76*B$55-3.01-((B169-675)/85)*(0.53*B$55+0.005294*(B169-675))</f>
        <v>2.3969939337609887</v>
      </c>
      <c r="C170" s="30">
        <f t="shared" si="90"/>
        <v>2.4701587648787942</v>
      </c>
      <c r="D170" s="30">
        <f t="shared" si="90"/>
        <v>2.2032359504391441</v>
      </c>
      <c r="E170" s="30">
        <f t="shared" si="90"/>
        <v>2.224518419495221</v>
      </c>
      <c r="F170" s="30">
        <f t="shared" si="90"/>
        <v>2.0178789761628178</v>
      </c>
      <c r="G170" s="30">
        <f t="shared" si="90"/>
        <v>1.2584898671336804</v>
      </c>
      <c r="H170" s="30">
        <f t="shared" si="90"/>
        <v>1.7473920305502064</v>
      </c>
      <c r="I170" s="30">
        <f t="shared" si="90"/>
        <v>1.3956362369169337</v>
      </c>
      <c r="J170" s="30">
        <f t="shared" si="90"/>
        <v>1.6892208227844299</v>
      </c>
      <c r="K170" s="30">
        <f t="shared" si="90"/>
        <v>1.3819531902050906</v>
      </c>
      <c r="L170" s="30">
        <f t="shared" si="90"/>
        <v>1.6278044992159124</v>
      </c>
      <c r="M170" s="30">
        <f t="shared" si="90"/>
        <v>1.8893201774322568</v>
      </c>
      <c r="N170" s="30">
        <f t="shared" si="90"/>
        <v>2.2957685088778836</v>
      </c>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row>
    <row r="171" spans="1:44" s="2" customFormat="1">
      <c r="A171" s="8" t="s">
        <v>154</v>
      </c>
      <c r="B171" s="12"/>
      <c r="C171" s="12"/>
      <c r="D171" s="12"/>
      <c r="E171" s="12"/>
      <c r="F171" s="12"/>
      <c r="G171" s="12"/>
      <c r="H171" s="12"/>
      <c r="I171" s="12"/>
      <c r="J171" s="12"/>
      <c r="K171" s="12"/>
      <c r="L171" s="12"/>
      <c r="M171" s="12"/>
      <c r="N171" s="12"/>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row>
    <row r="172" spans="1:44" s="2" customFormat="1">
      <c r="A172" s="26" t="s">
        <v>145</v>
      </c>
      <c r="B172" s="27">
        <f t="shared" ref="B172:N172" si="91">((-76.95+B166*0.79+39.4*B$96+22.4*B$99+(41.5-2.89*B166)*B$94)/(-0.065-0.0083144*LN(B$100)))-273.15</f>
        <v>770.31079932612818</v>
      </c>
      <c r="C172" s="27">
        <f t="shared" si="91"/>
        <v>772.40909266522192</v>
      </c>
      <c r="D172" s="27">
        <f t="shared" si="91"/>
        <v>780.34691440693302</v>
      </c>
      <c r="E172" s="27">
        <f t="shared" si="91"/>
        <v>758.87753983774735</v>
      </c>
      <c r="F172" s="27">
        <f t="shared" si="91"/>
        <v>754.90807149641989</v>
      </c>
      <c r="G172" s="27">
        <f t="shared" si="91"/>
        <v>722.24366868860102</v>
      </c>
      <c r="H172" s="27">
        <f t="shared" si="91"/>
        <v>743.585548436458</v>
      </c>
      <c r="I172" s="27">
        <f t="shared" si="91"/>
        <v>704.16273111107876</v>
      </c>
      <c r="J172" s="27">
        <f t="shared" si="91"/>
        <v>716.25236516546181</v>
      </c>
      <c r="K172" s="27">
        <f t="shared" si="91"/>
        <v>730.71844892627496</v>
      </c>
      <c r="L172" s="27">
        <f t="shared" si="91"/>
        <v>745.52939279270652</v>
      </c>
      <c r="M172" s="27">
        <f t="shared" si="91"/>
        <v>774.71989195436993</v>
      </c>
      <c r="N172" s="27">
        <f t="shared" si="91"/>
        <v>792.4723182700676</v>
      </c>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row>
    <row r="173" spans="1:44" s="2" customFormat="1">
      <c r="A173" s="1" t="s">
        <v>146</v>
      </c>
      <c r="B173" s="30">
        <f t="shared" ref="B173:N173" si="92">4.76*B$55-3.01-((B172-675)/85)*(0.53*B$55+0.005294*(B172-675))</f>
        <v>1.37149927609553</v>
      </c>
      <c r="C173" s="30">
        <f t="shared" si="92"/>
        <v>1.4278238141966189</v>
      </c>
      <c r="D173" s="30">
        <f t="shared" si="92"/>
        <v>1.0667123193446002</v>
      </c>
      <c r="E173" s="30">
        <f t="shared" si="92"/>
        <v>1.402465204838808</v>
      </c>
      <c r="F173" s="30">
        <f t="shared" si="92"/>
        <v>1.2677205362692672</v>
      </c>
      <c r="G173" s="30">
        <f t="shared" si="92"/>
        <v>0.78810212747790376</v>
      </c>
      <c r="H173" s="30">
        <f t="shared" si="92"/>
        <v>1.0235995602008146</v>
      </c>
      <c r="I173" s="30">
        <f t="shared" si="92"/>
        <v>1.0769805829483379</v>
      </c>
      <c r="J173" s="30">
        <f t="shared" si="92"/>
        <v>1.3213155083407473</v>
      </c>
      <c r="K173" s="30">
        <f t="shared" si="92"/>
        <v>0.84675016581151674</v>
      </c>
      <c r="L173" s="30">
        <f t="shared" si="92"/>
        <v>0.87321957460251542</v>
      </c>
      <c r="M173" s="30">
        <f t="shared" si="92"/>
        <v>0.74432074604990106</v>
      </c>
      <c r="N173" s="30">
        <f t="shared" si="92"/>
        <v>1.0668324141121421</v>
      </c>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row>
    <row r="174" spans="1:44" s="2" customFormat="1">
      <c r="A174" s="26" t="s">
        <v>147</v>
      </c>
      <c r="B174" s="27">
        <f t="shared" ref="B174:N174" si="93">((78.44+3-33.6*B$97-(66.8-2.92*B168)*B$94+78.5*B$93+9.4*B$96)/(0.0721-0.0083144*LN((27*B$97*B$92*B$39)/(64*B$98*B$93*B$38))))-273.15</f>
        <v>685.40753819357997</v>
      </c>
      <c r="C174" s="27">
        <f t="shared" si="93"/>
        <v>701.98973310116446</v>
      </c>
      <c r="D174" s="27">
        <f t="shared" si="93"/>
        <v>706.31092955572853</v>
      </c>
      <c r="E174" s="27">
        <f t="shared" si="93"/>
        <v>709.73025847906672</v>
      </c>
      <c r="F174" s="27">
        <f t="shared" si="93"/>
        <v>708.35618238700022</v>
      </c>
      <c r="G174" s="27">
        <f t="shared" si="93"/>
        <v>680.82021979410501</v>
      </c>
      <c r="H174" s="27">
        <f t="shared" si="93"/>
        <v>678.29843666743068</v>
      </c>
      <c r="I174" s="27">
        <f t="shared" si="93"/>
        <v>662.86771040999884</v>
      </c>
      <c r="J174" s="27">
        <f t="shared" si="93"/>
        <v>707.71780758753528</v>
      </c>
      <c r="K174" s="27">
        <f t="shared" si="93"/>
        <v>686.2616901953354</v>
      </c>
      <c r="L174" s="27">
        <f t="shared" si="93"/>
        <v>658.84636840770725</v>
      </c>
      <c r="M174" s="27">
        <f t="shared" si="93"/>
        <v>673.96128494017057</v>
      </c>
      <c r="N174" s="27">
        <f t="shared" si="93"/>
        <v>727.73599584074964</v>
      </c>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row>
    <row r="175" spans="1:44" s="2" customFormat="1">
      <c r="A175" s="1" t="s">
        <v>148</v>
      </c>
      <c r="B175" s="30">
        <f t="shared" ref="B175:N175" si="94">4.76*B$55-3.01-((B174-675)/85)*(0.53*B$55+0.005294*(B174-675))</f>
        <v>2.5592576680329588</v>
      </c>
      <c r="C175" s="30">
        <f t="shared" si="94"/>
        <v>2.505151004826593</v>
      </c>
      <c r="D175" s="30">
        <f t="shared" si="94"/>
        <v>2.2332905458367383</v>
      </c>
      <c r="E175" s="30">
        <f t="shared" si="94"/>
        <v>2.1163556541287631</v>
      </c>
      <c r="F175" s="30">
        <f t="shared" si="94"/>
        <v>1.9145534859583453</v>
      </c>
      <c r="G175" s="30">
        <f t="shared" si="94"/>
        <v>1.1527334939661846</v>
      </c>
      <c r="H175" s="30">
        <f t="shared" si="94"/>
        <v>1.7224384730337274</v>
      </c>
      <c r="I175" s="30">
        <f t="shared" si="94"/>
        <v>1.3536225554205978</v>
      </c>
      <c r="J175" s="30">
        <f t="shared" si="94"/>
        <v>1.4130762024066277</v>
      </c>
      <c r="K175" s="30">
        <f t="shared" si="94"/>
        <v>1.2866399092917453</v>
      </c>
      <c r="L175" s="30">
        <f t="shared" si="94"/>
        <v>1.6913661295003606</v>
      </c>
      <c r="M175" s="30">
        <f t="shared" si="94"/>
        <v>2.0275970305411168</v>
      </c>
      <c r="N175" s="30">
        <f t="shared" si="94"/>
        <v>2.2478317693805945</v>
      </c>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row>
    <row r="176" spans="1:44" s="2" customFormat="1">
      <c r="A176" t="s">
        <v>149</v>
      </c>
      <c r="B176" s="28">
        <f t="shared" ref="B176:N176" si="95">(0.677*B170-48.98)/(-0.0429-0.008314*LN(B$38*(B$52-4)/(8-B$52)))-273.15</f>
        <v>702.06979506696825</v>
      </c>
      <c r="C176" s="28">
        <f t="shared" si="95"/>
        <v>705.14167055249766</v>
      </c>
      <c r="D176" s="28">
        <f t="shared" si="95"/>
        <v>708.97040126451827</v>
      </c>
      <c r="E176" s="28">
        <f t="shared" si="95"/>
        <v>699.75614789555698</v>
      </c>
      <c r="F176" s="28">
        <f t="shared" si="95"/>
        <v>698.39809875433536</v>
      </c>
      <c r="G176" s="28">
        <f t="shared" si="95"/>
        <v>659.10475232309977</v>
      </c>
      <c r="H176" s="28">
        <f t="shared" si="95"/>
        <v>674.3962807681495</v>
      </c>
      <c r="I176" s="28">
        <f t="shared" si="95"/>
        <v>650.30724209199616</v>
      </c>
      <c r="J176" s="28">
        <f t="shared" si="95"/>
        <v>673.60752826156852</v>
      </c>
      <c r="K176" s="28">
        <f t="shared" si="95"/>
        <v>670.79534162480195</v>
      </c>
      <c r="L176" s="28">
        <f t="shared" si="95"/>
        <v>671.93847364370163</v>
      </c>
      <c r="M176" s="28">
        <f t="shared" si="95"/>
        <v>692.16875276103747</v>
      </c>
      <c r="N176" s="28">
        <f t="shared" si="95"/>
        <v>724.32006048010555</v>
      </c>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row>
    <row r="177" spans="1:44" s="2" customFormat="1">
      <c r="A177" s="1" t="s">
        <v>150</v>
      </c>
      <c r="B177" s="30">
        <f t="shared" ref="B177:N177" si="96">4.76*B$55-3.01-((B176-675)/85)*(0.53*B$55+0.005294*(B176-675))</f>
        <v>2.3969782932545369</v>
      </c>
      <c r="C177" s="30">
        <f t="shared" si="96"/>
        <v>2.4701356189679635</v>
      </c>
      <c r="D177" s="30">
        <f t="shared" si="96"/>
        <v>2.2032081679029276</v>
      </c>
      <c r="E177" s="30">
        <f t="shared" si="96"/>
        <v>2.2245080614610937</v>
      </c>
      <c r="F177" s="30">
        <f t="shared" si="96"/>
        <v>2.0178716580127256</v>
      </c>
      <c r="G177" s="30">
        <f t="shared" si="96"/>
        <v>1.2584898816576429</v>
      </c>
      <c r="H177" s="30">
        <f t="shared" si="96"/>
        <v>1.7473920437098636</v>
      </c>
      <c r="I177" s="30">
        <f t="shared" si="96"/>
        <v>1.3956362410905907</v>
      </c>
      <c r="J177" s="30">
        <f t="shared" si="96"/>
        <v>1.689220848258191</v>
      </c>
      <c r="K177" s="30">
        <f t="shared" si="96"/>
        <v>1.3819532241525414</v>
      </c>
      <c r="L177" s="30">
        <f t="shared" si="96"/>
        <v>1.6278045407693598</v>
      </c>
      <c r="M177" s="30">
        <f t="shared" si="96"/>
        <v>1.8893173870995337</v>
      </c>
      <c r="N177" s="30">
        <f t="shared" si="96"/>
        <v>2.2956498872272504</v>
      </c>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row>
    <row r="178" spans="1:44" s="2" customFormat="1">
      <c r="A178" s="8" t="s">
        <v>126</v>
      </c>
      <c r="B178" s="12"/>
      <c r="C178" s="12"/>
      <c r="D178" s="12"/>
      <c r="E178" s="12"/>
      <c r="F178" s="12"/>
      <c r="G178" s="12"/>
      <c r="H178" s="12"/>
      <c r="I178" s="12"/>
      <c r="J178" s="12"/>
      <c r="K178" s="12"/>
      <c r="L178" s="12"/>
      <c r="M178" s="12"/>
      <c r="N178" s="12"/>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row>
    <row r="179" spans="1:44" s="2" customFormat="1">
      <c r="A179" s="26" t="s">
        <v>127</v>
      </c>
      <c r="B179" s="27">
        <f t="shared" ref="B179:N179" si="97">((-76.95+B173*0.79+39.4*B$96+22.4*B$99+(41.5-2.89*B173)*B$94)/(-0.065-0.0083144*LN(B$100)))-273.15</f>
        <v>770.31975792974765</v>
      </c>
      <c r="C179" s="27">
        <f t="shared" si="97"/>
        <v>772.4197992254243</v>
      </c>
      <c r="D179" s="27">
        <f t="shared" si="97"/>
        <v>780.36240827513473</v>
      </c>
      <c r="E179" s="27">
        <f t="shared" si="97"/>
        <v>758.88109728948223</v>
      </c>
      <c r="F179" s="27">
        <f t="shared" si="97"/>
        <v>754.91011813193279</v>
      </c>
      <c r="G179" s="27">
        <f t="shared" si="97"/>
        <v>722.2437765633606</v>
      </c>
      <c r="H179" s="27">
        <f t="shared" si="97"/>
        <v>743.58644524134854</v>
      </c>
      <c r="I179" s="27">
        <f t="shared" si="97"/>
        <v>704.16274704100363</v>
      </c>
      <c r="J179" s="27">
        <f t="shared" si="97"/>
        <v>716.25242753973669</v>
      </c>
      <c r="K179" s="27">
        <f t="shared" si="97"/>
        <v>730.71867610090965</v>
      </c>
      <c r="L179" s="27">
        <f t="shared" si="97"/>
        <v>745.53056219504469</v>
      </c>
      <c r="M179" s="27">
        <f t="shared" si="97"/>
        <v>774.72951331183629</v>
      </c>
      <c r="N179" s="27">
        <f t="shared" si="97"/>
        <v>792.49802146368654</v>
      </c>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row>
    <row r="180" spans="1:44" s="2" customFormat="1">
      <c r="A180" s="1" t="s">
        <v>128</v>
      </c>
      <c r="B180" s="30">
        <f t="shared" ref="B180:N180" si="98">4.76*B$55-3.01-((B179-675)/85)*(0.53*B$55+0.005294*(B179-675))</f>
        <v>1.3713265713954561</v>
      </c>
      <c r="C180" s="30">
        <f t="shared" si="98"/>
        <v>1.4276130524945274</v>
      </c>
      <c r="D180" s="30">
        <f t="shared" si="98"/>
        <v>1.0663967246089554</v>
      </c>
      <c r="E180" s="30">
        <f t="shared" si="98"/>
        <v>1.4024026407792287</v>
      </c>
      <c r="F180" s="30">
        <f t="shared" si="98"/>
        <v>1.267686164316342</v>
      </c>
      <c r="G180" s="30">
        <f t="shared" si="98"/>
        <v>0.7881008995943406</v>
      </c>
      <c r="H180" s="30">
        <f t="shared" si="98"/>
        <v>1.0235863140539332</v>
      </c>
      <c r="I180" s="30">
        <f t="shared" si="98"/>
        <v>1.0769804352602113</v>
      </c>
      <c r="J180" s="30">
        <f t="shared" si="98"/>
        <v>1.3213148045580785</v>
      </c>
      <c r="K180" s="30">
        <f t="shared" si="98"/>
        <v>0.84674728894842022</v>
      </c>
      <c r="L180" s="30">
        <f t="shared" si="98"/>
        <v>0.87320222386816437</v>
      </c>
      <c r="M180" s="30">
        <f t="shared" si="98"/>
        <v>0.74413782260888817</v>
      </c>
      <c r="N180" s="30">
        <f t="shared" si="98"/>
        <v>1.0662598303071784</v>
      </c>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row>
    <row r="181" spans="1:44" s="2" customFormat="1">
      <c r="A181" s="26" t="s">
        <v>147</v>
      </c>
      <c r="B181" s="27">
        <f t="shared" ref="B181:N181" si="99">((78.44+3-33.6*B$97-(66.8-2.92*B175)*B$94+78.5*B$93+9.4*B$96)/(0.0721-0.0083144*LN((27*B$97*B$92*B$39)/(64*B$98*B$93*B$38))))-273.15</f>
        <v>685.40753819358065</v>
      </c>
      <c r="C181" s="27">
        <f t="shared" si="99"/>
        <v>701.98973310117981</v>
      </c>
      <c r="D181" s="27">
        <f t="shared" si="99"/>
        <v>706.31092955573774</v>
      </c>
      <c r="E181" s="27">
        <f t="shared" si="99"/>
        <v>709.73025847914141</v>
      </c>
      <c r="F181" s="27">
        <f t="shared" si="99"/>
        <v>708.35618238704342</v>
      </c>
      <c r="G181" s="27">
        <f t="shared" si="99"/>
        <v>680.82021979410536</v>
      </c>
      <c r="H181" s="27">
        <f t="shared" si="99"/>
        <v>678.29843666743068</v>
      </c>
      <c r="I181" s="27">
        <f t="shared" si="99"/>
        <v>662.86771040999872</v>
      </c>
      <c r="J181" s="27">
        <f t="shared" si="99"/>
        <v>707.71780758772286</v>
      </c>
      <c r="K181" s="27">
        <f t="shared" si="99"/>
        <v>686.26169019533597</v>
      </c>
      <c r="L181" s="27">
        <f t="shared" si="99"/>
        <v>658.84636840770725</v>
      </c>
      <c r="M181" s="27">
        <f t="shared" si="99"/>
        <v>673.96128494017057</v>
      </c>
      <c r="N181" s="27">
        <f t="shared" si="99"/>
        <v>727.73599584095098</v>
      </c>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row>
    <row r="182" spans="1:44" s="2" customFormat="1">
      <c r="A182" s="1" t="s">
        <v>148</v>
      </c>
      <c r="B182" s="30">
        <f t="shared" ref="B182:N182" si="100">4.76*B$55-3.01-((B181-675)/85)*(0.53*B$55+0.005294*(B181-675))</f>
        <v>2.5592576680329531</v>
      </c>
      <c r="C182" s="30">
        <f t="shared" si="100"/>
        <v>2.5051510048264256</v>
      </c>
      <c r="D182" s="30">
        <f t="shared" si="100"/>
        <v>2.2332905458366357</v>
      </c>
      <c r="E182" s="30">
        <f t="shared" si="100"/>
        <v>2.1163556541279069</v>
      </c>
      <c r="F182" s="30">
        <f t="shared" si="100"/>
        <v>1.9145534859578703</v>
      </c>
      <c r="G182" s="30">
        <f t="shared" si="100"/>
        <v>1.1527334939661824</v>
      </c>
      <c r="H182" s="30">
        <f t="shared" si="100"/>
        <v>1.7224384730337274</v>
      </c>
      <c r="I182" s="30">
        <f t="shared" si="100"/>
        <v>1.3536225554205983</v>
      </c>
      <c r="J182" s="30">
        <f t="shared" si="100"/>
        <v>1.4130762024047103</v>
      </c>
      <c r="K182" s="30">
        <f t="shared" si="100"/>
        <v>1.2866399092917413</v>
      </c>
      <c r="L182" s="30">
        <f t="shared" si="100"/>
        <v>1.6913661295003606</v>
      </c>
      <c r="M182" s="30">
        <f t="shared" si="100"/>
        <v>2.0275970305411168</v>
      </c>
      <c r="N182" s="30">
        <f t="shared" si="100"/>
        <v>2.2478317693777332</v>
      </c>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row>
    <row r="183" spans="1:44" s="2" customFormat="1">
      <c r="A183" t="s">
        <v>149</v>
      </c>
      <c r="B183" s="28">
        <f t="shared" ref="B183:N183" si="101">(0.677*B177-48.98)/(-0.0429-0.008314*LN(B$38*(B$52-4)/(8-B$52)))-273.15</f>
        <v>702.07001311674662</v>
      </c>
      <c r="C183" s="28">
        <f t="shared" si="101"/>
        <v>705.14199459310908</v>
      </c>
      <c r="D183" s="28">
        <f t="shared" si="101"/>
        <v>708.97079025383005</v>
      </c>
      <c r="E183" s="28">
        <f t="shared" si="101"/>
        <v>699.75629160361461</v>
      </c>
      <c r="F183" s="28">
        <f t="shared" si="101"/>
        <v>698.39819984721532</v>
      </c>
      <c r="G183" s="28">
        <f t="shared" si="101"/>
        <v>659.10475213263692</v>
      </c>
      <c r="H183" s="28">
        <f t="shared" si="101"/>
        <v>674.39628059153233</v>
      </c>
      <c r="I183" s="28">
        <f t="shared" si="101"/>
        <v>650.30724203767568</v>
      </c>
      <c r="J183" s="28">
        <f t="shared" si="101"/>
        <v>673.60752792024823</v>
      </c>
      <c r="K183" s="28">
        <f t="shared" si="101"/>
        <v>670.79534117325829</v>
      </c>
      <c r="L183" s="28">
        <f t="shared" si="101"/>
        <v>671.93847308839565</v>
      </c>
      <c r="M183" s="28">
        <f t="shared" si="101"/>
        <v>692.16879098965182</v>
      </c>
      <c r="N183" s="28">
        <f t="shared" si="101"/>
        <v>724.32174951319678</v>
      </c>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row>
    <row r="184" spans="1:44" s="2" customFormat="1">
      <c r="A184" s="1" t="s">
        <v>150</v>
      </c>
      <c r="B184" s="30">
        <f t="shared" ref="B184:N184" si="102">4.76*B$55-3.01-((B183-675)/85)*(0.53*B$55+0.005294*(B183-675))</f>
        <v>2.3969759433064457</v>
      </c>
      <c r="C184" s="30">
        <f t="shared" si="102"/>
        <v>2.4701319555291228</v>
      </c>
      <c r="D184" s="30">
        <f t="shared" si="102"/>
        <v>2.203203703443994</v>
      </c>
      <c r="E184" s="30">
        <f t="shared" si="102"/>
        <v>2.2245065924613319</v>
      </c>
      <c r="F184" s="30">
        <f t="shared" si="102"/>
        <v>2.0178706718415582</v>
      </c>
      <c r="G184" s="30">
        <f t="shared" si="102"/>
        <v>1.2584898823276158</v>
      </c>
      <c r="H184" s="30">
        <f t="shared" si="102"/>
        <v>1.7473920447963736</v>
      </c>
      <c r="I184" s="30">
        <f t="shared" si="102"/>
        <v>1.3956362412297934</v>
      </c>
      <c r="J184" s="30">
        <f t="shared" si="102"/>
        <v>1.689220850296274</v>
      </c>
      <c r="K184" s="30">
        <f t="shared" si="102"/>
        <v>1.3819532265002725</v>
      </c>
      <c r="L184" s="30">
        <f t="shared" si="102"/>
        <v>1.6278045439181459</v>
      </c>
      <c r="M184" s="30">
        <f t="shared" si="102"/>
        <v>1.8893170534144719</v>
      </c>
      <c r="N184" s="30">
        <f t="shared" si="102"/>
        <v>2.2956266023933032</v>
      </c>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row>
    <row r="185" spans="1:44" s="2" customFormat="1">
      <c r="G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row>
    <row r="186" spans="1:44" s="2" customFormat="1">
      <c r="G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row>
    <row r="187" spans="1:44" s="2" customFormat="1">
      <c r="G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row>
    <row r="188" spans="1:44" s="2" customFormat="1">
      <c r="A188" s="6" t="s">
        <v>0</v>
      </c>
      <c r="B188" s="9"/>
      <c r="C188" s="9"/>
      <c r="D188" s="9"/>
      <c r="E188" s="9"/>
      <c r="F188" s="9"/>
      <c r="G188" s="9"/>
      <c r="H188" s="9"/>
      <c r="I188" s="9"/>
      <c r="J188" s="9"/>
      <c r="K188" s="9"/>
      <c r="L188" s="9"/>
      <c r="M188" s="9"/>
      <c r="N188" s="9"/>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row>
    <row r="189" spans="1:44" s="2" customFormat="1">
      <c r="A189" s="2" t="s">
        <v>1</v>
      </c>
      <c r="B189" s="10">
        <f>B22/60.09*2+B23/79.9*2+B24/101.94*3+B25/71.85+B26/40.32+B27/70.94+B28/56.08+B29/61.982+B30/94.2</f>
        <v>2.5629067080127723</v>
      </c>
      <c r="C189" s="10">
        <f t="shared" ref="B189:N189" si="103">C22/60.09*2+C23/79.9*2+C24/101.94*3+C25/71.85+C26/40.32+C27/70.94+C28/56.08+C29/61.982+C30/94.2</f>
        <v>2.5366913382340388</v>
      </c>
      <c r="D189" s="10">
        <f t="shared" si="103"/>
        <v>2.5771562018615106</v>
      </c>
      <c r="E189" s="10">
        <f t="shared" si="103"/>
        <v>2.519896151559363</v>
      </c>
      <c r="F189" s="10">
        <f t="shared" si="103"/>
        <v>2.5700959058574209</v>
      </c>
      <c r="G189" s="10">
        <f t="shared" si="103"/>
        <v>2.5815271914851272</v>
      </c>
      <c r="H189" s="10">
        <f t="shared" si="103"/>
        <v>2.6102483928759121</v>
      </c>
      <c r="I189" s="10">
        <f t="shared" si="103"/>
        <v>2.5683978013839446</v>
      </c>
      <c r="J189" s="10">
        <f t="shared" si="103"/>
        <v>2.6221474674209162</v>
      </c>
      <c r="K189" s="10">
        <f t="shared" si="103"/>
        <v>2.5878687508499225</v>
      </c>
      <c r="L189" s="10">
        <f t="shared" si="103"/>
        <v>2.6214190031753382</v>
      </c>
      <c r="M189" s="10">
        <f t="shared" si="103"/>
        <v>2.5667022006062252</v>
      </c>
      <c r="N189" s="10">
        <f t="shared" si="103"/>
        <v>2.6028248891646433</v>
      </c>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row>
    <row r="190" spans="1:44" s="2" customFormat="1">
      <c r="B190" s="10"/>
      <c r="C190" s="10"/>
      <c r="D190" s="10"/>
      <c r="E190" s="10"/>
      <c r="F190" s="10"/>
      <c r="G190" s="10"/>
      <c r="H190" s="10"/>
      <c r="I190" s="10"/>
      <c r="J190" s="10"/>
      <c r="K190" s="10"/>
      <c r="L190" s="10"/>
      <c r="M190" s="10"/>
      <c r="N190" s="10"/>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row>
    <row r="191" spans="1:44" s="2" customFormat="1">
      <c r="A191" s="3" t="s">
        <v>55</v>
      </c>
      <c r="B191" s="11"/>
      <c r="C191" s="11"/>
      <c r="D191" s="11"/>
      <c r="E191" s="11"/>
      <c r="F191" s="11"/>
      <c r="G191" s="58"/>
      <c r="H191" s="11"/>
      <c r="I191" s="11"/>
      <c r="J191" s="11"/>
      <c r="K191" s="11"/>
      <c r="L191" s="11"/>
      <c r="M191" s="11"/>
      <c r="N191" s="11"/>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row>
    <row r="192" spans="1:44" s="2" customFormat="1">
      <c r="A192" s="2" t="s">
        <v>56</v>
      </c>
      <c r="B192" s="76">
        <f>B22/60.09*2*23/B$189/2</f>
        <v>6.9326291725983724</v>
      </c>
      <c r="C192" s="71">
        <f t="shared" ref="B192:N192" si="104">C22/60.09*2*23/C$189/2</f>
        <v>6.9137407573212633</v>
      </c>
      <c r="D192" s="71">
        <f t="shared" si="104"/>
        <v>6.9477647911752562</v>
      </c>
      <c r="E192" s="71">
        <f t="shared" si="104"/>
        <v>6.9886810732091043</v>
      </c>
      <c r="F192" s="71">
        <f t="shared" si="104"/>
        <v>7.0398256674945383</v>
      </c>
      <c r="G192" s="72">
        <f t="shared" si="104"/>
        <v>7.2503302211249281</v>
      </c>
      <c r="H192" s="71">
        <f t="shared" si="104"/>
        <v>7.1353601661908286</v>
      </c>
      <c r="I192" s="71">
        <f t="shared" si="104"/>
        <v>7.2411949787338612</v>
      </c>
      <c r="J192" s="71">
        <f t="shared" si="104"/>
        <v>7.1832649373890822</v>
      </c>
      <c r="K192" s="71">
        <f t="shared" si="104"/>
        <v>7.217772805321629</v>
      </c>
      <c r="L192" s="71">
        <f t="shared" si="104"/>
        <v>7.1370770588474857</v>
      </c>
      <c r="M192" s="71">
        <f t="shared" si="104"/>
        <v>7.0491337568122772</v>
      </c>
      <c r="N192" s="71">
        <f t="shared" si="104"/>
        <v>6.9071874341055688</v>
      </c>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row>
    <row r="193" spans="1:44" s="2" customFormat="1">
      <c r="A193" s="2" t="s">
        <v>57</v>
      </c>
      <c r="B193" s="71">
        <f>8-B192</f>
        <v>1.0673708274016276</v>
      </c>
      <c r="C193" s="71">
        <f t="shared" ref="B193:N193" si="105">8-C192</f>
        <v>1.0862592426787367</v>
      </c>
      <c r="D193" s="71">
        <f t="shared" si="105"/>
        <v>1.0522352088247438</v>
      </c>
      <c r="E193" s="71">
        <f t="shared" si="105"/>
        <v>1.0113189267908957</v>
      </c>
      <c r="F193" s="71">
        <f t="shared" si="105"/>
        <v>0.96017433250546169</v>
      </c>
      <c r="G193" s="72">
        <f t="shared" si="105"/>
        <v>0.74966977887507191</v>
      </c>
      <c r="H193" s="71">
        <f t="shared" si="105"/>
        <v>0.86463983380917142</v>
      </c>
      <c r="I193" s="71">
        <f t="shared" si="105"/>
        <v>0.7588050212661388</v>
      </c>
      <c r="J193" s="71">
        <f t="shared" si="105"/>
        <v>0.81673506261091777</v>
      </c>
      <c r="K193" s="71">
        <f t="shared" si="105"/>
        <v>0.78222719467837099</v>
      </c>
      <c r="L193" s="71">
        <f t="shared" si="105"/>
        <v>0.86292294115251433</v>
      </c>
      <c r="M193" s="71">
        <f t="shared" si="105"/>
        <v>0.95086624318772284</v>
      </c>
      <c r="N193" s="71">
        <f t="shared" si="105"/>
        <v>1.0928125658944312</v>
      </c>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row>
    <row r="194" spans="1:44" s="2" customFormat="1">
      <c r="B194" s="71"/>
      <c r="C194" s="71"/>
      <c r="D194" s="71"/>
      <c r="E194" s="71"/>
      <c r="F194" s="71"/>
      <c r="G194" s="72"/>
      <c r="H194" s="71"/>
      <c r="I194" s="71"/>
      <c r="J194" s="71"/>
      <c r="K194" s="71"/>
      <c r="L194" s="71"/>
      <c r="M194" s="71"/>
      <c r="N194" s="71"/>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row>
    <row r="195" spans="1:44" s="2" customFormat="1">
      <c r="A195" s="2" t="s">
        <v>58</v>
      </c>
      <c r="B195" s="71">
        <f>B193+B198</f>
        <v>1.1990230072329597</v>
      </c>
      <c r="C195" s="71">
        <f t="shared" ref="B195:N195" si="106">C193+C198</f>
        <v>1.2220875324587237</v>
      </c>
      <c r="D195" s="71">
        <f t="shared" si="106"/>
        <v>1.171382086352682</v>
      </c>
      <c r="E195" s="71">
        <f t="shared" si="106"/>
        <v>1.1550220461985201</v>
      </c>
      <c r="F195" s="71">
        <f t="shared" si="106"/>
        <v>1.1078812998259002</v>
      </c>
      <c r="G195" s="72">
        <f t="shared" si="106"/>
        <v>0.88972190057098832</v>
      </c>
      <c r="H195" s="71">
        <f t="shared" si="106"/>
        <v>1.0095880758079998</v>
      </c>
      <c r="I195" s="71">
        <f t="shared" si="106"/>
        <v>0.91359614126611044</v>
      </c>
      <c r="J195" s="71">
        <f t="shared" si="106"/>
        <v>0.99640214490692836</v>
      </c>
      <c r="K195" s="71">
        <f t="shared" si="106"/>
        <v>0.92764666658539596</v>
      </c>
      <c r="L195" s="71">
        <f t="shared" si="106"/>
        <v>0.97946523413549935</v>
      </c>
      <c r="M195" s="71">
        <f t="shared" si="106"/>
        <v>1.0671523142810224</v>
      </c>
      <c r="N195" s="71">
        <f t="shared" si="106"/>
        <v>1.2378455599922216</v>
      </c>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row>
    <row r="196" spans="1:44" s="2" customFormat="1">
      <c r="B196" s="71"/>
      <c r="C196" s="71"/>
      <c r="D196" s="71"/>
      <c r="E196" s="71"/>
      <c r="F196" s="71"/>
      <c r="G196" s="72"/>
      <c r="H196" s="71"/>
      <c r="I196" s="71"/>
      <c r="J196" s="71"/>
      <c r="K196" s="71"/>
      <c r="L196" s="71"/>
      <c r="M196" s="71"/>
      <c r="N196" s="71"/>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row>
    <row r="197" spans="1:44" s="2" customFormat="1">
      <c r="A197" s="3" t="s">
        <v>59</v>
      </c>
      <c r="B197" s="71"/>
      <c r="C197" s="71"/>
      <c r="D197" s="71"/>
      <c r="E197" s="71"/>
      <c r="F197" s="71"/>
      <c r="G197" s="72"/>
      <c r="H197" s="71"/>
      <c r="I197" s="71"/>
      <c r="J197" s="71"/>
      <c r="K197" s="71"/>
      <c r="L197" s="71"/>
      <c r="M197" s="71"/>
      <c r="N197" s="71"/>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row>
    <row r="198" spans="1:44" s="2" customFormat="1">
      <c r="A198" s="2" t="s">
        <v>60</v>
      </c>
      <c r="B198" s="71">
        <f>B24/101.94*3*23/B$189*2/3-B193</f>
        <v>0.13165217983133215</v>
      </c>
      <c r="C198" s="71">
        <f t="shared" ref="B198:N198" si="107">C24/101.94*3*23/C$189*2/3-C193</f>
        <v>0.13582828977998695</v>
      </c>
      <c r="D198" s="71">
        <f t="shared" si="107"/>
        <v>0.11914687752793829</v>
      </c>
      <c r="E198" s="71">
        <f t="shared" si="107"/>
        <v>0.14370311940762437</v>
      </c>
      <c r="F198" s="71">
        <f t="shared" si="107"/>
        <v>0.14770696732043853</v>
      </c>
      <c r="G198" s="72">
        <f t="shared" si="107"/>
        <v>0.14005212169591641</v>
      </c>
      <c r="H198" s="71">
        <f t="shared" si="107"/>
        <v>0.14494824199882839</v>
      </c>
      <c r="I198" s="71">
        <f t="shared" si="107"/>
        <v>0.15479111999997164</v>
      </c>
      <c r="J198" s="71">
        <f t="shared" si="107"/>
        <v>0.17966708229601058</v>
      </c>
      <c r="K198" s="71">
        <f t="shared" si="107"/>
        <v>0.14541947190702498</v>
      </c>
      <c r="L198" s="71">
        <f t="shared" si="107"/>
        <v>0.11654229298298502</v>
      </c>
      <c r="M198" s="71">
        <f t="shared" si="107"/>
        <v>0.11628607109329958</v>
      </c>
      <c r="N198" s="71">
        <f t="shared" si="107"/>
        <v>0.14503299409779036</v>
      </c>
      <c r="O198" s="24"/>
      <c r="P198" s="24" t="s">
        <v>163</v>
      </c>
      <c r="Q198" s="24"/>
      <c r="R198" s="24"/>
      <c r="S198" s="24"/>
      <c r="T198" s="24" t="s">
        <v>164</v>
      </c>
      <c r="U198" s="75">
        <f>B24/101.94*3*23/B$189*2/3</f>
        <v>1.1990230072329597</v>
      </c>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row>
    <row r="199" spans="1:44" s="2" customFormat="1">
      <c r="A199" s="2" t="s">
        <v>61</v>
      </c>
      <c r="B199" s="71">
        <f t="shared" ref="B199:N199" si="108">B23/79.9*2*23/B$189/2</f>
        <v>0.14264349784128696</v>
      </c>
      <c r="C199" s="71">
        <f t="shared" si="108"/>
        <v>0.14865678168223689</v>
      </c>
      <c r="D199" s="71">
        <f t="shared" si="108"/>
        <v>0.14520570074292241</v>
      </c>
      <c r="E199" s="71">
        <f t="shared" si="108"/>
        <v>0.14507819191104768</v>
      </c>
      <c r="F199" s="71">
        <f t="shared" si="108"/>
        <v>0.14112445313710073</v>
      </c>
      <c r="G199" s="72">
        <f t="shared" si="108"/>
        <v>5.7983936555010329E-2</v>
      </c>
      <c r="H199" s="71">
        <f t="shared" si="108"/>
        <v>7.0579600149411073E-2</v>
      </c>
      <c r="I199" s="71">
        <f t="shared" si="108"/>
        <v>6.7246551439780949E-2</v>
      </c>
      <c r="J199" s="71">
        <f t="shared" si="108"/>
        <v>8.8921946980322922E-2</v>
      </c>
      <c r="K199" s="71">
        <f t="shared" si="108"/>
        <v>6.4515906503423967E-2</v>
      </c>
      <c r="L199" s="71">
        <f t="shared" si="108"/>
        <v>8.2358016144774102E-2</v>
      </c>
      <c r="M199" s="71">
        <f t="shared" si="108"/>
        <v>8.4113719361264536E-2</v>
      </c>
      <c r="N199" s="71">
        <f t="shared" si="108"/>
        <v>0.14266775130102499</v>
      </c>
      <c r="O199" s="24"/>
      <c r="P199" s="24">
        <f>B25/71.85*23/B$189</f>
        <v>1.7748528149254801</v>
      </c>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row>
    <row r="200" spans="1:44" s="2" customFormat="1">
      <c r="A200" s="2" t="s">
        <v>62</v>
      </c>
      <c r="B200" s="71">
        <v>0</v>
      </c>
      <c r="C200" s="71">
        <v>0</v>
      </c>
      <c r="D200" s="71">
        <v>0</v>
      </c>
      <c r="E200" s="71">
        <v>0</v>
      </c>
      <c r="F200" s="71">
        <v>0</v>
      </c>
      <c r="G200" s="72">
        <v>0</v>
      </c>
      <c r="H200" s="71">
        <v>0</v>
      </c>
      <c r="I200" s="71">
        <v>0</v>
      </c>
      <c r="J200" s="71">
        <v>0</v>
      </c>
      <c r="K200" s="71">
        <v>0</v>
      </c>
      <c r="L200" s="71">
        <v>0</v>
      </c>
      <c r="M200" s="71">
        <v>0</v>
      </c>
      <c r="N200" s="71">
        <v>0</v>
      </c>
      <c r="O200" s="24"/>
      <c r="P200" s="24">
        <f>5-SUM(B198:B202)</f>
        <v>1.5869742033701728</v>
      </c>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row>
    <row r="201" spans="1:44" s="2" customFormat="1">
      <c r="A201" s="2" t="s">
        <v>63</v>
      </c>
      <c r="B201" s="71">
        <f t="shared" ref="B201:N201" si="109">B26/40.32*23/B$189</f>
        <v>3.0425871683555652</v>
      </c>
      <c r="C201" s="71">
        <f t="shared" si="109"/>
        <v>3.0223096326744852</v>
      </c>
      <c r="D201" s="71">
        <f t="shared" si="109"/>
        <v>3.0279776689262436</v>
      </c>
      <c r="E201" s="71">
        <f t="shared" si="109"/>
        <v>3.003970007110484</v>
      </c>
      <c r="F201" s="71">
        <f t="shared" si="109"/>
        <v>3.0074421210989941</v>
      </c>
      <c r="G201" s="72">
        <f t="shared" si="109"/>
        <v>3.1686900493593546</v>
      </c>
      <c r="H201" s="71">
        <f t="shared" si="109"/>
        <v>3.1447510404028338</v>
      </c>
      <c r="I201" s="71">
        <f t="shared" si="109"/>
        <v>3.2182028015855586</v>
      </c>
      <c r="J201" s="71">
        <f t="shared" si="109"/>
        <v>3.0956731491232676</v>
      </c>
      <c r="K201" s="71">
        <f t="shared" si="109"/>
        <v>3.220440518173596</v>
      </c>
      <c r="L201" s="71">
        <f t="shared" si="109"/>
        <v>3.1052376435792168</v>
      </c>
      <c r="M201" s="71">
        <f t="shared" si="109"/>
        <v>3.1136512347645562</v>
      </c>
      <c r="N201" s="71">
        <f t="shared" si="109"/>
        <v>2.9674337100484633</v>
      </c>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row>
    <row r="202" spans="1:44" s="2" customFormat="1">
      <c r="A202" s="2" t="s">
        <v>64</v>
      </c>
      <c r="B202" s="71">
        <f t="shared" ref="B202:N202" si="110">B27/70.94*23/B$189</f>
        <v>9.6142950601643073E-2</v>
      </c>
      <c r="C202" s="71">
        <f t="shared" si="110"/>
        <v>8.8189751052102958E-2</v>
      </c>
      <c r="D202" s="71">
        <f t="shared" si="110"/>
        <v>8.8063096035128824E-2</v>
      </c>
      <c r="E202" s="71">
        <f t="shared" si="110"/>
        <v>9.6497324458170636E-2</v>
      </c>
      <c r="F202" s="71">
        <f t="shared" si="110"/>
        <v>0.1009200156237943</v>
      </c>
      <c r="G202" s="72">
        <f t="shared" si="110"/>
        <v>0.10047313072250279</v>
      </c>
      <c r="H202" s="71">
        <f t="shared" si="110"/>
        <v>0.11054645532811118</v>
      </c>
      <c r="I202" s="71">
        <f t="shared" si="110"/>
        <v>0.10982307889844688</v>
      </c>
      <c r="J202" s="71">
        <f t="shared" si="110"/>
        <v>0.10015313735167468</v>
      </c>
      <c r="K202" s="71">
        <f t="shared" si="110"/>
        <v>0.1064911044345401</v>
      </c>
      <c r="L202" s="71">
        <f t="shared" si="110"/>
        <v>0.10018096883514024</v>
      </c>
      <c r="M202" s="71">
        <f t="shared" si="110"/>
        <v>9.2211275428709286E-2</v>
      </c>
      <c r="N202" s="71">
        <f t="shared" si="110"/>
        <v>8.6322684056224674E-2</v>
      </c>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row>
    <row r="203" spans="1:44" s="2" customFormat="1">
      <c r="A203" s="2" t="s">
        <v>65</v>
      </c>
      <c r="B203" s="71">
        <f>IF((5-SUM(B198:B202)&gt;B25/71.85*23/B$189),B25/71.85*23/B$189,5-SUM(B198:B202))</f>
        <v>1.5869742033701728</v>
      </c>
      <c r="C203" s="71">
        <f t="shared" ref="B203:N203" si="111">IF((5-SUM(C198:C202)&gt;C25/71.85*23/C$189),C25/71.85*23/C$189,5-SUM(C198:C202))</f>
        <v>1.605015544811188</v>
      </c>
      <c r="D203" s="71">
        <f t="shared" si="111"/>
        <v>1.6196066567677669</v>
      </c>
      <c r="E203" s="71">
        <f t="shared" si="111"/>
        <v>1.6107513571126733</v>
      </c>
      <c r="F203" s="71">
        <f t="shared" si="111"/>
        <v>1.6028064428196727</v>
      </c>
      <c r="G203" s="72">
        <f t="shared" si="111"/>
        <v>1.5328007616672159</v>
      </c>
      <c r="H203" s="71">
        <f t="shared" si="111"/>
        <v>1.5291746621208158</v>
      </c>
      <c r="I203" s="71">
        <f t="shared" si="111"/>
        <v>1.449936448076242</v>
      </c>
      <c r="J203" s="71">
        <f t="shared" si="111"/>
        <v>1.5355846842487244</v>
      </c>
      <c r="K203" s="71">
        <f t="shared" si="111"/>
        <v>1.4631329989814148</v>
      </c>
      <c r="L203" s="71">
        <f t="shared" si="111"/>
        <v>1.5956810784578841</v>
      </c>
      <c r="M203" s="71">
        <f t="shared" si="111"/>
        <v>1.5937376993521704</v>
      </c>
      <c r="N203" s="71">
        <f t="shared" si="111"/>
        <v>1.6585428604964969</v>
      </c>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row>
    <row r="204" spans="1:44" s="2" customFormat="1">
      <c r="A204" s="2" t="s">
        <v>66</v>
      </c>
      <c r="B204" s="73">
        <f>IF(SUM(B198:B203)=5,0,5-SUM(B198:B203))</f>
        <v>0</v>
      </c>
      <c r="C204" s="73">
        <f t="shared" ref="B204:N204" si="112">IF(SUM(C198:C203)=5,0,5-SUM(C198:C203))</f>
        <v>0</v>
      </c>
      <c r="D204" s="73">
        <f t="shared" si="112"/>
        <v>0</v>
      </c>
      <c r="E204" s="73">
        <f t="shared" si="112"/>
        <v>0</v>
      </c>
      <c r="F204" s="73">
        <f t="shared" si="112"/>
        <v>0</v>
      </c>
      <c r="G204" s="74">
        <f t="shared" si="112"/>
        <v>0</v>
      </c>
      <c r="H204" s="73">
        <f t="shared" si="112"/>
        <v>0</v>
      </c>
      <c r="I204" s="73">
        <f t="shared" si="112"/>
        <v>0</v>
      </c>
      <c r="J204" s="73">
        <f t="shared" si="112"/>
        <v>0</v>
      </c>
      <c r="K204" s="73">
        <f t="shared" si="112"/>
        <v>0</v>
      </c>
      <c r="L204" s="73">
        <f t="shared" si="112"/>
        <v>0</v>
      </c>
      <c r="M204" s="73">
        <f t="shared" si="112"/>
        <v>0</v>
      </c>
      <c r="N204" s="73">
        <f t="shared" si="112"/>
        <v>0</v>
      </c>
      <c r="O204" s="24" t="s">
        <v>166</v>
      </c>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row>
    <row r="205" spans="1:44" s="2" customFormat="1">
      <c r="B205" s="71">
        <f t="shared" ref="B205:N205" si="113">SUM(B198:B204)</f>
        <v>5</v>
      </c>
      <c r="C205" s="71">
        <f t="shared" si="113"/>
        <v>5</v>
      </c>
      <c r="D205" s="71">
        <f t="shared" si="113"/>
        <v>5</v>
      </c>
      <c r="E205" s="71">
        <f t="shared" si="113"/>
        <v>5</v>
      </c>
      <c r="F205" s="71">
        <f t="shared" si="113"/>
        <v>5</v>
      </c>
      <c r="G205" s="72">
        <f t="shared" si="113"/>
        <v>5</v>
      </c>
      <c r="H205" s="71">
        <f t="shared" si="113"/>
        <v>5</v>
      </c>
      <c r="I205" s="71">
        <f t="shared" si="113"/>
        <v>5</v>
      </c>
      <c r="J205" s="71">
        <f t="shared" si="113"/>
        <v>5</v>
      </c>
      <c r="K205" s="71">
        <f t="shared" si="113"/>
        <v>5</v>
      </c>
      <c r="L205" s="71">
        <f t="shared" si="113"/>
        <v>5</v>
      </c>
      <c r="M205" s="71">
        <f t="shared" si="113"/>
        <v>5</v>
      </c>
      <c r="N205" s="71">
        <f t="shared" si="113"/>
        <v>5</v>
      </c>
      <c r="O205" s="24" t="s">
        <v>165</v>
      </c>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row>
    <row r="206" spans="1:44" s="2" customFormat="1">
      <c r="A206" s="3" t="s">
        <v>67</v>
      </c>
      <c r="B206" s="71"/>
      <c r="C206" s="71"/>
      <c r="D206" s="71"/>
      <c r="E206" s="71"/>
      <c r="F206" s="71"/>
      <c r="G206" s="72"/>
      <c r="H206" s="71"/>
      <c r="I206" s="71"/>
      <c r="J206" s="71"/>
      <c r="K206" s="71"/>
      <c r="L206" s="71"/>
      <c r="M206" s="71"/>
      <c r="N206" s="71"/>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row>
    <row r="207" spans="1:44" s="2" customFormat="1">
      <c r="A207" s="2" t="s">
        <v>68</v>
      </c>
      <c r="B207" s="71">
        <f t="shared" ref="B207:N207" si="114">B25/71.85*23/B$189-B203</f>
        <v>0.18787861155530727</v>
      </c>
      <c r="C207" s="71">
        <f t="shared" si="114"/>
        <v>0.19827483727308737</v>
      </c>
      <c r="D207" s="71">
        <f t="shared" si="114"/>
        <v>0.17524338146621199</v>
      </c>
      <c r="E207" s="71">
        <f t="shared" si="114"/>
        <v>0.16009627076119348</v>
      </c>
      <c r="F207" s="71">
        <f t="shared" si="114"/>
        <v>0.21939363093101094</v>
      </c>
      <c r="G207" s="72">
        <f t="shared" si="114"/>
        <v>0.16352968479164787</v>
      </c>
      <c r="H207" s="71">
        <f t="shared" si="114"/>
        <v>0.22575154793555208</v>
      </c>
      <c r="I207" s="71">
        <f t="shared" si="114"/>
        <v>0.25506546826165333</v>
      </c>
      <c r="J207" s="71">
        <f t="shared" si="114"/>
        <v>0.20283223624723168</v>
      </c>
      <c r="K207" s="71">
        <f t="shared" si="114"/>
        <v>0.20430121816939772</v>
      </c>
      <c r="L207" s="71">
        <f t="shared" si="114"/>
        <v>0.17863192120302207</v>
      </c>
      <c r="M207" s="71">
        <f t="shared" si="114"/>
        <v>0.19470377181792742</v>
      </c>
      <c r="N207" s="71">
        <f t="shared" si="114"/>
        <v>0.15673232127571413</v>
      </c>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row>
    <row r="208" spans="1:44" s="2" customFormat="1">
      <c r="A208" s="2" t="s">
        <v>66</v>
      </c>
      <c r="B208" s="71">
        <f t="shared" ref="B208:N208" si="115">IF(B207+B28/56.08*23/B$189-B204&lt;=2,B28/56.08*23/B$189-B204,2-B207)</f>
        <v>1.8121213884446927</v>
      </c>
      <c r="C208" s="71">
        <f t="shared" si="115"/>
        <v>1.8017251627269126</v>
      </c>
      <c r="D208" s="71">
        <f t="shared" si="115"/>
        <v>1.824756618533788</v>
      </c>
      <c r="E208" s="71">
        <f t="shared" si="115"/>
        <v>1.8391435622160643</v>
      </c>
      <c r="F208" s="71">
        <f t="shared" si="115"/>
        <v>1.7806063690689891</v>
      </c>
      <c r="G208" s="72">
        <f t="shared" si="115"/>
        <v>1.8364703152083521</v>
      </c>
      <c r="H208" s="71">
        <f t="shared" si="115"/>
        <v>1.7742484520644479</v>
      </c>
      <c r="I208" s="71">
        <f t="shared" si="115"/>
        <v>1.7449345317383467</v>
      </c>
      <c r="J208" s="71">
        <f t="shared" si="115"/>
        <v>1.7846307141062641</v>
      </c>
      <c r="K208" s="71">
        <f t="shared" si="115"/>
        <v>1.7956987818306023</v>
      </c>
      <c r="L208" s="71">
        <f t="shared" si="115"/>
        <v>1.8213680787969779</v>
      </c>
      <c r="M208" s="71">
        <f t="shared" si="115"/>
        <v>1.8052962281820726</v>
      </c>
      <c r="N208" s="71">
        <f t="shared" si="115"/>
        <v>1.8432676787242859</v>
      </c>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row>
    <row r="209" spans="1:44" s="2" customFormat="1">
      <c r="A209" s="2" t="s">
        <v>69</v>
      </c>
      <c r="B209" s="73">
        <f>IF(2-B207-B208&gt;=0,2-B207-B208,0)</f>
        <v>0</v>
      </c>
      <c r="C209" s="73">
        <f t="shared" ref="B209:N209" si="116">IF(2-C207-C208&gt;=0,2-C207-C208,0)</f>
        <v>0</v>
      </c>
      <c r="D209" s="73">
        <f t="shared" si="116"/>
        <v>0</v>
      </c>
      <c r="E209" s="73">
        <f t="shared" si="116"/>
        <v>7.6016702274217529E-4</v>
      </c>
      <c r="F209" s="73">
        <f t="shared" si="116"/>
        <v>0</v>
      </c>
      <c r="G209" s="74">
        <f t="shared" si="116"/>
        <v>0</v>
      </c>
      <c r="H209" s="73">
        <f t="shared" si="116"/>
        <v>0</v>
      </c>
      <c r="I209" s="73">
        <f t="shared" si="116"/>
        <v>0</v>
      </c>
      <c r="J209" s="73">
        <f t="shared" si="116"/>
        <v>1.2537049646504261E-2</v>
      </c>
      <c r="K209" s="73">
        <f t="shared" si="116"/>
        <v>0</v>
      </c>
      <c r="L209" s="73">
        <f t="shared" si="116"/>
        <v>0</v>
      </c>
      <c r="M209" s="73">
        <f t="shared" si="116"/>
        <v>0</v>
      </c>
      <c r="N209" s="73">
        <f t="shared" si="116"/>
        <v>0</v>
      </c>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row>
    <row r="210" spans="1:44" s="2" customFormat="1">
      <c r="B210" s="71">
        <f t="shared" ref="B210:N210" si="117">SUM(B207:B209)</f>
        <v>2</v>
      </c>
      <c r="C210" s="71">
        <f t="shared" si="117"/>
        <v>2</v>
      </c>
      <c r="D210" s="71">
        <f t="shared" si="117"/>
        <v>2</v>
      </c>
      <c r="E210" s="71">
        <f t="shared" si="117"/>
        <v>2</v>
      </c>
      <c r="F210" s="71">
        <f t="shared" si="117"/>
        <v>2</v>
      </c>
      <c r="G210" s="72">
        <f t="shared" si="117"/>
        <v>2</v>
      </c>
      <c r="H210" s="71">
        <f t="shared" si="117"/>
        <v>2</v>
      </c>
      <c r="I210" s="71">
        <f t="shared" si="117"/>
        <v>2</v>
      </c>
      <c r="J210" s="71">
        <f t="shared" si="117"/>
        <v>2</v>
      </c>
      <c r="K210" s="71">
        <f t="shared" si="117"/>
        <v>2</v>
      </c>
      <c r="L210" s="71">
        <f t="shared" si="117"/>
        <v>2</v>
      </c>
      <c r="M210" s="71">
        <f t="shared" si="117"/>
        <v>2</v>
      </c>
      <c r="N210" s="71">
        <f t="shared" si="117"/>
        <v>2</v>
      </c>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row>
    <row r="211" spans="1:44" s="2" customFormat="1">
      <c r="A211" s="3" t="s">
        <v>70</v>
      </c>
      <c r="B211" s="71"/>
      <c r="C211" s="71"/>
      <c r="D211" s="71"/>
      <c r="E211" s="71"/>
      <c r="F211" s="71"/>
      <c r="G211" s="72"/>
      <c r="H211" s="71"/>
      <c r="I211" s="71"/>
      <c r="J211" s="71"/>
      <c r="K211" s="71"/>
      <c r="L211" s="71"/>
      <c r="M211" s="71"/>
      <c r="N211" s="71"/>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row>
    <row r="212" spans="1:44" s="2" customFormat="1">
      <c r="A212" s="7" t="s">
        <v>66</v>
      </c>
      <c r="B212" s="71">
        <f t="shared" ref="B212:N212" si="118">B28/56.08*23/B$189-B208-B204</f>
        <v>4.2564934025502099E-2</v>
      </c>
      <c r="C212" s="71">
        <f t="shared" si="118"/>
        <v>2.2008039300629667E-2</v>
      </c>
      <c r="D212" s="71">
        <f t="shared" si="118"/>
        <v>1.9674857402739665E-2</v>
      </c>
      <c r="E212" s="71">
        <f t="shared" si="118"/>
        <v>0</v>
      </c>
      <c r="F212" s="71">
        <f t="shared" si="118"/>
        <v>2.1018811594654352E-2</v>
      </c>
      <c r="G212" s="72">
        <f t="shared" si="118"/>
        <v>1.2781729188237723E-2</v>
      </c>
      <c r="H212" s="71">
        <f t="shared" si="118"/>
        <v>5.7798267064376185E-2</v>
      </c>
      <c r="I212" s="71">
        <f t="shared" si="118"/>
        <v>2.1154805756476103E-2</v>
      </c>
      <c r="J212" s="71">
        <f t="shared" si="118"/>
        <v>0</v>
      </c>
      <c r="K212" s="71">
        <f t="shared" si="118"/>
        <v>4.902167972734528E-2</v>
      </c>
      <c r="L212" s="71">
        <f t="shared" si="118"/>
        <v>5.7630255356828419E-2</v>
      </c>
      <c r="M212" s="71">
        <f t="shared" si="118"/>
        <v>7.3811461811004619E-2</v>
      </c>
      <c r="N212" s="71">
        <f t="shared" si="118"/>
        <v>2.8669718957162527E-2</v>
      </c>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row>
    <row r="213" spans="1:44" s="2" customFormat="1">
      <c r="A213" s="2" t="s">
        <v>69</v>
      </c>
      <c r="B213" s="71">
        <f>B29/61.982*23/B$189*2-B209</f>
        <v>0.39382053386150989</v>
      </c>
      <c r="C213" s="71">
        <f t="shared" ref="B213:N213" si="119">C29/61.982*23/C$189*2-C209</f>
        <v>0.43007277855165954</v>
      </c>
      <c r="D213" s="71">
        <f t="shared" si="119"/>
        <v>0.4233200499737757</v>
      </c>
      <c r="E213" s="71">
        <f t="shared" si="119"/>
        <v>0.41156290638083409</v>
      </c>
      <c r="F213" s="71">
        <f t="shared" si="119"/>
        <v>0.35517961130944953</v>
      </c>
      <c r="G213" s="72">
        <f t="shared" si="119"/>
        <v>0.35648168935672414</v>
      </c>
      <c r="H213" s="71">
        <f t="shared" si="119"/>
        <v>0.3525592341528111</v>
      </c>
      <c r="I213" s="71">
        <f t="shared" si="119"/>
        <v>0.32073985999390864</v>
      </c>
      <c r="J213" s="71">
        <f t="shared" si="119"/>
        <v>0.35257388846371829</v>
      </c>
      <c r="K213" s="71">
        <f t="shared" si="119"/>
        <v>0.30972321241169359</v>
      </c>
      <c r="L213" s="71">
        <f t="shared" si="119"/>
        <v>0.33973246374585919</v>
      </c>
      <c r="M213" s="71">
        <f t="shared" si="119"/>
        <v>0.38745526022105992</v>
      </c>
      <c r="N213" s="71">
        <f t="shared" si="119"/>
        <v>0.43625330067810147</v>
      </c>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row>
    <row r="214" spans="1:44" s="2" customFormat="1">
      <c r="A214" s="2" t="s">
        <v>71</v>
      </c>
      <c r="B214" s="73">
        <f t="shared" ref="B214:N214" si="120">B30/94.2*23/B$189*2</f>
        <v>0.17148124997520681</v>
      </c>
      <c r="C214" s="73">
        <f t="shared" si="120"/>
        <v>0.17902853238135485</v>
      </c>
      <c r="D214" s="73">
        <f t="shared" si="120"/>
        <v>0.18000716503170872</v>
      </c>
      <c r="E214" s="73">
        <f t="shared" si="120"/>
        <v>0.16665668420308158</v>
      </c>
      <c r="F214" s="73">
        <f t="shared" si="120"/>
        <v>0.13300122441205883</v>
      </c>
      <c r="G214" s="74">
        <f t="shared" si="120"/>
        <v>0.1116046363359359</v>
      </c>
      <c r="H214" s="73">
        <f t="shared" si="120"/>
        <v>0.11037662322994254</v>
      </c>
      <c r="I214" s="73">
        <f t="shared" si="120"/>
        <v>0.10647132687974377</v>
      </c>
      <c r="J214" s="73">
        <f t="shared" si="120"/>
        <v>0.11918724753704471</v>
      </c>
      <c r="K214" s="73">
        <f t="shared" si="120"/>
        <v>0.1000093378981073</v>
      </c>
      <c r="L214" s="73">
        <f t="shared" si="120"/>
        <v>0.12667164142046333</v>
      </c>
      <c r="M214" s="73">
        <f t="shared" si="120"/>
        <v>0.13127454952882875</v>
      </c>
      <c r="N214" s="73">
        <f t="shared" si="120"/>
        <v>0.16885133060216112</v>
      </c>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row>
    <row r="215" spans="1:44" s="2" customFormat="1">
      <c r="A215" s="2" t="s">
        <v>72</v>
      </c>
      <c r="B215" s="71">
        <f t="shared" ref="B215:N215" si="121">B213+B214+B212</f>
        <v>0.6078667178622188</v>
      </c>
      <c r="C215" s="71">
        <f t="shared" si="121"/>
        <v>0.63110935023364401</v>
      </c>
      <c r="D215" s="71">
        <f t="shared" si="121"/>
        <v>0.62300207240822414</v>
      </c>
      <c r="E215" s="71">
        <f t="shared" si="121"/>
        <v>0.5782195905839157</v>
      </c>
      <c r="F215" s="71">
        <f t="shared" si="121"/>
        <v>0.50919964731616274</v>
      </c>
      <c r="G215" s="72">
        <f t="shared" si="121"/>
        <v>0.48086805488089779</v>
      </c>
      <c r="H215" s="71">
        <f t="shared" si="121"/>
        <v>0.52073412444712985</v>
      </c>
      <c r="I215" s="71">
        <f t="shared" si="121"/>
        <v>0.4483659926301285</v>
      </c>
      <c r="J215" s="71">
        <f t="shared" si="121"/>
        <v>0.47176113600076297</v>
      </c>
      <c r="K215" s="71">
        <f t="shared" si="121"/>
        <v>0.45875423003714616</v>
      </c>
      <c r="L215" s="71">
        <f t="shared" si="121"/>
        <v>0.524034360523151</v>
      </c>
      <c r="M215" s="71">
        <f t="shared" si="121"/>
        <v>0.59254127156089331</v>
      </c>
      <c r="N215" s="71">
        <f t="shared" si="121"/>
        <v>0.63377435023742512</v>
      </c>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row>
    <row r="216" spans="1:44" s="2" customFormat="1">
      <c r="G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row>
    <row r="217" spans="1:44" s="2" customFormat="1">
      <c r="A217" s="3" t="s">
        <v>73</v>
      </c>
      <c r="G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row>
    <row r="218" spans="1:44" s="2" customFormat="1">
      <c r="A218" s="2" t="s">
        <v>74</v>
      </c>
      <c r="B218" s="2">
        <v>0</v>
      </c>
      <c r="C218" s="2">
        <v>0</v>
      </c>
      <c r="D218" s="2">
        <v>0</v>
      </c>
      <c r="E218" s="2">
        <v>0</v>
      </c>
      <c r="F218" s="2">
        <v>0</v>
      </c>
      <c r="G218" s="24">
        <v>0</v>
      </c>
      <c r="H218" s="2">
        <v>0</v>
      </c>
      <c r="I218" s="2">
        <v>0</v>
      </c>
      <c r="J218" s="2">
        <v>0</v>
      </c>
      <c r="K218" s="2">
        <v>0</v>
      </c>
      <c r="L218" s="2">
        <v>0</v>
      </c>
      <c r="M218" s="2">
        <v>0</v>
      </c>
      <c r="N218" s="2">
        <v>0</v>
      </c>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row>
    <row r="219" spans="1:44" s="2" customFormat="1">
      <c r="A219" s="2" t="s">
        <v>75</v>
      </c>
      <c r="B219" s="2">
        <f t="shared" ref="B219:N219" si="122">2-(B218+B220+B221)</f>
        <v>2</v>
      </c>
      <c r="C219" s="2">
        <f t="shared" si="122"/>
        <v>2</v>
      </c>
      <c r="D219" s="2">
        <f t="shared" si="122"/>
        <v>2</v>
      </c>
      <c r="E219" s="2">
        <f t="shared" si="122"/>
        <v>2</v>
      </c>
      <c r="F219" s="2">
        <f t="shared" si="122"/>
        <v>2</v>
      </c>
      <c r="G219" s="24">
        <f t="shared" si="122"/>
        <v>2</v>
      </c>
      <c r="H219" s="2">
        <f t="shared" si="122"/>
        <v>2</v>
      </c>
      <c r="I219" s="2">
        <f t="shared" si="122"/>
        <v>2</v>
      </c>
      <c r="J219" s="2">
        <f t="shared" si="122"/>
        <v>2</v>
      </c>
      <c r="K219" s="2">
        <f t="shared" si="122"/>
        <v>2</v>
      </c>
      <c r="L219" s="2">
        <f t="shared" si="122"/>
        <v>2</v>
      </c>
      <c r="M219" s="2">
        <f t="shared" si="122"/>
        <v>2</v>
      </c>
      <c r="N219" s="2">
        <f t="shared" si="122"/>
        <v>2</v>
      </c>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row>
    <row r="220" spans="1:44" s="2" customFormat="1">
      <c r="A220" s="2" t="s">
        <v>108</v>
      </c>
      <c r="B220" s="2">
        <f t="shared" ref="B220:N220" si="123">B31/19*23/B$189</f>
        <v>0</v>
      </c>
      <c r="C220" s="2">
        <f t="shared" si="123"/>
        <v>0</v>
      </c>
      <c r="D220" s="2">
        <f t="shared" si="123"/>
        <v>0</v>
      </c>
      <c r="E220" s="2">
        <f t="shared" si="123"/>
        <v>0</v>
      </c>
      <c r="F220" s="2">
        <f t="shared" si="123"/>
        <v>0</v>
      </c>
      <c r="G220" s="24">
        <f t="shared" si="123"/>
        <v>0</v>
      </c>
      <c r="H220" s="2">
        <f t="shared" si="123"/>
        <v>0</v>
      </c>
      <c r="I220" s="2">
        <f t="shared" si="123"/>
        <v>0</v>
      </c>
      <c r="J220" s="2">
        <f t="shared" si="123"/>
        <v>0</v>
      </c>
      <c r="K220" s="2">
        <f t="shared" si="123"/>
        <v>0</v>
      </c>
      <c r="L220" s="2">
        <f t="shared" si="123"/>
        <v>0</v>
      </c>
      <c r="M220" s="2">
        <f t="shared" si="123"/>
        <v>0</v>
      </c>
      <c r="N220" s="2">
        <f t="shared" si="123"/>
        <v>0</v>
      </c>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row>
    <row r="221" spans="1:44" s="2" customFormat="1">
      <c r="A221" s="2" t="s">
        <v>109</v>
      </c>
      <c r="B221" s="3">
        <f t="shared" ref="B221:N221" si="124">B32/35.457*23/B$189</f>
        <v>0</v>
      </c>
      <c r="C221" s="3">
        <f t="shared" si="124"/>
        <v>0</v>
      </c>
      <c r="D221" s="3">
        <f t="shared" si="124"/>
        <v>0</v>
      </c>
      <c r="E221" s="3">
        <f t="shared" si="124"/>
        <v>0</v>
      </c>
      <c r="F221" s="3">
        <f t="shared" si="124"/>
        <v>0</v>
      </c>
      <c r="G221" s="57">
        <f t="shared" si="124"/>
        <v>0</v>
      </c>
      <c r="H221" s="3">
        <f t="shared" si="124"/>
        <v>0</v>
      </c>
      <c r="I221" s="3">
        <f t="shared" si="124"/>
        <v>0</v>
      </c>
      <c r="J221" s="3">
        <f t="shared" si="124"/>
        <v>0</v>
      </c>
      <c r="K221" s="3">
        <f t="shared" si="124"/>
        <v>0</v>
      </c>
      <c r="L221" s="3">
        <f t="shared" si="124"/>
        <v>0</v>
      </c>
      <c r="M221" s="3">
        <f t="shared" si="124"/>
        <v>0</v>
      </c>
      <c r="N221" s="3">
        <f t="shared" si="124"/>
        <v>0</v>
      </c>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row>
    <row r="222" spans="1:44" s="2" customFormat="1">
      <c r="B222" s="2">
        <f t="shared" ref="B222:N222" si="125">SUM(B218:B221)</f>
        <v>2</v>
      </c>
      <c r="C222" s="2">
        <f t="shared" si="125"/>
        <v>2</v>
      </c>
      <c r="D222" s="2">
        <f t="shared" si="125"/>
        <v>2</v>
      </c>
      <c r="E222" s="2">
        <f t="shared" si="125"/>
        <v>2</v>
      </c>
      <c r="F222" s="2">
        <f t="shared" si="125"/>
        <v>2</v>
      </c>
      <c r="G222" s="24">
        <f t="shared" si="125"/>
        <v>2</v>
      </c>
      <c r="H222" s="2">
        <f t="shared" si="125"/>
        <v>2</v>
      </c>
      <c r="I222" s="2">
        <f t="shared" si="125"/>
        <v>2</v>
      </c>
      <c r="J222" s="2">
        <f t="shared" si="125"/>
        <v>2</v>
      </c>
      <c r="K222" s="2">
        <f t="shared" si="125"/>
        <v>2</v>
      </c>
      <c r="L222" s="2">
        <f t="shared" si="125"/>
        <v>2</v>
      </c>
      <c r="M222" s="2">
        <f t="shared" si="125"/>
        <v>2</v>
      </c>
      <c r="N222" s="2">
        <f t="shared" si="125"/>
        <v>2</v>
      </c>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row>
    <row r="223" spans="1:44" s="2" customFormat="1">
      <c r="G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row>
    <row r="224" spans="1:44" s="2" customFormat="1">
      <c r="A224" s="2" t="s">
        <v>76</v>
      </c>
      <c r="B224" s="2">
        <f t="shared" ref="B224:N224" si="126">8+5+B210+B215</f>
        <v>15.607866717862219</v>
      </c>
      <c r="C224" s="2">
        <f t="shared" si="126"/>
        <v>15.631109350233643</v>
      </c>
      <c r="D224" s="2">
        <f t="shared" si="126"/>
        <v>15.623002072408225</v>
      </c>
      <c r="E224" s="2">
        <f t="shared" si="126"/>
        <v>15.578219590583915</v>
      </c>
      <c r="F224" s="2">
        <f t="shared" si="126"/>
        <v>15.509199647316162</v>
      </c>
      <c r="G224" s="24">
        <f t="shared" si="126"/>
        <v>15.480868054880897</v>
      </c>
      <c r="H224" s="2">
        <f t="shared" si="126"/>
        <v>15.520734124447129</v>
      </c>
      <c r="I224" s="2">
        <f t="shared" si="126"/>
        <v>15.448365992630128</v>
      </c>
      <c r="J224" s="2">
        <f t="shared" si="126"/>
        <v>15.471761136000763</v>
      </c>
      <c r="K224" s="2">
        <f t="shared" si="126"/>
        <v>15.458754230037146</v>
      </c>
      <c r="L224" s="2">
        <f t="shared" si="126"/>
        <v>15.524034360523151</v>
      </c>
      <c r="M224" s="2">
        <f t="shared" si="126"/>
        <v>15.592541271560894</v>
      </c>
      <c r="N224" s="2">
        <f t="shared" si="126"/>
        <v>15.633774350237426</v>
      </c>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row>
    <row r="225" spans="1:44" s="2" customFormat="1">
      <c r="A225" s="2" t="s">
        <v>77</v>
      </c>
      <c r="B225" s="2">
        <f t="shared" ref="B225:N225" si="127">(B192+B199)*4+(B193+B198+B200)*3+(B201+B202+B203+B204+B207+B208+B212)*2+B209+B213+B214</f>
        <v>46</v>
      </c>
      <c r="C225" s="2">
        <f t="shared" si="127"/>
        <v>46</v>
      </c>
      <c r="D225" s="2">
        <f t="shared" si="127"/>
        <v>46</v>
      </c>
      <c r="E225" s="2">
        <f t="shared" si="127"/>
        <v>46</v>
      </c>
      <c r="F225" s="2">
        <f t="shared" si="127"/>
        <v>46</v>
      </c>
      <c r="G225" s="24">
        <f t="shared" si="127"/>
        <v>46.000000000000007</v>
      </c>
      <c r="H225" s="2">
        <f t="shared" si="127"/>
        <v>45.999999999999986</v>
      </c>
      <c r="I225" s="2">
        <f t="shared" si="127"/>
        <v>46</v>
      </c>
      <c r="J225" s="2">
        <f t="shared" si="127"/>
        <v>45.999999999999986</v>
      </c>
      <c r="K225" s="2">
        <f t="shared" si="127"/>
        <v>45.999999999999993</v>
      </c>
      <c r="L225" s="2">
        <f t="shared" si="127"/>
        <v>46</v>
      </c>
      <c r="M225" s="2">
        <f t="shared" si="127"/>
        <v>46</v>
      </c>
      <c r="N225" s="2">
        <f t="shared" si="127"/>
        <v>45.999999999999993</v>
      </c>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row>
    <row r="226" spans="1:44" s="2" customFormat="1">
      <c r="A226" s="2" t="s">
        <v>90</v>
      </c>
      <c r="B226" s="2">
        <f>16/B224</f>
        <v>1.0251240793649916</v>
      </c>
      <c r="C226" s="2">
        <f t="shared" ref="B226:N226" si="128">16/C224</f>
        <v>1.0235997741107763</v>
      </c>
      <c r="D226" s="2">
        <f t="shared" si="128"/>
        <v>1.0241309529272604</v>
      </c>
      <c r="E226" s="2">
        <f t="shared" si="128"/>
        <v>1.0270750073179753</v>
      </c>
      <c r="F226" s="2">
        <f t="shared" si="128"/>
        <v>1.0316457563152699</v>
      </c>
      <c r="G226" s="24">
        <f t="shared" si="128"/>
        <v>1.0335337749329521</v>
      </c>
      <c r="H226" s="2">
        <f t="shared" si="128"/>
        <v>1.0308790725818804</v>
      </c>
      <c r="I226" s="2">
        <f t="shared" si="128"/>
        <v>1.0357082430357383</v>
      </c>
      <c r="J226" s="2">
        <f t="shared" si="128"/>
        <v>1.0341421289635926</v>
      </c>
      <c r="K226" s="2">
        <f t="shared" si="128"/>
        <v>1.0350122501405181</v>
      </c>
      <c r="L226" s="2">
        <f t="shared" si="128"/>
        <v>1.0306599192209471</v>
      </c>
      <c r="M226" s="2">
        <f t="shared" si="128"/>
        <v>1.026131643414808</v>
      </c>
      <c r="N226" s="2">
        <f t="shared" si="128"/>
        <v>1.0234252869178078</v>
      </c>
      <c r="O226" s="24" t="s">
        <v>167</v>
      </c>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row>
    <row r="227" spans="1:44" s="2" customFormat="1">
      <c r="A227" s="2" t="s">
        <v>2</v>
      </c>
      <c r="B227" s="2">
        <f t="shared" ref="B227:N227" si="129">8/B192</f>
        <v>1.1539633522618624</v>
      </c>
      <c r="C227" s="2">
        <f t="shared" si="129"/>
        <v>1.1571159927465386</v>
      </c>
      <c r="D227" s="2">
        <f t="shared" si="129"/>
        <v>1.1514494575523406</v>
      </c>
      <c r="E227" s="2">
        <f t="shared" si="129"/>
        <v>1.144708123921659</v>
      </c>
      <c r="F227" s="2">
        <f t="shared" si="129"/>
        <v>1.1363917769922824</v>
      </c>
      <c r="G227" s="24">
        <f t="shared" si="129"/>
        <v>1.1033980185744914</v>
      </c>
      <c r="H227" s="2">
        <f t="shared" si="129"/>
        <v>1.1211767610422887</v>
      </c>
      <c r="I227" s="2">
        <f t="shared" si="129"/>
        <v>1.1047900275430531</v>
      </c>
      <c r="J227" s="2">
        <f t="shared" si="129"/>
        <v>1.1136996991938568</v>
      </c>
      <c r="K227" s="2">
        <f t="shared" si="129"/>
        <v>1.1083751478159078</v>
      </c>
      <c r="L227" s="2">
        <f t="shared" si="129"/>
        <v>1.1209070511691885</v>
      </c>
      <c r="M227" s="2">
        <f t="shared" si="129"/>
        <v>1.1348912186931914</v>
      </c>
      <c r="N227" s="2">
        <f>8/N192</f>
        <v>1.1582138281782335</v>
      </c>
      <c r="O227" s="24" t="s">
        <v>168</v>
      </c>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row>
    <row r="228" spans="1:44" s="2" customFormat="1">
      <c r="A228" s="2" t="s">
        <v>3</v>
      </c>
      <c r="B228" s="2">
        <f>15/(B224-(B209+B213+B214))</f>
        <v>0.99717036727365405</v>
      </c>
      <c r="C228" s="2">
        <f t="shared" ref="B228:N228" si="130">15/(C224-(C209+C213+C214))</f>
        <v>0.99853494690969058</v>
      </c>
      <c r="D228" s="2">
        <f t="shared" si="130"/>
        <v>0.99869006103064584</v>
      </c>
      <c r="E228" s="2">
        <f t="shared" si="130"/>
        <v>1.0000506803698859</v>
      </c>
      <c r="F228" s="2">
        <f t="shared" si="130"/>
        <v>0.9986007066592294</v>
      </c>
      <c r="G228" s="24">
        <f t="shared" si="130"/>
        <v>0.99914861020303869</v>
      </c>
      <c r="H228" s="2">
        <f t="shared" si="130"/>
        <v>0.99616157249291903</v>
      </c>
      <c r="I228" s="2">
        <f t="shared" si="130"/>
        <v>0.99859166581863812</v>
      </c>
      <c r="J228" s="2">
        <f t="shared" si="130"/>
        <v>1.0008365024612926</v>
      </c>
      <c r="K228" s="2">
        <f t="shared" si="130"/>
        <v>0.99674253378255262</v>
      </c>
      <c r="L228" s="2">
        <f t="shared" si="130"/>
        <v>0.99617268757570099</v>
      </c>
      <c r="M228" s="2">
        <f t="shared" si="130"/>
        <v>0.99510333123125472</v>
      </c>
      <c r="N228" s="2">
        <f>15/(N224-(N209+N213+N214))</f>
        <v>0.99809233155739663</v>
      </c>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row>
    <row r="229" spans="1:44" s="2" customFormat="1">
      <c r="A229" s="2" t="s">
        <v>4</v>
      </c>
      <c r="B229" s="2">
        <f>2/(B208+B212)</f>
        <v>1.0783494630705353</v>
      </c>
      <c r="C229" s="2">
        <f t="shared" ref="B229:N229" si="131">2/(C208+C212)</f>
        <v>1.0966516362023198</v>
      </c>
      <c r="D229" s="2">
        <f t="shared" si="131"/>
        <v>1.0843449735558655</v>
      </c>
      <c r="E229" s="2">
        <f t="shared" si="131"/>
        <v>1.0874626870292348</v>
      </c>
      <c r="F229" s="2">
        <f t="shared" si="131"/>
        <v>1.1101088181190295</v>
      </c>
      <c r="G229" s="24">
        <f t="shared" si="131"/>
        <v>1.0815183392984158</v>
      </c>
      <c r="H229" s="2">
        <f t="shared" si="131"/>
        <v>1.0916752171860775</v>
      </c>
      <c r="I229" s="2">
        <f t="shared" si="131"/>
        <v>1.1324455436874881</v>
      </c>
      <c r="J229" s="2">
        <f t="shared" si="131"/>
        <v>1.1206800287540675</v>
      </c>
      <c r="K229" s="2">
        <f t="shared" si="131"/>
        <v>1.0841751049429527</v>
      </c>
      <c r="L229" s="2">
        <f t="shared" si="131"/>
        <v>1.0643968989470582</v>
      </c>
      <c r="M229" s="2">
        <f t="shared" si="131"/>
        <v>1.064334955708349</v>
      </c>
      <c r="N229" s="2">
        <f t="shared" si="131"/>
        <v>1.0684117975724872</v>
      </c>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row>
    <row r="230" spans="1:44" s="2" customFormat="1">
      <c r="A230" s="2" t="s">
        <v>5</v>
      </c>
      <c r="B230" s="2">
        <f>1</f>
        <v>1</v>
      </c>
      <c r="C230" s="2">
        <f>1</f>
        <v>1</v>
      </c>
      <c r="D230" s="2">
        <f>1</f>
        <v>1</v>
      </c>
      <c r="E230" s="2">
        <f>1</f>
        <v>1</v>
      </c>
      <c r="F230" s="2">
        <f>1</f>
        <v>1</v>
      </c>
      <c r="G230" s="24">
        <f>1</f>
        <v>1</v>
      </c>
      <c r="H230" s="2">
        <f>1</f>
        <v>1</v>
      </c>
      <c r="I230" s="2">
        <f>1</f>
        <v>1</v>
      </c>
      <c r="J230" s="2">
        <f>1</f>
        <v>1</v>
      </c>
      <c r="K230" s="2">
        <f>1</f>
        <v>1</v>
      </c>
      <c r="L230" s="2">
        <f>1</f>
        <v>1</v>
      </c>
      <c r="M230" s="2">
        <f>1</f>
        <v>1</v>
      </c>
      <c r="N230" s="2">
        <f>1</f>
        <v>1</v>
      </c>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row>
    <row r="231" spans="1:44" s="2" customFormat="1">
      <c r="A231" s="2" t="s">
        <v>6</v>
      </c>
      <c r="B231" s="2">
        <f>8/(B192+B195)</f>
        <v>0.98380991009946717</v>
      </c>
      <c r="C231" s="2">
        <f t="shared" ref="B231:N231" si="132">8/(C192+C195)</f>
        <v>0.98330492176800111</v>
      </c>
      <c r="D231" s="2">
        <f t="shared" si="132"/>
        <v>0.98532519742219316</v>
      </c>
      <c r="E231" s="2">
        <f t="shared" si="132"/>
        <v>0.98235408176101624</v>
      </c>
      <c r="F231" s="2">
        <f t="shared" si="132"/>
        <v>0.98187134516338459</v>
      </c>
      <c r="G231" s="24">
        <f t="shared" si="132"/>
        <v>0.98279468981253437</v>
      </c>
      <c r="H231" s="2">
        <f t="shared" si="132"/>
        <v>0.9822039087674721</v>
      </c>
      <c r="I231" s="2">
        <f t="shared" si="132"/>
        <v>0.98101838321519474</v>
      </c>
      <c r="J231" s="2">
        <f t="shared" si="132"/>
        <v>0.97803491505358697</v>
      </c>
      <c r="K231" s="2">
        <f t="shared" si="132"/>
        <v>0.98214708617419066</v>
      </c>
      <c r="L231" s="2">
        <f t="shared" si="132"/>
        <v>0.98564138659343414</v>
      </c>
      <c r="M231" s="2">
        <f t="shared" si="132"/>
        <v>0.98567250216728319</v>
      </c>
      <c r="N231" s="2">
        <f t="shared" si="132"/>
        <v>0.98219368857033651</v>
      </c>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row>
    <row r="232" spans="1:44" s="2" customFormat="1">
      <c r="A232" s="2" t="s">
        <v>7</v>
      </c>
      <c r="B232" s="2">
        <f>15/(B224-B214)</f>
        <v>0.97173007445332038</v>
      </c>
      <c r="C232" s="2">
        <f t="shared" ref="B232:N232" si="133">15/(C224-C214)</f>
        <v>0.9707430459896389</v>
      </c>
      <c r="D232" s="2">
        <f t="shared" si="133"/>
        <v>0.9713141841959092</v>
      </c>
      <c r="E232" s="2">
        <f t="shared" si="133"/>
        <v>0.97329518693977268</v>
      </c>
      <c r="F232" s="2">
        <f t="shared" si="133"/>
        <v>0.97553371694633406</v>
      </c>
      <c r="G232" s="24">
        <f t="shared" si="133"/>
        <v>0.97597390268557715</v>
      </c>
      <c r="H232" s="2">
        <f t="shared" si="133"/>
        <v>0.97337131853139847</v>
      </c>
      <c r="I232" s="2">
        <f t="shared" si="133"/>
        <v>0.97771496459862695</v>
      </c>
      <c r="J232" s="2">
        <f t="shared" si="133"/>
        <v>0.97703486783224991</v>
      </c>
      <c r="K232" s="2">
        <f t="shared" si="133"/>
        <v>0.9766423041297696</v>
      </c>
      <c r="L232" s="2">
        <f t="shared" si="133"/>
        <v>0.97419280649862838</v>
      </c>
      <c r="M232" s="2">
        <f t="shared" si="133"/>
        <v>0.97016630459037567</v>
      </c>
      <c r="N232" s="2">
        <f t="shared" si="133"/>
        <v>0.96993693282242865</v>
      </c>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row>
    <row r="233" spans="1:44" s="2" customFormat="1">
      <c r="A233" s="2" t="s">
        <v>8</v>
      </c>
      <c r="B233" s="2">
        <f>12.9/(B224-(B204+B208+B209+B212+B213+B214))</f>
        <v>0.97817096896061317</v>
      </c>
      <c r="C233" s="2">
        <f t="shared" ref="B233:N233" si="134">12.9/(C224-(C204+C208+C209+C212+C213+C214))</f>
        <v>0.97740046779214418</v>
      </c>
      <c r="D233" s="2">
        <f t="shared" si="134"/>
        <v>0.97910904766636786</v>
      </c>
      <c r="E233" s="2">
        <f t="shared" si="134"/>
        <v>0.98023599026862229</v>
      </c>
      <c r="F233" s="2">
        <f t="shared" si="134"/>
        <v>0.97583901048353028</v>
      </c>
      <c r="G233" s="24">
        <f t="shared" si="134"/>
        <v>0.97998031750586512</v>
      </c>
      <c r="H233" s="2">
        <f t="shared" si="134"/>
        <v>0.97536990266640844</v>
      </c>
      <c r="I233" s="2">
        <f t="shared" si="134"/>
        <v>0.97321284688394538</v>
      </c>
      <c r="J233" s="2">
        <f t="shared" si="134"/>
        <v>0.97706308534195929</v>
      </c>
      <c r="K233" s="2">
        <f t="shared" si="134"/>
        <v>0.97695438682126756</v>
      </c>
      <c r="L233" s="2">
        <f t="shared" si="134"/>
        <v>0.97885729544090738</v>
      </c>
      <c r="M233" s="2">
        <f t="shared" si="134"/>
        <v>0.97766499521972039</v>
      </c>
      <c r="N233" s="2">
        <f t="shared" si="134"/>
        <v>0.98048661970111273</v>
      </c>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row>
    <row r="234" spans="1:44" s="2" customFormat="1">
      <c r="A234" s="2" t="s">
        <v>9</v>
      </c>
      <c r="B234" s="2">
        <f t="shared" ref="B234:N234" si="135">36/(46+B195+B192+B199)</f>
        <v>0.66329741455879809</v>
      </c>
      <c r="C234" s="2">
        <f t="shared" si="135"/>
        <v>0.66317291123989097</v>
      </c>
      <c r="D234" s="2">
        <f t="shared" si="135"/>
        <v>0.66341895350310554</v>
      </c>
      <c r="E234" s="2">
        <f t="shared" si="135"/>
        <v>0.66312042986484132</v>
      </c>
      <c r="F234" s="2">
        <f t="shared" si="135"/>
        <v>0.66311981779799734</v>
      </c>
      <c r="G234" s="24">
        <f t="shared" si="135"/>
        <v>0.66423071052441729</v>
      </c>
      <c r="H234" s="2">
        <f t="shared" si="135"/>
        <v>0.66401640697506736</v>
      </c>
      <c r="I234" s="2">
        <f t="shared" si="135"/>
        <v>0.66393668600474232</v>
      </c>
      <c r="J234" s="2">
        <f t="shared" si="135"/>
        <v>0.66336716402519769</v>
      </c>
      <c r="K234" s="2">
        <f t="shared" si="135"/>
        <v>0.66408490895079164</v>
      </c>
      <c r="L234" s="2">
        <f t="shared" si="135"/>
        <v>0.66422011876018006</v>
      </c>
      <c r="M234" s="2">
        <f t="shared" si="135"/>
        <v>0.66420174277644528</v>
      </c>
      <c r="N234" s="2">
        <f t="shared" si="135"/>
        <v>0.66313362890122396</v>
      </c>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row>
    <row r="235" spans="1:44" s="2" customFormat="1">
      <c r="A235" s="2" t="s">
        <v>10</v>
      </c>
      <c r="B235" s="2">
        <f t="shared" ref="B235:N235" si="136">1-((B200+B203)/46)</f>
        <v>0.96550056079630053</v>
      </c>
      <c r="C235" s="2">
        <f t="shared" si="136"/>
        <v>0.96510835772149595</v>
      </c>
      <c r="D235" s="2">
        <f t="shared" si="136"/>
        <v>0.96479115963548334</v>
      </c>
      <c r="E235" s="2">
        <f t="shared" si="136"/>
        <v>0.96498366614972453</v>
      </c>
      <c r="F235" s="2">
        <f t="shared" si="136"/>
        <v>0.96515638167783324</v>
      </c>
      <c r="G235" s="24">
        <f t="shared" si="136"/>
        <v>0.96667824431158222</v>
      </c>
      <c r="H235" s="2">
        <f t="shared" si="136"/>
        <v>0.96675707256259091</v>
      </c>
      <c r="I235" s="2">
        <f t="shared" si="136"/>
        <v>0.96847964243312523</v>
      </c>
      <c r="J235" s="2">
        <f t="shared" si="136"/>
        <v>0.96661772425546255</v>
      </c>
      <c r="K235" s="2">
        <f t="shared" si="136"/>
        <v>0.96819276089170836</v>
      </c>
      <c r="L235" s="2">
        <f t="shared" si="136"/>
        <v>0.96531128090308949</v>
      </c>
      <c r="M235" s="2">
        <f t="shared" si="136"/>
        <v>0.9653535282749528</v>
      </c>
      <c r="N235" s="2">
        <f t="shared" si="136"/>
        <v>0.96394472042398915</v>
      </c>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row>
    <row r="236" spans="1:44" s="2" customFormat="1">
      <c r="A236" s="2" t="s">
        <v>11</v>
      </c>
      <c r="B236" s="2">
        <f>MIN(B226:B230)</f>
        <v>0.99717036727365405</v>
      </c>
      <c r="C236" s="2">
        <f t="shared" ref="B236:N236" si="137">MIN(C226:C230)</f>
        <v>0.99853494690969058</v>
      </c>
      <c r="D236" s="2">
        <f t="shared" si="137"/>
        <v>0.99869006103064584</v>
      </c>
      <c r="E236" s="2">
        <f t="shared" si="137"/>
        <v>1</v>
      </c>
      <c r="F236" s="2">
        <f t="shared" si="137"/>
        <v>0.9986007066592294</v>
      </c>
      <c r="G236" s="24">
        <f t="shared" si="137"/>
        <v>0.99914861020303869</v>
      </c>
      <c r="H236" s="2">
        <f t="shared" si="137"/>
        <v>0.99616157249291903</v>
      </c>
      <c r="I236" s="2">
        <f t="shared" si="137"/>
        <v>0.99859166581863812</v>
      </c>
      <c r="J236" s="2">
        <f t="shared" si="137"/>
        <v>1</v>
      </c>
      <c r="K236" s="2">
        <f t="shared" si="137"/>
        <v>0.99674253378255262</v>
      </c>
      <c r="L236" s="2">
        <f t="shared" si="137"/>
        <v>0.99617268757570099</v>
      </c>
      <c r="M236" s="2">
        <f t="shared" si="137"/>
        <v>0.99510333123125472</v>
      </c>
      <c r="N236" s="2">
        <f t="shared" si="137"/>
        <v>0.99809233155739663</v>
      </c>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row>
    <row r="237" spans="1:44" s="2" customFormat="1">
      <c r="A237" s="2" t="s">
        <v>12</v>
      </c>
      <c r="B237" s="2">
        <f>MAX(B231:B235)</f>
        <v>0.98380991009946717</v>
      </c>
      <c r="C237" s="2">
        <f t="shared" ref="B237:N237" si="138">MAX(C231:C235)</f>
        <v>0.98330492176800111</v>
      </c>
      <c r="D237" s="2">
        <f t="shared" si="138"/>
        <v>0.98532519742219316</v>
      </c>
      <c r="E237" s="2">
        <f t="shared" si="138"/>
        <v>0.98235408176101624</v>
      </c>
      <c r="F237" s="2">
        <f t="shared" si="138"/>
        <v>0.98187134516338459</v>
      </c>
      <c r="G237" s="24">
        <f t="shared" si="138"/>
        <v>0.98279468981253437</v>
      </c>
      <c r="H237" s="2">
        <f t="shared" si="138"/>
        <v>0.9822039087674721</v>
      </c>
      <c r="I237" s="2">
        <f t="shared" si="138"/>
        <v>0.98101838321519474</v>
      </c>
      <c r="J237" s="2">
        <f t="shared" si="138"/>
        <v>0.97803491505358697</v>
      </c>
      <c r="K237" s="2">
        <f t="shared" si="138"/>
        <v>0.98214708617419066</v>
      </c>
      <c r="L237" s="2">
        <f t="shared" si="138"/>
        <v>0.98564138659343414</v>
      </c>
      <c r="M237" s="2">
        <f t="shared" si="138"/>
        <v>0.98567250216728319</v>
      </c>
      <c r="N237" s="2">
        <f t="shared" si="138"/>
        <v>0.98219368857033651</v>
      </c>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row>
    <row r="238" spans="1:44" s="2" customFormat="1">
      <c r="A238" s="2" t="s">
        <v>13</v>
      </c>
      <c r="B238" s="2">
        <f>AVERAGE(B236:B237)</f>
        <v>0.99049013868656055</v>
      </c>
      <c r="C238" s="2">
        <f t="shared" ref="B238:N238" si="139">AVERAGE(C236:C237)</f>
        <v>0.99091993433884584</v>
      </c>
      <c r="D238" s="2">
        <f t="shared" si="139"/>
        <v>0.9920076292264195</v>
      </c>
      <c r="E238" s="2">
        <f t="shared" si="139"/>
        <v>0.99117704088050806</v>
      </c>
      <c r="F238" s="2">
        <f t="shared" si="139"/>
        <v>0.99023602591130699</v>
      </c>
      <c r="G238" s="24">
        <f t="shared" si="139"/>
        <v>0.99097165000778653</v>
      </c>
      <c r="H238" s="2">
        <f t="shared" si="139"/>
        <v>0.98918274063019562</v>
      </c>
      <c r="I238" s="2">
        <f t="shared" si="139"/>
        <v>0.98980502451691643</v>
      </c>
      <c r="J238" s="2">
        <f t="shared" si="139"/>
        <v>0.98901745752679349</v>
      </c>
      <c r="K238" s="2">
        <f t="shared" si="139"/>
        <v>0.9894448099783717</v>
      </c>
      <c r="L238" s="2">
        <f t="shared" si="139"/>
        <v>0.99090703708456762</v>
      </c>
      <c r="M238" s="2">
        <f t="shared" si="139"/>
        <v>0.99038791669926896</v>
      </c>
      <c r="N238" s="2">
        <f t="shared" si="139"/>
        <v>0.99014301006386662</v>
      </c>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row>
  </sheetData>
  <phoneticPr fontId="7" type="noConversion"/>
  <pageMargins left="0.75" right="0.75" top="1" bottom="0.5" header="0.5" footer="0.5"/>
  <pageSetup paperSize="9" orientation="portrait" r:id="rId1"/>
  <headerFooter alignWithMargins="0">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4"/>
  <sheetViews>
    <sheetView workbookViewId="0">
      <selection activeCell="K7" sqref="K7"/>
    </sheetView>
  </sheetViews>
  <sheetFormatPr defaultRowHeight="13.2"/>
  <sheetData>
    <row r="1" spans="2:12">
      <c r="B1" s="1" t="s">
        <v>99</v>
      </c>
      <c r="C1" s="1" t="s">
        <v>100</v>
      </c>
      <c r="D1" s="1" t="s">
        <v>101</v>
      </c>
      <c r="E1" s="1" t="s">
        <v>162</v>
      </c>
      <c r="F1" s="1" t="s">
        <v>103</v>
      </c>
      <c r="G1" s="1" t="s">
        <v>104</v>
      </c>
      <c r="H1" s="1" t="s">
        <v>105</v>
      </c>
      <c r="I1" s="1" t="s">
        <v>106</v>
      </c>
      <c r="J1" s="1" t="s">
        <v>107</v>
      </c>
      <c r="K1" s="1" t="s">
        <v>108</v>
      </c>
      <c r="L1" s="4" t="s">
        <v>109</v>
      </c>
    </row>
    <row r="2" spans="2:12">
      <c r="B2" s="30">
        <v>46.42</v>
      </c>
      <c r="C2" s="30">
        <v>1.27</v>
      </c>
      <c r="D2" s="30">
        <v>6.81</v>
      </c>
      <c r="E2" s="30">
        <v>14.21</v>
      </c>
      <c r="F2" s="30">
        <v>13.67</v>
      </c>
      <c r="G2" s="30">
        <v>0.76</v>
      </c>
      <c r="H2" s="30">
        <v>11.59</v>
      </c>
      <c r="I2" s="30">
        <v>1.36</v>
      </c>
      <c r="J2" s="30">
        <v>0.9</v>
      </c>
      <c r="K2" s="30">
        <v>0</v>
      </c>
      <c r="L2" s="36">
        <v>0</v>
      </c>
    </row>
    <row r="3" spans="2:12">
      <c r="B3" s="30">
        <v>45.82</v>
      </c>
      <c r="C3" s="30">
        <v>1.31</v>
      </c>
      <c r="D3" s="30">
        <v>6.87</v>
      </c>
      <c r="E3" s="30">
        <v>14.29</v>
      </c>
      <c r="F3" s="30">
        <v>13.44</v>
      </c>
      <c r="G3" s="30">
        <v>0.69</v>
      </c>
      <c r="H3" s="30">
        <v>11.28</v>
      </c>
      <c r="I3" s="30">
        <v>1.47</v>
      </c>
      <c r="J3" s="30">
        <v>0.93</v>
      </c>
      <c r="K3" s="30">
        <v>0</v>
      </c>
      <c r="L3" s="36">
        <v>0</v>
      </c>
    </row>
    <row r="4" spans="2:12">
      <c r="B4" s="30">
        <v>46.78</v>
      </c>
      <c r="C4" s="30">
        <v>1.3</v>
      </c>
      <c r="D4" s="30">
        <v>6.69</v>
      </c>
      <c r="E4" s="30">
        <v>14.45</v>
      </c>
      <c r="F4" s="30">
        <v>13.68</v>
      </c>
      <c r="G4" s="30">
        <v>0.7</v>
      </c>
      <c r="H4" s="30">
        <v>11.59</v>
      </c>
      <c r="I4" s="30">
        <v>1.47</v>
      </c>
      <c r="J4" s="30">
        <v>0.95</v>
      </c>
      <c r="K4" s="30">
        <v>0</v>
      </c>
      <c r="L4" s="36">
        <v>0</v>
      </c>
    </row>
    <row r="5" spans="2:12">
      <c r="B5" s="30">
        <v>46.01</v>
      </c>
      <c r="C5" s="30">
        <v>1.27</v>
      </c>
      <c r="D5" s="30">
        <v>6.45</v>
      </c>
      <c r="E5" s="30">
        <v>13.94</v>
      </c>
      <c r="F5" s="30">
        <v>13.27</v>
      </c>
      <c r="G5" s="30">
        <v>0.75</v>
      </c>
      <c r="H5" s="30">
        <v>11.3</v>
      </c>
      <c r="I5" s="30">
        <v>1.4</v>
      </c>
      <c r="J5" s="30">
        <v>0.86</v>
      </c>
      <c r="K5" s="30">
        <v>0</v>
      </c>
      <c r="L5" s="36">
        <v>0</v>
      </c>
    </row>
    <row r="6" spans="2:12">
      <c r="B6" s="30">
        <v>47.27</v>
      </c>
      <c r="C6" s="30">
        <v>1.26</v>
      </c>
      <c r="D6" s="30">
        <v>6.31</v>
      </c>
      <c r="E6" s="30">
        <v>14.63</v>
      </c>
      <c r="F6" s="30">
        <v>13.55</v>
      </c>
      <c r="G6" s="30">
        <v>0.8</v>
      </c>
      <c r="H6" s="30">
        <v>11.29</v>
      </c>
      <c r="I6" s="30">
        <v>1.23</v>
      </c>
      <c r="J6" s="30">
        <v>0.7</v>
      </c>
      <c r="K6" s="30">
        <v>0</v>
      </c>
      <c r="L6" s="36">
        <v>0</v>
      </c>
    </row>
    <row r="7" spans="2:12">
      <c r="B7" s="30">
        <v>48.9</v>
      </c>
      <c r="C7" s="30">
        <v>0.52</v>
      </c>
      <c r="D7" s="30">
        <v>5.09</v>
      </c>
      <c r="E7" s="30">
        <v>13.68</v>
      </c>
      <c r="F7" s="30">
        <v>14.34</v>
      </c>
      <c r="G7" s="30">
        <v>0.8</v>
      </c>
      <c r="H7" s="30">
        <v>11.64</v>
      </c>
      <c r="I7" s="30">
        <v>1.24</v>
      </c>
      <c r="J7" s="30">
        <v>0.59</v>
      </c>
      <c r="K7" s="30">
        <v>0</v>
      </c>
      <c r="L7" s="36">
        <v>0</v>
      </c>
    </row>
    <row r="8" spans="2:12">
      <c r="B8" s="30">
        <v>48.66</v>
      </c>
      <c r="C8" s="30">
        <v>0.64</v>
      </c>
      <c r="D8" s="30">
        <v>5.84</v>
      </c>
      <c r="E8" s="30">
        <v>14.31</v>
      </c>
      <c r="F8" s="30">
        <v>14.39</v>
      </c>
      <c r="G8" s="30">
        <v>0.89</v>
      </c>
      <c r="H8" s="30">
        <v>11.66</v>
      </c>
      <c r="I8" s="30">
        <v>1.24</v>
      </c>
      <c r="J8" s="30">
        <v>0.59</v>
      </c>
      <c r="K8" s="30">
        <v>0</v>
      </c>
      <c r="L8" s="36">
        <v>0</v>
      </c>
    </row>
    <row r="9" spans="2:12">
      <c r="B9" s="30">
        <v>48.59</v>
      </c>
      <c r="C9" s="30">
        <v>0.6</v>
      </c>
      <c r="D9" s="30">
        <v>5.2</v>
      </c>
      <c r="E9" s="30">
        <v>13.68</v>
      </c>
      <c r="F9" s="30">
        <v>14.49</v>
      </c>
      <c r="G9" s="30">
        <v>0.87</v>
      </c>
      <c r="H9" s="30">
        <v>11.06</v>
      </c>
      <c r="I9" s="30">
        <v>1.1100000000000001</v>
      </c>
      <c r="J9" s="30">
        <v>0.56000000000000005</v>
      </c>
      <c r="K9" s="30">
        <v>0</v>
      </c>
      <c r="L9" s="36">
        <v>0</v>
      </c>
    </row>
    <row r="10" spans="2:12">
      <c r="B10" s="30">
        <v>49.21</v>
      </c>
      <c r="C10" s="30">
        <v>0.81</v>
      </c>
      <c r="D10" s="30">
        <v>5.79</v>
      </c>
      <c r="E10" s="30">
        <v>14.24</v>
      </c>
      <c r="F10" s="30">
        <v>14.23</v>
      </c>
      <c r="G10" s="30">
        <v>0.81</v>
      </c>
      <c r="H10" s="30">
        <v>11.41</v>
      </c>
      <c r="I10" s="30">
        <v>1.29</v>
      </c>
      <c r="J10" s="30">
        <v>0.64</v>
      </c>
      <c r="K10" s="30">
        <v>0</v>
      </c>
      <c r="L10" s="36">
        <v>0</v>
      </c>
    </row>
    <row r="11" spans="2:12">
      <c r="B11" s="30">
        <v>48.8</v>
      </c>
      <c r="C11" s="30">
        <v>0.57999999999999996</v>
      </c>
      <c r="D11" s="30">
        <v>5.32</v>
      </c>
      <c r="E11" s="30">
        <v>13.48</v>
      </c>
      <c r="F11" s="30">
        <v>14.61</v>
      </c>
      <c r="G11" s="30">
        <v>0.85</v>
      </c>
      <c r="H11" s="30">
        <v>11.64</v>
      </c>
      <c r="I11" s="30">
        <v>1.08</v>
      </c>
      <c r="J11" s="30">
        <v>0.53</v>
      </c>
      <c r="K11" s="30">
        <v>0</v>
      </c>
      <c r="L11" s="36">
        <v>0</v>
      </c>
    </row>
    <row r="12" spans="2:12">
      <c r="B12" s="30">
        <v>48.88</v>
      </c>
      <c r="C12" s="30">
        <v>0.75</v>
      </c>
      <c r="D12" s="30">
        <v>5.69</v>
      </c>
      <c r="E12" s="30">
        <v>14.53</v>
      </c>
      <c r="F12" s="30">
        <v>14.27</v>
      </c>
      <c r="G12" s="30">
        <v>0.81</v>
      </c>
      <c r="H12" s="30">
        <v>12.01</v>
      </c>
      <c r="I12" s="30">
        <v>1.2</v>
      </c>
      <c r="J12" s="30">
        <v>0.68</v>
      </c>
      <c r="K12" s="30">
        <v>0</v>
      </c>
      <c r="L12" s="36">
        <v>0</v>
      </c>
    </row>
    <row r="13" spans="2:12">
      <c r="B13" s="30">
        <v>47.27</v>
      </c>
      <c r="C13" s="30">
        <v>0.75</v>
      </c>
      <c r="D13" s="30">
        <v>6.07</v>
      </c>
      <c r="E13" s="30">
        <v>14.34</v>
      </c>
      <c r="F13" s="30">
        <v>14.01</v>
      </c>
      <c r="G13" s="30">
        <v>0.73</v>
      </c>
      <c r="H13" s="30">
        <v>11.76</v>
      </c>
      <c r="I13" s="30">
        <v>1.34</v>
      </c>
      <c r="J13" s="30">
        <v>0.69</v>
      </c>
      <c r="K13" s="30">
        <v>0</v>
      </c>
      <c r="L13" s="36">
        <v>0</v>
      </c>
    </row>
    <row r="14" spans="2:12">
      <c r="B14" s="30">
        <v>46.97</v>
      </c>
      <c r="C14" s="30">
        <v>1.29</v>
      </c>
      <c r="D14" s="30">
        <v>7.14</v>
      </c>
      <c r="E14" s="30">
        <v>14.76</v>
      </c>
      <c r="F14" s="30">
        <v>13.54</v>
      </c>
      <c r="G14" s="30">
        <v>0.69299999999999995</v>
      </c>
      <c r="H14" s="30">
        <v>11.88</v>
      </c>
      <c r="I14" s="30">
        <v>1.53</v>
      </c>
      <c r="J14" s="30">
        <v>0.9</v>
      </c>
      <c r="K14" s="30">
        <v>0</v>
      </c>
      <c r="L14" s="3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Recovered_Sheet1</vt:lpstr>
      <vt:lpstr>Thermobar_in</vt:lpstr>
      <vt:lpstr>Recovered_Sheet1!Print_Area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johnyu</dc:creator>
  <cp:lastModifiedBy>penny wieser</cp:lastModifiedBy>
  <dcterms:created xsi:type="dcterms:W3CDTF">2008-08-14T14:17:35Z</dcterms:created>
  <dcterms:modified xsi:type="dcterms:W3CDTF">2021-10-16T03:36:19Z</dcterms:modified>
</cp:coreProperties>
</file>