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Benchmarking\clinopyroxene\"/>
    </mc:Choice>
  </mc:AlternateContent>
  <xr:revisionPtr revIDLastSave="0" documentId="13_ncr:1_{D849736E-06CF-4758-80C0-74FDF4E47CE2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Sheet1" sheetId="1" r:id="rId1"/>
  </sheets>
  <calcPr calcId="191029" iterate="1" iterateCount="5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9" i="1" l="1"/>
  <c r="AB19" i="1" s="1"/>
  <c r="AL19" i="1" s="1"/>
  <c r="AC19" i="1"/>
  <c r="AD19" i="1"/>
  <c r="AE19" i="1"/>
  <c r="AS19" i="1" s="1"/>
  <c r="AF19" i="1"/>
  <c r="AG19" i="1"/>
  <c r="AH19" i="1"/>
  <c r="AI19" i="1"/>
  <c r="AK19" i="1"/>
  <c r="AA20" i="1"/>
  <c r="AB20" i="1" s="1"/>
  <c r="AL20" i="1" s="1"/>
  <c r="AC20" i="1"/>
  <c r="AD20" i="1"/>
  <c r="AE20" i="1"/>
  <c r="AS20" i="1" s="1"/>
  <c r="AF20" i="1"/>
  <c r="AG20" i="1"/>
  <c r="AH20" i="1"/>
  <c r="AI20" i="1"/>
  <c r="AK20" i="1"/>
  <c r="AA21" i="1"/>
  <c r="AB21" i="1" s="1"/>
  <c r="AL21" i="1" s="1"/>
  <c r="AD21" i="1"/>
  <c r="AE21" i="1"/>
  <c r="AS21" i="1" s="1"/>
  <c r="AF21" i="1"/>
  <c r="AG21" i="1"/>
  <c r="AH21" i="1"/>
  <c r="AI21" i="1"/>
  <c r="AA18" i="1"/>
  <c r="AE18" i="1" s="1"/>
  <c r="AS18" i="1" s="1"/>
  <c r="AA10" i="1"/>
  <c r="AD10" i="1" s="1"/>
  <c r="AA11" i="1"/>
  <c r="AG11" i="1" s="1"/>
  <c r="AA12" i="1"/>
  <c r="AB12" i="1" s="1"/>
  <c r="AL12" i="1" s="1"/>
  <c r="AA13" i="1"/>
  <c r="AE13" i="1" s="1"/>
  <c r="AS13" i="1" s="1"/>
  <c r="AA14" i="1"/>
  <c r="AH14" i="1" s="1"/>
  <c r="AA15" i="1"/>
  <c r="AC15" i="1" s="1"/>
  <c r="AA16" i="1"/>
  <c r="AF16" i="1" s="1"/>
  <c r="AA17" i="1"/>
  <c r="AB17" i="1" s="1"/>
  <c r="AL17" i="1" s="1"/>
  <c r="AA9" i="1"/>
  <c r="AH9" i="1" s="1"/>
  <c r="AM21" i="1" l="1"/>
  <c r="AP21" i="1"/>
  <c r="AM20" i="1"/>
  <c r="AP19" i="1"/>
  <c r="AM19" i="1"/>
  <c r="AK21" i="1"/>
  <c r="AC21" i="1"/>
  <c r="AJ21" i="1"/>
  <c r="AJ20" i="1"/>
  <c r="AJ19" i="1"/>
  <c r="AG14" i="1"/>
  <c r="AD13" i="1"/>
  <c r="AI17" i="1"/>
  <c r="AB13" i="1"/>
  <c r="AL13" i="1" s="1"/>
  <c r="AI16" i="1"/>
  <c r="AI12" i="1"/>
  <c r="AB15" i="1"/>
  <c r="AL15" i="1" s="1"/>
  <c r="AP15" i="1" s="1"/>
  <c r="AC18" i="1"/>
  <c r="AH17" i="1"/>
  <c r="AI14" i="1"/>
  <c r="AG12" i="1"/>
  <c r="AF17" i="1"/>
  <c r="AE14" i="1"/>
  <c r="AS14" i="1" s="1"/>
  <c r="AF11" i="1"/>
  <c r="AK16" i="1"/>
  <c r="AD11" i="1"/>
  <c r="AE16" i="1"/>
  <c r="AS16" i="1" s="1"/>
  <c r="AC11" i="1"/>
  <c r="AC16" i="1"/>
  <c r="AJ15" i="1"/>
  <c r="AK18" i="1"/>
  <c r="AI15" i="1"/>
  <c r="AJ13" i="1"/>
  <c r="AP13" i="1" s="1"/>
  <c r="AK11" i="1"/>
  <c r="AI18" i="1"/>
  <c r="AH15" i="1"/>
  <c r="AI13" i="1"/>
  <c r="AI11" i="1"/>
  <c r="AD18" i="1"/>
  <c r="AJ18" i="1"/>
  <c r="AB18" i="1"/>
  <c r="AL18" i="1" s="1"/>
  <c r="AH18" i="1"/>
  <c r="AG18" i="1"/>
  <c r="AF18" i="1"/>
  <c r="AK10" i="1"/>
  <c r="AC10" i="1"/>
  <c r="AG17" i="1"/>
  <c r="AD16" i="1"/>
  <c r="AF14" i="1"/>
  <c r="AK13" i="1"/>
  <c r="AC13" i="1"/>
  <c r="AH12" i="1"/>
  <c r="AE11" i="1"/>
  <c r="AS11" i="1" s="1"/>
  <c r="AJ10" i="1"/>
  <c r="AB10" i="1"/>
  <c r="AL10" i="1" s="1"/>
  <c r="AE17" i="1"/>
  <c r="AS17" i="1" s="1"/>
  <c r="AJ16" i="1"/>
  <c r="AB16" i="1"/>
  <c r="AL16" i="1" s="1"/>
  <c r="AG15" i="1"/>
  <c r="AD14" i="1"/>
  <c r="AF12" i="1"/>
  <c r="AH10" i="1"/>
  <c r="AD17" i="1"/>
  <c r="AF15" i="1"/>
  <c r="AK14" i="1"/>
  <c r="AC14" i="1"/>
  <c r="AH13" i="1"/>
  <c r="AE12" i="1"/>
  <c r="AS12" i="1" s="1"/>
  <c r="AJ11" i="1"/>
  <c r="AB11" i="1"/>
  <c r="AL11" i="1" s="1"/>
  <c r="AG10" i="1"/>
  <c r="AI10" i="1"/>
  <c r="AK17" i="1"/>
  <c r="AC17" i="1"/>
  <c r="AH16" i="1"/>
  <c r="AE15" i="1"/>
  <c r="AS15" i="1" s="1"/>
  <c r="AJ14" i="1"/>
  <c r="AB14" i="1"/>
  <c r="AL14" i="1" s="1"/>
  <c r="AG13" i="1"/>
  <c r="AD12" i="1"/>
  <c r="AF10" i="1"/>
  <c r="AJ17" i="1"/>
  <c r="AG16" i="1"/>
  <c r="AD15" i="1"/>
  <c r="AF13" i="1"/>
  <c r="AK12" i="1"/>
  <c r="AC12" i="1"/>
  <c r="AH11" i="1"/>
  <c r="AE10" i="1"/>
  <c r="AS10" i="1" s="1"/>
  <c r="AK15" i="1"/>
  <c r="AJ12" i="1"/>
  <c r="AB9" i="1"/>
  <c r="AL9" i="1" s="1"/>
  <c r="AJ9" i="1"/>
  <c r="AC9" i="1"/>
  <c r="AK9" i="1"/>
  <c r="AI9" i="1"/>
  <c r="AD9" i="1"/>
  <c r="AE9" i="1"/>
  <c r="AS9" i="1" s="1"/>
  <c r="AF9" i="1"/>
  <c r="AG9" i="1"/>
  <c r="AN19" i="1" l="1"/>
  <c r="AW19" i="1"/>
  <c r="AN20" i="1"/>
  <c r="AW20" i="1"/>
  <c r="AN21" i="1"/>
  <c r="T21" i="1" s="1"/>
  <c r="AW21" i="1"/>
  <c r="AQ19" i="1"/>
  <c r="AR19" i="1" s="1"/>
  <c r="AT19" i="1" s="1"/>
  <c r="AX19" i="1"/>
  <c r="BG19" i="1"/>
  <c r="T19" i="1"/>
  <c r="AQ20" i="1"/>
  <c r="AR20" i="1" s="1"/>
  <c r="AT20" i="1" s="1"/>
  <c r="AX20" i="1"/>
  <c r="BG20" i="1"/>
  <c r="AP20" i="1"/>
  <c r="AQ21" i="1"/>
  <c r="AR21" i="1" s="1"/>
  <c r="AT21" i="1" s="1"/>
  <c r="AX21" i="1"/>
  <c r="BG21" i="1"/>
  <c r="AW18" i="1"/>
  <c r="AM13" i="1"/>
  <c r="AM17" i="1"/>
  <c r="AN17" i="1" s="1"/>
  <c r="T17" i="1" s="1"/>
  <c r="AM15" i="1"/>
  <c r="AQ15" i="1" s="1"/>
  <c r="AR15" i="1" s="1"/>
  <c r="AT15" i="1" s="1"/>
  <c r="AW17" i="1"/>
  <c r="AM12" i="1"/>
  <c r="BG12" i="1" s="1"/>
  <c r="AN13" i="1"/>
  <c r="AX13" i="1" s="1"/>
  <c r="AW11" i="1"/>
  <c r="AW15" i="1"/>
  <c r="AW13" i="1"/>
  <c r="AP18" i="1"/>
  <c r="AM18" i="1"/>
  <c r="AP14" i="1"/>
  <c r="AP16" i="1"/>
  <c r="AW12" i="1"/>
  <c r="AW14" i="1"/>
  <c r="AP11" i="1"/>
  <c r="AW16" i="1"/>
  <c r="AP12" i="1"/>
  <c r="BG13" i="1"/>
  <c r="AQ13" i="1"/>
  <c r="AR13" i="1" s="1"/>
  <c r="AT13" i="1" s="1"/>
  <c r="AP17" i="1"/>
  <c r="AP10" i="1"/>
  <c r="AM10" i="1"/>
  <c r="AN10" i="1" s="1"/>
  <c r="T10" i="1" s="1"/>
  <c r="AM11" i="1"/>
  <c r="AN11" i="1" s="1"/>
  <c r="T11" i="1" s="1"/>
  <c r="AM14" i="1"/>
  <c r="AN14" i="1" s="1"/>
  <c r="T14" i="1" s="1"/>
  <c r="AM16" i="1"/>
  <c r="AN16" i="1" s="1"/>
  <c r="T16" i="1" s="1"/>
  <c r="AW10" i="1"/>
  <c r="AM9" i="1"/>
  <c r="AN9" i="1" s="1"/>
  <c r="T9" i="1" s="1"/>
  <c r="AW9" i="1"/>
  <c r="AP9" i="1"/>
  <c r="R21" i="1" l="1"/>
  <c r="AY21" i="1"/>
  <c r="R19" i="1"/>
  <c r="AY20" i="1"/>
  <c r="AY19" i="1"/>
  <c r="R20" i="1"/>
  <c r="T20" i="1"/>
  <c r="AU20" i="1"/>
  <c r="AO20" i="1"/>
  <c r="AO21" i="1"/>
  <c r="AZ21" i="1" s="1"/>
  <c r="AU21" i="1"/>
  <c r="AU19" i="1"/>
  <c r="AO19" i="1"/>
  <c r="S19" i="1" s="1"/>
  <c r="BG17" i="1"/>
  <c r="AQ17" i="1"/>
  <c r="AR17" i="1" s="1"/>
  <c r="AT17" i="1" s="1"/>
  <c r="AU17" i="1" s="1"/>
  <c r="AN12" i="1"/>
  <c r="AO12" i="1" s="1"/>
  <c r="U12" i="1" s="1"/>
  <c r="AQ12" i="1"/>
  <c r="AR12" i="1" s="1"/>
  <c r="AT12" i="1" s="1"/>
  <c r="AU12" i="1" s="1"/>
  <c r="BG9" i="1"/>
  <c r="R9" i="1" s="1"/>
  <c r="AO13" i="1"/>
  <c r="BA13" i="1" s="1"/>
  <c r="AN15" i="1"/>
  <c r="AU15" i="1" s="1"/>
  <c r="BG15" i="1"/>
  <c r="R15" i="1" s="1"/>
  <c r="T13" i="1"/>
  <c r="AU13" i="1"/>
  <c r="AQ9" i="1"/>
  <c r="AR9" i="1" s="1"/>
  <c r="AT9" i="1" s="1"/>
  <c r="AU9" i="1" s="1"/>
  <c r="R12" i="1"/>
  <c r="S12" i="1"/>
  <c r="R13" i="1"/>
  <c r="R17" i="1"/>
  <c r="BG18" i="1"/>
  <c r="AQ18" i="1"/>
  <c r="AR18" i="1" s="1"/>
  <c r="AT18" i="1" s="1"/>
  <c r="AN18" i="1"/>
  <c r="T18" i="1" s="1"/>
  <c r="AO11" i="1"/>
  <c r="U11" i="1" s="1"/>
  <c r="AO10" i="1"/>
  <c r="U10" i="1" s="1"/>
  <c r="AO14" i="1"/>
  <c r="U14" i="1" s="1"/>
  <c r="AX16" i="1"/>
  <c r="BG16" i="1"/>
  <c r="AQ16" i="1"/>
  <c r="AR16" i="1" s="1"/>
  <c r="AT16" i="1" s="1"/>
  <c r="AU16" i="1" s="1"/>
  <c r="AO17" i="1"/>
  <c r="U17" i="1" s="1"/>
  <c r="AX14" i="1"/>
  <c r="BG14" i="1"/>
  <c r="AQ14" i="1"/>
  <c r="AR14" i="1" s="1"/>
  <c r="AT14" i="1" s="1"/>
  <c r="AU14" i="1" s="1"/>
  <c r="AX11" i="1"/>
  <c r="BG11" i="1"/>
  <c r="AQ11" i="1"/>
  <c r="AR11" i="1" s="1"/>
  <c r="AT11" i="1" s="1"/>
  <c r="AU11" i="1" s="1"/>
  <c r="BA12" i="1"/>
  <c r="AQ10" i="1"/>
  <c r="AR10" i="1" s="1"/>
  <c r="AT10" i="1" s="1"/>
  <c r="AU10" i="1" s="1"/>
  <c r="AX10" i="1"/>
  <c r="BG10" i="1"/>
  <c r="AX17" i="1"/>
  <c r="AO16" i="1"/>
  <c r="U16" i="1" s="1"/>
  <c r="AZ13" i="1"/>
  <c r="AY13" i="1"/>
  <c r="AV12" i="1"/>
  <c r="AO9" i="1"/>
  <c r="AX9" i="1"/>
  <c r="AY9" i="1" s="1"/>
  <c r="BA21" i="1" l="1"/>
  <c r="BE21" i="1" s="1"/>
  <c r="AV21" i="1"/>
  <c r="U21" i="1"/>
  <c r="BA20" i="1"/>
  <c r="AV20" i="1"/>
  <c r="U20" i="1"/>
  <c r="BA19" i="1"/>
  <c r="BD19" i="1"/>
  <c r="AV19" i="1"/>
  <c r="U19" i="1"/>
  <c r="S20" i="1"/>
  <c r="AZ19" i="1"/>
  <c r="BE19" i="1" s="1"/>
  <c r="BC19" i="1" s="1"/>
  <c r="BB19" i="1" s="1"/>
  <c r="S21" i="1"/>
  <c r="AZ20" i="1"/>
  <c r="BE20" i="1" s="1"/>
  <c r="BC20" i="1" s="1"/>
  <c r="BB20" i="1" s="1"/>
  <c r="S13" i="1"/>
  <c r="T12" i="1"/>
  <c r="AX12" i="1"/>
  <c r="AV9" i="1"/>
  <c r="U9" i="1"/>
  <c r="AX15" i="1"/>
  <c r="AY15" i="1" s="1"/>
  <c r="AO15" i="1"/>
  <c r="T15" i="1"/>
  <c r="BE13" i="1"/>
  <c r="BC13" i="1" s="1"/>
  <c r="BB13" i="1" s="1"/>
  <c r="S17" i="1"/>
  <c r="AV13" i="1"/>
  <c r="U13" i="1"/>
  <c r="R16" i="1"/>
  <c r="S16" i="1"/>
  <c r="R10" i="1"/>
  <c r="S10" i="1"/>
  <c r="R14" i="1"/>
  <c r="S14" i="1"/>
  <c r="R18" i="1"/>
  <c r="R11" i="1"/>
  <c r="S11" i="1"/>
  <c r="S9" i="1"/>
  <c r="AU18" i="1"/>
  <c r="AO18" i="1"/>
  <c r="U18" i="1" s="1"/>
  <c r="AX18" i="1"/>
  <c r="AY10" i="1"/>
  <c r="AZ10" i="1"/>
  <c r="AY17" i="1"/>
  <c r="AZ17" i="1"/>
  <c r="BA14" i="1"/>
  <c r="AV14" i="1"/>
  <c r="AY16" i="1"/>
  <c r="AZ16" i="1"/>
  <c r="BA10" i="1"/>
  <c r="AV10" i="1"/>
  <c r="AY14" i="1"/>
  <c r="AZ14" i="1"/>
  <c r="AY11" i="1"/>
  <c r="AZ11" i="1"/>
  <c r="BA11" i="1"/>
  <c r="AV11" i="1"/>
  <c r="BA16" i="1"/>
  <c r="AV16" i="1"/>
  <c r="AV17" i="1"/>
  <c r="BA17" i="1"/>
  <c r="BA9" i="1"/>
  <c r="AZ9" i="1"/>
  <c r="BC21" i="1" l="1"/>
  <c r="BB21" i="1" s="1"/>
  <c r="BD21" i="1"/>
  <c r="X19" i="1"/>
  <c r="Y19" i="1"/>
  <c r="BD20" i="1"/>
  <c r="BD13" i="1"/>
  <c r="AZ15" i="1"/>
  <c r="AZ12" i="1"/>
  <c r="AY12" i="1"/>
  <c r="BE14" i="1"/>
  <c r="BC14" i="1" s="1"/>
  <c r="BB14" i="1" s="1"/>
  <c r="U15" i="1"/>
  <c r="S15" i="1"/>
  <c r="BA15" i="1"/>
  <c r="BE15" i="1" s="1"/>
  <c r="BD15" i="1" s="1"/>
  <c r="AV15" i="1"/>
  <c r="S18" i="1"/>
  <c r="BE9" i="1"/>
  <c r="BD9" i="1" s="1"/>
  <c r="AY18" i="1"/>
  <c r="AZ18" i="1"/>
  <c r="BA18" i="1"/>
  <c r="AV18" i="1"/>
  <c r="BD14" i="1"/>
  <c r="Y13" i="1"/>
  <c r="X13" i="1"/>
  <c r="BE17" i="1"/>
  <c r="BE10" i="1"/>
  <c r="BE11" i="1"/>
  <c r="BE16" i="1"/>
  <c r="Y20" i="1" l="1"/>
  <c r="X20" i="1"/>
  <c r="X21" i="1"/>
  <c r="Y21" i="1"/>
  <c r="BE12" i="1"/>
  <c r="BC15" i="1"/>
  <c r="BB15" i="1" s="1"/>
  <c r="BC9" i="1"/>
  <c r="BB9" i="1" s="1"/>
  <c r="BE18" i="1"/>
  <c r="BC17" i="1"/>
  <c r="BB17" i="1" s="1"/>
  <c r="BD17" i="1"/>
  <c r="BC16" i="1"/>
  <c r="BB16" i="1" s="1"/>
  <c r="BD16" i="1"/>
  <c r="BC11" i="1"/>
  <c r="BB11" i="1" s="1"/>
  <c r="BD11" i="1"/>
  <c r="BC10" i="1"/>
  <c r="BB10" i="1" s="1"/>
  <c r="BD10" i="1"/>
  <c r="Y14" i="1"/>
  <c r="X14" i="1"/>
  <c r="BC12" i="1" l="1"/>
  <c r="BB12" i="1" s="1"/>
  <c r="BD12" i="1"/>
  <c r="Y9" i="1"/>
  <c r="X15" i="1"/>
  <c r="Y15" i="1"/>
  <c r="X9" i="1"/>
  <c r="BC18" i="1"/>
  <c r="BB18" i="1" s="1"/>
  <c r="BD18" i="1"/>
  <c r="X11" i="1"/>
  <c r="Y11" i="1"/>
  <c r="X16" i="1"/>
  <c r="Y16" i="1"/>
  <c r="X10" i="1"/>
  <c r="Y10" i="1"/>
  <c r="X17" i="1"/>
  <c r="Y17" i="1"/>
  <c r="X12" i="1" l="1"/>
  <c r="Y12" i="1"/>
  <c r="X18" i="1"/>
  <c r="Y18" i="1"/>
  <c r="V9" i="1" l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</calcChain>
</file>

<file path=xl/sharedStrings.xml><?xml version="1.0" encoding="utf-8"?>
<sst xmlns="http://schemas.openxmlformats.org/spreadsheetml/2006/main" count="94" uniqueCount="88">
  <si>
    <t>Clinopyroxene-only Thermobarometers</t>
    <phoneticPr fontId="2" type="noConversion"/>
  </si>
  <si>
    <t>Molecular weights</t>
  </si>
  <si>
    <t>Input Data</t>
    <phoneticPr fontId="2" type="noConversion"/>
  </si>
  <si>
    <t>Output Data</t>
    <phoneticPr fontId="2" type="noConversion"/>
  </si>
  <si>
    <t>SiO2</t>
  </si>
  <si>
    <t>TiO2</t>
  </si>
  <si>
    <t>Al2O3</t>
  </si>
  <si>
    <t>Cr2O3</t>
  </si>
  <si>
    <t>FeO</t>
  </si>
  <si>
    <t>MnO</t>
  </si>
  <si>
    <t>MgO</t>
  </si>
  <si>
    <t>CaO</t>
  </si>
  <si>
    <t>Na2O</t>
  </si>
  <si>
    <t>K2O</t>
  </si>
  <si>
    <t>Putirka 2008</t>
    <phoneticPr fontId="2" type="noConversion"/>
  </si>
  <si>
    <r>
      <t>Clinopyroxene compositions - in weight percent</t>
    </r>
    <r>
      <rPr>
        <b/>
        <sz val="9"/>
        <color theme="1"/>
        <rFont val="华文中宋"/>
        <family val="3"/>
        <charset val="134"/>
      </rPr>
      <t>（</t>
    </r>
    <r>
      <rPr>
        <b/>
        <sz val="9"/>
        <color theme="1"/>
        <rFont val="Verdana"/>
        <family val="2"/>
      </rPr>
      <t>wt.%</t>
    </r>
    <r>
      <rPr>
        <b/>
        <sz val="9"/>
        <color theme="1"/>
        <rFont val="华文中宋"/>
        <family val="3"/>
        <charset val="134"/>
      </rPr>
      <t>）</t>
    </r>
    <phoneticPr fontId="2" type="noConversion"/>
  </si>
  <si>
    <t>Nimis 1995</t>
    <phoneticPr fontId="2" type="noConversion"/>
  </si>
  <si>
    <t>Nimis&amp;Ulmer 1998</t>
    <phoneticPr fontId="2" type="noConversion"/>
  </si>
  <si>
    <t>Cations and components on the basis of 6 oxygens</t>
    <phoneticPr fontId="2" type="noConversion"/>
  </si>
  <si>
    <t>Author(year)</t>
    <phoneticPr fontId="2" type="noConversion"/>
  </si>
  <si>
    <t>Experiment/Sample</t>
  </si>
  <si>
    <t>Exp Pressure(Kbar)</t>
    <phoneticPr fontId="2" type="noConversion"/>
  </si>
  <si>
    <t>Exp Temperature(°C)</t>
    <phoneticPr fontId="2" type="noConversion"/>
  </si>
  <si>
    <t>Wt: SiO2</t>
  </si>
  <si>
    <t>Wt: TiO2</t>
  </si>
  <si>
    <t>Wt: Al2O3</t>
  </si>
  <si>
    <t>Wt: Cr2O3</t>
  </si>
  <si>
    <t>Wt: FeO</t>
  </si>
  <si>
    <t>Wt: MnO</t>
  </si>
  <si>
    <t>Wt: MgO</t>
  </si>
  <si>
    <t>Wt: CaO</t>
  </si>
  <si>
    <t>Wt: Na2O</t>
  </si>
  <si>
    <t>Wt: K2O</t>
  </si>
  <si>
    <t>P/Kbar</t>
    <phoneticPr fontId="2" type="noConversion"/>
  </si>
  <si>
    <t>T/°C</t>
    <phoneticPr fontId="2" type="noConversion"/>
  </si>
  <si>
    <t>ORF</t>
    <phoneticPr fontId="2" type="noConversion"/>
  </si>
  <si>
    <t>Si</t>
    <phoneticPr fontId="2" type="noConversion"/>
  </si>
  <si>
    <t>Ti</t>
    <phoneticPr fontId="2" type="noConversion"/>
  </si>
  <si>
    <t>Al</t>
    <phoneticPr fontId="2" type="noConversion"/>
  </si>
  <si>
    <t>Cr</t>
    <phoneticPr fontId="2" type="noConversion"/>
  </si>
  <si>
    <t>Fe</t>
    <phoneticPr fontId="2" type="noConversion"/>
  </si>
  <si>
    <t>Mn</t>
    <phoneticPr fontId="2" type="noConversion"/>
  </si>
  <si>
    <t>Mg</t>
    <phoneticPr fontId="2" type="noConversion"/>
  </si>
  <si>
    <t>Ca</t>
    <phoneticPr fontId="2" type="noConversion"/>
  </si>
  <si>
    <t>Na</t>
    <phoneticPr fontId="2" type="noConversion"/>
  </si>
  <si>
    <t>K</t>
    <phoneticPr fontId="2" type="noConversion"/>
  </si>
  <si>
    <t>Al(IV)</t>
    <phoneticPr fontId="2" type="noConversion"/>
  </si>
  <si>
    <t>Al(VI)</t>
    <phoneticPr fontId="2" type="noConversion"/>
  </si>
  <si>
    <t>FeIII</t>
    <phoneticPr fontId="2" type="noConversion"/>
  </si>
  <si>
    <t>FeII</t>
    <phoneticPr fontId="2" type="noConversion"/>
  </si>
  <si>
    <t>Jd</t>
    <phoneticPr fontId="2" type="noConversion"/>
  </si>
  <si>
    <t>CaTs</t>
    <phoneticPr fontId="2" type="noConversion"/>
  </si>
  <si>
    <t>CaTi</t>
    <phoneticPr fontId="2" type="noConversion"/>
  </si>
  <si>
    <t>CrCaTs</t>
    <phoneticPr fontId="2" type="noConversion"/>
  </si>
  <si>
    <t>DiHd</t>
    <phoneticPr fontId="2" type="noConversion"/>
  </si>
  <si>
    <t>EnFs</t>
    <phoneticPr fontId="2" type="noConversion"/>
  </si>
  <si>
    <t>Mg#</t>
    <phoneticPr fontId="2" type="noConversion"/>
  </si>
  <si>
    <t>a_En</t>
    <phoneticPr fontId="2" type="noConversion"/>
  </si>
  <si>
    <t>(FeM1·MgM2)/(FeM2·MgM1)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</si>
  <si>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</si>
  <si>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</si>
  <si>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</si>
  <si>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MgM1</t>
    <phoneticPr fontId="2" type="noConversion"/>
  </si>
  <si>
    <t>MgM2</t>
  </si>
  <si>
    <t>FeM1</t>
    <phoneticPr fontId="2" type="noConversion"/>
  </si>
  <si>
    <t>FeM2</t>
    <phoneticPr fontId="2" type="noConversion"/>
  </si>
  <si>
    <t>Wt.H2O(melt)</t>
    <phoneticPr fontId="2" type="noConversion"/>
  </si>
  <si>
    <t>This paper</t>
    <phoneticPr fontId="2" type="noConversion"/>
  </si>
  <si>
    <t>NCT</t>
    <phoneticPr fontId="2" type="noConversion"/>
  </si>
  <si>
    <t>Eq. (1)</t>
    <phoneticPr fontId="2" type="noConversion"/>
  </si>
  <si>
    <t>Eq. (2)</t>
    <phoneticPr fontId="2" type="noConversion"/>
  </si>
  <si>
    <t>Eq. (3)</t>
    <phoneticPr fontId="2" type="noConversion"/>
  </si>
  <si>
    <t>Eq. (4)</t>
    <phoneticPr fontId="2" type="noConversion"/>
  </si>
  <si>
    <t>Eq. (32a)</t>
    <phoneticPr fontId="2" type="noConversion"/>
  </si>
  <si>
    <t>Eq. (32d)</t>
    <phoneticPr fontId="2" type="noConversion"/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</si>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</sst>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.00_);[Red]\(0.00\)"/>
  </numFmts>
  <fonts count="8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9"/>
      <name val="Calibri"/>
      <family val="3"/>
      <charset val="134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sz val="9"/>
      <color theme="1"/>
      <name val="华文中宋"/>
      <family val="3"/>
      <charset val="134"/>
    </font>
    <font>
      <b/>
      <sz val="10"/>
      <color indexed="8"/>
      <name val="Verdana"/>
      <family val="2"/>
    </font>
    <font>
      <sz val="9"/>
      <color rgb="FF2A2A2A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2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3" borderId="1" xfId="0" applyNumberFormat="1" applyFont="1" applyFill="1" applyBorder="1" applyAlignment="1"/>
    <xf numFmtId="164" fontId="4" fillId="3" borderId="2" xfId="0" applyNumberFormat="1" applyFont="1" applyFill="1" applyBorder="1" applyAlignment="1"/>
    <xf numFmtId="164" fontId="4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164" fontId="4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CDCD"/>
      <color rgb="FFC8C8C8"/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32"/>
  <sheetViews>
    <sheetView tabSelected="1" topLeftCell="X1" zoomScale="112" zoomScaleNormal="112" workbookViewId="0">
      <selection activeCell="AU12" sqref="AU12"/>
    </sheetView>
  </sheetViews>
  <sheetFormatPr defaultRowHeight="14.4"/>
  <cols>
    <col min="1" max="1" width="29.5546875" customWidth="1"/>
    <col min="2" max="2" width="13.44140625" customWidth="1"/>
    <col min="3" max="3" width="23.21875" bestFit="1" customWidth="1"/>
    <col min="4" max="4" width="25.44140625" bestFit="1" customWidth="1"/>
    <col min="7" max="7" width="9.44140625" customWidth="1"/>
    <col min="8" max="8" width="10.44140625" customWidth="1"/>
    <col min="9" max="9" width="10.109375" customWidth="1"/>
    <col min="16" max="16" width="13.77734375" customWidth="1"/>
    <col min="24" max="24" width="11.109375" customWidth="1"/>
    <col min="25" max="25" width="18.33203125" customWidth="1"/>
    <col min="50" max="50" width="25.21875" customWidth="1"/>
  </cols>
  <sheetData>
    <row r="1" spans="1:66" ht="16.2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4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6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  <c r="S2" s="3"/>
      <c r="T2" s="3"/>
      <c r="U2" s="3"/>
      <c r="V2" s="3"/>
      <c r="W2" s="3"/>
      <c r="X2" s="3"/>
      <c r="Y2" s="3"/>
      <c r="Z2" s="2"/>
      <c r="AA2" s="2"/>
      <c r="AB2" s="2"/>
      <c r="AC2" s="2"/>
      <c r="AD2" s="2"/>
      <c r="AE2" s="2"/>
      <c r="AF2" s="2"/>
      <c r="AG2" s="2" t="s">
        <v>1</v>
      </c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4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66">
      <c r="A3" s="2"/>
      <c r="B3" s="2"/>
      <c r="C3" s="2"/>
      <c r="D3" s="2"/>
      <c r="E3" s="2"/>
      <c r="F3" s="2"/>
      <c r="G3" s="2"/>
      <c r="H3" s="2"/>
      <c r="I3" s="33" t="s">
        <v>2</v>
      </c>
      <c r="J3" s="33"/>
      <c r="K3" s="33"/>
      <c r="L3" s="2"/>
      <c r="M3" s="2"/>
      <c r="N3" s="2"/>
      <c r="O3" s="2"/>
      <c r="P3" s="2"/>
      <c r="Q3" s="2"/>
      <c r="R3" s="3"/>
      <c r="S3" s="34" t="s">
        <v>3</v>
      </c>
      <c r="T3" s="34"/>
      <c r="U3" s="34"/>
      <c r="V3" s="34"/>
      <c r="W3" s="3"/>
      <c r="X3" s="3"/>
      <c r="Y3" s="3"/>
      <c r="Z3" s="2"/>
      <c r="AA3" s="2"/>
      <c r="AB3" s="2"/>
      <c r="AC3" s="2"/>
      <c r="AD3" s="2"/>
      <c r="AE3" s="2"/>
      <c r="AF3" s="2"/>
      <c r="AG3" s="2" t="s">
        <v>4</v>
      </c>
      <c r="AH3" s="2" t="s">
        <v>5</v>
      </c>
      <c r="AI3" s="2" t="s">
        <v>6</v>
      </c>
      <c r="AJ3" s="2" t="s">
        <v>7</v>
      </c>
      <c r="AK3" s="2" t="s">
        <v>8</v>
      </c>
      <c r="AL3" s="2" t="s">
        <v>9</v>
      </c>
      <c r="AM3" s="2" t="s">
        <v>10</v>
      </c>
      <c r="AN3" s="2" t="s">
        <v>11</v>
      </c>
      <c r="AO3" s="2" t="s">
        <v>12</v>
      </c>
      <c r="AP3" s="2" t="s">
        <v>13</v>
      </c>
      <c r="AQ3" s="2"/>
      <c r="AR3" s="2"/>
      <c r="AS3" s="2"/>
      <c r="AT3" s="2"/>
      <c r="AU3" s="2"/>
      <c r="AV3" s="4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66">
      <c r="A4" s="2"/>
      <c r="B4" s="2"/>
      <c r="C4" s="2"/>
      <c r="D4" s="2"/>
      <c r="E4" s="2"/>
      <c r="F4" s="2"/>
      <c r="G4" s="2"/>
      <c r="H4" s="2"/>
      <c r="I4" s="33"/>
      <c r="J4" s="33"/>
      <c r="K4" s="33"/>
      <c r="L4" s="2"/>
      <c r="M4" s="2"/>
      <c r="N4" s="2"/>
      <c r="O4" s="2"/>
      <c r="P4" s="2"/>
      <c r="Q4" s="2"/>
      <c r="R4" s="3"/>
      <c r="S4" s="34"/>
      <c r="T4" s="34"/>
      <c r="U4" s="34"/>
      <c r="V4" s="34"/>
      <c r="W4" s="3"/>
      <c r="X4" s="3"/>
      <c r="Y4" s="3"/>
      <c r="Z4" s="2"/>
      <c r="AA4" s="2"/>
      <c r="AB4" s="2"/>
      <c r="AC4" s="2"/>
      <c r="AD4" s="2"/>
      <c r="AE4" s="2"/>
      <c r="AF4" s="2"/>
      <c r="AG4" s="2">
        <v>60.084299999999999</v>
      </c>
      <c r="AH4" s="2">
        <v>79.878799999999998</v>
      </c>
      <c r="AI4" s="2">
        <v>101.961</v>
      </c>
      <c r="AJ4" s="2">
        <v>151.9982</v>
      </c>
      <c r="AK4" s="2">
        <v>71.846400000000003</v>
      </c>
      <c r="AL4" s="2">
        <v>70.9375</v>
      </c>
      <c r="AM4" s="2">
        <v>40.304400000000001</v>
      </c>
      <c r="AN4" s="2">
        <v>56.077399999999997</v>
      </c>
      <c r="AO4" s="2">
        <v>61.978900000000003</v>
      </c>
      <c r="AP4" s="2">
        <v>94.195999999999998</v>
      </c>
      <c r="AQ4" s="2"/>
      <c r="AR4" s="2"/>
      <c r="AS4" s="2"/>
      <c r="AT4" s="2"/>
      <c r="AU4" s="2"/>
      <c r="AV4" s="4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1:66" ht="15" thickBot="1">
      <c r="A5" s="2"/>
      <c r="B5" s="2"/>
      <c r="C5" s="2"/>
      <c r="D5" s="2"/>
      <c r="E5" s="2"/>
      <c r="F5" s="2"/>
      <c r="G5" s="2"/>
      <c r="H5" s="2"/>
      <c r="I5" s="5"/>
      <c r="J5" s="5"/>
      <c r="K5" s="5"/>
      <c r="L5" s="2"/>
      <c r="M5" s="2"/>
      <c r="N5" s="2"/>
      <c r="O5" s="2"/>
      <c r="P5" s="2"/>
      <c r="Q5" s="2"/>
      <c r="R5" s="3"/>
      <c r="S5" s="26"/>
      <c r="T5" s="6"/>
      <c r="U5" s="6"/>
      <c r="V5" s="6"/>
      <c r="W5" s="3"/>
      <c r="X5" s="3"/>
      <c r="Y5" s="3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4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66" ht="15" thickBo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  <c r="S6" s="37" t="s">
        <v>67</v>
      </c>
      <c r="T6" s="37"/>
      <c r="U6" s="3"/>
      <c r="V6" s="35" t="s">
        <v>14</v>
      </c>
      <c r="W6" s="35"/>
      <c r="X6" s="7"/>
      <c r="Y6" s="8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4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</row>
    <row r="7" spans="1:66" ht="15" thickBot="1">
      <c r="A7" s="2"/>
      <c r="B7" s="2"/>
      <c r="C7" s="2"/>
      <c r="D7" s="2"/>
      <c r="E7" s="2"/>
      <c r="F7" s="36" t="s">
        <v>15</v>
      </c>
      <c r="G7" s="36"/>
      <c r="H7" s="36"/>
      <c r="I7" s="36"/>
      <c r="J7" s="36"/>
      <c r="K7" s="36"/>
      <c r="L7" s="36"/>
      <c r="M7" s="36"/>
      <c r="N7" s="36"/>
      <c r="O7" s="36"/>
      <c r="P7" s="13"/>
      <c r="Q7" s="2"/>
      <c r="R7" s="25" t="s">
        <v>69</v>
      </c>
      <c r="S7" s="24" t="s">
        <v>70</v>
      </c>
      <c r="T7" s="24" t="s">
        <v>71</v>
      </c>
      <c r="U7" s="25" t="s">
        <v>72</v>
      </c>
      <c r="V7" s="9" t="s">
        <v>73</v>
      </c>
      <c r="W7" s="9" t="s">
        <v>74</v>
      </c>
      <c r="X7" s="9" t="s">
        <v>16</v>
      </c>
      <c r="Y7" s="10" t="s">
        <v>17</v>
      </c>
      <c r="Z7" s="2"/>
      <c r="AA7" s="2"/>
      <c r="AB7" s="30" t="s">
        <v>18</v>
      </c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2"/>
      <c r="AV7" s="4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</row>
    <row r="8" spans="1:66" ht="15" thickBot="1">
      <c r="A8" s="11" t="s">
        <v>19</v>
      </c>
      <c r="B8" s="12" t="s">
        <v>20</v>
      </c>
      <c r="C8" s="12" t="s">
        <v>21</v>
      </c>
      <c r="D8" s="12" t="s">
        <v>22</v>
      </c>
      <c r="E8" s="2"/>
      <c r="F8" s="13" t="s">
        <v>23</v>
      </c>
      <c r="G8" s="13" t="s">
        <v>24</v>
      </c>
      <c r="H8" s="13" t="s">
        <v>25</v>
      </c>
      <c r="I8" s="13" t="s">
        <v>26</v>
      </c>
      <c r="J8" s="13" t="s">
        <v>27</v>
      </c>
      <c r="K8" s="13" t="s">
        <v>28</v>
      </c>
      <c r="L8" s="13" t="s">
        <v>29</v>
      </c>
      <c r="M8" s="13" t="s">
        <v>30</v>
      </c>
      <c r="N8" s="13" t="s">
        <v>31</v>
      </c>
      <c r="O8" s="13" t="s">
        <v>32</v>
      </c>
      <c r="P8" s="13" t="s">
        <v>66</v>
      </c>
      <c r="Q8" s="11"/>
      <c r="R8" s="10" t="s">
        <v>33</v>
      </c>
      <c r="S8" s="10" t="s">
        <v>34</v>
      </c>
      <c r="T8" s="10" t="s">
        <v>33</v>
      </c>
      <c r="U8" s="10" t="s">
        <v>34</v>
      </c>
      <c r="V8" s="10" t="s">
        <v>33</v>
      </c>
      <c r="W8" s="10" t="s">
        <v>34</v>
      </c>
      <c r="X8" s="10" t="s">
        <v>33</v>
      </c>
      <c r="Y8" s="10" t="s">
        <v>33</v>
      </c>
      <c r="Z8" s="2"/>
      <c r="AA8" s="11" t="s">
        <v>35</v>
      </c>
      <c r="AB8" s="14" t="s">
        <v>36</v>
      </c>
      <c r="AC8" s="15" t="s">
        <v>37</v>
      </c>
      <c r="AD8" s="15" t="s">
        <v>38</v>
      </c>
      <c r="AE8" s="15" t="s">
        <v>39</v>
      </c>
      <c r="AF8" s="15" t="s">
        <v>40</v>
      </c>
      <c r="AG8" s="15" t="s">
        <v>41</v>
      </c>
      <c r="AH8" s="15" t="s">
        <v>42</v>
      </c>
      <c r="AI8" s="15" t="s">
        <v>43</v>
      </c>
      <c r="AJ8" s="15" t="s">
        <v>44</v>
      </c>
      <c r="AK8" s="15" t="s">
        <v>45</v>
      </c>
      <c r="AL8" s="15" t="s">
        <v>46</v>
      </c>
      <c r="AM8" s="15" t="s">
        <v>47</v>
      </c>
      <c r="AN8" s="15" t="s">
        <v>48</v>
      </c>
      <c r="AO8" s="15" t="s">
        <v>49</v>
      </c>
      <c r="AP8" s="15" t="s">
        <v>50</v>
      </c>
      <c r="AQ8" s="15" t="s">
        <v>51</v>
      </c>
      <c r="AR8" s="15" t="s">
        <v>52</v>
      </c>
      <c r="AS8" s="15" t="s">
        <v>53</v>
      </c>
      <c r="AT8" s="15" t="s">
        <v>54</v>
      </c>
      <c r="AU8" s="16" t="s">
        <v>55</v>
      </c>
      <c r="AV8" s="4" t="s">
        <v>56</v>
      </c>
      <c r="AW8" s="17" t="s">
        <v>57</v>
      </c>
      <c r="AX8" s="18" t="s">
        <v>58</v>
      </c>
      <c r="AY8" s="18" t="s">
        <v>59</v>
      </c>
      <c r="AZ8" s="18" t="s">
        <v>60</v>
      </c>
      <c r="BA8" s="18" t="s">
        <v>61</v>
      </c>
      <c r="BB8" s="19" t="s">
        <v>62</v>
      </c>
      <c r="BC8" s="19" t="s">
        <v>63</v>
      </c>
      <c r="BD8" s="18" t="s">
        <v>64</v>
      </c>
      <c r="BE8" s="20" t="s">
        <v>65</v>
      </c>
      <c r="BF8" s="2"/>
      <c r="BG8" s="11" t="s">
        <v>68</v>
      </c>
    </row>
    <row r="9" spans="1:66">
      <c r="A9" s="23" t="s">
        <v>75</v>
      </c>
      <c r="B9" s="22"/>
      <c r="C9" s="2"/>
      <c r="D9" s="22"/>
      <c r="E9" s="2"/>
      <c r="F9">
        <v>50.3</v>
      </c>
      <c r="G9">
        <v>0.42</v>
      </c>
      <c r="H9">
        <v>5.19</v>
      </c>
      <c r="I9">
        <v>0.01</v>
      </c>
      <c r="J9">
        <v>8.8800000000000008</v>
      </c>
      <c r="K9">
        <v>0.08</v>
      </c>
      <c r="L9">
        <v>16</v>
      </c>
      <c r="M9">
        <v>18.899999999999999</v>
      </c>
      <c r="N9">
        <v>0.24</v>
      </c>
      <c r="O9">
        <v>0.01</v>
      </c>
      <c r="P9">
        <v>0.1</v>
      </c>
      <c r="Q9" s="2"/>
      <c r="R9" s="21">
        <f>-7.6551*BG9*LN(AM9)-10.2203*AB9+4.8343*AF9+0.7397*AH9-13.1746*AI9+122.1294*AJ9+23.35</f>
        <v>4.3644139374423787</v>
      </c>
      <c r="S9" s="21">
        <f>226.3499*BG9-444.507*AC9-550.66*AD9-4290.88*AG9-580.33*AH9-760.789*AI9-3612.82*AK9-732.13*AO9-23.6413*P9+2513.694</f>
        <v>1191.1929154988927</v>
      </c>
      <c r="T9" s="21">
        <f>-1105.84-18.6052*AC9+252.1033*AD9+311.0123*AE9+550.2534*AF9+451.6495*AG9+554.0535*AH9+540.2934*AI9+902.6805*AJ9-535.305*AN9-70.1424*AM9*LN(AM9)-1.74473*LN(AM9)</f>
        <v>5.9046093589137643</v>
      </c>
      <c r="U9" s="21">
        <f>1270.004-1362.6*AD9+2087.355*AE9+850.6013*AF9-2881.1*AG9-5511.84*AK9+2821.792*AM9-972.506*AO9-26.7148*P9</f>
        <v>1205.7443362566144</v>
      </c>
      <c r="V9" s="21">
        <f ca="1">3205+0.384*(W9+273.15)-518*LN(W9+273.15)-5.62*AH9+83.2*AJ9+68.2*AT9+2.52*LN(AM9)-51.1*(AT9)^2+34.8*(AU9)^2</f>
        <v>7.3001929552473444</v>
      </c>
      <c r="W9" s="21">
        <f t="shared" ref="W9" ca="1" si="0">(93100+544*V9)/(61.1+36.6*AC9+10.9*AF9-0.95*(AD9+AE9-AJ9-AK9)+0.395*(LN(AW9))^2)-273.15</f>
        <v>1213.0601144722273</v>
      </c>
      <c r="X9" s="21">
        <f t="shared" ref="X9" si="1">698.443+4.985*AL9-26.826*BD9-3.764*AN9+53.989*AM9+3.948*AC9+14.651*AE9-700.431*AI9-666.629*AJ9-682.848*BC9-691.138*BE9-688.384*AG9-6.267*BC9^2-4.144*BE9^2</f>
        <v>3.9162936790123992</v>
      </c>
      <c r="Y9" s="21">
        <f t="shared" ref="Y9" si="2">771.48+4.956*AL9-28.756*BD9-5.345*AN9+56.904*AM9+1.848*AC9+14.827*AE9-773.74*AI9-736.57*AJ9-754.81*BC9-763.2*BE9-759.66*AG9-1.185*BC9^2-1.876*BE9^2</f>
        <v>4.0443867481785096</v>
      </c>
      <c r="Z9" s="2"/>
      <c r="AA9" s="4">
        <f t="shared" ref="AA9" si="3">6/(F9/$AG$4*2+G9/$AH$4*2+H9/$AI$4*3+I9/$AJ$4*3+J9/$AK$4+K9/$AL$4+L9/$AM$4+M9/$AN$4+N9/$AO$4+O9/$AP$4)</f>
        <v>2.2218524305260439</v>
      </c>
      <c r="AB9" s="4">
        <f t="shared" ref="AB9" si="4">F9/$AG$4*AA9</f>
        <v>1.8600395986216034</v>
      </c>
      <c r="AC9" s="4">
        <f t="shared" ref="AC9" si="5">G9/$AH$4*AA9</f>
        <v>1.1682424132822956E-2</v>
      </c>
      <c r="AD9" s="4">
        <f t="shared" ref="AD9" si="6">H9/$AI$4*AA9*2</f>
        <v>0.2261926445293822</v>
      </c>
      <c r="AE9" s="4">
        <f t="shared" ref="AE9" si="7">I9/$AJ$4*AA9*2</f>
        <v>2.9235246608526208E-4</v>
      </c>
      <c r="AF9" s="4">
        <f t="shared" ref="AF9" si="8">J9/$AK$4*AA9</f>
        <v>0.27461431029350492</v>
      </c>
      <c r="AG9" s="4">
        <f t="shared" ref="AG9" si="9">K9/$AL$4*AA9</f>
        <v>2.5057014194478731E-3</v>
      </c>
      <c r="AH9" s="4">
        <f t="shared" ref="AH9" si="10">L9/$AM$4*AA9</f>
        <v>0.88202873354811639</v>
      </c>
      <c r="AI9" s="4">
        <f t="shared" ref="AI9" si="11">M9/$AN$4*AA9</f>
        <v>0.7488401911811573</v>
      </c>
      <c r="AJ9" s="4">
        <f t="shared" ref="AJ9" si="12">N9/$AO$4*2*AA9</f>
        <v>1.7207294202583476E-2</v>
      </c>
      <c r="AK9" s="4">
        <f t="shared" ref="AK9" si="13">O9/$AP$4*AA9*2</f>
        <v>4.7175090885516241E-4</v>
      </c>
      <c r="AL9" s="4">
        <f t="shared" ref="AL9" si="14">2-AB9</f>
        <v>0.1399604013783966</v>
      </c>
      <c r="AM9" s="4">
        <f t="shared" ref="AM9" si="15">AD9-AL9</f>
        <v>8.6232243150985599E-2</v>
      </c>
      <c r="AN9" s="4">
        <f t="shared" ref="AN9" si="16">AJ9+AL9-AM9-2*AC9-AE9</f>
        <v>4.7278251698263316E-2</v>
      </c>
      <c r="AO9" s="4">
        <f t="shared" ref="AO9" si="17">AF9-AN9</f>
        <v>0.22733605859524159</v>
      </c>
      <c r="AP9" s="4">
        <f t="shared" ref="AP9" si="18">MIN(AL9,AJ9)</f>
        <v>1.7207294202583476E-2</v>
      </c>
      <c r="AQ9" s="4">
        <f t="shared" ref="AQ9" si="19">IF(AM9&gt;AP9,AM9-AP9,0)</f>
        <v>6.9024948948402123E-2</v>
      </c>
      <c r="AR9" s="4">
        <f t="shared" ref="AR9" si="20">IF(AL9&gt;AQ9,AL9-AQ9,0)</f>
        <v>7.0935452429994481E-2</v>
      </c>
      <c r="AS9" s="4">
        <f t="shared" ref="AS9" si="21">AE9/2</f>
        <v>1.4617623304263104E-4</v>
      </c>
      <c r="AT9" s="4">
        <f t="shared" ref="AT9" si="22">AI9-AR9-AQ9-AS9</f>
        <v>0.60873361356971811</v>
      </c>
      <c r="AU9" s="4">
        <f t="shared" ref="AU9" si="23">(AF9-AN9+AH9-AT9)/2</f>
        <v>0.25031558928681996</v>
      </c>
      <c r="AV9" s="4">
        <f t="shared" ref="AV9" si="24">AH9/(AH9+AO9)*100</f>
        <v>79.507547003000241</v>
      </c>
      <c r="AW9" s="4">
        <f t="shared" ref="AW9" si="25">(1-AI9-AJ9-AK9)*(1-0.5*(AD9+AE9+AJ9+AK9))</f>
        <v>0.20497696019690048</v>
      </c>
      <c r="AX9" s="4">
        <f t="shared" ref="AX9" si="26">EXP(0.238*(AM9+AN9+AC9+AE9)+0.289*(AI9+AJ9+AG9)-2.315)</f>
        <v>0.12767559650399987</v>
      </c>
      <c r="AY9" s="4">
        <f t="shared" ref="AY9" si="27">AX9-1</f>
        <v>-0.87232440349600016</v>
      </c>
      <c r="AZ9" s="4">
        <f t="shared" ref="AZ9" si="28">AX9*AH9-AX9*(1-AI9-AJ9-AG9)+1-AI9-AJ9-AG9+AO9</f>
        <v>0.54184630654762345</v>
      </c>
      <c r="BA9" s="4">
        <f t="shared" ref="BA9" si="29">-AO9*(1-AI9-AJ9-AG9)</f>
        <v>-5.2616206286592235E-2</v>
      </c>
      <c r="BB9" s="4">
        <f t="shared" ref="BB9" si="30">AH9-BC9</f>
        <v>0.77105205312344827</v>
      </c>
      <c r="BC9" s="4">
        <f t="shared" ref="BC9" si="31">1-AI9-AJ9-AG9-BE9</f>
        <v>0.11097668042466816</v>
      </c>
      <c r="BD9" s="4">
        <f t="shared" ref="BD9" si="32">AO9-BE9</f>
        <v>0.1068659258230984</v>
      </c>
      <c r="BE9" s="4">
        <f t="shared" ref="BE9" si="33">(-AZ9+SQRT(AZ9^2-4*AY9*BA9))/(2*AY9)</f>
        <v>0.12047013277214319</v>
      </c>
      <c r="BF9" s="2"/>
      <c r="BG9" s="2">
        <f>2.2087*AM9/(2.2087*AM9+9.3594*AC9+1.5117*AE9+1.4768*AF9-5.7686*AG9-0.0864*AH9)</f>
        <v>0.30962631480065139</v>
      </c>
    </row>
    <row r="10" spans="1:66">
      <c r="A10" s="23" t="s">
        <v>76</v>
      </c>
      <c r="B10" s="22"/>
      <c r="C10" s="2"/>
      <c r="D10" s="22"/>
      <c r="E10" s="2"/>
      <c r="F10">
        <v>52</v>
      </c>
      <c r="G10">
        <v>0.34</v>
      </c>
      <c r="H10">
        <v>4.4000000000000004</v>
      </c>
      <c r="I10">
        <v>0.1</v>
      </c>
      <c r="J10">
        <v>8.8699999999999992</v>
      </c>
      <c r="K10">
        <v>0.23</v>
      </c>
      <c r="L10">
        <v>16.399999999999999</v>
      </c>
      <c r="M10">
        <v>17.5</v>
      </c>
      <c r="N10">
        <v>0.22</v>
      </c>
      <c r="O10">
        <v>0.01</v>
      </c>
      <c r="P10">
        <v>0.5</v>
      </c>
      <c r="Q10" s="2"/>
      <c r="R10" s="21">
        <f t="shared" ref="R10:R17" si="34">-7.6551*BG10*LN(AM10)-10.2203*AB10+4.8343*AF10+0.7397*AH10-13.1746*AI10+122.1294*AJ10+23.35</f>
        <v>5.1822481491664192</v>
      </c>
      <c r="S10" s="21">
        <f t="shared" ref="S10:S18" si="35">226.3499*BG10-444.507*AC10-550.66*AD10-4290.88*AG10-580.33*AH10-760.789*AI10-3612.82*AK10-732.13*AO10-23.6413*P10+2513.694</f>
        <v>1189.5623869622323</v>
      </c>
      <c r="T10" s="21">
        <f t="shared" ref="T10:T18" si="36">-1105.84-18.6052*AC10+252.1033*AD10+311.0123*AE10+550.2534*AF10+451.6495*AG10+554.0535*AH10+540.2934*AI10+902.6805*AJ10-535.305*AN10-70.1424*AM10*LN(AM10)-1.74473*LN(AM10)</f>
        <v>7.0492002769029352</v>
      </c>
      <c r="U10" s="21">
        <f t="shared" ref="U10:U18" si="37">1270.004-1362.6*AD10+2087.355*AE10+850.6013*AF10-2881.1*AG10-5511.84*AK10+2821.792*AM10-972.506*AO10-26.7148*P10</f>
        <v>1213.2946911971133</v>
      </c>
      <c r="V10" s="21">
        <f t="shared" ref="V10:V11" ca="1" si="38">3205+0.384*(W10+273.15)-518*LN(W10+273.15)-5.62*AH10+83.2*AJ10+68.2*AT10+2.52*LN(AM10)-51.1*(AT10)^2+34.8*(AU10)^2</f>
        <v>9.0808407578122043</v>
      </c>
      <c r="W10" s="21">
        <f t="shared" ref="W10:W11" ca="1" si="39">(93100+544*V10)/(61.1+36.6*AC10+10.9*AF10-0.95*(AD10+AE10-AJ10-AK10)+0.395*(LN(AW10))^2)-273.15</f>
        <v>1236.5079463506854</v>
      </c>
      <c r="X10" s="21">
        <f t="shared" ref="X10:X18" si="40">698.443+4.985*AL10-26.826*BD10-3.764*AN10+53.989*AM10+3.948*AC10+14.651*AE10-700.431*AI10-666.629*AJ10-682.848*BC10-691.138*BE10-688.384*AG10-6.267*BC10^2-4.144*BE10^2</f>
        <v>4.7763614387200963</v>
      </c>
      <c r="Y10" s="21">
        <f t="shared" ref="Y10:Y18" si="41">771.48+4.956*AL10-28.756*BD10-5.345*AN10+56.904*AM10+1.848*AC10+14.827*AE10-773.74*AI10-736.57*AJ10-754.81*BC10-763.2*BE10-759.66*AG10-1.185*BC10^2-1.876*BE10^2</f>
        <v>5.1366885124399904</v>
      </c>
      <c r="Z10" s="2"/>
      <c r="AA10" s="4">
        <f t="shared" ref="AA10:AA18" si="42">6/(F10/$AG$4*2+G10/$AH$4*2+H10/$AI$4*3+I10/$AJ$4*3+J10/$AK$4+K10/$AL$4+L10/$AM$4+M10/$AN$4+N10/$AO$4+O10/$AP$4)</f>
        <v>2.2057385778637979</v>
      </c>
      <c r="AB10" s="4">
        <f t="shared" ref="AB10:AB18" si="43">F10/$AG$4*AA10</f>
        <v>1.9089580148044913</v>
      </c>
      <c r="AC10" s="4">
        <f t="shared" ref="AC10:AC18" si="44">G10/$AH$4*AA10</f>
        <v>9.3886127041679559E-3</v>
      </c>
      <c r="AD10" s="4">
        <f t="shared" ref="AD10:AD18" si="45">H10/$AI$4*AA10*2</f>
        <v>0.1903718037798906</v>
      </c>
      <c r="AE10" s="4">
        <f t="shared" ref="AE10:AE18" si="46">I10/$AJ$4*AA10*2</f>
        <v>2.9023219720546666E-3</v>
      </c>
      <c r="AF10" s="4">
        <f t="shared" ref="AF10:AF18" si="47">J10/$AK$4*AA10</f>
        <v>0.27231567880439222</v>
      </c>
      <c r="AG10" s="4">
        <f t="shared" ref="AG10:AG18" si="48">K10/$AL$4*AA10</f>
        <v>7.1516457854967188E-3</v>
      </c>
      <c r="AH10" s="4">
        <f t="shared" ref="AH10:AH18" si="49">L10/$AM$4*AA10</f>
        <v>0.89752266940994729</v>
      </c>
      <c r="AI10" s="4">
        <f t="shared" ref="AI10:AI18" si="50">M10/$AN$4*AA10</f>
        <v>0.68834191871621131</v>
      </c>
      <c r="AJ10" s="4">
        <f t="shared" ref="AJ10:AJ18" si="51">N10/$AO$4*2*AA10</f>
        <v>1.5658957713997359E-2</v>
      </c>
      <c r="AK10" s="4">
        <f t="shared" ref="AK10:AK18" si="52">O10/$AP$4*AA10*2</f>
        <v>4.6832956343449781E-4</v>
      </c>
      <c r="AL10" s="4">
        <f t="shared" ref="AL10:AL18" si="53">2-AB10</f>
        <v>9.1041985195508657E-2</v>
      </c>
      <c r="AM10" s="4">
        <f t="shared" ref="AM10:AM18" si="54">AD10-AL10</f>
        <v>9.9329818584381946E-2</v>
      </c>
      <c r="AN10" s="4">
        <f t="shared" ref="AN10:AN18" si="55">AJ10+AL10-AM10-2*AC10-AE10</f>
        <v>-1.4308423055266506E-2</v>
      </c>
      <c r="AO10" s="4">
        <f t="shared" ref="AO10:AO18" si="56">AF10-AN10</f>
        <v>0.28662410185965875</v>
      </c>
      <c r="AP10" s="4">
        <f t="shared" ref="AP10:AP18" si="57">MIN(AL10,AJ10)</f>
        <v>1.5658957713997359E-2</v>
      </c>
      <c r="AQ10" s="4">
        <f t="shared" ref="AQ10:AQ18" si="58">IF(AM10&gt;AP10,AM10-AP10,0)</f>
        <v>8.3670860870384584E-2</v>
      </c>
      <c r="AR10" s="4">
        <f t="shared" ref="AR10:AR18" si="59">IF(AL10&gt;AQ10,AL10-AQ10,0)</f>
        <v>7.3711243251240732E-3</v>
      </c>
      <c r="AS10" s="4">
        <f t="shared" ref="AS10:AS18" si="60">AE10/2</f>
        <v>1.4511609860273333E-3</v>
      </c>
      <c r="AT10" s="4">
        <f t="shared" ref="AT10:AT18" si="61">AI10-AR10-AQ10-AS10</f>
        <v>0.59584877253467528</v>
      </c>
      <c r="AU10" s="4">
        <f t="shared" ref="AU10:AU18" si="62">(AF10-AN10+AH10-AT10)/2</f>
        <v>0.29414899936746541</v>
      </c>
      <c r="AV10" s="4">
        <f t="shared" ref="AV10:AV18" si="63">AH10/(AH10+AO10)*100</f>
        <v>75.794883808841604</v>
      </c>
      <c r="AW10" s="4">
        <f t="shared" ref="AW10:AW18" si="64">(1-AI10-AJ10-AK10)*(1-0.5*(AD10+AE10+AJ10+AK10))</f>
        <v>0.2645885110770444</v>
      </c>
      <c r="AX10" s="4">
        <f t="shared" ref="AX10:AX18" si="65">EXP(0.238*(AM10+AN10+AC10+AE10)+0.289*(AI10+AJ10+AG10)-2.315)</f>
        <v>0.12414356678037418</v>
      </c>
      <c r="AY10" s="4">
        <f t="shared" ref="AY10:AY18" si="66">AX10-1</f>
        <v>-0.87585643321962581</v>
      </c>
      <c r="AZ10" s="4">
        <f t="shared" ref="AZ10:AZ18" si="67">AX10*AH10-AX10*(1-AI10-AJ10-AG10)+1-AI10-AJ10-AG10+AO10</f>
        <v>0.65103468894308958</v>
      </c>
      <c r="BA10" s="4">
        <f t="shared" ref="BA10:BA18" si="68">-AO10*(1-AI10-AJ10-AG10)</f>
        <v>-8.2790648894351185E-2</v>
      </c>
      <c r="BB10" s="4">
        <f t="shared" ref="BB10:BB18" si="69">AH10-BC10</f>
        <v>0.77151827397566619</v>
      </c>
      <c r="BC10" s="4">
        <f t="shared" ref="BC10:BC18" si="70">1-AI10-AJ10-AG10-BE10</f>
        <v>0.1260043954342811</v>
      </c>
      <c r="BD10" s="4">
        <f t="shared" ref="BD10:BD18" si="71">AO10-BE10</f>
        <v>0.12378101950964521</v>
      </c>
      <c r="BE10" s="4">
        <f t="shared" ref="BE10:BE18" si="72">(-AZ10+SQRT(AZ10^2-4*AY10*BA10))/(2*AY10)</f>
        <v>0.16284308235001355</v>
      </c>
      <c r="BF10" s="2"/>
      <c r="BG10" s="2">
        <f t="shared" ref="BG10:BG17" si="73">2.2087*AM10/(2.2087*AM10+9.3594*AC10+1.5117*AE10+1.4768*AF10-5.7686*AG10-0.0864*AH10)</f>
        <v>0.36871992084720312</v>
      </c>
      <c r="BJ10" s="28"/>
      <c r="BK10" s="28"/>
      <c r="BM10" s="29"/>
      <c r="BN10" s="29"/>
    </row>
    <row r="11" spans="1:66">
      <c r="A11" s="23" t="s">
        <v>77</v>
      </c>
      <c r="B11" s="22"/>
      <c r="C11" s="2"/>
      <c r="D11" s="22"/>
      <c r="E11" s="2"/>
      <c r="F11">
        <v>50.8</v>
      </c>
      <c r="G11">
        <v>0.35</v>
      </c>
      <c r="H11">
        <v>4.84</v>
      </c>
      <c r="I11">
        <v>0.2</v>
      </c>
      <c r="J11">
        <v>9.1199999999999992</v>
      </c>
      <c r="K11">
        <v>0.2</v>
      </c>
      <c r="L11">
        <v>17</v>
      </c>
      <c r="M11">
        <v>17.399999999999999</v>
      </c>
      <c r="N11">
        <v>0.27</v>
      </c>
      <c r="O11">
        <v>0.01</v>
      </c>
      <c r="P11">
        <v>1</v>
      </c>
      <c r="Q11" s="2"/>
      <c r="R11" s="21">
        <f t="shared" si="34"/>
        <v>5.5489031709719754</v>
      </c>
      <c r="S11" s="21">
        <f t="shared" si="35"/>
        <v>1174.070510917722</v>
      </c>
      <c r="T11" s="21">
        <f t="shared" si="36"/>
        <v>6.5693006862572547</v>
      </c>
      <c r="U11" s="21">
        <f t="shared" si="37"/>
        <v>1183.3498102500646</v>
      </c>
      <c r="V11" s="21">
        <f t="shared" ca="1" si="38"/>
        <v>8.1294840137106803</v>
      </c>
      <c r="W11" s="21">
        <f t="shared" ca="1" si="39"/>
        <v>1226.0664532148735</v>
      </c>
      <c r="X11" s="21">
        <f t="shared" si="40"/>
        <v>4.7897887346401538</v>
      </c>
      <c r="Y11" s="21">
        <f t="shared" si="41"/>
        <v>5.0814829406374491</v>
      </c>
      <c r="Z11" s="2"/>
      <c r="AA11" s="4">
        <f t="shared" si="42"/>
        <v>2.212087129651342</v>
      </c>
      <c r="AB11" s="4">
        <f t="shared" si="43"/>
        <v>1.8702727032900137</v>
      </c>
      <c r="AC11" s="4">
        <f t="shared" si="44"/>
        <v>9.6925654288493278E-3</v>
      </c>
      <c r="AD11" s="4">
        <f t="shared" si="45"/>
        <v>0.21001170462260071</v>
      </c>
      <c r="AE11" s="4">
        <f t="shared" si="46"/>
        <v>5.8213508571847358E-3</v>
      </c>
      <c r="AF11" s="4">
        <f t="shared" si="47"/>
        <v>0.28079673612623923</v>
      </c>
      <c r="AG11" s="4">
        <f t="shared" si="48"/>
        <v>6.2367214228055464E-3</v>
      </c>
      <c r="AH11" s="4">
        <f t="shared" si="49"/>
        <v>0.93303662141286836</v>
      </c>
      <c r="AI11" s="4">
        <f t="shared" si="50"/>
        <v>0.68637839942531842</v>
      </c>
      <c r="AJ11" s="4">
        <f t="shared" si="51"/>
        <v>1.9273124402203409E-2</v>
      </c>
      <c r="AK11" s="4">
        <f t="shared" si="52"/>
        <v>4.6967750852506304E-4</v>
      </c>
      <c r="AL11" s="4">
        <f t="shared" si="53"/>
        <v>0.12972729670998628</v>
      </c>
      <c r="AM11" s="4">
        <f t="shared" si="54"/>
        <v>8.0284407912614431E-2</v>
      </c>
      <c r="AN11" s="4">
        <f t="shared" si="55"/>
        <v>4.3509531484691874E-2</v>
      </c>
      <c r="AO11" s="4">
        <f t="shared" si="56"/>
        <v>0.23728720464154734</v>
      </c>
      <c r="AP11" s="4">
        <f t="shared" si="57"/>
        <v>1.9273124402203409E-2</v>
      </c>
      <c r="AQ11" s="4">
        <f t="shared" si="58"/>
        <v>6.1011283510411018E-2</v>
      </c>
      <c r="AR11" s="4">
        <f t="shared" si="59"/>
        <v>6.8716013199575265E-2</v>
      </c>
      <c r="AS11" s="4">
        <f t="shared" si="60"/>
        <v>2.9106754285923679E-3</v>
      </c>
      <c r="AT11" s="4">
        <f t="shared" si="61"/>
        <v>0.55374042728673967</v>
      </c>
      <c r="AU11" s="4">
        <f t="shared" si="62"/>
        <v>0.30829169938383805</v>
      </c>
      <c r="AV11" s="4">
        <f t="shared" si="63"/>
        <v>79.724654035154671</v>
      </c>
      <c r="AW11" s="4">
        <f t="shared" si="64"/>
        <v>0.2592634236818756</v>
      </c>
      <c r="AX11" s="4">
        <f t="shared" si="65"/>
        <v>0.12541725915109092</v>
      </c>
      <c r="AY11" s="4">
        <f t="shared" si="66"/>
        <v>-0.87458274084890908</v>
      </c>
      <c r="AZ11" s="4">
        <f t="shared" si="67"/>
        <v>0.60628366852650062</v>
      </c>
      <c r="BA11" s="4">
        <f t="shared" si="68"/>
        <v>-6.8365232908920867E-2</v>
      </c>
      <c r="BB11" s="4">
        <f t="shared" si="69"/>
        <v>0.78666808150161294</v>
      </c>
      <c r="BC11" s="4">
        <f t="shared" si="70"/>
        <v>0.14636853991125542</v>
      </c>
      <c r="BD11" s="4">
        <f t="shared" si="71"/>
        <v>9.5543989803130169E-2</v>
      </c>
      <c r="BE11" s="4">
        <f t="shared" si="72"/>
        <v>0.14174321483841718</v>
      </c>
      <c r="BF11" s="2"/>
      <c r="BG11" s="2">
        <f t="shared" si="73"/>
        <v>0.30842740659685247</v>
      </c>
      <c r="BJ11" s="27"/>
      <c r="BK11" s="27"/>
    </row>
    <row r="12" spans="1:66">
      <c r="A12" s="23" t="s">
        <v>78</v>
      </c>
      <c r="B12" s="22"/>
      <c r="C12" s="2"/>
      <c r="D12" s="22"/>
      <c r="E12" s="2"/>
      <c r="F12">
        <v>52.2</v>
      </c>
      <c r="G12">
        <v>0.27</v>
      </c>
      <c r="H12">
        <v>4.6100000000000003</v>
      </c>
      <c r="I12">
        <v>0.02</v>
      </c>
      <c r="J12">
        <v>6.43</v>
      </c>
      <c r="K12">
        <v>0.14000000000000001</v>
      </c>
      <c r="L12">
        <v>16.600000000000001</v>
      </c>
      <c r="M12">
        <v>19.5</v>
      </c>
      <c r="N12">
        <v>0.25</v>
      </c>
      <c r="O12">
        <v>0.01</v>
      </c>
      <c r="P12">
        <v>2</v>
      </c>
      <c r="Q12" s="2"/>
      <c r="R12" s="21">
        <f t="shared" si="34"/>
        <v>5.7790873994813694</v>
      </c>
      <c r="S12" s="21">
        <f t="shared" si="35"/>
        <v>1186.9646620470962</v>
      </c>
      <c r="T12" s="21">
        <f t="shared" si="36"/>
        <v>6.9760127465948587</v>
      </c>
      <c r="U12" s="21">
        <f t="shared" si="37"/>
        <v>1194.7293217343556</v>
      </c>
      <c r="V12" s="21">
        <f t="shared" ref="V12:V18" ca="1" si="74">3205+0.384*(W12+273.15)-518*LN(W12+273.15)-5.62*AH12+83.2*AJ12+68.2*AT12+2.52*LN(AM12)-51.1*(AT12)^2+34.8*(AU12)^2</f>
        <v>8.6379312329251086</v>
      </c>
      <c r="W12" s="21">
        <f t="shared" ref="W12:W18" ca="1" si="75">(93100+544*V12)/(61.1+36.6*AC12+10.9*AF12-0.95*(AD12+AE12-AJ12-AK12)+0.395*(LN(AW12))^2)-273.15</f>
        <v>1245.6458773978752</v>
      </c>
      <c r="X12" s="21">
        <f t="shared" si="40"/>
        <v>4.9745080607233803</v>
      </c>
      <c r="Y12" s="21">
        <f t="shared" si="41"/>
        <v>5.2440674149500888</v>
      </c>
      <c r="Z12" s="2"/>
      <c r="AA12" s="4">
        <f t="shared" si="42"/>
        <v>2.1933327615621594</v>
      </c>
      <c r="AB12" s="4">
        <f t="shared" si="43"/>
        <v>1.9055222438065305</v>
      </c>
      <c r="AC12" s="4">
        <f t="shared" si="44"/>
        <v>7.4137298710268938E-3</v>
      </c>
      <c r="AD12" s="4">
        <f t="shared" si="45"/>
        <v>0.19833591335513687</v>
      </c>
      <c r="AE12" s="4">
        <f t="shared" si="46"/>
        <v>5.7719966724925945E-4</v>
      </c>
      <c r="AF12" s="4">
        <f t="shared" si="47"/>
        <v>0.19629556466078585</v>
      </c>
      <c r="AG12" s="4">
        <f t="shared" si="48"/>
        <v>4.3286919699552749E-3</v>
      </c>
      <c r="AH12" s="4">
        <f t="shared" si="49"/>
        <v>0.90335853757733275</v>
      </c>
      <c r="AI12" s="4">
        <f t="shared" si="50"/>
        <v>0.76269564656104083</v>
      </c>
      <c r="AJ12" s="4">
        <f t="shared" si="51"/>
        <v>1.7694189164071637E-2</v>
      </c>
      <c r="AK12" s="4">
        <f t="shared" si="52"/>
        <v>4.6569552031129971E-4</v>
      </c>
      <c r="AL12" s="4">
        <f t="shared" si="53"/>
        <v>9.4477756193469542E-2</v>
      </c>
      <c r="AM12" s="4">
        <f t="shared" si="54"/>
        <v>0.10385815716166732</v>
      </c>
      <c r="AN12" s="4">
        <f t="shared" si="55"/>
        <v>-7.0908712134291861E-3</v>
      </c>
      <c r="AO12" s="4">
        <f t="shared" si="56"/>
        <v>0.20338643587421504</v>
      </c>
      <c r="AP12" s="4">
        <f t="shared" si="57"/>
        <v>1.7694189164071637E-2</v>
      </c>
      <c r="AQ12" s="4">
        <f t="shared" si="58"/>
        <v>8.6163967997595681E-2</v>
      </c>
      <c r="AR12" s="4">
        <f t="shared" si="59"/>
        <v>8.3137881958738613E-3</v>
      </c>
      <c r="AS12" s="4">
        <f t="shared" si="60"/>
        <v>2.8859983362462973E-4</v>
      </c>
      <c r="AT12" s="4">
        <f t="shared" si="61"/>
        <v>0.66792929053394667</v>
      </c>
      <c r="AU12" s="4">
        <f t="shared" si="62"/>
        <v>0.21940784145880055</v>
      </c>
      <c r="AV12" s="4">
        <f t="shared" si="63"/>
        <v>81.623007941935853</v>
      </c>
      <c r="AW12" s="4">
        <f t="shared" si="64"/>
        <v>0.19535929537286958</v>
      </c>
      <c r="AX12" s="4">
        <f t="shared" si="65"/>
        <v>0.12703611152682984</v>
      </c>
      <c r="AY12" s="4">
        <f t="shared" si="66"/>
        <v>-0.87296388847317019</v>
      </c>
      <c r="AZ12" s="4">
        <f t="shared" si="67"/>
        <v>0.50607854298214572</v>
      </c>
      <c r="BA12" s="4">
        <f t="shared" si="68"/>
        <v>-4.3785331361853704E-2</v>
      </c>
      <c r="BB12" s="4">
        <f t="shared" si="69"/>
        <v>0.79392021521909928</v>
      </c>
      <c r="BC12" s="4">
        <f t="shared" si="70"/>
        <v>0.10943832235823345</v>
      </c>
      <c r="BD12" s="4">
        <f t="shared" si="71"/>
        <v>9.7543285927516238E-2</v>
      </c>
      <c r="BE12" s="4">
        <f t="shared" si="72"/>
        <v>0.1058431499466988</v>
      </c>
      <c r="BF12" s="2"/>
      <c r="BG12" s="2">
        <f t="shared" si="73"/>
        <v>0.47149379111331546</v>
      </c>
      <c r="BJ12" s="28"/>
      <c r="BK12" s="28"/>
    </row>
    <row r="13" spans="1:66">
      <c r="A13" s="23" t="s">
        <v>79</v>
      </c>
      <c r="B13" s="22"/>
      <c r="C13" s="2"/>
      <c r="D13" s="22"/>
      <c r="E13" s="2"/>
      <c r="F13">
        <v>49.4</v>
      </c>
      <c r="G13">
        <v>0.42</v>
      </c>
      <c r="H13">
        <v>6.29</v>
      </c>
      <c r="I13">
        <v>0.02</v>
      </c>
      <c r="J13">
        <v>7.4</v>
      </c>
      <c r="K13">
        <v>0.18</v>
      </c>
      <c r="L13">
        <v>16</v>
      </c>
      <c r="M13">
        <v>20</v>
      </c>
      <c r="N13">
        <v>0.3</v>
      </c>
      <c r="O13">
        <v>0.01</v>
      </c>
      <c r="P13">
        <v>3</v>
      </c>
      <c r="Q13" s="2"/>
      <c r="R13" s="21">
        <f t="shared" si="34"/>
        <v>5.5892721708211788</v>
      </c>
      <c r="S13" s="21">
        <f t="shared" si="35"/>
        <v>1124.1455589572024</v>
      </c>
      <c r="T13" s="21">
        <f t="shared" si="36"/>
        <v>5.745235401822538</v>
      </c>
      <c r="U13" s="21">
        <f t="shared" si="37"/>
        <v>1120.9936153288875</v>
      </c>
      <c r="V13" s="21">
        <f t="shared" ca="1" si="74"/>
        <v>7.624532489057164</v>
      </c>
      <c r="W13" s="21">
        <f t="shared" ca="1" si="75"/>
        <v>1220.386780325874</v>
      </c>
      <c r="X13" s="21">
        <f t="shared" si="40"/>
        <v>5.1686402075461713</v>
      </c>
      <c r="Y13" s="21">
        <f t="shared" si="41"/>
        <v>5.2764951189736919</v>
      </c>
      <c r="Z13" s="2"/>
      <c r="AA13" s="4">
        <f t="shared" si="42"/>
        <v>2.2185672094048123</v>
      </c>
      <c r="AB13" s="4">
        <f t="shared" si="43"/>
        <v>1.8240575349067516</v>
      </c>
      <c r="AC13" s="4">
        <f t="shared" si="44"/>
        <v>1.1665150552462245E-2</v>
      </c>
      <c r="AD13" s="4">
        <f t="shared" si="45"/>
        <v>0.27372794984663296</v>
      </c>
      <c r="AE13" s="4">
        <f t="shared" si="46"/>
        <v>5.8384039005851714E-4</v>
      </c>
      <c r="AF13" s="4">
        <f t="shared" si="47"/>
        <v>0.22850688899646485</v>
      </c>
      <c r="AG13" s="4">
        <f t="shared" si="48"/>
        <v>5.6294921260668365E-3</v>
      </c>
      <c r="AH13" s="4">
        <f t="shared" si="49"/>
        <v>0.88072456978585456</v>
      </c>
      <c r="AI13" s="4">
        <f t="shared" si="50"/>
        <v>0.79125180889442537</v>
      </c>
      <c r="AJ13" s="4">
        <f t="shared" si="51"/>
        <v>2.1477314467389503E-2</v>
      </c>
      <c r="AK13" s="4">
        <f t="shared" si="52"/>
        <v>4.7105338005962296E-4</v>
      </c>
      <c r="AL13" s="4">
        <f t="shared" si="53"/>
        <v>0.1759424650932484</v>
      </c>
      <c r="AM13" s="4">
        <f t="shared" si="54"/>
        <v>9.7785484753384555E-2</v>
      </c>
      <c r="AN13" s="4">
        <f t="shared" si="55"/>
        <v>7.5720153312270361E-2</v>
      </c>
      <c r="AO13" s="4">
        <f t="shared" si="56"/>
        <v>0.15278673568419449</v>
      </c>
      <c r="AP13" s="4">
        <f t="shared" si="57"/>
        <v>2.1477314467389503E-2</v>
      </c>
      <c r="AQ13" s="4">
        <f t="shared" si="58"/>
        <v>7.6308170285995056E-2</v>
      </c>
      <c r="AR13" s="4">
        <f t="shared" si="59"/>
        <v>9.9634294807253346E-2</v>
      </c>
      <c r="AS13" s="4">
        <f t="shared" si="60"/>
        <v>2.9192019502925857E-4</v>
      </c>
      <c r="AT13" s="4">
        <f t="shared" si="61"/>
        <v>0.61501742360614775</v>
      </c>
      <c r="AU13" s="4">
        <f t="shared" si="62"/>
        <v>0.20924694093195068</v>
      </c>
      <c r="AV13" s="4">
        <f t="shared" si="63"/>
        <v>85.216733007607885</v>
      </c>
      <c r="AW13" s="4">
        <f t="shared" si="64"/>
        <v>0.15912915067385461</v>
      </c>
      <c r="AX13" s="4">
        <f t="shared" si="65"/>
        <v>0.13077398405291074</v>
      </c>
      <c r="AY13" s="4">
        <f t="shared" si="66"/>
        <v>-0.86922601594708926</v>
      </c>
      <c r="AZ13" s="4">
        <f t="shared" si="67"/>
        <v>0.4258500135189584</v>
      </c>
      <c r="BA13" s="4">
        <f t="shared" si="68"/>
        <v>-2.7752394204764153E-2</v>
      </c>
      <c r="BB13" s="4">
        <f t="shared" si="69"/>
        <v>0.77647950382761299</v>
      </c>
      <c r="BC13" s="4">
        <f t="shared" si="70"/>
        <v>0.10424506595824155</v>
      </c>
      <c r="BD13" s="4">
        <f t="shared" si="71"/>
        <v>7.5390417130317758E-2</v>
      </c>
      <c r="BE13" s="4">
        <f t="shared" si="72"/>
        <v>7.7396318553876728E-2</v>
      </c>
      <c r="BF13" s="2"/>
      <c r="BG13" s="2">
        <f t="shared" si="73"/>
        <v>0.38919988018591023</v>
      </c>
      <c r="BJ13" s="27"/>
      <c r="BK13" s="27"/>
    </row>
    <row r="14" spans="1:66">
      <c r="A14" s="23" t="s">
        <v>80</v>
      </c>
      <c r="B14" s="22"/>
      <c r="C14" s="2"/>
      <c r="D14" s="22"/>
      <c r="F14">
        <v>50</v>
      </c>
      <c r="G14">
        <v>0.44</v>
      </c>
      <c r="H14">
        <v>6.14</v>
      </c>
      <c r="I14">
        <v>0.02</v>
      </c>
      <c r="J14">
        <v>11.8</v>
      </c>
      <c r="K14">
        <v>0.28000000000000003</v>
      </c>
      <c r="L14">
        <v>17.2</v>
      </c>
      <c r="M14">
        <v>13.9</v>
      </c>
      <c r="N14">
        <v>0.31</v>
      </c>
      <c r="O14">
        <v>0.01</v>
      </c>
      <c r="P14">
        <v>4</v>
      </c>
      <c r="R14" s="21">
        <f t="shared" si="34"/>
        <v>7.818218954342548</v>
      </c>
      <c r="S14" s="21">
        <f t="shared" si="35"/>
        <v>1093.500454305758</v>
      </c>
      <c r="T14" s="21">
        <f t="shared" si="36"/>
        <v>8.8302309712740072</v>
      </c>
      <c r="U14" s="21">
        <f t="shared" si="37"/>
        <v>1084.6508794718586</v>
      </c>
      <c r="V14" s="21">
        <f t="shared" ca="1" si="74"/>
        <v>9.2674761802579511</v>
      </c>
      <c r="W14" s="21">
        <f t="shared" ca="1" si="75"/>
        <v>1220.9314105338067</v>
      </c>
      <c r="X14" s="21">
        <f t="shared" si="40"/>
        <v>7.9641208106565786</v>
      </c>
      <c r="Y14" s="21">
        <f t="shared" si="41"/>
        <v>8.6762880127172917</v>
      </c>
      <c r="Z14" s="2"/>
      <c r="AA14" s="4">
        <f t="shared" si="42"/>
        <v>2.2186761208089907</v>
      </c>
      <c r="AB14" s="4">
        <f t="shared" si="43"/>
        <v>1.8463027120304227</v>
      </c>
      <c r="AC14" s="4">
        <f t="shared" si="44"/>
        <v>1.2221233833707514E-2</v>
      </c>
      <c r="AD14" s="4">
        <f t="shared" si="45"/>
        <v>0.26721337338329759</v>
      </c>
      <c r="AE14" s="4">
        <f t="shared" si="46"/>
        <v>5.8386905129376295E-4</v>
      </c>
      <c r="AF14" s="4">
        <f t="shared" si="47"/>
        <v>0.36439373755047005</v>
      </c>
      <c r="AG14" s="4">
        <f t="shared" si="48"/>
        <v>8.7574176398451803E-3</v>
      </c>
      <c r="AH14" s="4">
        <f t="shared" si="49"/>
        <v>0.94682539072445282</v>
      </c>
      <c r="AI14" s="4">
        <f t="shared" si="50"/>
        <v>0.54994700323561674</v>
      </c>
      <c r="AJ14" s="4">
        <f t="shared" si="51"/>
        <v>2.2194314434453889E-2</v>
      </c>
      <c r="AK14" s="4">
        <f t="shared" si="52"/>
        <v>4.7107650448192934E-4</v>
      </c>
      <c r="AL14" s="4">
        <f t="shared" si="53"/>
        <v>0.15369728796957727</v>
      </c>
      <c r="AM14" s="4">
        <f t="shared" si="54"/>
        <v>0.11351608541372032</v>
      </c>
      <c r="AN14" s="4">
        <f t="shared" si="55"/>
        <v>3.7349180271602035E-2</v>
      </c>
      <c r="AO14" s="4">
        <f t="shared" si="56"/>
        <v>0.327044557278868</v>
      </c>
      <c r="AP14" s="4">
        <f t="shared" si="57"/>
        <v>2.2194314434453889E-2</v>
      </c>
      <c r="AQ14" s="4">
        <f t="shared" si="58"/>
        <v>9.1321770979266442E-2</v>
      </c>
      <c r="AR14" s="4">
        <f t="shared" si="59"/>
        <v>6.2375516990310825E-2</v>
      </c>
      <c r="AS14" s="4">
        <f t="shared" si="60"/>
        <v>2.9193452564688148E-4</v>
      </c>
      <c r="AT14" s="4">
        <f t="shared" si="61"/>
        <v>0.39595778074039256</v>
      </c>
      <c r="AU14" s="4">
        <f t="shared" si="62"/>
        <v>0.43895608363146416</v>
      </c>
      <c r="AV14" s="4">
        <f t="shared" si="63"/>
        <v>74.326691842328046</v>
      </c>
      <c r="AW14" s="4">
        <f t="shared" si="64"/>
        <v>0.36531754109581421</v>
      </c>
      <c r="AX14" s="4">
        <f t="shared" si="65"/>
        <v>0.12146043370249161</v>
      </c>
      <c r="AY14" s="4">
        <f t="shared" si="66"/>
        <v>-0.8785395662975084</v>
      </c>
      <c r="AZ14" s="4">
        <f t="shared" si="67"/>
        <v>0.81024342319235487</v>
      </c>
      <c r="BA14" s="4">
        <f t="shared" si="68"/>
        <v>-0.13706478756558227</v>
      </c>
      <c r="BB14" s="4">
        <f t="shared" si="69"/>
        <v>0.75089004386291902</v>
      </c>
      <c r="BC14" s="4">
        <f t="shared" si="70"/>
        <v>0.19593534686153383</v>
      </c>
      <c r="BD14" s="4">
        <f t="shared" si="71"/>
        <v>0.10387863945031764</v>
      </c>
      <c r="BE14" s="4">
        <f t="shared" si="72"/>
        <v>0.22316591782855036</v>
      </c>
      <c r="BF14" s="2"/>
      <c r="BG14" s="2">
        <f t="shared" si="73"/>
        <v>0.32485403644722854</v>
      </c>
    </row>
    <row r="15" spans="1:66">
      <c r="A15" s="23" t="s">
        <v>81</v>
      </c>
      <c r="B15" s="22"/>
      <c r="C15" s="2"/>
      <c r="D15" s="22"/>
      <c r="F15">
        <v>48.6</v>
      </c>
      <c r="G15">
        <v>0.5</v>
      </c>
      <c r="H15">
        <v>8.94</v>
      </c>
      <c r="I15">
        <v>0.02</v>
      </c>
      <c r="J15">
        <v>8.44</v>
      </c>
      <c r="K15">
        <v>0.19</v>
      </c>
      <c r="L15">
        <v>16.600000000000001</v>
      </c>
      <c r="M15">
        <v>16.5</v>
      </c>
      <c r="N15">
        <v>0.27</v>
      </c>
      <c r="O15">
        <v>0.01</v>
      </c>
      <c r="P15">
        <v>0.1</v>
      </c>
      <c r="R15" s="21">
        <f t="shared" si="34"/>
        <v>7.447353027912909</v>
      </c>
      <c r="S15" s="21">
        <f t="shared" si="35"/>
        <v>1196.3926203507908</v>
      </c>
      <c r="T15" s="21">
        <f t="shared" si="36"/>
        <v>8.0477514008731106</v>
      </c>
      <c r="U15" s="21">
        <f t="shared" si="37"/>
        <v>1204.9908611775218</v>
      </c>
      <c r="V15" s="21">
        <f t="shared" ca="1" si="74"/>
        <v>9.4955706638990662</v>
      </c>
      <c r="W15" s="21">
        <f t="shared" ca="1" si="75"/>
        <v>1243.9225118704753</v>
      </c>
      <c r="X15" s="21">
        <f t="shared" si="40"/>
        <v>11.088529745551932</v>
      </c>
      <c r="Y15" s="21">
        <f t="shared" si="41"/>
        <v>11.782898936832774</v>
      </c>
      <c r="Z15" s="2"/>
      <c r="AA15" s="4">
        <f t="shared" si="42"/>
        <v>2.2023212617518619</v>
      </c>
      <c r="AB15" s="4">
        <f t="shared" si="43"/>
        <v>1.7813773867905676</v>
      </c>
      <c r="AC15" s="4">
        <f t="shared" si="44"/>
        <v>1.378539275597444E-2</v>
      </c>
      <c r="AD15" s="4">
        <f t="shared" si="45"/>
        <v>0.38620162768238137</v>
      </c>
      <c r="AE15" s="4">
        <f t="shared" si="46"/>
        <v>5.79565090047609E-4</v>
      </c>
      <c r="AF15" s="4">
        <f t="shared" si="47"/>
        <v>0.25871291323136181</v>
      </c>
      <c r="AG15" s="4">
        <f t="shared" si="48"/>
        <v>5.8987283134146785E-3</v>
      </c>
      <c r="AH15" s="4">
        <f t="shared" si="49"/>
        <v>0.90706059251796112</v>
      </c>
      <c r="AI15" s="4">
        <f t="shared" si="50"/>
        <v>0.64800259674852478</v>
      </c>
      <c r="AJ15" s="4">
        <f t="shared" si="51"/>
        <v>1.9188037886216206E-2</v>
      </c>
      <c r="AK15" s="4">
        <f t="shared" si="52"/>
        <v>4.6760398780242512E-4</v>
      </c>
      <c r="AL15" s="4">
        <f t="shared" si="53"/>
        <v>0.21862261320943244</v>
      </c>
      <c r="AM15" s="4">
        <f t="shared" si="54"/>
        <v>0.16757901447294893</v>
      </c>
      <c r="AN15" s="4">
        <f t="shared" si="55"/>
        <v>4.2081286020703219E-2</v>
      </c>
      <c r="AO15" s="4">
        <f t="shared" si="56"/>
        <v>0.21663162721065859</v>
      </c>
      <c r="AP15" s="4">
        <f t="shared" si="57"/>
        <v>1.9188037886216206E-2</v>
      </c>
      <c r="AQ15" s="4">
        <f t="shared" si="58"/>
        <v>0.14839097658673273</v>
      </c>
      <c r="AR15" s="4">
        <f t="shared" si="59"/>
        <v>7.0231636622699711E-2</v>
      </c>
      <c r="AS15" s="4">
        <f t="shared" si="60"/>
        <v>2.897825450238045E-4</v>
      </c>
      <c r="AT15" s="4">
        <f t="shared" si="61"/>
        <v>0.42909020099406853</v>
      </c>
      <c r="AU15" s="4">
        <f t="shared" si="62"/>
        <v>0.34730100936727559</v>
      </c>
      <c r="AV15" s="4">
        <f t="shared" si="63"/>
        <v>80.721444590674778</v>
      </c>
      <c r="AW15" s="4">
        <f t="shared" si="64"/>
        <v>0.26480379461991738</v>
      </c>
      <c r="AX15" s="4">
        <f t="shared" si="65"/>
        <v>0.12654476465479864</v>
      </c>
      <c r="AY15" s="4">
        <f t="shared" si="66"/>
        <v>-0.87345523534520142</v>
      </c>
      <c r="AZ15" s="4">
        <f t="shared" si="67"/>
        <v>0.61695720384145458</v>
      </c>
      <c r="BA15" s="4">
        <f t="shared" si="68"/>
        <v>-7.0819183257014057E-2</v>
      </c>
      <c r="BB15" s="4">
        <f t="shared" si="69"/>
        <v>0.72439452414713212</v>
      </c>
      <c r="BC15" s="4">
        <f t="shared" si="70"/>
        <v>0.18266606837082894</v>
      </c>
      <c r="BD15" s="4">
        <f t="shared" si="71"/>
        <v>7.2387058529643222E-2</v>
      </c>
      <c r="BE15" s="4">
        <f t="shared" si="72"/>
        <v>0.14424456868101537</v>
      </c>
      <c r="BF15" s="2"/>
      <c r="BG15" s="2">
        <f t="shared" si="73"/>
        <v>0.48087753109777964</v>
      </c>
    </row>
    <row r="16" spans="1:66">
      <c r="A16" s="23" t="s">
        <v>82</v>
      </c>
      <c r="B16" s="22"/>
      <c r="C16" s="2"/>
      <c r="D16" s="22"/>
      <c r="F16">
        <v>50.2</v>
      </c>
      <c r="G16">
        <v>0.44</v>
      </c>
      <c r="H16">
        <v>5.88</v>
      </c>
      <c r="I16">
        <v>0.02</v>
      </c>
      <c r="J16">
        <v>9.6</v>
      </c>
      <c r="K16">
        <v>0.2</v>
      </c>
      <c r="L16">
        <v>16.399999999999999</v>
      </c>
      <c r="M16">
        <v>16.899999999999999</v>
      </c>
      <c r="N16">
        <v>0.3</v>
      </c>
      <c r="O16">
        <v>0.03</v>
      </c>
      <c r="P16">
        <v>0.5</v>
      </c>
      <c r="R16" s="21">
        <f t="shared" si="34"/>
        <v>6.3368683769625243</v>
      </c>
      <c r="S16" s="21">
        <f t="shared" si="35"/>
        <v>1179.8638403969744</v>
      </c>
      <c r="T16" s="21">
        <f t="shared" si="36"/>
        <v>7.3159019886234447</v>
      </c>
      <c r="U16" s="21">
        <f t="shared" si="37"/>
        <v>1188.1254056735463</v>
      </c>
      <c r="V16" s="21">
        <f t="shared" ca="1" si="74"/>
        <v>9.3146417690727699</v>
      </c>
      <c r="W16" s="21">
        <f t="shared" ca="1" si="75"/>
        <v>1231.3326136077212</v>
      </c>
      <c r="X16" s="21">
        <f t="shared" si="40"/>
        <v>6.3690912095999082</v>
      </c>
      <c r="Y16" s="21">
        <f t="shared" si="41"/>
        <v>6.7733391420117828</v>
      </c>
      <c r="Z16" s="2"/>
      <c r="AA16" s="4">
        <f t="shared" si="42"/>
        <v>2.2178902625093162</v>
      </c>
      <c r="AB16" s="4">
        <f t="shared" si="43"/>
        <v>1.8530313439279094</v>
      </c>
      <c r="AC16" s="4">
        <f t="shared" si="44"/>
        <v>1.2216905054959502E-2</v>
      </c>
      <c r="AD16" s="4">
        <f t="shared" si="45"/>
        <v>0.25580750960768883</v>
      </c>
      <c r="AE16" s="4">
        <f t="shared" si="46"/>
        <v>5.836622440290257E-4</v>
      </c>
      <c r="AF16" s="4">
        <f t="shared" si="47"/>
        <v>0.29635091695741794</v>
      </c>
      <c r="AG16" s="4">
        <f t="shared" si="48"/>
        <v>6.253082678440363E-3</v>
      </c>
      <c r="AH16" s="4">
        <f t="shared" si="49"/>
        <v>0.90246723199335011</v>
      </c>
      <c r="AI16" s="4">
        <f t="shared" si="50"/>
        <v>0.66840376758564846</v>
      </c>
      <c r="AJ16" s="4">
        <f t="shared" si="51"/>
        <v>2.1470761138154916E-2</v>
      </c>
      <c r="AK16" s="4">
        <f t="shared" si="52"/>
        <v>1.4127289455025582E-3</v>
      </c>
      <c r="AL16" s="4">
        <f t="shared" si="53"/>
        <v>0.14696865607209064</v>
      </c>
      <c r="AM16" s="4">
        <f t="shared" si="54"/>
        <v>0.10883885353559819</v>
      </c>
      <c r="AN16" s="4">
        <f t="shared" si="55"/>
        <v>3.4583091320699332E-2</v>
      </c>
      <c r="AO16" s="4">
        <f t="shared" si="56"/>
        <v>0.26176782563671863</v>
      </c>
      <c r="AP16" s="4">
        <f t="shared" si="57"/>
        <v>2.1470761138154916E-2</v>
      </c>
      <c r="AQ16" s="4">
        <f t="shared" si="58"/>
        <v>8.7368092397443281E-2</v>
      </c>
      <c r="AR16" s="4">
        <f t="shared" si="59"/>
        <v>5.9600563674647361E-2</v>
      </c>
      <c r="AS16" s="4">
        <f t="shared" si="60"/>
        <v>2.9183112201451285E-4</v>
      </c>
      <c r="AT16" s="4">
        <f t="shared" si="61"/>
        <v>0.52114328039154334</v>
      </c>
      <c r="AU16" s="4">
        <f t="shared" si="62"/>
        <v>0.32154588861926275</v>
      </c>
      <c r="AV16" s="4">
        <f t="shared" si="63"/>
        <v>77.515895615651999</v>
      </c>
      <c r="AW16" s="4">
        <f t="shared" si="64"/>
        <v>0.26560491895592042</v>
      </c>
      <c r="AX16" s="4">
        <f t="shared" si="65"/>
        <v>0.12535091405127588</v>
      </c>
      <c r="AY16" s="4">
        <f t="shared" si="66"/>
        <v>-0.87464908594872415</v>
      </c>
      <c r="AZ16" s="4">
        <f t="shared" si="67"/>
        <v>0.64067462500049299</v>
      </c>
      <c r="BA16" s="4">
        <f t="shared" si="68"/>
        <v>-7.9544014434270657E-2</v>
      </c>
      <c r="BB16" s="4">
        <f t="shared" si="69"/>
        <v>0.75701296701737664</v>
      </c>
      <c r="BC16" s="4">
        <f t="shared" si="70"/>
        <v>0.1454542649759735</v>
      </c>
      <c r="BD16" s="4">
        <f t="shared" si="71"/>
        <v>0.1033497020149359</v>
      </c>
      <c r="BE16" s="4">
        <f t="shared" si="72"/>
        <v>0.15841812362178273</v>
      </c>
      <c r="BF16" s="2"/>
      <c r="BG16" s="2">
        <f t="shared" si="73"/>
        <v>0.3539221228230956</v>
      </c>
    </row>
    <row r="17" spans="1:59">
      <c r="A17" s="23" t="s">
        <v>83</v>
      </c>
      <c r="B17" s="22"/>
      <c r="C17" s="2"/>
      <c r="D17" s="22"/>
      <c r="F17">
        <v>49</v>
      </c>
      <c r="G17">
        <v>0.47</v>
      </c>
      <c r="H17">
        <v>6.89</v>
      </c>
      <c r="I17">
        <v>0.02</v>
      </c>
      <c r="J17">
        <v>10.5</v>
      </c>
      <c r="K17">
        <v>0.21</v>
      </c>
      <c r="L17">
        <v>15.4</v>
      </c>
      <c r="M17">
        <v>17.3</v>
      </c>
      <c r="N17">
        <v>0.34</v>
      </c>
      <c r="O17">
        <v>0.1</v>
      </c>
      <c r="P17">
        <v>1</v>
      </c>
      <c r="R17" s="21">
        <f t="shared" si="34"/>
        <v>6.5709780232428336</v>
      </c>
      <c r="S17" s="21">
        <f t="shared" si="35"/>
        <v>1140.7495173450232</v>
      </c>
      <c r="T17" s="21">
        <f t="shared" si="36"/>
        <v>6.2167729966707874</v>
      </c>
      <c r="U17" s="21">
        <f t="shared" si="37"/>
        <v>1144.0318452426259</v>
      </c>
      <c r="V17" s="21">
        <f t="shared" ca="1" si="74"/>
        <v>8.9624137995101218</v>
      </c>
      <c r="W17" s="21">
        <f t="shared" ca="1" si="75"/>
        <v>1218.2678378854052</v>
      </c>
      <c r="X17" s="21">
        <f t="shared" si="40"/>
        <v>6.5711711171972187</v>
      </c>
      <c r="Y17" s="21">
        <f t="shared" si="41"/>
        <v>6.8977795948680054</v>
      </c>
      <c r="Z17" s="2"/>
      <c r="AA17" s="4">
        <f t="shared" si="42"/>
        <v>2.2286803337333372</v>
      </c>
      <c r="AB17" s="4">
        <f t="shared" si="43"/>
        <v>1.8175353021160856</v>
      </c>
      <c r="AC17" s="4">
        <f t="shared" si="44"/>
        <v>1.3113363706699004E-2</v>
      </c>
      <c r="AD17" s="4">
        <f t="shared" si="45"/>
        <v>0.30120550993855871</v>
      </c>
      <c r="AE17" s="4">
        <f t="shared" si="46"/>
        <v>5.8650177008236605E-4</v>
      </c>
      <c r="AF17" s="4">
        <f t="shared" si="47"/>
        <v>0.32571073156344704</v>
      </c>
      <c r="AG17" s="4">
        <f t="shared" si="48"/>
        <v>6.5976792258537554E-3</v>
      </c>
      <c r="AH17" s="4">
        <f t="shared" si="49"/>
        <v>0.85156154512890381</v>
      </c>
      <c r="AI17" s="4">
        <f t="shared" si="50"/>
        <v>0.68755273556881624</v>
      </c>
      <c r="AJ17" s="4">
        <f t="shared" si="51"/>
        <v>2.4451912294969243E-2</v>
      </c>
      <c r="AK17" s="4">
        <f t="shared" si="52"/>
        <v>4.7320063139269977E-3</v>
      </c>
      <c r="AL17" s="4">
        <f t="shared" si="53"/>
        <v>0.1824646978839144</v>
      </c>
      <c r="AM17" s="4">
        <f t="shared" si="54"/>
        <v>0.11874081205464432</v>
      </c>
      <c r="AN17" s="4">
        <f t="shared" si="55"/>
        <v>6.1362568940758935E-2</v>
      </c>
      <c r="AO17" s="4">
        <f t="shared" si="56"/>
        <v>0.26434816262268812</v>
      </c>
      <c r="AP17" s="4">
        <f t="shared" si="57"/>
        <v>2.4451912294969243E-2</v>
      </c>
      <c r="AQ17" s="4">
        <f t="shared" si="58"/>
        <v>9.4288899759675082E-2</v>
      </c>
      <c r="AR17" s="4">
        <f t="shared" si="59"/>
        <v>8.8175798124239313E-2</v>
      </c>
      <c r="AS17" s="4">
        <f t="shared" si="60"/>
        <v>2.9325088504118303E-4</v>
      </c>
      <c r="AT17" s="4">
        <f t="shared" si="61"/>
        <v>0.50479478679986067</v>
      </c>
      <c r="AU17" s="4">
        <f t="shared" si="62"/>
        <v>0.30555746047586557</v>
      </c>
      <c r="AV17" s="4">
        <f t="shared" si="63"/>
        <v>76.310972044923417</v>
      </c>
      <c r="AW17" s="4">
        <f t="shared" si="64"/>
        <v>0.23638667111809258</v>
      </c>
      <c r="AX17" s="4">
        <f t="shared" si="65"/>
        <v>0.12730127537519501</v>
      </c>
      <c r="AY17" s="4">
        <f t="shared" si="66"/>
        <v>-0.87269872462480502</v>
      </c>
      <c r="AZ17" s="4">
        <f t="shared" si="67"/>
        <v>0.61832842363932916</v>
      </c>
      <c r="BA17" s="4">
        <f t="shared" si="68"/>
        <v>-7.4386957800154044E-2</v>
      </c>
      <c r="BB17" s="4">
        <f t="shared" si="69"/>
        <v>0.72376746421017291</v>
      </c>
      <c r="BC17" s="4">
        <f t="shared" si="70"/>
        <v>0.1277940809187309</v>
      </c>
      <c r="BD17" s="4">
        <f t="shared" si="71"/>
        <v>0.11074457063105825</v>
      </c>
      <c r="BE17" s="4">
        <f t="shared" si="72"/>
        <v>0.15360359199162987</v>
      </c>
      <c r="BF17" s="2"/>
      <c r="BG17" s="2">
        <f t="shared" si="73"/>
        <v>0.34724933487024312</v>
      </c>
    </row>
    <row r="18" spans="1:59">
      <c r="A18" s="23" t="s">
        <v>84</v>
      </c>
      <c r="B18" s="22"/>
      <c r="C18" s="2"/>
      <c r="D18" s="22"/>
      <c r="F18">
        <v>47.6</v>
      </c>
      <c r="G18">
        <v>0.39</v>
      </c>
      <c r="H18">
        <v>8.7899999999999991</v>
      </c>
      <c r="I18">
        <v>0.02</v>
      </c>
      <c r="J18">
        <v>8.61</v>
      </c>
      <c r="K18">
        <v>0.16</v>
      </c>
      <c r="L18">
        <v>14.6</v>
      </c>
      <c r="M18">
        <v>19.600000000000001</v>
      </c>
      <c r="N18">
        <v>0.34</v>
      </c>
      <c r="O18">
        <v>0.1</v>
      </c>
      <c r="P18">
        <v>2</v>
      </c>
      <c r="R18" s="21">
        <f>-7.6551*BG18*LN(AM18)-10.2203*AB18+4.8343*AF18+0.7397*AH18-13.1746*AI18+122.1294*AJ18+23.35</f>
        <v>6.5241073467309434</v>
      </c>
      <c r="S18" s="21">
        <f t="shared" si="35"/>
        <v>1122.7277506237876</v>
      </c>
      <c r="T18" s="21">
        <f t="shared" si="36"/>
        <v>5.5779841380112067</v>
      </c>
      <c r="U18" s="21">
        <f t="shared" si="37"/>
        <v>1127.3260557621188</v>
      </c>
      <c r="V18" s="21">
        <f t="shared" ca="1" si="74"/>
        <v>8.9913151389184254</v>
      </c>
      <c r="W18" s="21">
        <f t="shared" ca="1" si="75"/>
        <v>1223.6566763084716</v>
      </c>
      <c r="X18" s="21">
        <f t="shared" si="40"/>
        <v>8.0219191010306155</v>
      </c>
      <c r="Y18" s="21">
        <f t="shared" si="41"/>
        <v>8.2591965597022092</v>
      </c>
      <c r="Z18" s="2"/>
      <c r="AA18" s="4">
        <f t="shared" si="42"/>
        <v>2.2274770398225905</v>
      </c>
      <c r="AB18" s="4">
        <f t="shared" si="43"/>
        <v>1.7646524482361499</v>
      </c>
      <c r="AC18" s="4">
        <f t="shared" si="44"/>
        <v>1.087542684079894E-2</v>
      </c>
      <c r="AD18" s="4">
        <f t="shared" si="45"/>
        <v>0.38405906532969603</v>
      </c>
      <c r="AE18" s="4">
        <f t="shared" si="46"/>
        <v>5.8618511004014282E-4</v>
      </c>
      <c r="AF18" s="4">
        <f t="shared" si="47"/>
        <v>0.266938598355276</v>
      </c>
      <c r="AG18" s="4">
        <f t="shared" si="48"/>
        <v>5.0240891823311292E-3</v>
      </c>
      <c r="AH18" s="4">
        <f t="shared" si="49"/>
        <v>0.80688869655446593</v>
      </c>
      <c r="AI18" s="4">
        <f t="shared" si="50"/>
        <v>0.77854090918128827</v>
      </c>
      <c r="AJ18" s="4">
        <f t="shared" si="51"/>
        <v>2.4438710384975557E-2</v>
      </c>
      <c r="AK18" s="4">
        <f t="shared" si="52"/>
        <v>4.7294514412981247E-3</v>
      </c>
      <c r="AL18" s="4">
        <f t="shared" si="53"/>
        <v>0.23534755176385014</v>
      </c>
      <c r="AM18" s="4">
        <f t="shared" si="54"/>
        <v>0.14871151356584589</v>
      </c>
      <c r="AN18" s="4">
        <f t="shared" si="55"/>
        <v>8.8737709791341809E-2</v>
      </c>
      <c r="AO18" s="4">
        <f t="shared" si="56"/>
        <v>0.17820088856393418</v>
      </c>
      <c r="AP18" s="4">
        <f t="shared" si="57"/>
        <v>2.4438710384975557E-2</v>
      </c>
      <c r="AQ18" s="4">
        <f t="shared" si="58"/>
        <v>0.12427280318087033</v>
      </c>
      <c r="AR18" s="4">
        <f t="shared" si="59"/>
        <v>0.1110747485829798</v>
      </c>
      <c r="AS18" s="4">
        <f t="shared" si="60"/>
        <v>2.9309255502007141E-4</v>
      </c>
      <c r="AT18" s="4">
        <f t="shared" si="61"/>
        <v>0.54290026486241805</v>
      </c>
      <c r="AU18" s="4">
        <f t="shared" si="62"/>
        <v>0.22109466012799101</v>
      </c>
      <c r="AV18" s="4">
        <f t="shared" si="63"/>
        <v>81.910184489209087</v>
      </c>
      <c r="AW18" s="4">
        <f t="shared" si="64"/>
        <v>0.15250464625535715</v>
      </c>
      <c r="AX18" s="4">
        <f t="shared" si="65"/>
        <v>0.13235783547643065</v>
      </c>
      <c r="AY18" s="4">
        <f t="shared" si="66"/>
        <v>-0.86764216452356935</v>
      </c>
      <c r="AZ18" s="4">
        <f t="shared" si="67"/>
        <v>0.45158300763214837</v>
      </c>
      <c r="BA18" s="4">
        <f t="shared" si="68"/>
        <v>-3.421390970198028E-2</v>
      </c>
      <c r="BB18" s="4">
        <f t="shared" si="69"/>
        <v>0.70693350236153929</v>
      </c>
      <c r="BC18" s="4">
        <f t="shared" si="70"/>
        <v>9.9955194192926589E-2</v>
      </c>
      <c r="BD18" s="4">
        <f t="shared" si="71"/>
        <v>8.6159791505455718E-2</v>
      </c>
      <c r="BE18" s="4">
        <f t="shared" si="72"/>
        <v>9.204109705847846E-2</v>
      </c>
      <c r="BF18" s="2"/>
      <c r="BG18" s="2">
        <f>2.2087*AM18/(2.2087*AM18+9.3594*AC18+1.5117*AE18+1.4768*AF18-5.7686*AG18-0.0864*AH18)</f>
        <v>0.45201801730277863</v>
      </c>
    </row>
    <row r="19" spans="1:59">
      <c r="A19" s="23" t="s">
        <v>85</v>
      </c>
      <c r="F19">
        <v>50.7</v>
      </c>
      <c r="G19">
        <v>0.31</v>
      </c>
      <c r="H19">
        <v>6.21</v>
      </c>
      <c r="I19">
        <v>0.02</v>
      </c>
      <c r="J19">
        <v>8.1999999999999993</v>
      </c>
      <c r="K19">
        <v>0.24</v>
      </c>
      <c r="L19">
        <v>17.100000000000001</v>
      </c>
      <c r="M19">
        <v>16.899999999999999</v>
      </c>
      <c r="N19">
        <v>0.24</v>
      </c>
      <c r="O19">
        <v>0.1</v>
      </c>
      <c r="P19">
        <v>3</v>
      </c>
      <c r="R19" s="21">
        <f t="shared" ref="R19:R32" si="76">-7.6551*BG19*LN(AM19)-10.2203*AB19+4.8343*AF19+0.7397*AH19-13.1746*AI19+122.1294*AJ19+23.35</f>
        <v>6.895104083551729</v>
      </c>
      <c r="S19" s="21">
        <f t="shared" ref="S19:S32" si="77">226.3499*BG19-444.507*AC19-550.66*AD19-4290.88*AG19-580.33*AH19-760.789*AI19-3612.82*AK19-732.13*AO19-23.6413*P19+2513.694</f>
        <v>1128.6057901620929</v>
      </c>
      <c r="T19" s="21">
        <f t="shared" ref="T19:T32" si="78">-1105.84-18.6052*AC19+252.1033*AD19+311.0123*AE19+550.2534*AF19+451.6495*AG19+554.0535*AH19+540.2934*AI19+902.6805*AJ19-535.305*AN19-70.1424*AM19*LN(AM19)-1.74473*LN(AM19)</f>
        <v>6.7155074012141966</v>
      </c>
      <c r="U19" s="21">
        <f t="shared" ref="U19:U32" si="79">1270.004-1362.6*AD19+2087.355*AE19+850.6013*AF19-2881.1*AG19-5511.84*AK19+2821.792*AM19-972.506*AO19-26.7148*P19</f>
        <v>1117.5992284996989</v>
      </c>
      <c r="V19" s="21">
        <f t="shared" ref="V19:V32" ca="1" si="80">3205+0.384*(W19+273.15)-518*LN(W19+273.15)-5.62*AH19+83.2*AJ19+68.2*AT19+2.52*LN(AM19)-51.1*(AT19)^2+34.8*(AU19)^2</f>
        <v>10.048026768670487</v>
      </c>
      <c r="W19" s="21">
        <f t="shared" ref="W19:W32" ca="1" si="81">(93100+544*V19)/(61.1+36.6*AC19+10.9*AF19-0.95*(AD19+AE19-AJ19-AK19)+0.395*(LN(AW19))^2)-273.15</f>
        <v>1252.755061237699</v>
      </c>
      <c r="X19" s="21">
        <f t="shared" ref="X19:X32" si="82">698.443+4.985*AL19-26.826*BD19-3.764*AN19+53.989*AM19+3.948*AC19+14.651*AE19-700.431*AI19-666.629*AJ19-682.848*BC19-691.138*BE19-688.384*AG19-6.267*BC19^2-4.144*BE19^2</f>
        <v>7.812357177091064</v>
      </c>
      <c r="Y19" s="21">
        <f t="shared" ref="Y19:Y32" si="83">771.48+4.956*AL19-28.756*BD19-5.345*AN19+56.904*AM19+1.848*AC19+14.827*AE19-773.74*AI19-736.57*AJ19-754.81*BC19-763.2*BE19-759.66*AG19-1.185*BC19^2-1.876*BE19^2</f>
        <v>8.3545363793804093</v>
      </c>
      <c r="Z19" s="2"/>
      <c r="AA19" s="4">
        <f t="shared" ref="AA19:AA32" si="84">6/(F19/$AG$4*2+G19/$AH$4*2+H19/$AI$4*3+I19/$AJ$4*3+J19/$AK$4+K19/$AL$4+L19/$AM$4+M19/$AN$4+N19/$AO$4+O19/$AP$4)</f>
        <v>2.2005490064077016</v>
      </c>
      <c r="AB19" s="4">
        <f t="shared" ref="AB19:AB32" si="85">F19/$AG$4*AA19</f>
        <v>1.8568550290986243</v>
      </c>
      <c r="AC19" s="4">
        <f t="shared" ref="AC19:AC32" si="86">G19/$AH$4*AA19</f>
        <v>8.5400655992126512E-3</v>
      </c>
      <c r="AD19" s="4">
        <f t="shared" ref="AD19:AD32" si="87">H19/$AI$4*AA19*2</f>
        <v>0.26805169289810471</v>
      </c>
      <c r="AE19" s="4">
        <f t="shared" ref="AE19:AE32" si="88">I19/$AJ$4*AA19*2</f>
        <v>5.7909870153928186E-4</v>
      </c>
      <c r="AF19" s="4">
        <f t="shared" ref="AF19:AF32" si="89">J19/$AK$4*AA19</f>
        <v>0.25115387622126023</v>
      </c>
      <c r="AG19" s="4">
        <f t="shared" ref="AG19:AG32" si="90">K19/$AL$4*AA19</f>
        <v>7.4450292375379508E-3</v>
      </c>
      <c r="AH19" s="4">
        <f t="shared" ref="AH19:AH32" si="91">L19/$AM$4*AA19</f>
        <v>0.93362977763151667</v>
      </c>
      <c r="AI19" s="4">
        <f t="shared" ref="AI19:AI32" si="92">M19/$AN$4*AA19</f>
        <v>0.66317764747099817</v>
      </c>
      <c r="AJ19" s="4">
        <f t="shared" ref="AJ19:AJ32" si="93">N19/$AO$4*2*AA19</f>
        <v>1.7042308319052075E-2</v>
      </c>
      <c r="AK19" s="4">
        <f t="shared" ref="AK19:AK32" si="94">O19/$AP$4*AA19*2</f>
        <v>4.6722769680404728E-3</v>
      </c>
      <c r="AL19" s="4">
        <f t="shared" ref="AL19:AL32" si="95">2-AB19</f>
        <v>0.14314497090137568</v>
      </c>
      <c r="AM19" s="4">
        <f t="shared" ref="AM19:AM32" si="96">AD19-AL19</f>
        <v>0.12490672199672903</v>
      </c>
      <c r="AN19" s="4">
        <f t="shared" ref="AN19:AN32" si="97">AJ19+AL19-AM19-2*AC19-AE19</f>
        <v>1.7621327323734132E-2</v>
      </c>
      <c r="AO19" s="4">
        <f t="shared" ref="AO19:AO32" si="98">AF19-AN19</f>
        <v>0.23353254889752609</v>
      </c>
      <c r="AP19" s="4">
        <f t="shared" ref="AP19:AP32" si="99">MIN(AL19,AJ19)</f>
        <v>1.7042308319052075E-2</v>
      </c>
      <c r="AQ19" s="4">
        <f t="shared" ref="AQ19:AQ32" si="100">IF(AM19&gt;AP19,AM19-AP19,0)</f>
        <v>0.10786441367767696</v>
      </c>
      <c r="AR19" s="4">
        <f t="shared" ref="AR19:AR32" si="101">IF(AL19&gt;AQ19,AL19-AQ19,0)</f>
        <v>3.5280557223698716E-2</v>
      </c>
      <c r="AS19" s="4">
        <f t="shared" ref="AS19:AS32" si="102">AE19/2</f>
        <v>2.8954935076964093E-4</v>
      </c>
      <c r="AT19" s="4">
        <f t="shared" ref="AT19:AT32" si="103">AI19-AR19-AQ19-AS19</f>
        <v>0.51974312721885285</v>
      </c>
      <c r="AU19" s="4">
        <f t="shared" ref="AU19:AU32" si="104">(AF19-AN19+AH19-AT19)/2</f>
        <v>0.32370959965509494</v>
      </c>
      <c r="AV19" s="4">
        <f t="shared" ref="AV19:AV32" si="105">AH19/(AH19+AO19)*100</f>
        <v>79.991425049503178</v>
      </c>
      <c r="AW19" s="4">
        <f t="shared" ref="AW19:AW32" si="106">(1-AI19-AJ19-AK19)*(1-0.5*(AD19+AE19+AJ19+AK19))</f>
        <v>0.26936272552201418</v>
      </c>
      <c r="AX19" s="4">
        <f t="shared" ref="AX19:AX32" si="107">EXP(0.238*(AM19+AN19+AC19+AE19)+0.289*(AI19+AJ19+AG19)-2.315)</f>
        <v>0.12490862831075757</v>
      </c>
      <c r="AY19" s="4">
        <f t="shared" ref="AY19:AY32" si="108">AX19-1</f>
        <v>-0.87509137168924245</v>
      </c>
      <c r="AZ19" s="4">
        <f t="shared" ref="AZ19:AZ32" si="109">AX19*AH19-AX19*(1-AI19-AJ19-AG19)+1-AI19-AJ19-AG19+AO19</f>
        <v>0.62347264045034434</v>
      </c>
      <c r="BA19" s="4">
        <f t="shared" ref="BA19:BA32" si="110">-AO19*(1-AI19-AJ19-AG19)</f>
        <v>-7.2940392156454315E-2</v>
      </c>
      <c r="BB19" s="4">
        <f t="shared" ref="BB19:BB32" si="111">AH19-BC19</f>
        <v>0.76884098565081715</v>
      </c>
      <c r="BC19" s="4">
        <f t="shared" ref="BC19:BC32" si="112">1-AI19-AJ19-AG19-BE19</f>
        <v>0.16478879198069951</v>
      </c>
      <c r="BD19" s="4">
        <f t="shared" ref="BD19:BD32" si="113">AO19-BE19</f>
        <v>8.598632590581376E-2</v>
      </c>
      <c r="BE19" s="4">
        <f t="shared" ref="BE19:BE32" si="114">(-AZ19+SQRT(AZ19^2-4*AY19*BA19))/(2*AY19)</f>
        <v>0.14754622299171233</v>
      </c>
      <c r="BF19" s="2"/>
      <c r="BG19" s="2">
        <f t="shared" ref="BG19:BG32" si="115">2.2087*AM19/(2.2087*AM19+9.3594*AC19+1.5117*AE19+1.4768*AF19-5.7686*AG19-0.0864*AH19)</f>
        <v>0.45677418086852417</v>
      </c>
    </row>
    <row r="20" spans="1:59">
      <c r="A20" s="23" t="s">
        <v>86</v>
      </c>
      <c r="F20">
        <v>50.9</v>
      </c>
      <c r="G20">
        <v>0.28999999999999998</v>
      </c>
      <c r="H20">
        <v>6.03</v>
      </c>
      <c r="I20">
        <v>0.02</v>
      </c>
      <c r="J20">
        <v>8.17</v>
      </c>
      <c r="K20">
        <v>0.24</v>
      </c>
      <c r="L20">
        <v>17.100000000000001</v>
      </c>
      <c r="M20">
        <v>17</v>
      </c>
      <c r="N20">
        <v>0.26</v>
      </c>
      <c r="O20">
        <v>0.1</v>
      </c>
      <c r="P20">
        <v>4</v>
      </c>
      <c r="R20" s="21">
        <f t="shared" si="76"/>
        <v>7.0337185859474616</v>
      </c>
      <c r="S20" s="21">
        <f t="shared" si="77"/>
        <v>1108.1201418585802</v>
      </c>
      <c r="T20" s="21">
        <f t="shared" si="78"/>
        <v>6.8235809018117699</v>
      </c>
      <c r="U20" s="21">
        <f t="shared" si="79"/>
        <v>1094.5151147144832</v>
      </c>
      <c r="V20" s="21">
        <f t="shared" ca="1" si="80"/>
        <v>10.209133900994011</v>
      </c>
      <c r="W20" s="21">
        <f t="shared" ca="1" si="81"/>
        <v>1254.4060607410984</v>
      </c>
      <c r="X20" s="21">
        <f t="shared" si="82"/>
        <v>7.6116230905362769</v>
      </c>
      <c r="Y20" s="21">
        <f t="shared" si="83"/>
        <v>8.1393466560629157</v>
      </c>
      <c r="Z20" s="2"/>
      <c r="AA20" s="4">
        <f t="shared" si="84"/>
        <v>2.1984938737298449</v>
      </c>
      <c r="AB20" s="4">
        <f t="shared" si="85"/>
        <v>1.8624389095462393</v>
      </c>
      <c r="AC20" s="4">
        <f t="shared" si="86"/>
        <v>7.9816324654558533E-3</v>
      </c>
      <c r="AD20" s="4">
        <f t="shared" si="87"/>
        <v>0.26003899645140721</v>
      </c>
      <c r="AE20" s="4">
        <f t="shared" si="88"/>
        <v>5.7855787074579702E-4</v>
      </c>
      <c r="AF20" s="4">
        <f t="shared" si="89"/>
        <v>0.25000132154670007</v>
      </c>
      <c r="AG20" s="4">
        <f t="shared" si="90"/>
        <v>7.4380761895353345E-3</v>
      </c>
      <c r="AH20" s="4">
        <f t="shared" si="91"/>
        <v>0.93275784382797788</v>
      </c>
      <c r="AI20" s="4">
        <f t="shared" si="92"/>
        <v>0.66647875710013949</v>
      </c>
      <c r="AJ20" s="4">
        <f t="shared" si="93"/>
        <v>1.8445258214320023E-2</v>
      </c>
      <c r="AK20" s="4">
        <f t="shared" si="94"/>
        <v>4.6679134437340123E-3</v>
      </c>
      <c r="AL20" s="4">
        <f t="shared" si="95"/>
        <v>0.13756109045376075</v>
      </c>
      <c r="AM20" s="4">
        <f t="shared" si="96"/>
        <v>0.12247790599764646</v>
      </c>
      <c r="AN20" s="4">
        <f t="shared" si="97"/>
        <v>1.6986619868776809E-2</v>
      </c>
      <c r="AO20" s="4">
        <f t="shared" si="98"/>
        <v>0.23301470167792326</v>
      </c>
      <c r="AP20" s="4">
        <f t="shared" si="99"/>
        <v>1.8445258214320023E-2</v>
      </c>
      <c r="AQ20" s="4">
        <f t="shared" si="100"/>
        <v>0.10403264778332644</v>
      </c>
      <c r="AR20" s="4">
        <f t="shared" si="101"/>
        <v>3.3528442670434311E-2</v>
      </c>
      <c r="AS20" s="4">
        <f t="shared" si="102"/>
        <v>2.8927893537289851E-4</v>
      </c>
      <c r="AT20" s="4">
        <f t="shared" si="103"/>
        <v>0.52862838771100584</v>
      </c>
      <c r="AU20" s="4">
        <f t="shared" si="104"/>
        <v>0.31857207889744765</v>
      </c>
      <c r="AV20" s="4">
        <f t="shared" si="105"/>
        <v>80.011992684490295</v>
      </c>
      <c r="AW20" s="4">
        <f t="shared" si="106"/>
        <v>0.2663719175400297</v>
      </c>
      <c r="AX20" s="4">
        <f t="shared" si="107"/>
        <v>0.12497051205129295</v>
      </c>
      <c r="AY20" s="4">
        <f t="shared" si="108"/>
        <v>-0.87502948794870705</v>
      </c>
      <c r="AZ20" s="4">
        <f t="shared" si="109"/>
        <v>0.61877416858583612</v>
      </c>
      <c r="BA20" s="4">
        <f t="shared" si="110"/>
        <v>-7.1684155473016889E-2</v>
      </c>
      <c r="BB20" s="4">
        <f t="shared" si="111"/>
        <v>0.77110687484210427</v>
      </c>
      <c r="BC20" s="4">
        <f t="shared" si="112"/>
        <v>0.16165096898587358</v>
      </c>
      <c r="BD20" s="4">
        <f t="shared" si="113"/>
        <v>8.7027762167791706E-2</v>
      </c>
      <c r="BE20" s="4">
        <f t="shared" si="114"/>
        <v>0.14598693951013156</v>
      </c>
      <c r="BF20" s="2"/>
      <c r="BG20" s="2">
        <f t="shared" si="115"/>
        <v>0.45710932824969408</v>
      </c>
    </row>
    <row r="21" spans="1:59">
      <c r="A21" s="23" t="s">
        <v>87</v>
      </c>
      <c r="F21">
        <v>51</v>
      </c>
      <c r="G21">
        <v>0.56999999999999995</v>
      </c>
      <c r="H21">
        <v>4.38</v>
      </c>
      <c r="I21">
        <v>0.02</v>
      </c>
      <c r="J21">
        <v>7.98</v>
      </c>
      <c r="K21">
        <v>0.19</v>
      </c>
      <c r="L21">
        <v>15.7</v>
      </c>
      <c r="M21">
        <v>20</v>
      </c>
      <c r="N21">
        <v>0.19</v>
      </c>
      <c r="O21">
        <v>0.1</v>
      </c>
      <c r="P21">
        <v>0</v>
      </c>
      <c r="R21" s="21">
        <f t="shared" si="76"/>
        <v>2.8988402301496947</v>
      </c>
      <c r="S21" s="21">
        <f t="shared" si="77"/>
        <v>1159.0976150375429</v>
      </c>
      <c r="T21" s="21">
        <f t="shared" si="78"/>
        <v>2.9451784194696495</v>
      </c>
      <c r="U21" s="21">
        <f t="shared" si="79"/>
        <v>1169.8016608690673</v>
      </c>
      <c r="V21" s="21">
        <f t="shared" ca="1" si="80"/>
        <v>5.5837427615609405</v>
      </c>
      <c r="W21" s="21">
        <f t="shared" ca="1" si="81"/>
        <v>1196.0623779715334</v>
      </c>
      <c r="X21" s="21">
        <f t="shared" si="82"/>
        <v>2.274497762856615</v>
      </c>
      <c r="Y21" s="21">
        <f t="shared" si="83"/>
        <v>2.2758196117067424</v>
      </c>
      <c r="Z21" s="2"/>
      <c r="AA21" s="4">
        <f t="shared" si="84"/>
        <v>2.217937953643661</v>
      </c>
      <c r="AB21" s="4">
        <f t="shared" si="85"/>
        <v>1.8826022044997897</v>
      </c>
      <c r="AC21" s="4">
        <f t="shared" si="86"/>
        <v>1.5826785499743194E-2</v>
      </c>
      <c r="AD21" s="4">
        <f t="shared" si="87"/>
        <v>0.19055458924410776</v>
      </c>
      <c r="AE21" s="4">
        <f t="shared" si="88"/>
        <v>5.8367479447616125E-4</v>
      </c>
      <c r="AF21" s="4">
        <f t="shared" si="89"/>
        <v>0.2463469967886549</v>
      </c>
      <c r="AG21" s="4">
        <f t="shared" si="90"/>
        <v>5.9405562811248721E-3</v>
      </c>
      <c r="AH21" s="4">
        <f t="shared" si="91"/>
        <v>0.86396586656061058</v>
      </c>
      <c r="AI21" s="4">
        <f t="shared" si="92"/>
        <v>0.79102738488006263</v>
      </c>
      <c r="AJ21" s="4">
        <f t="shared" si="93"/>
        <v>1.3598441120842596E-2</v>
      </c>
      <c r="AK21" s="4">
        <f t="shared" si="94"/>
        <v>4.7091977443705912E-3</v>
      </c>
      <c r="AL21" s="4">
        <f t="shared" si="95"/>
        <v>0.11739779550021034</v>
      </c>
      <c r="AM21" s="4">
        <f t="shared" si="96"/>
        <v>7.3156793743897414E-2</v>
      </c>
      <c r="AN21" s="4">
        <f t="shared" si="97"/>
        <v>2.5602197083192984E-2</v>
      </c>
      <c r="AO21" s="4">
        <f t="shared" si="98"/>
        <v>0.22074479970546193</v>
      </c>
      <c r="AP21" s="4">
        <f t="shared" si="99"/>
        <v>1.3598441120842596E-2</v>
      </c>
      <c r="AQ21" s="4">
        <f t="shared" si="100"/>
        <v>5.9558352623054818E-2</v>
      </c>
      <c r="AR21" s="4">
        <f t="shared" si="101"/>
        <v>5.7839442877155527E-2</v>
      </c>
      <c r="AS21" s="4">
        <f t="shared" si="102"/>
        <v>2.9183739723808062E-4</v>
      </c>
      <c r="AT21" s="4">
        <f t="shared" si="103"/>
        <v>0.67333775198261425</v>
      </c>
      <c r="AU21" s="4">
        <f t="shared" si="104"/>
        <v>0.20568645714172917</v>
      </c>
      <c r="AV21" s="4">
        <f t="shared" si="105"/>
        <v>79.649430343914887</v>
      </c>
      <c r="AW21" s="4">
        <f t="shared" si="106"/>
        <v>0.17069797720282329</v>
      </c>
      <c r="AX21" s="4">
        <f t="shared" si="107"/>
        <v>0.12830616126878305</v>
      </c>
      <c r="AY21" s="4">
        <f t="shared" si="108"/>
        <v>-0.87169383873121697</v>
      </c>
      <c r="AZ21" s="4">
        <f t="shared" si="109"/>
        <v>0.49672506092443058</v>
      </c>
      <c r="BA21" s="4">
        <f t="shared" si="110"/>
        <v>-4.1816486000634312E-2</v>
      </c>
      <c r="BB21" s="4">
        <f t="shared" si="111"/>
        <v>0.77722227034315838</v>
      </c>
      <c r="BC21" s="4">
        <f t="shared" si="112"/>
        <v>8.6743596217452229E-2</v>
      </c>
      <c r="BD21" s="4">
        <f t="shared" si="113"/>
        <v>0.11805477820494426</v>
      </c>
      <c r="BE21" s="4">
        <f t="shared" si="114"/>
        <v>0.10269002150051768</v>
      </c>
      <c r="BF21" s="2"/>
      <c r="BG21" s="2">
        <f t="shared" si="115"/>
        <v>0.28574059316220024</v>
      </c>
    </row>
    <row r="22" spans="1:59">
      <c r="R22" s="21"/>
      <c r="S22" s="21"/>
      <c r="T22" s="21"/>
      <c r="U22" s="21"/>
      <c r="V22" s="21"/>
      <c r="W22" s="21"/>
      <c r="X22" s="21"/>
      <c r="Y22" s="21"/>
      <c r="Z22" s="2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2"/>
      <c r="BG22" s="2"/>
    </row>
    <row r="23" spans="1:59">
      <c r="R23" s="21"/>
      <c r="S23" s="21"/>
      <c r="T23" s="21"/>
      <c r="U23" s="21"/>
      <c r="V23" s="21"/>
      <c r="W23" s="21"/>
      <c r="X23" s="21"/>
      <c r="Y23" s="21"/>
      <c r="Z23" s="2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2"/>
      <c r="BG23" s="2"/>
    </row>
    <row r="24" spans="1:59">
      <c r="R24" s="21"/>
      <c r="S24" s="21"/>
      <c r="T24" s="21"/>
      <c r="U24" s="21"/>
      <c r="V24" s="21"/>
      <c r="W24" s="21"/>
      <c r="X24" s="21"/>
      <c r="Y24" s="21"/>
      <c r="Z24" s="2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2"/>
      <c r="BG24" s="2"/>
    </row>
    <row r="25" spans="1:59">
      <c r="R25" s="21"/>
      <c r="S25" s="21"/>
      <c r="T25" s="21"/>
      <c r="U25" s="21"/>
      <c r="V25" s="21"/>
      <c r="W25" s="21"/>
      <c r="X25" s="21"/>
      <c r="Y25" s="21"/>
      <c r="Z25" s="2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2"/>
      <c r="BG25" s="2"/>
    </row>
    <row r="26" spans="1:59">
      <c r="R26" s="21"/>
      <c r="S26" s="21"/>
      <c r="T26" s="21"/>
      <c r="U26" s="21"/>
      <c r="V26" s="21"/>
      <c r="W26" s="21"/>
      <c r="X26" s="21"/>
      <c r="Y26" s="21"/>
      <c r="Z26" s="2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2"/>
      <c r="BG26" s="2"/>
    </row>
    <row r="27" spans="1:59">
      <c r="R27" s="21"/>
      <c r="S27" s="21"/>
      <c r="T27" s="21"/>
      <c r="U27" s="21"/>
      <c r="V27" s="21"/>
      <c r="W27" s="21"/>
      <c r="X27" s="21"/>
      <c r="Y27" s="21"/>
      <c r="Z27" s="2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2"/>
      <c r="BG27" s="2"/>
    </row>
    <row r="28" spans="1:59">
      <c r="R28" s="21"/>
      <c r="S28" s="21"/>
      <c r="T28" s="21"/>
      <c r="U28" s="21"/>
      <c r="V28" s="21"/>
      <c r="W28" s="21"/>
      <c r="X28" s="21"/>
      <c r="Y28" s="21"/>
      <c r="Z28" s="2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2"/>
      <c r="BG28" s="2"/>
    </row>
    <row r="29" spans="1:59">
      <c r="R29" s="21"/>
      <c r="S29" s="21"/>
      <c r="T29" s="21"/>
      <c r="U29" s="21"/>
      <c r="V29" s="21"/>
      <c r="W29" s="21"/>
      <c r="X29" s="21"/>
      <c r="Y29" s="21"/>
      <c r="Z29" s="2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2"/>
      <c r="BG29" s="2"/>
    </row>
    <row r="30" spans="1:59">
      <c r="R30" s="21"/>
      <c r="S30" s="21"/>
      <c r="T30" s="21"/>
      <c r="U30" s="21"/>
      <c r="V30" s="21"/>
      <c r="W30" s="21"/>
      <c r="X30" s="21"/>
      <c r="Y30" s="21"/>
      <c r="Z30" s="2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2"/>
      <c r="BG30" s="2"/>
    </row>
    <row r="31" spans="1:59">
      <c r="R31" s="21"/>
      <c r="S31" s="21"/>
      <c r="T31" s="21"/>
      <c r="U31" s="21"/>
      <c r="V31" s="21"/>
      <c r="W31" s="21"/>
      <c r="X31" s="21"/>
      <c r="Y31" s="21"/>
      <c r="Z31" s="2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2"/>
      <c r="BG31" s="2"/>
    </row>
    <row r="32" spans="1:59">
      <c r="R32" s="21"/>
      <c r="S32" s="21"/>
      <c r="T32" s="21"/>
      <c r="U32" s="21"/>
      <c r="V32" s="21"/>
      <c r="W32" s="21"/>
      <c r="X32" s="21"/>
      <c r="Y32" s="21"/>
      <c r="Z32" s="2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2"/>
      <c r="BG32" s="2"/>
    </row>
  </sheetData>
  <mergeCells count="6">
    <mergeCell ref="AB7:AU7"/>
    <mergeCell ref="I3:K4"/>
    <mergeCell ref="S3:V4"/>
    <mergeCell ref="V6:W6"/>
    <mergeCell ref="F7:O7"/>
    <mergeCell ref="S6:T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Sarin</dc:creator>
  <cp:lastModifiedBy>penny wieser</cp:lastModifiedBy>
  <dcterms:created xsi:type="dcterms:W3CDTF">2015-06-05T18:19:34Z</dcterms:created>
  <dcterms:modified xsi:type="dcterms:W3CDTF">2021-06-27T03:44:38Z</dcterms:modified>
</cp:coreProperties>
</file>