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ate1904="1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wieserp_oregonstate_edu/Documents/Postdoc/PyMME/MyBarometers/Thermobar_outer/Benchmarking/feldspar/"/>
    </mc:Choice>
  </mc:AlternateContent>
  <xr:revisionPtr revIDLastSave="144" documentId="13_ncr:4000b_{42566364-CFF2-41A7-A3D3-60AF2C47564F}" xr6:coauthVersionLast="47" xr6:coauthVersionMax="47" xr10:uidLastSave="{44DF774B-E965-4FDB-BC92-B25AF30736BF}"/>
  <bookViews>
    <workbookView xWindow="28680" yWindow="-120" windowWidth="21840" windowHeight="13290" tabRatio="692" activeTab="1" xr2:uid="{00000000-000D-0000-FFFF-FFFF00000000}"/>
  </bookViews>
  <sheets>
    <sheet name="Instructions" sheetId="43318" r:id="rId1"/>
    <sheet name="Plag P-T Results" sheetId="433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W16" i="43317" l="1"/>
  <c r="CU16" i="43317"/>
  <c r="CO16" i="43317"/>
  <c r="CC16" i="43317"/>
  <c r="CB16" i="43317"/>
  <c r="BF16" i="43317"/>
  <c r="BY16" i="43317"/>
  <c r="BY17" i="43317"/>
  <c r="BZ17" i="43317"/>
  <c r="BX17" i="43317"/>
  <c r="BW17" i="43317"/>
  <c r="BV17" i="43317"/>
  <c r="BU17" i="43317"/>
  <c r="CJ17" i="43317"/>
  <c r="CI17" i="43317"/>
  <c r="CH17" i="43317"/>
  <c r="CG17" i="43317"/>
  <c r="CF17" i="43317"/>
  <c r="CE17" i="43317"/>
  <c r="BU16" i="43317"/>
  <c r="BP17" i="43317"/>
  <c r="BO17" i="43317"/>
  <c r="BN17" i="43317"/>
  <c r="BM17" i="43317"/>
  <c r="BL17" i="43317"/>
  <c r="BK17" i="43317"/>
  <c r="BK16" i="43317"/>
  <c r="EK16" i="43317"/>
  <c r="AD16" i="43317"/>
  <c r="CP16" i="43317"/>
  <c r="GI16" i="43317"/>
  <c r="BD16" i="43317"/>
  <c r="FI16" i="43317"/>
  <c r="FI17" i="43317"/>
  <c r="FI18" i="43317"/>
  <c r="FI19" i="43317"/>
  <c r="FI20" i="43317"/>
  <c r="FI21" i="43317"/>
  <c r="FI22" i="43317"/>
  <c r="FI23" i="43317"/>
  <c r="FI24" i="43317"/>
  <c r="FI25" i="43317"/>
  <c r="FI26" i="43317"/>
  <c r="FI27" i="43317"/>
  <c r="FI28" i="43317"/>
  <c r="FI29" i="43317"/>
  <c r="FI30" i="43317"/>
  <c r="FI31" i="43317"/>
  <c r="EA17" i="43317"/>
  <c r="EA18" i="43317"/>
  <c r="EA19" i="43317"/>
  <c r="EA20" i="43317"/>
  <c r="EA21" i="43317"/>
  <c r="EA22" i="43317"/>
  <c r="EA23" i="43317"/>
  <c r="EA24" i="43317"/>
  <c r="EA25" i="43317"/>
  <c r="EA26" i="43317"/>
  <c r="EA27" i="43317"/>
  <c r="EA28" i="43317"/>
  <c r="EA29" i="43317"/>
  <c r="EA30" i="43317"/>
  <c r="EA31" i="43317"/>
  <c r="EA16" i="43317"/>
  <c r="FH17" i="43317"/>
  <c r="EZ17" i="43317"/>
  <c r="FA17" i="43317"/>
  <c r="FB17" i="43317"/>
  <c r="FC17" i="43317"/>
  <c r="FD17" i="43317"/>
  <c r="FE17" i="43317"/>
  <c r="FF17" i="43317"/>
  <c r="FG17" i="43317"/>
  <c r="EF17" i="43317"/>
  <c r="DY17" i="43317"/>
  <c r="DZ17" i="43317"/>
  <c r="EB17" i="43317"/>
  <c r="EC17" i="43317"/>
  <c r="ED17" i="43317"/>
  <c r="EE17" i="43317"/>
  <c r="EG17" i="43317"/>
  <c r="EH17" i="43317"/>
  <c r="CO17" i="43317"/>
  <c r="FH18" i="43317"/>
  <c r="EZ18" i="43317"/>
  <c r="FA18" i="43317"/>
  <c r="FJ18" i="43317"/>
  <c r="FB18" i="43317"/>
  <c r="FC18" i="43317"/>
  <c r="FD18" i="43317"/>
  <c r="FE18" i="43317"/>
  <c r="FF18" i="43317"/>
  <c r="FG18" i="43317"/>
  <c r="EF18" i="43317"/>
  <c r="DY18" i="43317"/>
  <c r="DZ18" i="43317"/>
  <c r="EB18" i="43317"/>
  <c r="EC18" i="43317"/>
  <c r="ED18" i="43317"/>
  <c r="EE18" i="43317"/>
  <c r="EG18" i="43317"/>
  <c r="EH18" i="43317"/>
  <c r="CO18" i="43317"/>
  <c r="FH19" i="43317"/>
  <c r="EZ19" i="43317"/>
  <c r="FA19" i="43317"/>
  <c r="FB19" i="43317"/>
  <c r="FC19" i="43317"/>
  <c r="FD19" i="43317"/>
  <c r="FE19" i="43317"/>
  <c r="FF19" i="43317"/>
  <c r="FG19" i="43317"/>
  <c r="EF19" i="43317"/>
  <c r="DY19" i="43317"/>
  <c r="DZ19" i="43317"/>
  <c r="EB19" i="43317"/>
  <c r="EC19" i="43317"/>
  <c r="ED19" i="43317"/>
  <c r="EE19" i="43317"/>
  <c r="EG19" i="43317"/>
  <c r="EH19" i="43317"/>
  <c r="CO19" i="43317"/>
  <c r="FH20" i="43317"/>
  <c r="EZ20" i="43317"/>
  <c r="FA20" i="43317"/>
  <c r="FB20" i="43317"/>
  <c r="FC20" i="43317"/>
  <c r="FD20" i="43317"/>
  <c r="FE20" i="43317"/>
  <c r="FF20" i="43317"/>
  <c r="FG20" i="43317"/>
  <c r="EF20" i="43317"/>
  <c r="DY20" i="43317"/>
  <c r="DZ20" i="43317"/>
  <c r="EI20" i="43317"/>
  <c r="EB20" i="43317"/>
  <c r="EC20" i="43317"/>
  <c r="ED20" i="43317"/>
  <c r="EE20" i="43317"/>
  <c r="EG20" i="43317"/>
  <c r="EH20" i="43317"/>
  <c r="CO20" i="43317"/>
  <c r="FH21" i="43317"/>
  <c r="EZ21" i="43317"/>
  <c r="FA21" i="43317"/>
  <c r="FB21" i="43317"/>
  <c r="FC21" i="43317"/>
  <c r="FD21" i="43317"/>
  <c r="FE21" i="43317"/>
  <c r="FF21" i="43317"/>
  <c r="FJ21" i="43317"/>
  <c r="FG21" i="43317"/>
  <c r="EF21" i="43317"/>
  <c r="DY21" i="43317"/>
  <c r="DZ21" i="43317"/>
  <c r="EB21" i="43317"/>
  <c r="EC21" i="43317"/>
  <c r="ED21" i="43317"/>
  <c r="EE21" i="43317"/>
  <c r="EG21" i="43317"/>
  <c r="EH21" i="43317"/>
  <c r="CO21" i="43317"/>
  <c r="FH22" i="43317"/>
  <c r="EZ22" i="43317"/>
  <c r="FA22" i="43317"/>
  <c r="FB22" i="43317"/>
  <c r="FC22" i="43317"/>
  <c r="FD22" i="43317"/>
  <c r="FE22" i="43317"/>
  <c r="FF22" i="43317"/>
  <c r="FG22" i="43317"/>
  <c r="EF22" i="43317"/>
  <c r="DY22" i="43317"/>
  <c r="DZ22" i="43317"/>
  <c r="EB22" i="43317"/>
  <c r="EC22" i="43317"/>
  <c r="ED22" i="43317"/>
  <c r="EE22" i="43317"/>
  <c r="EG22" i="43317"/>
  <c r="EH22" i="43317"/>
  <c r="CO22" i="43317"/>
  <c r="FH23" i="43317"/>
  <c r="EZ23" i="43317"/>
  <c r="FA23" i="43317"/>
  <c r="FB23" i="43317"/>
  <c r="FC23" i="43317"/>
  <c r="FD23" i="43317"/>
  <c r="FE23" i="43317"/>
  <c r="FF23" i="43317"/>
  <c r="FG23" i="43317"/>
  <c r="EF23" i="43317"/>
  <c r="DY23" i="43317"/>
  <c r="DZ23" i="43317"/>
  <c r="EB23" i="43317"/>
  <c r="EC23" i="43317"/>
  <c r="ED23" i="43317"/>
  <c r="EE23" i="43317"/>
  <c r="EG23" i="43317"/>
  <c r="EH23" i="43317"/>
  <c r="CO23" i="43317"/>
  <c r="FH24" i="43317"/>
  <c r="EZ24" i="43317"/>
  <c r="FA24" i="43317"/>
  <c r="FB24" i="43317"/>
  <c r="FC24" i="43317"/>
  <c r="FD24" i="43317"/>
  <c r="FE24" i="43317"/>
  <c r="FF24" i="43317"/>
  <c r="FJ24" i="43317"/>
  <c r="FG24" i="43317"/>
  <c r="EF24" i="43317"/>
  <c r="DY24" i="43317"/>
  <c r="DZ24" i="43317"/>
  <c r="EB24" i="43317"/>
  <c r="EC24" i="43317"/>
  <c r="ED24" i="43317"/>
  <c r="EE24" i="43317"/>
  <c r="EG24" i="43317"/>
  <c r="EH24" i="43317"/>
  <c r="CO24" i="43317"/>
  <c r="FH25" i="43317"/>
  <c r="EZ25" i="43317"/>
  <c r="FA25" i="43317"/>
  <c r="FB25" i="43317"/>
  <c r="FC25" i="43317"/>
  <c r="FD25" i="43317"/>
  <c r="FE25" i="43317"/>
  <c r="FF25" i="43317"/>
  <c r="FG25" i="43317"/>
  <c r="EF25" i="43317"/>
  <c r="DY25" i="43317"/>
  <c r="DZ25" i="43317"/>
  <c r="EB25" i="43317"/>
  <c r="EC25" i="43317"/>
  <c r="ED25" i="43317"/>
  <c r="EP25" i="43317"/>
  <c r="EE25" i="43317"/>
  <c r="EG25" i="43317"/>
  <c r="EH25" i="43317"/>
  <c r="EI25" i="43317"/>
  <c r="CO25" i="43317"/>
  <c r="FH26" i="43317"/>
  <c r="EZ26" i="43317"/>
  <c r="FA26" i="43317"/>
  <c r="FB26" i="43317"/>
  <c r="FC26" i="43317"/>
  <c r="FD26" i="43317"/>
  <c r="FE26" i="43317"/>
  <c r="FF26" i="43317"/>
  <c r="FG26" i="43317"/>
  <c r="EF26" i="43317"/>
  <c r="DY26" i="43317"/>
  <c r="DZ26" i="43317"/>
  <c r="EB26" i="43317"/>
  <c r="EC26" i="43317"/>
  <c r="ED26" i="43317"/>
  <c r="EE26" i="43317"/>
  <c r="EG26" i="43317"/>
  <c r="EH26" i="43317"/>
  <c r="CO26" i="43317"/>
  <c r="FH27" i="43317"/>
  <c r="EZ27" i="43317"/>
  <c r="FA27" i="43317"/>
  <c r="FB27" i="43317"/>
  <c r="FC27" i="43317"/>
  <c r="FD27" i="43317"/>
  <c r="FP27" i="43317"/>
  <c r="FE27" i="43317"/>
  <c r="FF27" i="43317"/>
  <c r="FG27" i="43317"/>
  <c r="FJ27" i="43317"/>
  <c r="EF27" i="43317"/>
  <c r="DY27" i="43317"/>
  <c r="DZ27" i="43317"/>
  <c r="EB27" i="43317"/>
  <c r="EC27" i="43317"/>
  <c r="ED27" i="43317"/>
  <c r="EE27" i="43317"/>
  <c r="EG27" i="43317"/>
  <c r="EH27" i="43317"/>
  <c r="CO27" i="43317"/>
  <c r="FH28" i="43317"/>
  <c r="EZ28" i="43317"/>
  <c r="FA28" i="43317"/>
  <c r="FB28" i="43317"/>
  <c r="FC28" i="43317"/>
  <c r="FD28" i="43317"/>
  <c r="FE28" i="43317"/>
  <c r="FF28" i="43317"/>
  <c r="FG28" i="43317"/>
  <c r="EF28" i="43317"/>
  <c r="DY28" i="43317"/>
  <c r="DZ28" i="43317"/>
  <c r="EI28" i="43317"/>
  <c r="EB28" i="43317"/>
  <c r="EC28" i="43317"/>
  <c r="ED28" i="43317"/>
  <c r="EE28" i="43317"/>
  <c r="EG28" i="43317"/>
  <c r="EH28" i="43317"/>
  <c r="CO28" i="43317"/>
  <c r="FH29" i="43317"/>
  <c r="FT29" i="43317"/>
  <c r="FZ29" i="43317"/>
  <c r="BI29" i="43317"/>
  <c r="AN29" i="43317"/>
  <c r="EZ29" i="43317"/>
  <c r="FA29" i="43317"/>
  <c r="FB29" i="43317"/>
  <c r="FJ29" i="43317"/>
  <c r="FC29" i="43317"/>
  <c r="FD29" i="43317"/>
  <c r="FE29" i="43317"/>
  <c r="FF29" i="43317"/>
  <c r="FR29" i="43317"/>
  <c r="FG29" i="43317"/>
  <c r="EF29" i="43317"/>
  <c r="DY29" i="43317"/>
  <c r="DZ29" i="43317"/>
  <c r="EB29" i="43317"/>
  <c r="EC29" i="43317"/>
  <c r="ED29" i="43317"/>
  <c r="EP29" i="43317"/>
  <c r="EE29" i="43317"/>
  <c r="EG29" i="43317"/>
  <c r="EH29" i="43317"/>
  <c r="EI29" i="43317"/>
  <c r="CO29" i="43317"/>
  <c r="FH30" i="43317"/>
  <c r="EZ30" i="43317"/>
  <c r="FA30" i="43317"/>
  <c r="FB30" i="43317"/>
  <c r="FC30" i="43317"/>
  <c r="FD30" i="43317"/>
  <c r="FE30" i="43317"/>
  <c r="FF30" i="43317"/>
  <c r="FG30" i="43317"/>
  <c r="EF30" i="43317"/>
  <c r="DY30" i="43317"/>
  <c r="DZ30" i="43317"/>
  <c r="EB30" i="43317"/>
  <c r="EC30" i="43317"/>
  <c r="ED30" i="43317"/>
  <c r="EE30" i="43317"/>
  <c r="EG30" i="43317"/>
  <c r="EH30" i="43317"/>
  <c r="CO30" i="43317"/>
  <c r="FH31" i="43317"/>
  <c r="EZ31" i="43317"/>
  <c r="FA31" i="43317"/>
  <c r="FB31" i="43317"/>
  <c r="FC31" i="43317"/>
  <c r="FD31" i="43317"/>
  <c r="FE31" i="43317"/>
  <c r="FF31" i="43317"/>
  <c r="FG31" i="43317"/>
  <c r="EF31" i="43317"/>
  <c r="DY31" i="43317"/>
  <c r="DZ31" i="43317"/>
  <c r="EB31" i="43317"/>
  <c r="EC31" i="43317"/>
  <c r="ED31" i="43317"/>
  <c r="EE31" i="43317"/>
  <c r="EG31" i="43317"/>
  <c r="EH31" i="43317"/>
  <c r="CO31" i="43317"/>
  <c r="FH16" i="43317"/>
  <c r="EZ16" i="43317"/>
  <c r="FA16" i="43317"/>
  <c r="FB16" i="43317"/>
  <c r="FC16" i="43317"/>
  <c r="FD16" i="43317"/>
  <c r="FE16" i="43317"/>
  <c r="FF16" i="43317"/>
  <c r="FG16" i="43317"/>
  <c r="EF16" i="43317"/>
  <c r="DY16" i="43317"/>
  <c r="DZ16" i="43317"/>
  <c r="EB16" i="43317"/>
  <c r="EC16" i="43317"/>
  <c r="ED16" i="43317"/>
  <c r="EE16" i="43317"/>
  <c r="EG16" i="43317"/>
  <c r="EH16" i="43317"/>
  <c r="EI16" i="43317"/>
  <c r="AB16" i="43317"/>
  <c r="P16" i="43317"/>
  <c r="P17" i="43317"/>
  <c r="AB17" i="43317"/>
  <c r="P18" i="43317"/>
  <c r="AB18" i="43317"/>
  <c r="P19" i="43317"/>
  <c r="AB19" i="43317"/>
  <c r="P20" i="43317"/>
  <c r="AB20" i="43317"/>
  <c r="P21" i="43317"/>
  <c r="AB21" i="43317"/>
  <c r="P22" i="43317"/>
  <c r="AB22" i="43317"/>
  <c r="P23" i="43317"/>
  <c r="AB23" i="43317"/>
  <c r="P24" i="43317"/>
  <c r="AB24" i="43317"/>
  <c r="P25" i="43317"/>
  <c r="AB25" i="43317"/>
  <c r="P26" i="43317"/>
  <c r="AB26" i="43317"/>
  <c r="P27" i="43317"/>
  <c r="AB27" i="43317"/>
  <c r="P28" i="43317"/>
  <c r="AB28" i="43317"/>
  <c r="P29" i="43317"/>
  <c r="AB29" i="43317"/>
  <c r="P30" i="43317"/>
  <c r="AB30" i="43317"/>
  <c r="P31" i="43317"/>
  <c r="AB31" i="43317"/>
  <c r="EK20" i="43317"/>
  <c r="GN15" i="43317"/>
  <c r="GN16" i="43317"/>
  <c r="GN17" i="43317"/>
  <c r="GN18" i="43317"/>
  <c r="GN19" i="43317"/>
  <c r="GN20" i="43317"/>
  <c r="GN21" i="43317"/>
  <c r="GN22" i="43317"/>
  <c r="GN23" i="43317"/>
  <c r="GN24" i="43317"/>
  <c r="GN25" i="43317"/>
  <c r="GN26" i="43317"/>
  <c r="GN27" i="43317"/>
  <c r="GN28" i="43317"/>
  <c r="GN29" i="43317"/>
  <c r="GN30" i="43317"/>
  <c r="GN31" i="43317"/>
  <c r="BB16" i="43317"/>
  <c r="BB17" i="43317"/>
  <c r="BB18" i="43317"/>
  <c r="BB19" i="43317"/>
  <c r="BB20" i="43317"/>
  <c r="BB21" i="43317"/>
  <c r="BB22" i="43317"/>
  <c r="BB23" i="43317"/>
  <c r="BB24" i="43317"/>
  <c r="BB25" i="43317"/>
  <c r="BB26" i="43317"/>
  <c r="BB27" i="43317"/>
  <c r="BB28" i="43317"/>
  <c r="BB29" i="43317"/>
  <c r="BB30" i="43317"/>
  <c r="BB31" i="43317"/>
  <c r="FU18" i="43317"/>
  <c r="FO21" i="43317"/>
  <c r="FM27" i="43317"/>
  <c r="FQ29" i="43317"/>
  <c r="DY12" i="43317"/>
  <c r="DZ12" i="43317"/>
  <c r="EA12" i="43317"/>
  <c r="EB12" i="43317"/>
  <c r="EC12" i="43317"/>
  <c r="ED12" i="43317"/>
  <c r="EE12" i="43317"/>
  <c r="EF12" i="43317"/>
  <c r="EG12" i="43317"/>
  <c r="EH12" i="43317"/>
  <c r="EZ12" i="43317"/>
  <c r="FA12" i="43317"/>
  <c r="FB12" i="43317"/>
  <c r="FC12" i="43317"/>
  <c r="FD12" i="43317"/>
  <c r="FE12" i="43317"/>
  <c r="FF12" i="43317"/>
  <c r="FG12" i="43317"/>
  <c r="FH12" i="43317"/>
  <c r="FI12" i="43317"/>
  <c r="FR21" i="43317"/>
  <c r="ER25" i="43317"/>
  <c r="FS29" i="43317"/>
  <c r="EI31" i="43317"/>
  <c r="FJ28" i="43317"/>
  <c r="EI19" i="43317"/>
  <c r="ER19" i="43317"/>
  <c r="FR24" i="43317"/>
  <c r="EK19" i="43317"/>
  <c r="EP19" i="43317"/>
  <c r="FS28" i="43317"/>
  <c r="FU28" i="43317"/>
  <c r="FO24" i="43317"/>
  <c r="FL24" i="43317"/>
  <c r="EL31" i="43317"/>
  <c r="EQ31" i="43317"/>
  <c r="ET31" i="43317"/>
  <c r="EO31" i="43317"/>
  <c r="ER31" i="43317"/>
  <c r="ES31" i="43317"/>
  <c r="EP31" i="43317"/>
  <c r="EN31" i="43317"/>
  <c r="EN30" i="43317"/>
  <c r="EL28" i="43317"/>
  <c r="EK28" i="43317"/>
  <c r="EM28" i="43317"/>
  <c r="ER28" i="43317"/>
  <c r="EO28" i="43317"/>
  <c r="ET28" i="43317"/>
  <c r="EQ28" i="43317"/>
  <c r="EP28" i="43317"/>
  <c r="EP27" i="43317"/>
  <c r="EI27" i="43317"/>
  <c r="EQ22" i="43317"/>
  <c r="EM31" i="43317"/>
  <c r="FU30" i="43317"/>
  <c r="FU22" i="43317"/>
  <c r="EI30" i="43317"/>
  <c r="FX29" i="43317"/>
  <c r="FL26" i="43317"/>
  <c r="FL28" i="43317"/>
  <c r="FM28" i="43317"/>
  <c r="FN28" i="43317"/>
  <c r="FR28" i="43317"/>
  <c r="FX28" i="43317"/>
  <c r="FO28" i="43317"/>
  <c r="FP28" i="43317"/>
  <c r="FY29" i="43317"/>
  <c r="BH29" i="43317"/>
  <c r="FM30" i="43317"/>
  <c r="FK29" i="43317"/>
  <c r="EI24" i="43317"/>
  <c r="EQ24" i="43317"/>
  <c r="FN24" i="43317"/>
  <c r="FP24" i="43317"/>
  <c r="FS24" i="43317"/>
  <c r="FQ24" i="43317"/>
  <c r="FT24" i="43317"/>
  <c r="FZ24" i="43317"/>
  <c r="BI24" i="43317"/>
  <c r="FM24" i="43317"/>
  <c r="FV24" i="43317"/>
  <c r="FU24" i="43317"/>
  <c r="EI23" i="43317"/>
  <c r="EK23" i="43317"/>
  <c r="FJ23" i="43317"/>
  <c r="FO18" i="43317"/>
  <c r="FQ18" i="43317"/>
  <c r="FL18" i="43317"/>
  <c r="FV18" i="43317"/>
  <c r="FM18" i="43317"/>
  <c r="FS18" i="43317"/>
  <c r="FY18" i="43317"/>
  <c r="BH18" i="43317"/>
  <c r="FN18" i="43317"/>
  <c r="FP18" i="43317"/>
  <c r="FT18" i="43317"/>
  <c r="EI17" i="43317"/>
  <c r="EW19" i="43317"/>
  <c r="ES16" i="43317"/>
  <c r="ET16" i="43317"/>
  <c r="ER16" i="43317"/>
  <c r="EL16" i="43317"/>
  <c r="EM16" i="43317"/>
  <c r="EQ16" i="43317"/>
  <c r="EO16" i="43317"/>
  <c r="FJ16" i="43317"/>
  <c r="ES28" i="43317"/>
  <c r="FT28" i="43317"/>
  <c r="FN25" i="43317"/>
  <c r="FJ25" i="43317"/>
  <c r="EM20" i="43317"/>
  <c r="EN20" i="43317"/>
  <c r="EQ20" i="43317"/>
  <c r="EO20" i="43317"/>
  <c r="EP20" i="43317"/>
  <c r="ET20" i="43317"/>
  <c r="EL20" i="43317"/>
  <c r="EU20" i="43317"/>
  <c r="EN19" i="43317"/>
  <c r="EQ19" i="43317"/>
  <c r="CR19" i="43317"/>
  <c r="EM19" i="43317"/>
  <c r="EO19" i="43317"/>
  <c r="ES19" i="43317"/>
  <c r="ET19" i="43317"/>
  <c r="FO29" i="43317"/>
  <c r="EL25" i="43317"/>
  <c r="EM25" i="43317"/>
  <c r="EN25" i="43317"/>
  <c r="EO25" i="43317"/>
  <c r="ET25" i="43317"/>
  <c r="EQ25" i="43317"/>
  <c r="ES25" i="43317"/>
  <c r="EK25" i="43317"/>
  <c r="FL21" i="43317"/>
  <c r="FT21" i="43317"/>
  <c r="FZ21" i="43317"/>
  <c r="BI21" i="43317"/>
  <c r="FM21" i="43317"/>
  <c r="FN21" i="43317"/>
  <c r="FP21" i="43317"/>
  <c r="FU21" i="43317"/>
  <c r="FQ21" i="43317"/>
  <c r="FS21" i="43317"/>
  <c r="FX21" i="43317"/>
  <c r="FJ17" i="43317"/>
  <c r="FL29" i="43317"/>
  <c r="FV29" i="43317"/>
  <c r="FM29" i="43317"/>
  <c r="FN29" i="43317"/>
  <c r="FP29" i="43317"/>
  <c r="FU29" i="43317"/>
  <c r="FJ26" i="43317"/>
  <c r="FP26" i="43317"/>
  <c r="FJ22" i="43317"/>
  <c r="FN22" i="43317"/>
  <c r="EI21" i="43317"/>
  <c r="ER20" i="43317"/>
  <c r="FR18" i="43317"/>
  <c r="EK31" i="43317"/>
  <c r="FJ31" i="43317"/>
  <c r="FQ31" i="43317"/>
  <c r="FQ30" i="43317"/>
  <c r="EL29" i="43317"/>
  <c r="ET29" i="43317"/>
  <c r="EQ29" i="43317"/>
  <c r="EM29" i="43317"/>
  <c r="ES29" i="43317"/>
  <c r="EN29" i="43317"/>
  <c r="EO29" i="43317"/>
  <c r="ER29" i="43317"/>
  <c r="EK29" i="43317"/>
  <c r="ES27" i="43317"/>
  <c r="FR27" i="43317"/>
  <c r="FU27" i="43317"/>
  <c r="FO27" i="43317"/>
  <c r="FQ27" i="43317"/>
  <c r="FS27" i="43317"/>
  <c r="FT27" i="43317"/>
  <c r="FZ27" i="43317"/>
  <c r="BI27" i="43317"/>
  <c r="FN27" i="43317"/>
  <c r="FL27" i="43317"/>
  <c r="EI26" i="43317"/>
  <c r="ES20" i="43317"/>
  <c r="FJ20" i="43317"/>
  <c r="FS20" i="43317"/>
  <c r="EL19" i="43317"/>
  <c r="EU19" i="43317"/>
  <c r="FJ19" i="43317"/>
  <c r="EI18" i="43317"/>
  <c r="FQ28" i="43317"/>
  <c r="EN16" i="43317"/>
  <c r="EP16" i="43317"/>
  <c r="EN28" i="43317"/>
  <c r="EQ27" i="43317"/>
  <c r="EI22" i="43317"/>
  <c r="ES22" i="43317"/>
  <c r="FJ30" i="43317"/>
  <c r="GI19" i="43317"/>
  <c r="GJ19" i="43317"/>
  <c r="AI19" i="43317"/>
  <c r="BG21" i="43317"/>
  <c r="EL18" i="43317"/>
  <c r="EO18" i="43317"/>
  <c r="EM18" i="43317"/>
  <c r="ES18" i="43317"/>
  <c r="EK18" i="43317"/>
  <c r="EQ18" i="43317"/>
  <c r="ET18" i="43317"/>
  <c r="EN18" i="43317"/>
  <c r="ER18" i="43317"/>
  <c r="ES26" i="43317"/>
  <c r="EK26" i="43317"/>
  <c r="EM26" i="43317"/>
  <c r="EO26" i="43317"/>
  <c r="EQ26" i="43317"/>
  <c r="ET26" i="43317"/>
  <c r="EP26" i="43317"/>
  <c r="EL26" i="43317"/>
  <c r="ER26" i="43317"/>
  <c r="CQ29" i="43317"/>
  <c r="EV29" i="43317"/>
  <c r="CS25" i="43317"/>
  <c r="EX25" i="43317"/>
  <c r="EX28" i="43317"/>
  <c r="CS28" i="43317"/>
  <c r="EW28" i="43317"/>
  <c r="CR28" i="43317"/>
  <c r="FS19" i="43317"/>
  <c r="FT19" i="43317"/>
  <c r="FZ19" i="43317"/>
  <c r="BI19" i="43317"/>
  <c r="FR19" i="43317"/>
  <c r="FU19" i="43317"/>
  <c r="FP19" i="43317"/>
  <c r="FO19" i="43317"/>
  <c r="FQ19" i="43317"/>
  <c r="FL19" i="43317"/>
  <c r="FM19" i="43317"/>
  <c r="EX27" i="43317"/>
  <c r="EN21" i="43317"/>
  <c r="EO21" i="43317"/>
  <c r="ER21" i="43317"/>
  <c r="EQ21" i="43317"/>
  <c r="ET21" i="43317"/>
  <c r="ES21" i="43317"/>
  <c r="EM21" i="43317"/>
  <c r="EL21" i="43317"/>
  <c r="EK21" i="43317"/>
  <c r="CS19" i="43317"/>
  <c r="EX19" i="43317"/>
  <c r="FP16" i="43317"/>
  <c r="FU16" i="43317"/>
  <c r="FO16" i="43317"/>
  <c r="FQ16" i="43317"/>
  <c r="FS16" i="43317"/>
  <c r="FT16" i="43317"/>
  <c r="FL16" i="43317"/>
  <c r="FM16" i="43317"/>
  <c r="FR16" i="43317"/>
  <c r="FX16" i="43317"/>
  <c r="CS16" i="43317"/>
  <c r="EX16" i="43317"/>
  <c r="AM18" i="43317"/>
  <c r="EO23" i="43317"/>
  <c r="EQ23" i="43317"/>
  <c r="ER23" i="43317"/>
  <c r="EP23" i="43317"/>
  <c r="FK23" i="43317"/>
  <c r="EN23" i="43317"/>
  <c r="EL23" i="43317"/>
  <c r="ES23" i="43317"/>
  <c r="ET23" i="43317"/>
  <c r="GA29" i="43317"/>
  <c r="BG29" i="43317"/>
  <c r="FX27" i="43317"/>
  <c r="EW20" i="43317"/>
  <c r="CR20" i="43317"/>
  <c r="CR31" i="43317"/>
  <c r="EW31" i="43317"/>
  <c r="EO22" i="43317"/>
  <c r="EP22" i="43317"/>
  <c r="ET22" i="43317"/>
  <c r="EL22" i="43317"/>
  <c r="ER22" i="43317"/>
  <c r="EV22" i="43317"/>
  <c r="EK22" i="43317"/>
  <c r="EN22" i="43317"/>
  <c r="EM22" i="43317"/>
  <c r="FV27" i="43317"/>
  <c r="EV25" i="43317"/>
  <c r="CQ25" i="43317"/>
  <c r="CQ27" i="43317"/>
  <c r="EV27" i="43317"/>
  <c r="FN19" i="43317"/>
  <c r="EU29" i="43317"/>
  <c r="EP21" i="43317"/>
  <c r="FK21" i="43317"/>
  <c r="CQ20" i="43317"/>
  <c r="EV20" i="43317"/>
  <c r="EU16" i="43317"/>
  <c r="EK24" i="43317"/>
  <c r="ER24" i="43317"/>
  <c r="EV24" i="43317"/>
  <c r="EL24" i="43317"/>
  <c r="EM24" i="43317"/>
  <c r="EN24" i="43317"/>
  <c r="EO24" i="43317"/>
  <c r="ET24" i="43317"/>
  <c r="EP24" i="43317"/>
  <c r="ES24" i="43317"/>
  <c r="BG28" i="43317"/>
  <c r="EO30" i="43317"/>
  <c r="EP30" i="43317"/>
  <c r="FK30" i="43317"/>
  <c r="ET30" i="43317"/>
  <c r="ER30" i="43317"/>
  <c r="EK30" i="43317"/>
  <c r="EM30" i="43317"/>
  <c r="EQ30" i="43317"/>
  <c r="ES30" i="43317"/>
  <c r="EL30" i="43317"/>
  <c r="EO27" i="43317"/>
  <c r="ER27" i="43317"/>
  <c r="EK27" i="43317"/>
  <c r="ET27" i="43317"/>
  <c r="EL27" i="43317"/>
  <c r="EN27" i="43317"/>
  <c r="FK27" i="43317"/>
  <c r="EM27" i="43317"/>
  <c r="EU28" i="43317"/>
  <c r="AN27" i="43317"/>
  <c r="FK16" i="43317"/>
  <c r="FP22" i="43317"/>
  <c r="FO22" i="43317"/>
  <c r="FQ22" i="43317"/>
  <c r="FR22" i="43317"/>
  <c r="FL22" i="43317"/>
  <c r="FS22" i="43317"/>
  <c r="FY22" i="43317"/>
  <c r="BH22" i="43317"/>
  <c r="FT22" i="43317"/>
  <c r="FZ22" i="43317"/>
  <c r="BI22" i="43317"/>
  <c r="FM22" i="43317"/>
  <c r="EL17" i="43317"/>
  <c r="ET17" i="43317"/>
  <c r="EM17" i="43317"/>
  <c r="ER17" i="43317"/>
  <c r="EN17" i="43317"/>
  <c r="ES17" i="43317"/>
  <c r="EQ17" i="43317"/>
  <c r="EK17" i="43317"/>
  <c r="EP17" i="43317"/>
  <c r="FK28" i="43317"/>
  <c r="EU31" i="43317"/>
  <c r="EW25" i="43317"/>
  <c r="AN21" i="43317"/>
  <c r="FT25" i="43317"/>
  <c r="FL25" i="43317"/>
  <c r="FM25" i="43317"/>
  <c r="FP25" i="43317"/>
  <c r="FU25" i="43317"/>
  <c r="FQ25" i="43317"/>
  <c r="FS25" i="43317"/>
  <c r="FY25" i="43317"/>
  <c r="BH25" i="43317"/>
  <c r="FO25" i="43317"/>
  <c r="FK25" i="43317"/>
  <c r="FR25" i="43317"/>
  <c r="EO17" i="43317"/>
  <c r="FV28" i="43317"/>
  <c r="EM23" i="43317"/>
  <c r="EU23" i="43317"/>
  <c r="CQ28" i="43317"/>
  <c r="EV28" i="43317"/>
  <c r="CR29" i="43317"/>
  <c r="EW29" i="43317"/>
  <c r="CQ31" i="43317"/>
  <c r="EV31" i="43317"/>
  <c r="FY27" i="43317"/>
  <c r="BH27" i="43317"/>
  <c r="FP31" i="43317"/>
  <c r="FU31" i="43317"/>
  <c r="FR31" i="43317"/>
  <c r="FO31" i="43317"/>
  <c r="FT31" i="43317"/>
  <c r="FL31" i="43317"/>
  <c r="FS31" i="43317"/>
  <c r="FY31" i="43317"/>
  <c r="BH31" i="43317"/>
  <c r="FN31" i="43317"/>
  <c r="FM31" i="43317"/>
  <c r="EV19" i="43317"/>
  <c r="CQ19" i="43317"/>
  <c r="CQ16" i="43317"/>
  <c r="EV16" i="43317"/>
  <c r="EX20" i="43317"/>
  <c r="CS20" i="43317"/>
  <c r="CS29" i="43317"/>
  <c r="EX29" i="43317"/>
  <c r="FM26" i="43317"/>
  <c r="FN26" i="43317"/>
  <c r="FU26" i="43317"/>
  <c r="FT26" i="43317"/>
  <c r="FS26" i="43317"/>
  <c r="FQ26" i="43317"/>
  <c r="FR26" i="43317"/>
  <c r="FX26" i="43317"/>
  <c r="FO26" i="43317"/>
  <c r="FV26" i="43317"/>
  <c r="FS17" i="43317"/>
  <c r="FR17" i="43317"/>
  <c r="FL17" i="43317"/>
  <c r="FM17" i="43317"/>
  <c r="FN17" i="43317"/>
  <c r="FU17" i="43317"/>
  <c r="FT17" i="43317"/>
  <c r="FZ17" i="43317"/>
  <c r="BI17" i="43317"/>
  <c r="FO17" i="43317"/>
  <c r="FP17" i="43317"/>
  <c r="FV21" i="43317"/>
  <c r="FZ18" i="43317"/>
  <c r="BI18" i="43317"/>
  <c r="FQ23" i="43317"/>
  <c r="FO23" i="43317"/>
  <c r="FS23" i="43317"/>
  <c r="FT23" i="43317"/>
  <c r="FZ23" i="43317"/>
  <c r="BI23" i="43317"/>
  <c r="FL23" i="43317"/>
  <c r="FV23" i="43317"/>
  <c r="FP23" i="43317"/>
  <c r="FR23" i="43317"/>
  <c r="FU23" i="43317"/>
  <c r="FN23" i="43317"/>
  <c r="FY24" i="43317"/>
  <c r="BH24" i="43317"/>
  <c r="FN16" i="43317"/>
  <c r="FK31" i="43317"/>
  <c r="FM20" i="43317"/>
  <c r="FL20" i="43317"/>
  <c r="FQ20" i="43317"/>
  <c r="FN20" i="43317"/>
  <c r="FR20" i="43317"/>
  <c r="FP20" i="43317"/>
  <c r="FO20" i="43317"/>
  <c r="FK20" i="43317"/>
  <c r="FT20" i="43317"/>
  <c r="FZ20" i="43317"/>
  <c r="BI20" i="43317"/>
  <c r="FU20" i="43317"/>
  <c r="CR25" i="43317"/>
  <c r="AN24" i="43317"/>
  <c r="FS30" i="43317"/>
  <c r="FN30" i="43317"/>
  <c r="FT30" i="43317"/>
  <c r="FR30" i="43317"/>
  <c r="FX30" i="43317"/>
  <c r="FP30" i="43317"/>
  <c r="FO30" i="43317"/>
  <c r="FL30" i="43317"/>
  <c r="EP18" i="43317"/>
  <c r="FK18" i="43317"/>
  <c r="EN26" i="43317"/>
  <c r="FX18" i="43317"/>
  <c r="FY21" i="43317"/>
  <c r="BH21" i="43317"/>
  <c r="EU25" i="43317"/>
  <c r="FZ28" i="43317"/>
  <c r="BI28" i="43317"/>
  <c r="EW16" i="43317"/>
  <c r="CR16" i="43317"/>
  <c r="FM23" i="43317"/>
  <c r="AM29" i="43317"/>
  <c r="FY28" i="43317"/>
  <c r="BH28" i="43317"/>
  <c r="FQ17" i="43317"/>
  <c r="EX31" i="43317"/>
  <c r="CS31" i="43317"/>
  <c r="FX24" i="43317"/>
  <c r="BG16" i="43317"/>
  <c r="AJ29" i="43317"/>
  <c r="FK17" i="43317"/>
  <c r="AH27" i="43317"/>
  <c r="FK19" i="43317"/>
  <c r="AM21" i="43317"/>
  <c r="AM31" i="43317"/>
  <c r="EU17" i="43317"/>
  <c r="EU30" i="43317"/>
  <c r="CQ24" i="43317"/>
  <c r="CQ23" i="43317"/>
  <c r="EV23" i="43317"/>
  <c r="AJ19" i="43317"/>
  <c r="FK26" i="43317"/>
  <c r="AL21" i="43317"/>
  <c r="BJ21" i="43317"/>
  <c r="BG18" i="43317"/>
  <c r="GA18" i="43317"/>
  <c r="AM24" i="43317"/>
  <c r="FY26" i="43317"/>
  <c r="BH26" i="43317"/>
  <c r="FV31" i="43317"/>
  <c r="AH31" i="43317"/>
  <c r="CT31" i="43317"/>
  <c r="FX25" i="43317"/>
  <c r="FZ25" i="43317"/>
  <c r="BI25" i="43317"/>
  <c r="CQ17" i="43317"/>
  <c r="EV17" i="43317"/>
  <c r="AN22" i="43317"/>
  <c r="EU27" i="43317"/>
  <c r="CR30" i="43317"/>
  <c r="EW30" i="43317"/>
  <c r="FK22" i="43317"/>
  <c r="GJ20" i="43317"/>
  <c r="AI20" i="43317"/>
  <c r="GI20" i="43317"/>
  <c r="GC20" i="43317"/>
  <c r="FZ16" i="43317"/>
  <c r="BI16" i="43317"/>
  <c r="EU21" i="43317"/>
  <c r="GA21" i="43317"/>
  <c r="CR24" i="43317"/>
  <c r="EW24" i="43317"/>
  <c r="CQ21" i="43317"/>
  <c r="EV21" i="43317"/>
  <c r="AN17" i="43317"/>
  <c r="CR23" i="43317"/>
  <c r="EW23" i="43317"/>
  <c r="CR21" i="43317"/>
  <c r="EW21" i="43317"/>
  <c r="CR18" i="43317"/>
  <c r="EW18" i="43317"/>
  <c r="AM28" i="43317"/>
  <c r="FZ30" i="43317"/>
  <c r="BI30" i="43317"/>
  <c r="FY23" i="43317"/>
  <c r="BH23" i="43317"/>
  <c r="AJ20" i="43317"/>
  <c r="FV25" i="43317"/>
  <c r="FK24" i="43317"/>
  <c r="AH25" i="43317"/>
  <c r="CT25" i="43317"/>
  <c r="FV16" i="43317"/>
  <c r="AJ28" i="43317"/>
  <c r="FY30" i="43317"/>
  <c r="BH30" i="43317"/>
  <c r="FX20" i="43317"/>
  <c r="FZ26" i="43317"/>
  <c r="BI26" i="43317"/>
  <c r="FZ31" i="43317"/>
  <c r="BI31" i="43317"/>
  <c r="EX17" i="43317"/>
  <c r="CS17" i="43317"/>
  <c r="AM22" i="43317"/>
  <c r="EW27" i="43317"/>
  <c r="CR27" i="43317"/>
  <c r="CT27" i="43317"/>
  <c r="AH20" i="43317"/>
  <c r="CT20" i="43317"/>
  <c r="FY16" i="43317"/>
  <c r="BH16" i="43317"/>
  <c r="CS27" i="43317"/>
  <c r="FX19" i="43317"/>
  <c r="CQ26" i="43317"/>
  <c r="EV26" i="43317"/>
  <c r="CQ18" i="43317"/>
  <c r="EV18" i="43317"/>
  <c r="FY20" i="43317"/>
  <c r="BH20" i="43317"/>
  <c r="AN20" i="43317"/>
  <c r="BG26" i="43317"/>
  <c r="GA26" i="43317"/>
  <c r="EU24" i="43317"/>
  <c r="FV17" i="43317"/>
  <c r="CT16" i="43317"/>
  <c r="AH16" i="43317"/>
  <c r="GI29" i="43317"/>
  <c r="AI29" i="43317"/>
  <c r="GC29" i="43317"/>
  <c r="GJ29" i="43317"/>
  <c r="FV22" i="43317"/>
  <c r="BG27" i="43317"/>
  <c r="GA27" i="43317"/>
  <c r="AJ25" i="43317"/>
  <c r="BG24" i="43317"/>
  <c r="GA24" i="43317"/>
  <c r="AI16" i="43317"/>
  <c r="GJ16" i="43317"/>
  <c r="FV30" i="43317"/>
  <c r="FX23" i="43317"/>
  <c r="FX17" i="43317"/>
  <c r="AH19" i="43317"/>
  <c r="CT19" i="43317"/>
  <c r="FX31" i="43317"/>
  <c r="CR17" i="43317"/>
  <c r="EW17" i="43317"/>
  <c r="FX22" i="43317"/>
  <c r="GI31" i="43317"/>
  <c r="AI31" i="43317"/>
  <c r="GJ31" i="43317"/>
  <c r="GC31" i="43317"/>
  <c r="CS22" i="43317"/>
  <c r="CS21" i="43317"/>
  <c r="EX21" i="43317"/>
  <c r="FY19" i="43317"/>
  <c r="BH19" i="43317"/>
  <c r="CS18" i="43317"/>
  <c r="EX18" i="43317"/>
  <c r="GA28" i="43317"/>
  <c r="AF29" i="43317"/>
  <c r="BF29" i="43317"/>
  <c r="AL29" i="43317"/>
  <c r="BJ29" i="43317"/>
  <c r="AN23" i="43317"/>
  <c r="CS24" i="43317"/>
  <c r="EX24" i="43317"/>
  <c r="AN18" i="43317"/>
  <c r="AM25" i="43317"/>
  <c r="EX23" i="43317"/>
  <c r="CS23" i="43317"/>
  <c r="AN19" i="43317"/>
  <c r="EU18" i="43317"/>
  <c r="AJ31" i="43317"/>
  <c r="GC25" i="43317"/>
  <c r="GI25" i="43317"/>
  <c r="AI25" i="43317"/>
  <c r="GJ25" i="43317"/>
  <c r="FV20" i="43317"/>
  <c r="FY17" i="43317"/>
  <c r="BH17" i="43317"/>
  <c r="CT28" i="43317"/>
  <c r="AH28" i="43317"/>
  <c r="CS30" i="43317"/>
  <c r="EX30" i="43317"/>
  <c r="BJ28" i="43317"/>
  <c r="AL28" i="43317"/>
  <c r="EU22" i="43317"/>
  <c r="CQ22" i="43317"/>
  <c r="EX22" i="43317"/>
  <c r="AJ16" i="43317"/>
  <c r="FV19" i="43317"/>
  <c r="GI28" i="43317"/>
  <c r="GJ28" i="43317"/>
  <c r="AI28" i="43317"/>
  <c r="GC28" i="43317"/>
  <c r="CT29" i="43317"/>
  <c r="AH29" i="43317"/>
  <c r="EU26" i="43317"/>
  <c r="EW26" i="43317"/>
  <c r="CR26" i="43317"/>
  <c r="CS26" i="43317"/>
  <c r="EX26" i="43317"/>
  <c r="AN28" i="43317"/>
  <c r="CQ30" i="43317"/>
  <c r="EV30" i="43317"/>
  <c r="CR22" i="43317"/>
  <c r="EW22" i="43317"/>
  <c r="BG30" i="43317"/>
  <c r="AM27" i="43317"/>
  <c r="AM17" i="43317"/>
  <c r="GE28" i="43317"/>
  <c r="AD28" i="43317"/>
  <c r="GD28" i="43317"/>
  <c r="AE28" i="43317"/>
  <c r="GG28" i="43317"/>
  <c r="GK28" i="43317"/>
  <c r="GF28" i="43317"/>
  <c r="CT24" i="43317"/>
  <c r="AH24" i="43317"/>
  <c r="GC22" i="43317"/>
  <c r="AI22" i="43317"/>
  <c r="GJ22" i="43317"/>
  <c r="GI22" i="43317"/>
  <c r="GC26" i="43317"/>
  <c r="GI26" i="43317"/>
  <c r="AI26" i="43317"/>
  <c r="GJ26" i="43317"/>
  <c r="GE25" i="43317"/>
  <c r="GK25" i="43317"/>
  <c r="GL25" i="43317"/>
  <c r="GF25" i="43317"/>
  <c r="AD25" i="43317"/>
  <c r="GG25" i="43317"/>
  <c r="GD25" i="43317"/>
  <c r="GA22" i="43317"/>
  <c r="BG22" i="43317"/>
  <c r="BG23" i="43317"/>
  <c r="GA23" i="43317"/>
  <c r="BJ24" i="43317"/>
  <c r="AL24" i="43317"/>
  <c r="GF29" i="43317"/>
  <c r="AD29" i="43317"/>
  <c r="AE29" i="43317"/>
  <c r="GD29" i="43317"/>
  <c r="GG29" i="43317"/>
  <c r="GE29" i="43317"/>
  <c r="GK29" i="43317"/>
  <c r="AH26" i="43317"/>
  <c r="CT26" i="43317"/>
  <c r="AM30" i="43317"/>
  <c r="GC18" i="43317"/>
  <c r="AF18" i="43317"/>
  <c r="BF18" i="43317"/>
  <c r="AI18" i="43317"/>
  <c r="GI18" i="43317"/>
  <c r="GJ18" i="43317"/>
  <c r="AH21" i="43317"/>
  <c r="CT21" i="43317"/>
  <c r="GL20" i="43317"/>
  <c r="AJ26" i="43317"/>
  <c r="AH22" i="43317"/>
  <c r="CT22" i="43317"/>
  <c r="AM19" i="43317"/>
  <c r="GC19" i="43317"/>
  <c r="BG17" i="43317"/>
  <c r="GA17" i="43317"/>
  <c r="GI27" i="43317"/>
  <c r="AI27" i="43317"/>
  <c r="GC27" i="43317"/>
  <c r="GJ27" i="43317"/>
  <c r="BG20" i="43317"/>
  <c r="GA20" i="43317"/>
  <c r="GD20" i="43317"/>
  <c r="AE20" i="43317"/>
  <c r="GF20" i="43317"/>
  <c r="GG20" i="43317"/>
  <c r="GE20" i="43317"/>
  <c r="GK20" i="43317"/>
  <c r="AJ21" i="43317"/>
  <c r="AL26" i="43317"/>
  <c r="BJ26" i="43317"/>
  <c r="BG19" i="43317"/>
  <c r="GA19" i="43317"/>
  <c r="AM26" i="43317"/>
  <c r="GL29" i="43317"/>
  <c r="GI21" i="43317"/>
  <c r="GJ21" i="43317"/>
  <c r="AI21" i="43317"/>
  <c r="GC21" i="43317"/>
  <c r="AI24" i="43317"/>
  <c r="GC24" i="43317"/>
  <c r="GI24" i="43317"/>
  <c r="GJ24" i="43317"/>
  <c r="AH17" i="43317"/>
  <c r="CT17" i="43317"/>
  <c r="AF28" i="43317"/>
  <c r="BF28" i="43317"/>
  <c r="AM16" i="43317"/>
  <c r="GG31" i="43317"/>
  <c r="GE31" i="43317"/>
  <c r="GK31" i="43317"/>
  <c r="GL31" i="43317"/>
  <c r="GF31" i="43317"/>
  <c r="GD31" i="43317"/>
  <c r="BJ27" i="43317"/>
  <c r="AL27" i="43317"/>
  <c r="AM20" i="43317"/>
  <c r="AN30" i="43317"/>
  <c r="GI23" i="43317"/>
  <c r="AI23" i="43317"/>
  <c r="GJ23" i="43317"/>
  <c r="GC23" i="43317"/>
  <c r="BG25" i="43317"/>
  <c r="GA25" i="43317"/>
  <c r="AH30" i="43317"/>
  <c r="CT30" i="43317"/>
  <c r="AJ22" i="43317"/>
  <c r="AJ27" i="43317"/>
  <c r="BG31" i="43317"/>
  <c r="GA31" i="43317"/>
  <c r="AJ17" i="43317"/>
  <c r="GA30" i="43317"/>
  <c r="AN31" i="43317"/>
  <c r="AN16" i="43317"/>
  <c r="GI30" i="43317"/>
  <c r="AI30" i="43317"/>
  <c r="GC30" i="43317"/>
  <c r="GJ30" i="43317"/>
  <c r="AL18" i="43317"/>
  <c r="BJ18" i="43317"/>
  <c r="GA16" i="43317"/>
  <c r="GL28" i="43317"/>
  <c r="GI17" i="43317"/>
  <c r="GJ17" i="43317"/>
  <c r="AI17" i="43317"/>
  <c r="GC17" i="43317"/>
  <c r="CI29" i="43317"/>
  <c r="BU29" i="43317"/>
  <c r="CF29" i="43317"/>
  <c r="BL29" i="43317"/>
  <c r="BZ29" i="43317"/>
  <c r="CJ29" i="43317"/>
  <c r="BP29" i="43317"/>
  <c r="BV29" i="43317"/>
  <c r="BY29" i="43317"/>
  <c r="CG29" i="43317"/>
  <c r="BM29" i="43317"/>
  <c r="BD29" i="43317"/>
  <c r="CP29" i="43317"/>
  <c r="BK29" i="43317"/>
  <c r="CH29" i="43317"/>
  <c r="BN29" i="43317"/>
  <c r="BW29" i="43317"/>
  <c r="BO29" i="43317"/>
  <c r="BX29" i="43317"/>
  <c r="CE29" i="43317"/>
  <c r="AM23" i="43317"/>
  <c r="AN25" i="43317"/>
  <c r="AJ24" i="43317"/>
  <c r="AL30" i="43317"/>
  <c r="BJ30" i="43317"/>
  <c r="AF30" i="43317"/>
  <c r="BF30" i="43317"/>
  <c r="AJ30" i="43317"/>
  <c r="AJ23" i="43317"/>
  <c r="AJ18" i="43317"/>
  <c r="GC16" i="43317"/>
  <c r="CT18" i="43317"/>
  <c r="AH18" i="43317"/>
  <c r="AN26" i="43317"/>
  <c r="CT23" i="43317"/>
  <c r="AH23" i="43317"/>
  <c r="AF16" i="43317"/>
  <c r="AL16" i="43317"/>
  <c r="BJ16" i="43317"/>
  <c r="CI18" i="43317"/>
  <c r="BK18" i="43317"/>
  <c r="CF18" i="43317"/>
  <c r="BO18" i="43317"/>
  <c r="BW18" i="43317"/>
  <c r="CJ18" i="43317"/>
  <c r="BN18" i="43317"/>
  <c r="BY18" i="43317"/>
  <c r="CG18" i="43317"/>
  <c r="BV18" i="43317"/>
  <c r="BX18" i="43317"/>
  <c r="BZ18" i="43317"/>
  <c r="BD18" i="43317"/>
  <c r="CP18" i="43317"/>
  <c r="CE18" i="43317"/>
  <c r="BL18" i="43317"/>
  <c r="BP18" i="43317"/>
  <c r="BM18" i="43317"/>
  <c r="CH18" i="43317"/>
  <c r="BU18" i="43317"/>
  <c r="CF16" i="43317"/>
  <c r="BN16" i="43317"/>
  <c r="BX16" i="43317"/>
  <c r="CE16" i="43317"/>
  <c r="CI16" i="43317"/>
  <c r="BP16" i="43317"/>
  <c r="BV16" i="43317"/>
  <c r="BL16" i="43317"/>
  <c r="CG16" i="43317"/>
  <c r="BZ16" i="43317"/>
  <c r="BO16" i="43317"/>
  <c r="BW16" i="43317"/>
  <c r="BM16" i="43317"/>
  <c r="CH16" i="43317"/>
  <c r="CJ16" i="43317"/>
  <c r="GG16" i="43317"/>
  <c r="GF16" i="43317"/>
  <c r="GE16" i="43317"/>
  <c r="AE16" i="43317"/>
  <c r="GD16" i="43317"/>
  <c r="GK16" i="43317"/>
  <c r="GL16" i="43317"/>
  <c r="AL31" i="43317"/>
  <c r="AF31" i="43317"/>
  <c r="BF31" i="43317"/>
  <c r="BJ31" i="43317"/>
  <c r="GE24" i="43317"/>
  <c r="AD24" i="43317"/>
  <c r="GD24" i="43317"/>
  <c r="AE24" i="43317"/>
  <c r="GG24" i="43317"/>
  <c r="GK24" i="43317"/>
  <c r="GL24" i="43317"/>
  <c r="GF24" i="43317"/>
  <c r="GF22" i="43317"/>
  <c r="GE22" i="43317"/>
  <c r="AD22" i="43317"/>
  <c r="GD22" i="43317"/>
  <c r="AE22" i="43317"/>
  <c r="GG22" i="43317"/>
  <c r="GK22" i="43317"/>
  <c r="GD17" i="43317"/>
  <c r="GK17" i="43317"/>
  <c r="GG17" i="43317"/>
  <c r="GF17" i="43317"/>
  <c r="GE17" i="43317"/>
  <c r="AE17" i="43317"/>
  <c r="AD17" i="43317"/>
  <c r="AF25" i="43317"/>
  <c r="BF25" i="43317"/>
  <c r="AL25" i="43317"/>
  <c r="BJ25" i="43317"/>
  <c r="AD31" i="43317"/>
  <c r="CG28" i="43317"/>
  <c r="BY28" i="43317"/>
  <c r="CP28" i="43317"/>
  <c r="CH28" i="43317"/>
  <c r="BU28" i="43317"/>
  <c r="BV28" i="43317"/>
  <c r="BN28" i="43317"/>
  <c r="BL28" i="43317"/>
  <c r="BW28" i="43317"/>
  <c r="CE28" i="43317"/>
  <c r="BX28" i="43317"/>
  <c r="BD28" i="43317"/>
  <c r="CI28" i="43317"/>
  <c r="BO28" i="43317"/>
  <c r="CF28" i="43317"/>
  <c r="BZ28" i="43317"/>
  <c r="CJ28" i="43317"/>
  <c r="BK28" i="43317"/>
  <c r="BP28" i="43317"/>
  <c r="BM28" i="43317"/>
  <c r="AF17" i="43317"/>
  <c r="BF17" i="43317"/>
  <c r="AL17" i="43317"/>
  <c r="BJ17" i="43317"/>
  <c r="AF24" i="43317"/>
  <c r="BF24" i="43317"/>
  <c r="AE25" i="43317"/>
  <c r="GF19" i="43317"/>
  <c r="AD19" i="43317"/>
  <c r="GD19" i="43317"/>
  <c r="AE19" i="43317"/>
  <c r="GE19" i="43317"/>
  <c r="GK19" i="43317"/>
  <c r="GL19" i="43317"/>
  <c r="GG19" i="43317"/>
  <c r="GE26" i="43317"/>
  <c r="AD26" i="43317"/>
  <c r="GD26" i="43317"/>
  <c r="AE26" i="43317"/>
  <c r="GK26" i="43317"/>
  <c r="GL26" i="43317"/>
  <c r="GG26" i="43317"/>
  <c r="GF26" i="43317"/>
  <c r="DO29" i="43317"/>
  <c r="CV29" i="43317"/>
  <c r="DS29" i="43317"/>
  <c r="DF29" i="43317"/>
  <c r="CX29" i="43317"/>
  <c r="DP29" i="43317"/>
  <c r="CW29" i="43317"/>
  <c r="DJ29" i="43317"/>
  <c r="DQ29" i="43317"/>
  <c r="DI29" i="43317"/>
  <c r="CZ29" i="43317"/>
  <c r="DT29" i="43317"/>
  <c r="DH29" i="43317"/>
  <c r="DR29" i="43317"/>
  <c r="DE29" i="43317"/>
  <c r="CU29" i="43317"/>
  <c r="CY29" i="43317"/>
  <c r="DG29" i="43317"/>
  <c r="GG23" i="43317"/>
  <c r="GK23" i="43317"/>
  <c r="GF23" i="43317"/>
  <c r="GE23" i="43317"/>
  <c r="AD23" i="43317"/>
  <c r="GD23" i="43317"/>
  <c r="AE23" i="43317"/>
  <c r="AD21" i="43317"/>
  <c r="AE21" i="43317"/>
  <c r="GD21" i="43317"/>
  <c r="GG21" i="43317"/>
  <c r="GK21" i="43317"/>
  <c r="GE21" i="43317"/>
  <c r="GF21" i="43317"/>
  <c r="AF19" i="43317"/>
  <c r="BF19" i="43317"/>
  <c r="AL19" i="43317"/>
  <c r="BJ19" i="43317"/>
  <c r="GL22" i="43317"/>
  <c r="AF20" i="43317"/>
  <c r="BF20" i="43317"/>
  <c r="AL20" i="43317"/>
  <c r="BJ20" i="43317"/>
  <c r="GL17" i="43317"/>
  <c r="BJ23" i="43317"/>
  <c r="AL23" i="43317"/>
  <c r="AF23" i="43317"/>
  <c r="BF23" i="43317"/>
  <c r="AD20" i="43317"/>
  <c r="GK18" i="43317"/>
  <c r="GL18" i="43317"/>
  <c r="GE18" i="43317"/>
  <c r="AD18" i="43317"/>
  <c r="GD18" i="43317"/>
  <c r="AE18" i="43317"/>
  <c r="GG18" i="43317"/>
  <c r="GF18" i="43317"/>
  <c r="GE30" i="43317"/>
  <c r="AD30" i="43317"/>
  <c r="GD30" i="43317"/>
  <c r="AE30" i="43317"/>
  <c r="GG30" i="43317"/>
  <c r="GK30" i="43317"/>
  <c r="GL30" i="43317"/>
  <c r="GF30" i="43317"/>
  <c r="AF26" i="43317"/>
  <c r="BF26" i="43317"/>
  <c r="GF27" i="43317"/>
  <c r="GE27" i="43317"/>
  <c r="AD27" i="43317"/>
  <c r="GD27" i="43317"/>
  <c r="AE27" i="43317"/>
  <c r="GG27" i="43317"/>
  <c r="GK27" i="43317"/>
  <c r="GL27" i="43317"/>
  <c r="AF22" i="43317"/>
  <c r="BF22" i="43317"/>
  <c r="AL22" i="43317"/>
  <c r="BJ22" i="43317"/>
  <c r="CH30" i="43317"/>
  <c r="BZ30" i="43317"/>
  <c r="CF30" i="43317"/>
  <c r="CE30" i="43317"/>
  <c r="BX30" i="43317"/>
  <c r="CJ30" i="43317"/>
  <c r="BN30" i="43317"/>
  <c r="BY30" i="43317"/>
  <c r="BK30" i="43317"/>
  <c r="BP30" i="43317"/>
  <c r="BD30" i="43317"/>
  <c r="BO30" i="43317"/>
  <c r="BU30" i="43317"/>
  <c r="CG30" i="43317"/>
  <c r="CI30" i="43317"/>
  <c r="CP30" i="43317"/>
  <c r="BM30" i="43317"/>
  <c r="BL30" i="43317"/>
  <c r="BW30" i="43317"/>
  <c r="BV30" i="43317"/>
  <c r="GL23" i="43317"/>
  <c r="AF27" i="43317"/>
  <c r="BF27" i="43317"/>
  <c r="AE31" i="43317"/>
  <c r="GL21" i="43317"/>
  <c r="AF21" i="43317"/>
  <c r="BF21" i="43317"/>
  <c r="BP19" i="43317"/>
  <c r="BX19" i="43317"/>
  <c r="CP19" i="43317"/>
  <c r="BM19" i="43317"/>
  <c r="BD19" i="43317"/>
  <c r="CH19" i="43317"/>
  <c r="BV19" i="43317"/>
  <c r="CE19" i="43317"/>
  <c r="BN19" i="43317"/>
  <c r="CI19" i="43317"/>
  <c r="BO19" i="43317"/>
  <c r="BL19" i="43317"/>
  <c r="CF19" i="43317"/>
  <c r="BU19" i="43317"/>
  <c r="BW19" i="43317"/>
  <c r="CG19" i="43317"/>
  <c r="BY19" i="43317"/>
  <c r="BK19" i="43317"/>
  <c r="BZ19" i="43317"/>
  <c r="CJ19" i="43317"/>
  <c r="CG31" i="43317"/>
  <c r="BK31" i="43317"/>
  <c r="CP31" i="43317"/>
  <c r="BM31" i="43317"/>
  <c r="BP31" i="43317"/>
  <c r="BD31" i="43317"/>
  <c r="CJ31" i="43317"/>
  <c r="BN31" i="43317"/>
  <c r="BY31" i="43317"/>
  <c r="BV31" i="43317"/>
  <c r="CH31" i="43317"/>
  <c r="CF31" i="43317"/>
  <c r="BW31" i="43317"/>
  <c r="CE31" i="43317"/>
  <c r="BL31" i="43317"/>
  <c r="BX31" i="43317"/>
  <c r="BO31" i="43317"/>
  <c r="CI31" i="43317"/>
  <c r="BU31" i="43317"/>
  <c r="BZ31" i="43317"/>
  <c r="CZ18" i="43317"/>
  <c r="DR18" i="43317"/>
  <c r="CW18" i="43317"/>
  <c r="DO18" i="43317"/>
  <c r="DG18" i="43317"/>
  <c r="DP18" i="43317"/>
  <c r="DH18" i="43317"/>
  <c r="DE18" i="43317"/>
  <c r="CV18" i="43317"/>
  <c r="CY18" i="43317"/>
  <c r="CU18" i="43317"/>
  <c r="DF18" i="43317"/>
  <c r="DT18" i="43317"/>
  <c r="DI18" i="43317"/>
  <c r="DQ18" i="43317"/>
  <c r="DS18" i="43317"/>
  <c r="CX18" i="43317"/>
  <c r="DJ18" i="43317"/>
  <c r="BD17" i="43317"/>
  <c r="CP17" i="43317"/>
  <c r="CG21" i="43317"/>
  <c r="BV21" i="43317"/>
  <c r="BY21" i="43317"/>
  <c r="CH21" i="43317"/>
  <c r="BM21" i="43317"/>
  <c r="CE21" i="43317"/>
  <c r="BL21" i="43317"/>
  <c r="BX21" i="43317"/>
  <c r="CI21" i="43317"/>
  <c r="BP21" i="43317"/>
  <c r="CJ21" i="43317"/>
  <c r="BO21" i="43317"/>
  <c r="BZ21" i="43317"/>
  <c r="CP21" i="43317"/>
  <c r="BW21" i="43317"/>
  <c r="BD21" i="43317"/>
  <c r="BK21" i="43317"/>
  <c r="BU21" i="43317"/>
  <c r="BN21" i="43317"/>
  <c r="CF21" i="43317"/>
  <c r="CI22" i="43317"/>
  <c r="BM22" i="43317"/>
  <c r="CP22" i="43317"/>
  <c r="BK22" i="43317"/>
  <c r="BX22" i="43317"/>
  <c r="CH22" i="43317"/>
  <c r="BO22" i="43317"/>
  <c r="BP22" i="43317"/>
  <c r="BN22" i="43317"/>
  <c r="CG22" i="43317"/>
  <c r="BZ22" i="43317"/>
  <c r="BU22" i="43317"/>
  <c r="CF22" i="43317"/>
  <c r="BL22" i="43317"/>
  <c r="BY22" i="43317"/>
  <c r="BD22" i="43317"/>
  <c r="CJ22" i="43317"/>
  <c r="CE22" i="43317"/>
  <c r="BV22" i="43317"/>
  <c r="BW22" i="43317"/>
  <c r="CI26" i="43317"/>
  <c r="BO26" i="43317"/>
  <c r="BY26" i="43317"/>
  <c r="BU26" i="43317"/>
  <c r="BX26" i="43317"/>
  <c r="BN26" i="43317"/>
  <c r="CE26" i="43317"/>
  <c r="CP26" i="43317"/>
  <c r="BP26" i="43317"/>
  <c r="CG26" i="43317"/>
  <c r="BL26" i="43317"/>
  <c r="CH26" i="43317"/>
  <c r="BV26" i="43317"/>
  <c r="BD26" i="43317"/>
  <c r="CJ26" i="43317"/>
  <c r="BZ26" i="43317"/>
  <c r="BK26" i="43317"/>
  <c r="BM26" i="43317"/>
  <c r="BW26" i="43317"/>
  <c r="CF26" i="43317"/>
  <c r="CP20" i="43317"/>
  <c r="BP20" i="43317"/>
  <c r="BU20" i="43317"/>
  <c r="CF20" i="43317"/>
  <c r="BM20" i="43317"/>
  <c r="BY20" i="43317"/>
  <c r="CJ20" i="43317"/>
  <c r="BD20" i="43317"/>
  <c r="CH20" i="43317"/>
  <c r="BO20" i="43317"/>
  <c r="CI20" i="43317"/>
  <c r="BX20" i="43317"/>
  <c r="BV20" i="43317"/>
  <c r="BK20" i="43317"/>
  <c r="BZ20" i="43317"/>
  <c r="CE20" i="43317"/>
  <c r="BL20" i="43317"/>
  <c r="BN20" i="43317"/>
  <c r="CG20" i="43317"/>
  <c r="BW20" i="43317"/>
  <c r="DO28" i="43317"/>
  <c r="CV28" i="43317"/>
  <c r="DP28" i="43317"/>
  <c r="DE28" i="43317"/>
  <c r="DQ28" i="43317"/>
  <c r="CU28" i="43317"/>
  <c r="DS28" i="43317"/>
  <c r="CW28" i="43317"/>
  <c r="DI28" i="43317"/>
  <c r="DT28" i="43317"/>
  <c r="DF28" i="43317"/>
  <c r="DG28" i="43317"/>
  <c r="DJ28" i="43317"/>
  <c r="CX28" i="43317"/>
  <c r="CY28" i="43317"/>
  <c r="DH28" i="43317"/>
  <c r="DR28" i="43317"/>
  <c r="CZ28" i="43317"/>
  <c r="DP30" i="43317"/>
  <c r="CZ30" i="43317"/>
  <c r="CW30" i="43317"/>
  <c r="DR30" i="43317"/>
  <c r="DF30" i="43317"/>
  <c r="DT30" i="43317"/>
  <c r="DS30" i="43317"/>
  <c r="CY30" i="43317"/>
  <c r="DJ30" i="43317"/>
  <c r="DO30" i="43317"/>
  <c r="DG30" i="43317"/>
  <c r="DQ30" i="43317"/>
  <c r="CU30" i="43317"/>
  <c r="CX30" i="43317"/>
  <c r="CV30" i="43317"/>
  <c r="DH30" i="43317"/>
  <c r="DE30" i="43317"/>
  <c r="DI30" i="43317"/>
  <c r="CF23" i="43317"/>
  <c r="BP23" i="43317"/>
  <c r="CH23" i="43317"/>
  <c r="BU23" i="43317"/>
  <c r="BV23" i="43317"/>
  <c r="CJ23" i="43317"/>
  <c r="BY23" i="43317"/>
  <c r="BO23" i="43317"/>
  <c r="CG23" i="43317"/>
  <c r="BL23" i="43317"/>
  <c r="BZ23" i="43317"/>
  <c r="BW23" i="43317"/>
  <c r="CP23" i="43317"/>
  <c r="BM23" i="43317"/>
  <c r="CI23" i="43317"/>
  <c r="CE23" i="43317"/>
  <c r="BN23" i="43317"/>
  <c r="BX23" i="43317"/>
  <c r="BK23" i="43317"/>
  <c r="BD23" i="43317"/>
  <c r="CP24" i="43317"/>
  <c r="BK24" i="43317"/>
  <c r="BO24" i="43317"/>
  <c r="CJ24" i="43317"/>
  <c r="BX24" i="43317"/>
  <c r="BV24" i="43317"/>
  <c r="CH24" i="43317"/>
  <c r="BY24" i="43317"/>
  <c r="CI24" i="43317"/>
  <c r="BM24" i="43317"/>
  <c r="BU24" i="43317"/>
  <c r="CG24" i="43317"/>
  <c r="BP24" i="43317"/>
  <c r="BD24" i="43317"/>
  <c r="BL24" i="43317"/>
  <c r="CE24" i="43317"/>
  <c r="BW24" i="43317"/>
  <c r="BZ24" i="43317"/>
  <c r="BN24" i="43317"/>
  <c r="CF24" i="43317"/>
  <c r="CF25" i="43317"/>
  <c r="BW25" i="43317"/>
  <c r="BV25" i="43317"/>
  <c r="BO25" i="43317"/>
  <c r="CG25" i="43317"/>
  <c r="BM25" i="43317"/>
  <c r="BZ25" i="43317"/>
  <c r="CI25" i="43317"/>
  <c r="BX25" i="43317"/>
  <c r="CE25" i="43317"/>
  <c r="BP25" i="43317"/>
  <c r="BY25" i="43317"/>
  <c r="BN25" i="43317"/>
  <c r="BD25" i="43317"/>
  <c r="CH25" i="43317"/>
  <c r="BU25" i="43317"/>
  <c r="CJ25" i="43317"/>
  <c r="BL25" i="43317"/>
  <c r="BK25" i="43317"/>
  <c r="CP25" i="43317"/>
  <c r="CG27" i="43317"/>
  <c r="BO27" i="43317"/>
  <c r="CF27" i="43317"/>
  <c r="BN27" i="43317"/>
  <c r="BZ27" i="43317"/>
  <c r="CJ27" i="43317"/>
  <c r="BL27" i="43317"/>
  <c r="BV27" i="43317"/>
  <c r="CH27" i="43317"/>
  <c r="BK27" i="43317"/>
  <c r="CP27" i="43317"/>
  <c r="BY27" i="43317"/>
  <c r="BP27" i="43317"/>
  <c r="CE27" i="43317"/>
  <c r="BM27" i="43317"/>
  <c r="BU27" i="43317"/>
  <c r="BX27" i="43317"/>
  <c r="BW27" i="43317"/>
  <c r="CI27" i="43317"/>
  <c r="BD27" i="43317"/>
  <c r="DI16" i="43317"/>
  <c r="DO16" i="43317"/>
  <c r="DF16" i="43317"/>
  <c r="DQ16" i="43317"/>
  <c r="CY16" i="43317"/>
  <c r="DJ16" i="43317"/>
  <c r="DR16" i="43317"/>
  <c r="CV16" i="43317"/>
  <c r="DG16" i="43317"/>
  <c r="DS16" i="43317"/>
  <c r="DH16" i="43317"/>
  <c r="CZ16" i="43317"/>
  <c r="CW16" i="43317"/>
  <c r="DE16" i="43317"/>
  <c r="CX16" i="43317"/>
  <c r="DP16" i="43317"/>
  <c r="DT16" i="43317"/>
  <c r="DR26" i="43317"/>
  <c r="CZ26" i="43317"/>
  <c r="DT26" i="43317"/>
  <c r="DI26" i="43317"/>
  <c r="DP26" i="43317"/>
  <c r="CU26" i="43317"/>
  <c r="CW26" i="43317"/>
  <c r="DF26" i="43317"/>
  <c r="CX26" i="43317"/>
  <c r="DO26" i="43317"/>
  <c r="DG26" i="43317"/>
  <c r="DS26" i="43317"/>
  <c r="CV26" i="43317"/>
  <c r="DJ26" i="43317"/>
  <c r="DQ26" i="43317"/>
  <c r="DH26" i="43317"/>
  <c r="DE26" i="43317"/>
  <c r="CY26" i="43317"/>
  <c r="DJ24" i="43317"/>
  <c r="DQ24" i="43317"/>
  <c r="CZ24" i="43317"/>
  <c r="DH24" i="43317"/>
  <c r="DO24" i="43317"/>
  <c r="CY24" i="43317"/>
  <c r="CX24" i="43317"/>
  <c r="DP24" i="43317"/>
  <c r="CV24" i="43317"/>
  <c r="DE24" i="43317"/>
  <c r="DR24" i="43317"/>
  <c r="DG24" i="43317"/>
  <c r="DS24" i="43317"/>
  <c r="DT24" i="43317"/>
  <c r="CU24" i="43317"/>
  <c r="DF24" i="43317"/>
  <c r="DI24" i="43317"/>
  <c r="CW24" i="43317"/>
  <c r="DS27" i="43317"/>
  <c r="CW27" i="43317"/>
  <c r="CX27" i="43317"/>
  <c r="DO27" i="43317"/>
  <c r="DG27" i="43317"/>
  <c r="DF27" i="43317"/>
  <c r="CY27" i="43317"/>
  <c r="DH27" i="43317"/>
  <c r="DT27" i="43317"/>
  <c r="CU27" i="43317"/>
  <c r="DQ27" i="43317"/>
  <c r="DE27" i="43317"/>
  <c r="DR27" i="43317"/>
  <c r="DJ27" i="43317"/>
  <c r="CV27" i="43317"/>
  <c r="CZ27" i="43317"/>
  <c r="DP27" i="43317"/>
  <c r="DI27" i="43317"/>
  <c r="DQ23" i="43317"/>
  <c r="CZ23" i="43317"/>
  <c r="CW23" i="43317"/>
  <c r="CU23" i="43317"/>
  <c r="DE23" i="43317"/>
  <c r="DR23" i="43317"/>
  <c r="CX23" i="43317"/>
  <c r="DS23" i="43317"/>
  <c r="DJ23" i="43317"/>
  <c r="DT23" i="43317"/>
  <c r="CY23" i="43317"/>
  <c r="DO23" i="43317"/>
  <c r="DH23" i="43317"/>
  <c r="DP23" i="43317"/>
  <c r="CV23" i="43317"/>
  <c r="DI23" i="43317"/>
  <c r="DF23" i="43317"/>
  <c r="DG23" i="43317"/>
  <c r="DR20" i="43317"/>
  <c r="CY20" i="43317"/>
  <c r="CW20" i="43317"/>
  <c r="DO20" i="43317"/>
  <c r="DJ20" i="43317"/>
  <c r="DT20" i="43317"/>
  <c r="CX20" i="43317"/>
  <c r="DP20" i="43317"/>
  <c r="DG20" i="43317"/>
  <c r="DQ20" i="43317"/>
  <c r="DH20" i="43317"/>
  <c r="CU20" i="43317"/>
  <c r="CZ20" i="43317"/>
  <c r="DE20" i="43317"/>
  <c r="DS20" i="43317"/>
  <c r="DF20" i="43317"/>
  <c r="DI20" i="43317"/>
  <c r="CV20" i="43317"/>
  <c r="DQ21" i="43317"/>
  <c r="DO21" i="43317"/>
  <c r="CU21" i="43317"/>
  <c r="CX21" i="43317"/>
  <c r="CW21" i="43317"/>
  <c r="CZ21" i="43317"/>
  <c r="DF21" i="43317"/>
  <c r="DE21" i="43317"/>
  <c r="DJ21" i="43317"/>
  <c r="DI21" i="43317"/>
  <c r="DS21" i="43317"/>
  <c r="DR21" i="43317"/>
  <c r="CY21" i="43317"/>
  <c r="DT21" i="43317"/>
  <c r="DG21" i="43317"/>
  <c r="DP21" i="43317"/>
  <c r="DH21" i="43317"/>
  <c r="CV21" i="43317"/>
  <c r="DP17" i="43317"/>
  <c r="CY17" i="43317"/>
  <c r="DG17" i="43317"/>
  <c r="DT17" i="43317"/>
  <c r="CX17" i="43317"/>
  <c r="DQ17" i="43317"/>
  <c r="DE17" i="43317"/>
  <c r="DF17" i="43317"/>
  <c r="DH17" i="43317"/>
  <c r="DO17" i="43317"/>
  <c r="CV17" i="43317"/>
  <c r="DR17" i="43317"/>
  <c r="DS17" i="43317"/>
  <c r="CU17" i="43317"/>
  <c r="DJ17" i="43317"/>
  <c r="CZ17" i="43317"/>
  <c r="CW17" i="43317"/>
  <c r="DI17" i="43317"/>
  <c r="CV31" i="43317"/>
  <c r="DI31" i="43317"/>
  <c r="CZ31" i="43317"/>
  <c r="CW31" i="43317"/>
  <c r="DG31" i="43317"/>
  <c r="DF31" i="43317"/>
  <c r="DR31" i="43317"/>
  <c r="DP31" i="43317"/>
  <c r="DJ31" i="43317"/>
  <c r="DQ31" i="43317"/>
  <c r="DS31" i="43317"/>
  <c r="DE31" i="43317"/>
  <c r="DT31" i="43317"/>
  <c r="DH31" i="43317"/>
  <c r="DO31" i="43317"/>
  <c r="CX31" i="43317"/>
  <c r="CU31" i="43317"/>
  <c r="CY31" i="43317"/>
  <c r="DR25" i="43317"/>
  <c r="CV25" i="43317"/>
  <c r="DQ25" i="43317"/>
  <c r="DS25" i="43317"/>
  <c r="DE25" i="43317"/>
  <c r="DO25" i="43317"/>
  <c r="DF25" i="43317"/>
  <c r="DP25" i="43317"/>
  <c r="DH25" i="43317"/>
  <c r="CU25" i="43317"/>
  <c r="CZ25" i="43317"/>
  <c r="CW25" i="43317"/>
  <c r="DT25" i="43317"/>
  <c r="CY25" i="43317"/>
  <c r="CX25" i="43317"/>
  <c r="DG25" i="43317"/>
  <c r="DI25" i="43317"/>
  <c r="DJ25" i="43317"/>
  <c r="DS19" i="43317"/>
  <c r="CY19" i="43317"/>
  <c r="CW19" i="43317"/>
  <c r="DT19" i="43317"/>
  <c r="DE19" i="43317"/>
  <c r="CV19" i="43317"/>
  <c r="DJ19" i="43317"/>
  <c r="CZ19" i="43317"/>
  <c r="DI19" i="43317"/>
  <c r="DO19" i="43317"/>
  <c r="DG19" i="43317"/>
  <c r="DP19" i="43317"/>
  <c r="DQ19" i="43317"/>
  <c r="CX19" i="43317"/>
  <c r="DF19" i="43317"/>
  <c r="DR19" i="43317"/>
  <c r="CU19" i="43317"/>
  <c r="DH19" i="43317"/>
  <c r="DR22" i="43317"/>
  <c r="DI22" i="43317"/>
  <c r="DO22" i="43317"/>
  <c r="CW22" i="43317"/>
  <c r="CX22" i="43317"/>
  <c r="DQ22" i="43317"/>
  <c r="DS22" i="43317"/>
  <c r="CU22" i="43317"/>
  <c r="DE22" i="43317"/>
  <c r="DH22" i="43317"/>
  <c r="CV22" i="43317"/>
  <c r="CY22" i="43317"/>
  <c r="DG22" i="43317"/>
  <c r="DJ22" i="43317"/>
  <c r="DP22" i="43317"/>
  <c r="DF22" i="43317"/>
  <c r="DT22" i="43317"/>
  <c r="CZ22" i="43317"/>
  <c r="CK17" i="43317" l="1"/>
  <c r="CL17" i="43317" s="1"/>
  <c r="CM17" i="43317" s="1"/>
  <c r="AV17" i="43317" s="1"/>
  <c r="BQ17" i="43317"/>
  <c r="BR17" i="43317" s="1"/>
  <c r="BS17" i="43317" s="1"/>
  <c r="AU17" i="43317" s="1"/>
  <c r="BQ28" i="43317"/>
  <c r="BR28" i="43317" s="1"/>
  <c r="BS28" i="43317" s="1"/>
  <c r="AU28" i="43317" s="1"/>
  <c r="CK30" i="43317"/>
  <c r="CL30" i="43317" s="1"/>
  <c r="CM30" i="43317" s="1"/>
  <c r="AV30" i="43317" s="1"/>
  <c r="CK19" i="43317"/>
  <c r="CL19" i="43317" s="1"/>
  <c r="CM19" i="43317" s="1"/>
  <c r="AV19" i="43317" s="1"/>
  <c r="DK18" i="43317"/>
  <c r="DL18" i="43317" s="1"/>
  <c r="DM18" i="43317" s="1"/>
  <c r="AP18" i="43317" s="1"/>
  <c r="CK20" i="43317"/>
  <c r="CL20" i="43317" s="1"/>
  <c r="CM20" i="43317" s="1"/>
  <c r="AV20" i="43317" s="1"/>
  <c r="CK23" i="43317"/>
  <c r="CL23" i="43317" s="1"/>
  <c r="CM23" i="43317" s="1"/>
  <c r="AV23" i="43317" s="1"/>
  <c r="BQ23" i="43317"/>
  <c r="BR23" i="43317" s="1"/>
  <c r="BS23" i="43317" s="1"/>
  <c r="AU23" i="43317" s="1"/>
  <c r="CK25" i="43317"/>
  <c r="CL25" i="43317" s="1"/>
  <c r="CM25" i="43317" s="1"/>
  <c r="AV25" i="43317" s="1"/>
  <c r="CA27" i="43317"/>
  <c r="CB27" i="43317" s="1"/>
  <c r="CC27" i="43317" s="1"/>
  <c r="AT27" i="43317" s="1"/>
  <c r="AX27" i="43317" s="1"/>
  <c r="DA24" i="43317"/>
  <c r="DB24" i="43317" s="1"/>
  <c r="DC24" i="43317" s="1"/>
  <c r="AQ24" i="43317" s="1"/>
  <c r="DK27" i="43317"/>
  <c r="DL27" i="43317" s="1"/>
  <c r="DM27" i="43317" s="1"/>
  <c r="AP27" i="43317" s="1"/>
  <c r="DK20" i="43317"/>
  <c r="DL20" i="43317" s="1"/>
  <c r="DM20" i="43317" s="1"/>
  <c r="AP20" i="43317" s="1"/>
  <c r="DK31" i="43317"/>
  <c r="DL31" i="43317" s="1"/>
  <c r="DM31" i="43317" s="1"/>
  <c r="AP31" i="43317" s="1"/>
  <c r="DK22" i="43317"/>
  <c r="DL22" i="43317" s="1"/>
  <c r="DM22" i="43317" s="1"/>
  <c r="AP22" i="43317" s="1"/>
  <c r="DA28" i="43317"/>
  <c r="DB28" i="43317" s="1"/>
  <c r="DC28" i="43317" s="1"/>
  <c r="AQ28" i="43317" s="1"/>
  <c r="DA22" i="43317"/>
  <c r="DB22" i="43317" s="1"/>
  <c r="DC22" i="43317" s="1"/>
  <c r="AQ22" i="43317" s="1"/>
  <c r="CA17" i="43317"/>
  <c r="CB17" i="43317" s="1"/>
  <c r="CC17" i="43317" s="1"/>
  <c r="AT17" i="43317" s="1"/>
  <c r="CK18" i="43317"/>
  <c r="CL18" i="43317" s="1"/>
  <c r="CM18" i="43317" s="1"/>
  <c r="AV18" i="43317" s="1"/>
  <c r="BQ29" i="43317"/>
  <c r="BR29" i="43317" s="1"/>
  <c r="BS29" i="43317" s="1"/>
  <c r="AU29" i="43317" s="1"/>
  <c r="CA16" i="43317"/>
  <c r="AT16" i="43317" s="1"/>
  <c r="DA29" i="43317"/>
  <c r="DB29" i="43317" s="1"/>
  <c r="DC29" i="43317" s="1"/>
  <c r="AQ29" i="43317" s="1"/>
  <c r="BQ30" i="43317"/>
  <c r="BR30" i="43317" s="1"/>
  <c r="BS30" i="43317" s="1"/>
  <c r="AU30" i="43317" s="1"/>
  <c r="BQ19" i="43317"/>
  <c r="BR19" i="43317" s="1"/>
  <c r="BS19" i="43317" s="1"/>
  <c r="AU19" i="43317" s="1"/>
  <c r="CA31" i="43317"/>
  <c r="CB31" i="43317" s="1"/>
  <c r="CC31" i="43317" s="1"/>
  <c r="AT31" i="43317" s="1"/>
  <c r="CK21" i="43317"/>
  <c r="CL21" i="43317" s="1"/>
  <c r="CM21" i="43317" s="1"/>
  <c r="AV21" i="43317" s="1"/>
  <c r="BQ20" i="43317"/>
  <c r="BR20" i="43317" s="1"/>
  <c r="BS20" i="43317" s="1"/>
  <c r="AU20" i="43317" s="1"/>
  <c r="DU28" i="43317"/>
  <c r="DV28" i="43317" s="1"/>
  <c r="DW28" i="43317" s="1"/>
  <c r="AR28" i="43317" s="1"/>
  <c r="CA25" i="43317"/>
  <c r="CB25" i="43317" s="1"/>
  <c r="CC25" i="43317" s="1"/>
  <c r="AT25" i="43317" s="1"/>
  <c r="DA16" i="43317"/>
  <c r="DB16" i="43317" s="1"/>
  <c r="DC16" i="43317" s="1"/>
  <c r="AQ16" i="43317" s="1"/>
  <c r="DK24" i="43317"/>
  <c r="DL24" i="43317" s="1"/>
  <c r="DM24" i="43317" s="1"/>
  <c r="AP24" i="43317" s="1"/>
  <c r="DK25" i="43317"/>
  <c r="DL25" i="43317" s="1"/>
  <c r="DM25" i="43317" s="1"/>
  <c r="AP25" i="43317" s="1"/>
  <c r="DU27" i="43317"/>
  <c r="DV27" i="43317" s="1"/>
  <c r="DW27" i="43317" s="1"/>
  <c r="AR27" i="43317" s="1"/>
  <c r="BQ18" i="43317"/>
  <c r="BR18" i="43317" s="1"/>
  <c r="BS18" i="43317" s="1"/>
  <c r="AU18" i="43317" s="1"/>
  <c r="CK16" i="43317"/>
  <c r="CL16" i="43317" s="1"/>
  <c r="CM16" i="43317" s="1"/>
  <c r="AV16" i="43317" s="1"/>
  <c r="BQ16" i="43317"/>
  <c r="BR16" i="43317" s="1"/>
  <c r="BS16" i="43317" s="1"/>
  <c r="AU16" i="43317" s="1"/>
  <c r="CK28" i="43317"/>
  <c r="CL28" i="43317" s="1"/>
  <c r="CM28" i="43317" s="1"/>
  <c r="AV28" i="43317" s="1"/>
  <c r="AZ28" i="43317" s="1"/>
  <c r="CA19" i="43317"/>
  <c r="CB19" i="43317" s="1"/>
  <c r="CC19" i="43317" s="1"/>
  <c r="AT19" i="43317" s="1"/>
  <c r="CK31" i="43317"/>
  <c r="CL31" i="43317" s="1"/>
  <c r="CM31" i="43317" s="1"/>
  <c r="AV31" i="43317" s="1"/>
  <c r="DA18" i="43317"/>
  <c r="DB18" i="43317" s="1"/>
  <c r="DC18" i="43317" s="1"/>
  <c r="AQ18" i="43317" s="1"/>
  <c r="CA21" i="43317"/>
  <c r="CB21" i="43317" s="1"/>
  <c r="CC21" i="43317" s="1"/>
  <c r="AT21" i="43317" s="1"/>
  <c r="BQ22" i="43317"/>
  <c r="BR22" i="43317" s="1"/>
  <c r="BS22" i="43317" s="1"/>
  <c r="AU22" i="43317" s="1"/>
  <c r="DK28" i="43317"/>
  <c r="DL28" i="43317" s="1"/>
  <c r="DM28" i="43317" s="1"/>
  <c r="AP28" i="43317" s="1"/>
  <c r="DK30" i="43317"/>
  <c r="DL30" i="43317" s="1"/>
  <c r="DM30" i="43317" s="1"/>
  <c r="AP30" i="43317" s="1"/>
  <c r="DK16" i="43317"/>
  <c r="DL16" i="43317" s="1"/>
  <c r="DM16" i="43317" s="1"/>
  <c r="AP16" i="43317" s="1"/>
  <c r="DA27" i="43317"/>
  <c r="DB27" i="43317" s="1"/>
  <c r="DC27" i="43317" s="1"/>
  <c r="AQ27" i="43317" s="1"/>
  <c r="DU23" i="43317"/>
  <c r="DV23" i="43317" s="1"/>
  <c r="DW23" i="43317" s="1"/>
  <c r="AR23" i="43317" s="1"/>
  <c r="DA23" i="43317"/>
  <c r="DB23" i="43317" s="1"/>
  <c r="DC23" i="43317" s="1"/>
  <c r="AQ23" i="43317" s="1"/>
  <c r="DA21" i="43317"/>
  <c r="DB21" i="43317" s="1"/>
  <c r="DC21" i="43317" s="1"/>
  <c r="AQ21" i="43317" s="1"/>
  <c r="DU19" i="43317"/>
  <c r="DV19" i="43317" s="1"/>
  <c r="DW19" i="43317" s="1"/>
  <c r="AR19" i="43317" s="1"/>
  <c r="DU17" i="43317"/>
  <c r="DV17" i="43317" s="1"/>
  <c r="DW17" i="43317" s="1"/>
  <c r="AR17" i="43317" s="1"/>
  <c r="CK26" i="43317"/>
  <c r="CL26" i="43317" s="1"/>
  <c r="CM26" i="43317" s="1"/>
  <c r="AV26" i="43317" s="1"/>
  <c r="BQ25" i="43317"/>
  <c r="BR25" i="43317" s="1"/>
  <c r="BS25" i="43317" s="1"/>
  <c r="AU25" i="43317" s="1"/>
  <c r="CK27" i="43317"/>
  <c r="CL27" i="43317" s="1"/>
  <c r="CM27" i="43317" s="1"/>
  <c r="AV27" i="43317" s="1"/>
  <c r="AZ27" i="43317" s="1"/>
  <c r="DK17" i="43317"/>
  <c r="DL17" i="43317" s="1"/>
  <c r="DM17" i="43317" s="1"/>
  <c r="AP17" i="43317" s="1"/>
  <c r="DA25" i="43317"/>
  <c r="DB25" i="43317" s="1"/>
  <c r="DC25" i="43317" s="1"/>
  <c r="AQ25" i="43317" s="1"/>
  <c r="DK19" i="43317"/>
  <c r="DL19" i="43317" s="1"/>
  <c r="DM19" i="43317" s="1"/>
  <c r="AP19" i="43317" s="1"/>
  <c r="DU22" i="43317"/>
  <c r="DV22" i="43317" s="1"/>
  <c r="DW22" i="43317" s="1"/>
  <c r="AR22" i="43317" s="1"/>
  <c r="CA28" i="43317"/>
  <c r="CB28" i="43317" s="1"/>
  <c r="CC28" i="43317" s="1"/>
  <c r="AT28" i="43317" s="1"/>
  <c r="AX28" i="43317" s="1"/>
  <c r="DK29" i="43317"/>
  <c r="DL29" i="43317" s="1"/>
  <c r="DM29" i="43317" s="1"/>
  <c r="AP29" i="43317" s="1"/>
  <c r="DU18" i="43317"/>
  <c r="DV18" i="43317" s="1"/>
  <c r="DW18" i="43317" s="1"/>
  <c r="AR18" i="43317" s="1"/>
  <c r="BQ26" i="43317"/>
  <c r="BR26" i="43317" s="1"/>
  <c r="BS26" i="43317" s="1"/>
  <c r="AU26" i="43317" s="1"/>
  <c r="BQ24" i="43317"/>
  <c r="BR24" i="43317" s="1"/>
  <c r="BS24" i="43317" s="1"/>
  <c r="AU24" i="43317" s="1"/>
  <c r="AY24" i="43317" s="1"/>
  <c r="DU16" i="43317"/>
  <c r="DV16" i="43317" s="1"/>
  <c r="AR16" i="43317" s="1"/>
  <c r="DU24" i="43317"/>
  <c r="DV24" i="43317" s="1"/>
  <c r="DW24" i="43317" s="1"/>
  <c r="AR24" i="43317" s="1"/>
  <c r="DU20" i="43317"/>
  <c r="DV20" i="43317" s="1"/>
  <c r="DW20" i="43317" s="1"/>
  <c r="AR20" i="43317" s="1"/>
  <c r="DU21" i="43317"/>
  <c r="DV21" i="43317" s="1"/>
  <c r="DW21" i="43317" s="1"/>
  <c r="AR21" i="43317" s="1"/>
  <c r="DU31" i="43317"/>
  <c r="DV31" i="43317" s="1"/>
  <c r="DW31" i="43317" s="1"/>
  <c r="AR31" i="43317" s="1"/>
  <c r="CA30" i="43317"/>
  <c r="CB30" i="43317" s="1"/>
  <c r="CC30" i="43317" s="1"/>
  <c r="AT30" i="43317" s="1"/>
  <c r="AX30" i="43317" s="1"/>
  <c r="CA24" i="43317"/>
  <c r="CB24" i="43317" s="1"/>
  <c r="CC24" i="43317" s="1"/>
  <c r="AT24" i="43317" s="1"/>
  <c r="CA29" i="43317"/>
  <c r="CB29" i="43317" s="1"/>
  <c r="CC29" i="43317" s="1"/>
  <c r="AT29" i="43317" s="1"/>
  <c r="AX29" i="43317" s="1"/>
  <c r="CK29" i="43317"/>
  <c r="CL29" i="43317" s="1"/>
  <c r="CM29" i="43317" s="1"/>
  <c r="AV29" i="43317" s="1"/>
  <c r="CA18" i="43317"/>
  <c r="CB18" i="43317" s="1"/>
  <c r="CC18" i="43317" s="1"/>
  <c r="AT18" i="43317" s="1"/>
  <c r="DU29" i="43317"/>
  <c r="DV29" i="43317" s="1"/>
  <c r="DW29" i="43317" s="1"/>
  <c r="AR29" i="43317" s="1"/>
  <c r="CA22" i="43317"/>
  <c r="CB22" i="43317" s="1"/>
  <c r="CC22" i="43317" s="1"/>
  <c r="AT22" i="43317" s="1"/>
  <c r="CA26" i="43317"/>
  <c r="CB26" i="43317" s="1"/>
  <c r="CC26" i="43317" s="1"/>
  <c r="AT26" i="43317" s="1"/>
  <c r="CA20" i="43317"/>
  <c r="CB20" i="43317" s="1"/>
  <c r="CC20" i="43317" s="1"/>
  <c r="AT20" i="43317" s="1"/>
  <c r="AX20" i="43317" s="1"/>
  <c r="DA30" i="43317"/>
  <c r="DB30" i="43317" s="1"/>
  <c r="DC30" i="43317" s="1"/>
  <c r="AQ30" i="43317" s="1"/>
  <c r="DU30" i="43317"/>
  <c r="DV30" i="43317" s="1"/>
  <c r="DW30" i="43317" s="1"/>
  <c r="AR30" i="43317" s="1"/>
  <c r="CK24" i="43317"/>
  <c r="CL24" i="43317" s="1"/>
  <c r="CM24" i="43317" s="1"/>
  <c r="AV24" i="43317" s="1"/>
  <c r="BQ27" i="43317"/>
  <c r="BR27" i="43317" s="1"/>
  <c r="BS27" i="43317" s="1"/>
  <c r="AU27" i="43317" s="1"/>
  <c r="DA26" i="43317"/>
  <c r="DB26" i="43317" s="1"/>
  <c r="DC26" i="43317" s="1"/>
  <c r="AQ26" i="43317" s="1"/>
  <c r="DU26" i="43317"/>
  <c r="DV26" i="43317" s="1"/>
  <c r="DW26" i="43317" s="1"/>
  <c r="AR26" i="43317" s="1"/>
  <c r="DK23" i="43317"/>
  <c r="DL23" i="43317" s="1"/>
  <c r="DM23" i="43317" s="1"/>
  <c r="AP23" i="43317" s="1"/>
  <c r="DK21" i="43317"/>
  <c r="DL21" i="43317" s="1"/>
  <c r="DM21" i="43317" s="1"/>
  <c r="AP21" i="43317" s="1"/>
  <c r="DA17" i="43317"/>
  <c r="DB17" i="43317" s="1"/>
  <c r="DC17" i="43317" s="1"/>
  <c r="AQ17" i="43317" s="1"/>
  <c r="DA31" i="43317"/>
  <c r="DB31" i="43317" s="1"/>
  <c r="DC31" i="43317" s="1"/>
  <c r="AQ31" i="43317" s="1"/>
  <c r="DU25" i="43317"/>
  <c r="DV25" i="43317" s="1"/>
  <c r="DW25" i="43317" s="1"/>
  <c r="AR25" i="43317" s="1"/>
  <c r="DA19" i="43317"/>
  <c r="DB19" i="43317" s="1"/>
  <c r="DC19" i="43317" s="1"/>
  <c r="AQ19" i="43317" s="1"/>
  <c r="BQ31" i="43317"/>
  <c r="BR31" i="43317" s="1"/>
  <c r="BS31" i="43317" s="1"/>
  <c r="AU31" i="43317" s="1"/>
  <c r="BQ21" i="43317"/>
  <c r="BR21" i="43317" s="1"/>
  <c r="BS21" i="43317" s="1"/>
  <c r="AU21" i="43317" s="1"/>
  <c r="AY21" i="43317" s="1"/>
  <c r="CK22" i="43317"/>
  <c r="CL22" i="43317" s="1"/>
  <c r="CM22" i="43317" s="1"/>
  <c r="AV22" i="43317" s="1"/>
  <c r="AZ22" i="43317" s="1"/>
  <c r="CA23" i="43317"/>
  <c r="CB23" i="43317" s="1"/>
  <c r="CC23" i="43317" s="1"/>
  <c r="AT23" i="43317" s="1"/>
  <c r="DK26" i="43317"/>
  <c r="DL26" i="43317" s="1"/>
  <c r="DM26" i="43317" s="1"/>
  <c r="AP26" i="43317" s="1"/>
  <c r="DA20" i="43317"/>
  <c r="DB20" i="43317" s="1"/>
  <c r="DC20" i="43317" s="1"/>
  <c r="AQ20" i="43317" s="1"/>
  <c r="AX24" i="43317" l="1"/>
  <c r="AY26" i="43317"/>
  <c r="AX19" i="43317"/>
  <c r="AZ20" i="43317"/>
  <c r="AX22" i="43317"/>
  <c r="AY18" i="43317"/>
  <c r="AY28" i="43317"/>
  <c r="AX18" i="43317"/>
  <c r="AX21" i="43317"/>
  <c r="AZ31" i="43317"/>
  <c r="AY30" i="43317"/>
  <c r="AZ23" i="43317"/>
  <c r="AX23" i="43317"/>
  <c r="AY25" i="43317"/>
  <c r="AX25" i="43317"/>
  <c r="AX16" i="43317"/>
  <c r="AX26" i="43317"/>
  <c r="AZ26" i="43317"/>
  <c r="AY16" i="43317"/>
  <c r="AY29" i="43317"/>
  <c r="AZ19" i="43317"/>
  <c r="AZ16" i="43317"/>
  <c r="AY20" i="43317"/>
  <c r="AZ18" i="43317"/>
  <c r="AZ30" i="43317"/>
  <c r="AY31" i="43317"/>
  <c r="AY22" i="43317"/>
  <c r="AZ21" i="43317"/>
  <c r="AX17" i="43317"/>
  <c r="AY27" i="43317"/>
  <c r="AX31" i="43317"/>
  <c r="AZ25" i="43317"/>
  <c r="AY17" i="43317"/>
  <c r="AZ24" i="43317"/>
  <c r="AZ29" i="43317"/>
  <c r="AY19" i="43317"/>
  <c r="AY23" i="43317"/>
  <c r="AZ17" i="43317"/>
</calcChain>
</file>

<file path=xl/sharedStrings.xml><?xml version="1.0" encoding="utf-8"?>
<sst xmlns="http://schemas.openxmlformats.org/spreadsheetml/2006/main" count="233" uniqueCount="127">
  <si>
    <t>1) INPUT required in GRAY columns (C, G - O, and R - AA)</t>
  </si>
  <si>
    <t>2) OUTPUT  thermometer results are in BLUE columns, AD - AF</t>
  </si>
  <si>
    <t>3) OUTPUT feldspar activities are in BLUE , Columns AP - AZ</t>
  </si>
  <si>
    <t>Margules parameters</t>
  </si>
  <si>
    <t>Geothermometers based on plagioclase-liquid equilibria</t>
  </si>
  <si>
    <t>Gray field = input</t>
  </si>
  <si>
    <t>Blue field = output</t>
  </si>
  <si>
    <t>Experimental Compositions given  as examples</t>
  </si>
  <si>
    <t>Data Source</t>
  </si>
  <si>
    <t>Experiment #</t>
  </si>
  <si>
    <t>Enter</t>
  </si>
  <si>
    <t>Appropriate</t>
  </si>
  <si>
    <t>Value for P(Gpa)</t>
  </si>
  <si>
    <t>Leave Blank</t>
  </si>
  <si>
    <t>to model 27a, since the regression equation</t>
  </si>
  <si>
    <t>Experimental Conditions</t>
  </si>
  <si>
    <t>SiO2</t>
  </si>
  <si>
    <t>TiO2</t>
  </si>
  <si>
    <t>Al2O3</t>
  </si>
  <si>
    <t>FeOt</t>
  </si>
  <si>
    <t>MnO</t>
  </si>
  <si>
    <t>MgO</t>
  </si>
  <si>
    <t>CaO</t>
  </si>
  <si>
    <t>Na2O</t>
  </si>
  <si>
    <t>K2O</t>
  </si>
  <si>
    <t>Cr2O3</t>
  </si>
  <si>
    <t>Alkali Feldspar Composition - in Weight Percent</t>
  </si>
  <si>
    <t>Enter Alkali Feldspar Composition Here</t>
  </si>
  <si>
    <t>Enter Plagioclase Composition Here</t>
  </si>
  <si>
    <t>NOTE:  MODEL 27b should be preferred</t>
  </si>
  <si>
    <t>more directly solves for T; the model in column AF is similarly better than 27a</t>
  </si>
  <si>
    <t>P (kbar)</t>
  </si>
  <si>
    <t>Plagioclase Compositions - in Weight Percent</t>
  </si>
  <si>
    <t>Plagioclase Activity Calculations</t>
  </si>
  <si>
    <t>Alkali Feldspar Activity Calculations</t>
  </si>
  <si>
    <t>a(An)-afs</t>
  </si>
  <si>
    <t>a(Or)-afs</t>
  </si>
  <si>
    <t>a(Ab)-afs</t>
  </si>
  <si>
    <t>Global model</t>
  </si>
  <si>
    <t>a(An)-pl</t>
  </si>
  <si>
    <t>a(Or)-pl</t>
  </si>
  <si>
    <t>a(Ab)-pl</t>
  </si>
  <si>
    <t>Eqn 27a</t>
  </si>
  <si>
    <t>Eqn 27b</t>
  </si>
  <si>
    <t>Global regression</t>
  </si>
  <si>
    <t>Two-Feldspar Temperatures - Putirka (2008) RiMG</t>
  </si>
  <si>
    <t>Calculated Feldspar Components</t>
  </si>
  <si>
    <t>Alkali Feldspar</t>
  </si>
  <si>
    <t>W Ab-Or</t>
  </si>
  <si>
    <t>W Or-Ab</t>
  </si>
  <si>
    <t>W Ab-An</t>
  </si>
  <si>
    <t>a(Ab) sub-calcs</t>
  </si>
  <si>
    <t>An</t>
  </si>
  <si>
    <t>Ab</t>
  </si>
  <si>
    <t>a(An) sub-calcs</t>
  </si>
  <si>
    <t>From cation fraction</t>
  </si>
  <si>
    <t xml:space="preserve">TiO2 </t>
  </si>
  <si>
    <t>Plag Cation proportions</t>
  </si>
  <si>
    <t>Plag Cation fractions</t>
  </si>
  <si>
    <t xml:space="preserve">SiO2  </t>
  </si>
  <si>
    <t xml:space="preserve">FeO   </t>
  </si>
  <si>
    <t xml:space="preserve">MnO   </t>
  </si>
  <si>
    <t>a(Or) sub-calcs</t>
  </si>
  <si>
    <t>sum1-7</t>
  </si>
  <si>
    <t>W An-Ab</t>
  </si>
  <si>
    <t>K</t>
  </si>
  <si>
    <t>Barth (1951)</t>
  </si>
  <si>
    <t>Barth (1968)</t>
  </si>
  <si>
    <t>a</t>
  </si>
  <si>
    <t>b</t>
  </si>
  <si>
    <t>c</t>
  </si>
  <si>
    <t>Stormer (1975)</t>
  </si>
  <si>
    <t>Or</t>
  </si>
  <si>
    <t>Furhmand and Lindsley</t>
  </si>
  <si>
    <t>Elkins and Grove</t>
  </si>
  <si>
    <t>Wh</t>
  </si>
  <si>
    <t>Ws</t>
  </si>
  <si>
    <t>Wv</t>
  </si>
  <si>
    <t>KD(Fe-Mg)</t>
  </si>
  <si>
    <t>Elkins and Grove (1990)</t>
  </si>
  <si>
    <t>L3</t>
  </si>
  <si>
    <t>KL1</t>
  </si>
  <si>
    <t>M1</t>
  </si>
  <si>
    <t>O1</t>
  </si>
  <si>
    <t>P2</t>
  </si>
  <si>
    <t>K1</t>
  </si>
  <si>
    <t>L1</t>
  </si>
  <si>
    <t>Q1</t>
  </si>
  <si>
    <t>G2</t>
  </si>
  <si>
    <t>E2</t>
  </si>
  <si>
    <t>I'1</t>
  </si>
  <si>
    <t>G10-2</t>
  </si>
  <si>
    <t>G5</t>
  </si>
  <si>
    <t>A4</t>
  </si>
  <si>
    <t>G10-7</t>
  </si>
  <si>
    <t>G10-9</t>
  </si>
  <si>
    <t>Alkali Feldpars</t>
  </si>
  <si>
    <t>Plagioclase</t>
  </si>
  <si>
    <t>Alkali Feldspars</t>
  </si>
  <si>
    <t>Alkali Feldspar Cation proportions</t>
  </si>
  <si>
    <t>Alkali Feldspar Cation fractions</t>
  </si>
  <si>
    <t>delta-a(Or)</t>
  </si>
  <si>
    <t>delta-a(Ab)</t>
  </si>
  <si>
    <t>delta-a(An)</t>
  </si>
  <si>
    <t>T (C)</t>
  </si>
  <si>
    <t>T(C )</t>
  </si>
  <si>
    <t>Measured</t>
  </si>
  <si>
    <t>Tests for Equilibrium (Based on Elkins and Grove, 1990)</t>
  </si>
  <si>
    <t xml:space="preserve"> (42 Experiments)</t>
  </si>
  <si>
    <t>Predicted</t>
  </si>
  <si>
    <t>total</t>
  </si>
  <si>
    <t>T(K)</t>
  </si>
  <si>
    <t>Mol. Wts.</t>
  </si>
  <si>
    <t xml:space="preserve">MgO   </t>
  </si>
  <si>
    <t xml:space="preserve">CaO   </t>
  </si>
  <si>
    <t>AlO3 /2</t>
  </si>
  <si>
    <t>NaO 0.5</t>
  </si>
  <si>
    <t xml:space="preserve">KO 0.5  </t>
  </si>
  <si>
    <t xml:space="preserve">CrO3/2 </t>
  </si>
  <si>
    <t>Cation Fraction/Component Calculations</t>
  </si>
  <si>
    <t>W Or-An</t>
  </si>
  <si>
    <t>W An-Or</t>
  </si>
  <si>
    <t>W Ab-Or-An</t>
  </si>
  <si>
    <t>Elkins and Grove (1990) Ternary Feldspar Model</t>
  </si>
  <si>
    <t>Plagioclase Feldspar</t>
  </si>
  <si>
    <t>Feldspar Activities</t>
  </si>
  <si>
    <t>a(plag) - a(afs)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</si>
</sst>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0"/>
    <numFmt numFmtId="167" formatCode="0.00000000000"/>
    <numFmt numFmtId="168" formatCode="0.000000"/>
    <numFmt numFmtId="169" formatCode="0.0000000"/>
  </numFmts>
  <fonts count="17">
    <font>
      <sz val="10"/>
      <name val="Geneva"/>
    </font>
    <font>
      <sz val="8"/>
      <name val="Verdana"/>
      <family val="2"/>
    </font>
    <font>
      <sz val="11"/>
      <color indexed="8"/>
      <name val="Verdana"/>
      <family val="2"/>
    </font>
    <font>
      <sz val="10"/>
      <color indexed="8"/>
      <name val="Verdana"/>
      <family val="2"/>
    </font>
    <font>
      <b/>
      <sz val="18"/>
      <color indexed="8"/>
      <name val="Verdana"/>
      <family val="2"/>
    </font>
    <font>
      <sz val="18"/>
      <color indexed="8"/>
      <name val="Verdana"/>
      <family val="2"/>
    </font>
    <font>
      <sz val="14"/>
      <color indexed="8"/>
      <name val="Verdana"/>
      <family val="2"/>
    </font>
    <font>
      <b/>
      <sz val="11"/>
      <color indexed="8"/>
      <name val="Verdana"/>
      <family val="2"/>
    </font>
    <font>
      <b/>
      <sz val="16"/>
      <name val="Verdana"/>
      <family val="2"/>
    </font>
    <font>
      <sz val="10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8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10"/>
      <color indexed="8"/>
      <name val="Verdana"/>
      <family val="2"/>
    </font>
    <font>
      <sz val="12"/>
      <color indexed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/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9" fillId="0" borderId="4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14" fontId="9" fillId="0" borderId="0" xfId="0" applyNumberFormat="1" applyFont="1" applyFill="1" applyAlignment="1">
      <alignment horizontal="left"/>
    </xf>
    <xf numFmtId="0" fontId="9" fillId="0" borderId="6" xfId="0" applyFont="1" applyFill="1" applyBorder="1"/>
    <xf numFmtId="0" fontId="9" fillId="0" borderId="3" xfId="0" applyFont="1" applyFill="1" applyBorder="1"/>
    <xf numFmtId="0" fontId="9" fillId="0" borderId="7" xfId="0" applyFont="1" applyFill="1" applyBorder="1"/>
    <xf numFmtId="0" fontId="12" fillId="0" borderId="0" xfId="0" applyFont="1" applyFill="1" applyAlignment="1">
      <alignment horizontal="left"/>
    </xf>
    <xf numFmtId="0" fontId="9" fillId="0" borderId="8" xfId="0" applyFont="1" applyFill="1" applyBorder="1"/>
    <xf numFmtId="0" fontId="9" fillId="0" borderId="0" xfId="0" applyFont="1" applyFill="1" applyBorder="1"/>
    <xf numFmtId="0" fontId="9" fillId="0" borderId="2" xfId="0" applyFont="1" applyFill="1" applyBorder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/>
    <xf numFmtId="0" fontId="14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/>
    <xf numFmtId="14" fontId="13" fillId="0" borderId="0" xfId="0" applyNumberFormat="1" applyFont="1" applyFill="1" applyAlignment="1">
      <alignment horizontal="left"/>
    </xf>
    <xf numFmtId="0" fontId="13" fillId="0" borderId="9" xfId="0" applyFont="1" applyFill="1" applyBorder="1"/>
    <xf numFmtId="0" fontId="9" fillId="0" borderId="9" xfId="0" applyFont="1" applyFill="1" applyBorder="1"/>
    <xf numFmtId="164" fontId="9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7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2" fillId="2" borderId="0" xfId="0" applyFont="1" applyFill="1"/>
    <xf numFmtId="0" fontId="3" fillId="0" borderId="10" xfId="0" applyFont="1" applyFill="1" applyBorder="1"/>
    <xf numFmtId="0" fontId="9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4" fillId="0" borderId="0" xfId="0" applyFont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165" fontId="9" fillId="3" borderId="0" xfId="0" applyNumberFormat="1" applyFont="1" applyFill="1" applyAlignment="1">
      <alignment horizontal="center"/>
    </xf>
    <xf numFmtId="0" fontId="11" fillId="3" borderId="9" xfId="0" applyFont="1" applyFill="1" applyBorder="1"/>
    <xf numFmtId="0" fontId="9" fillId="3" borderId="9" xfId="0" applyFont="1" applyFill="1" applyBorder="1"/>
    <xf numFmtId="0" fontId="9" fillId="3" borderId="0" xfId="0" applyFont="1" applyFill="1"/>
    <xf numFmtId="0" fontId="13" fillId="3" borderId="0" xfId="0" applyFont="1" applyFill="1"/>
    <xf numFmtId="0" fontId="9" fillId="3" borderId="3" xfId="0" applyFont="1" applyFill="1" applyBorder="1" applyAlignment="1">
      <alignment horizontal="center"/>
    </xf>
    <xf numFmtId="166" fontId="9" fillId="3" borderId="0" xfId="0" applyNumberFormat="1" applyFont="1" applyFill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2" fontId="9" fillId="3" borderId="0" xfId="0" applyNumberFormat="1" applyFont="1" applyFill="1"/>
    <xf numFmtId="0" fontId="14" fillId="3" borderId="9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9" fillId="4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165" fontId="9" fillId="5" borderId="0" xfId="0" applyNumberFormat="1" applyFont="1" applyFill="1" applyAlignment="1">
      <alignment horizontal="center"/>
    </xf>
    <xf numFmtId="166" fontId="9" fillId="5" borderId="0" xfId="0" applyNumberFormat="1" applyFont="1" applyFill="1" applyAlignment="1">
      <alignment horizontal="center"/>
    </xf>
    <xf numFmtId="2" fontId="9" fillId="5" borderId="0" xfId="0" applyNumberFormat="1" applyFont="1" applyFill="1" applyBorder="1" applyAlignment="1">
      <alignment horizontal="center"/>
    </xf>
    <xf numFmtId="2" fontId="9" fillId="5" borderId="0" xfId="0" applyNumberFormat="1" applyFont="1" applyFill="1"/>
    <xf numFmtId="0" fontId="13" fillId="5" borderId="0" xfId="0" applyFont="1" applyFill="1" applyAlignment="1">
      <alignment horizontal="center"/>
    </xf>
    <xf numFmtId="164" fontId="9" fillId="5" borderId="0" xfId="0" applyNumberFormat="1" applyFont="1" applyFill="1" applyAlignment="1">
      <alignment horizontal="left"/>
    </xf>
    <xf numFmtId="0" fontId="9" fillId="6" borderId="0" xfId="0" applyFont="1" applyFill="1"/>
    <xf numFmtId="0" fontId="13" fillId="6" borderId="0" xfId="0" applyFont="1" applyFill="1"/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65" fontId="13" fillId="3" borderId="0" xfId="0" applyNumberFormat="1" applyFont="1" applyFill="1" applyAlignment="1">
      <alignment horizontal="center"/>
    </xf>
    <xf numFmtId="166" fontId="13" fillId="3" borderId="0" xfId="0" applyNumberFormat="1" applyFont="1" applyFill="1" applyAlignment="1">
      <alignment horizontal="center"/>
    </xf>
    <xf numFmtId="2" fontId="13" fillId="3" borderId="0" xfId="0" applyNumberFormat="1" applyFont="1" applyFill="1" applyBorder="1" applyAlignment="1">
      <alignment horizontal="center"/>
    </xf>
    <xf numFmtId="2" fontId="13" fillId="3" borderId="0" xfId="0" applyNumberFormat="1" applyFont="1" applyFill="1"/>
    <xf numFmtId="0" fontId="13" fillId="0" borderId="0" xfId="0" applyFont="1"/>
    <xf numFmtId="164" fontId="13" fillId="0" borderId="0" xfId="0" applyNumberFormat="1" applyFont="1" applyFill="1" applyAlignment="1">
      <alignment horizontal="left"/>
    </xf>
    <xf numFmtId="167" fontId="13" fillId="0" borderId="0" xfId="0" applyNumberFormat="1" applyFont="1" applyFill="1" applyAlignment="1">
      <alignment horizontal="center"/>
    </xf>
    <xf numFmtId="168" fontId="13" fillId="6" borderId="0" xfId="0" applyNumberFormat="1" applyFont="1" applyFill="1"/>
    <xf numFmtId="168" fontId="9" fillId="6" borderId="0" xfId="0" applyNumberFormat="1" applyFont="1" applyFill="1"/>
    <xf numFmtId="169" fontId="13" fillId="6" borderId="0" xfId="0" applyNumberFormat="1" applyFont="1" applyFill="1"/>
    <xf numFmtId="166" fontId="13" fillId="0" borderId="0" xfId="0" applyNumberFormat="1" applyFont="1" applyFill="1"/>
    <xf numFmtId="168" fontId="13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518795</xdr:colOff>
      <xdr:row>2</xdr:row>
      <xdr:rowOff>78105</xdr:rowOff>
    </xdr:from>
    <xdr:to>
      <xdr:col>9</xdr:col>
      <xdr:colOff>244468</xdr:colOff>
      <xdr:row>48</xdr:row>
      <xdr:rowOff>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B310F5-31A8-4D64-B3AC-3826C8583A95}"/>
            </a:ext>
          </a:extLst>
        </xdr:cNvPr>
        <xdr:cNvSpPr txBox="1"/>
      </xdr:nvSpPr>
      <xdr:spPr>
        <a:xfrm>
          <a:off x="774700" y="431800"/>
          <a:ext cx="8153400" cy="749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600" b="1" i="1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Instructions for Estimating T Using Two-Feldspar Thermometers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For details and references see: Putirka, K. (2008) Thermometers and Barometers for Volcanic Systems. In: Putirka, K., Tepley, F. (Eds.), Minerals, Inclusions and Volcanic Processes, Reviews in Mineralogy and Geochemistry, Mineralogical Soc. Am., v. 69, pp. 61-120.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Input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Enter an alkali feldspar composition in columns F - O and a plagioclase composition in columns R – AA.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Settings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Some calculations in this workbook require numerical solutions; please check that under Excel – Preferences – Calculations, that “Iterative” calculations are allowed, otherwise Excel will report a “Circular reference” error in some cases.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P-T calculations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Results from two-feldspar thermometers are given in columns AD – AF. The models are P-sensitive, so require an input P, in column C.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Tests for equilibrium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As a test for equilibrium, one can compare the activities between those calculated for alkali and plagioclase feldspar, using the models of Elkins and Grove (1990) (columns AX – AZ). These should nominally be zero, but tests are required to determine whether this measure of equilibrium is effective at reducing error for T calculated using experimental data.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11.44140625" defaultRowHeight="13.2"/>
  <sheetData/>
  <phoneticPr fontId="1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46"/>
  <sheetViews>
    <sheetView tabSelected="1" topLeftCell="AK3" workbookViewId="0">
      <selection activeCell="AX16" sqref="AX16:AZ31"/>
    </sheetView>
  </sheetViews>
  <sheetFormatPr defaultColWidth="11.44140625" defaultRowHeight="16.2"/>
  <cols>
    <col min="1" max="1" width="26.6640625" style="9" customWidth="1"/>
    <col min="2" max="2" width="17" style="9" customWidth="1"/>
    <col min="3" max="4" width="17.44140625" style="9" customWidth="1"/>
    <col min="5" max="5" width="8.88671875" style="9" customWidth="1"/>
    <col min="6" max="6" width="9" style="9" customWidth="1"/>
    <col min="7" max="7" width="9.33203125" style="9" customWidth="1"/>
    <col min="8" max="8" width="10.33203125" style="9" customWidth="1"/>
    <col min="9" max="9" width="11.88671875" style="9" customWidth="1"/>
    <col min="10" max="15" width="7.88671875" style="9" customWidth="1"/>
    <col min="16" max="17" width="7.5546875" style="9" customWidth="1"/>
    <col min="18" max="19" width="7" style="9" customWidth="1"/>
    <col min="20" max="20" width="8.88671875" style="9" customWidth="1"/>
    <col min="21" max="21" width="14.33203125" style="9" customWidth="1"/>
    <col min="22" max="27" width="7" style="9" customWidth="1"/>
    <col min="28" max="29" width="6.6640625" style="11" customWidth="1"/>
    <col min="30" max="30" width="20.33203125" style="9" customWidth="1"/>
    <col min="31" max="31" width="21.6640625" style="9" customWidth="1"/>
    <col min="32" max="32" width="20.33203125" style="9" customWidth="1"/>
    <col min="33" max="33" width="6.6640625" style="11" customWidth="1"/>
    <col min="34" max="36" width="7.88671875" style="11" customWidth="1"/>
    <col min="37" max="37" width="3.33203125" style="11" customWidth="1"/>
    <col min="38" max="38" width="6" style="11" customWidth="1"/>
    <col min="39" max="39" width="6.6640625" style="11" customWidth="1"/>
    <col min="40" max="40" width="8.88671875" style="11" customWidth="1"/>
    <col min="41" max="41" width="2.5546875" style="11" customWidth="1"/>
    <col min="42" max="44" width="8.5546875" style="11" customWidth="1"/>
    <col min="45" max="45" width="2.44140625" style="11" customWidth="1"/>
    <col min="46" max="48" width="8.5546875" style="11" customWidth="1"/>
    <col min="49" max="49" width="12.44140625" style="11" customWidth="1"/>
    <col min="50" max="50" width="20" style="11" customWidth="1"/>
    <col min="51" max="51" width="20.33203125" style="11" customWidth="1"/>
    <col min="52" max="52" width="14.88671875" style="11" customWidth="1"/>
    <col min="53" max="54" width="9.5546875" style="11" customWidth="1"/>
    <col min="55" max="55" width="2.33203125" style="11" customWidth="1"/>
    <col min="56" max="56" width="9.5546875" style="13" customWidth="1"/>
    <col min="57" max="57" width="6.44140625" style="12" customWidth="1"/>
    <col min="58" max="58" width="6.5546875" style="14" customWidth="1"/>
    <col min="59" max="61" width="11.44140625" style="11"/>
    <col min="62" max="62" width="12.33203125" style="11" customWidth="1"/>
    <col min="63" max="63" width="10.109375" style="11" customWidth="1"/>
    <col min="64" max="67" width="6.109375" style="11" customWidth="1"/>
    <col min="68" max="68" width="11.21875" style="11" customWidth="1"/>
    <col min="69" max="69" width="11" style="11" customWidth="1"/>
    <col min="70" max="70" width="12.5546875" style="11" customWidth="1"/>
    <col min="71" max="72" width="10.5546875" style="11" customWidth="1"/>
    <col min="73" max="73" width="17.109375" style="79" customWidth="1"/>
    <col min="74" max="74" width="15.88671875" style="79" customWidth="1"/>
    <col min="75" max="75" width="19.5546875" style="79" customWidth="1"/>
    <col min="76" max="76" width="18.5546875" style="79" customWidth="1"/>
    <col min="77" max="77" width="14.44140625" style="79" customWidth="1"/>
    <col min="78" max="78" width="16.6640625" style="79" customWidth="1"/>
    <col min="79" max="79" width="14.44140625" style="79" customWidth="1"/>
    <col min="80" max="80" width="18" style="79" customWidth="1"/>
    <col min="81" max="81" width="11" style="79" customWidth="1"/>
    <col min="82" max="82" width="0.88671875" style="11" customWidth="1"/>
    <col min="83" max="83" width="7.6640625" style="11" customWidth="1"/>
    <col min="84" max="84" width="6.33203125" style="11" customWidth="1"/>
    <col min="85" max="85" width="5.6640625" style="11" customWidth="1"/>
    <col min="86" max="86" width="8.6640625" style="11" customWidth="1"/>
    <col min="87" max="87" width="7" style="11" customWidth="1"/>
    <col min="88" max="89" width="4.6640625" style="11" customWidth="1"/>
    <col min="90" max="90" width="9.44140625" style="11" customWidth="1"/>
    <col min="91" max="93" width="5.88671875" style="11" customWidth="1"/>
    <col min="94" max="94" width="14" style="11" customWidth="1"/>
    <col min="95" max="97" width="10.109375" style="11" customWidth="1"/>
    <col min="98" max="98" width="5.88671875" style="11" customWidth="1"/>
    <col min="99" max="99" width="7.88671875" style="11" customWidth="1"/>
    <col min="100" max="100" width="10.88671875" style="11" customWidth="1"/>
    <col min="101" max="103" width="5.88671875" style="11" customWidth="1"/>
    <col min="104" max="104" width="15.33203125" style="11" customWidth="1"/>
    <col min="105" max="105" width="9.33203125" style="11" customWidth="1"/>
    <col min="106" max="106" width="13.5546875" style="11" customWidth="1"/>
    <col min="107" max="107" width="18.77734375" style="11" customWidth="1"/>
    <col min="108" max="116" width="5.88671875" style="11" customWidth="1"/>
    <col min="117" max="117" width="11.44140625" style="11" customWidth="1"/>
    <col min="118" max="126" width="5.88671875" style="11" customWidth="1"/>
    <col min="127" max="127" width="19.33203125" style="11" customWidth="1"/>
    <col min="128" max="128" width="5.88671875" style="11" customWidth="1"/>
    <col min="129" max="139" width="7.88671875" style="9" customWidth="1"/>
    <col min="140" max="140" width="2.88671875" style="9" customWidth="1"/>
    <col min="141" max="141" width="10.88671875" style="9" customWidth="1"/>
    <col min="142" max="150" width="7.88671875" style="9" customWidth="1"/>
    <col min="151" max="152" width="5.88671875" style="9" customWidth="1"/>
    <col min="153" max="153" width="10.5546875" style="9" customWidth="1"/>
    <col min="154" max="154" width="5.88671875" style="9" customWidth="1"/>
    <col min="155" max="155" width="6.6640625" style="11" customWidth="1"/>
    <col min="156" max="160" width="8.6640625" style="11" customWidth="1"/>
    <col min="161" max="163" width="9" style="11" customWidth="1"/>
    <col min="164" max="165" width="11.33203125" style="11" customWidth="1"/>
    <col min="166" max="166" width="7.6640625" style="11" customWidth="1"/>
    <col min="167" max="167" width="11.5546875" style="18" customWidth="1"/>
    <col min="168" max="168" width="8" style="11" customWidth="1"/>
    <col min="169" max="169" width="6.6640625" style="11" customWidth="1"/>
    <col min="170" max="178" width="5.6640625" style="11" customWidth="1"/>
    <col min="179" max="179" width="1.44140625" style="11" customWidth="1"/>
    <col min="180" max="180" width="5.6640625" style="11" customWidth="1"/>
    <col min="181" max="181" width="6.5546875" style="11" customWidth="1"/>
    <col min="182" max="183" width="5.6640625" style="11" customWidth="1"/>
    <col min="184" max="184" width="0.88671875" style="11" customWidth="1"/>
    <col min="185" max="189" width="11.44140625" style="11"/>
    <col min="190" max="190" width="2" style="11" customWidth="1"/>
    <col min="191" max="16384" width="11.44140625" style="11"/>
  </cols>
  <sheetData>
    <row r="1" spans="1:196" ht="22.2">
      <c r="A1" s="1" t="s">
        <v>4</v>
      </c>
      <c r="B1" s="8"/>
      <c r="E1" s="8"/>
      <c r="AY1" s="12"/>
      <c r="AZ1" s="12"/>
      <c r="BA1" s="12"/>
      <c r="BK1" s="15"/>
      <c r="BL1" s="16" t="s">
        <v>3</v>
      </c>
      <c r="BM1" s="16"/>
      <c r="BN1" s="16"/>
      <c r="BO1" s="16"/>
      <c r="BP1" s="16" t="s">
        <v>3</v>
      </c>
      <c r="BQ1" s="16"/>
      <c r="BR1" s="17"/>
    </row>
    <row r="2" spans="1:196">
      <c r="A2" s="2"/>
      <c r="B2" s="10"/>
      <c r="E2" s="10"/>
      <c r="AY2" s="12"/>
      <c r="AZ2" s="12"/>
      <c r="BA2" s="12"/>
      <c r="BK2" s="19"/>
      <c r="BL2" s="20" t="s">
        <v>73</v>
      </c>
      <c r="BM2" s="20"/>
      <c r="BN2" s="20"/>
      <c r="BO2" s="20"/>
      <c r="BP2" s="20" t="s">
        <v>74</v>
      </c>
      <c r="BQ2" s="20"/>
      <c r="BR2" s="21"/>
    </row>
    <row r="3" spans="1:196" ht="22.2">
      <c r="A3" s="3" t="s">
        <v>5</v>
      </c>
      <c r="B3" s="22"/>
      <c r="E3" s="22"/>
      <c r="AY3" s="12"/>
      <c r="AZ3" s="12"/>
      <c r="BA3" s="12"/>
      <c r="BK3" s="23"/>
      <c r="BL3" s="24" t="s">
        <v>75</v>
      </c>
      <c r="BM3" s="24" t="s">
        <v>76</v>
      </c>
      <c r="BN3" s="24" t="s">
        <v>77</v>
      </c>
      <c r="BO3" s="24"/>
      <c r="BP3" s="24" t="s">
        <v>75</v>
      </c>
      <c r="BQ3" s="24" t="s">
        <v>76</v>
      </c>
      <c r="BR3" s="25" t="s">
        <v>77</v>
      </c>
    </row>
    <row r="4" spans="1:196" ht="22.2">
      <c r="A4" s="3" t="s">
        <v>6</v>
      </c>
      <c r="B4" s="26"/>
      <c r="E4" s="26"/>
      <c r="BJ4" s="11">
        <v>4</v>
      </c>
      <c r="BK4" s="23" t="s">
        <v>48</v>
      </c>
      <c r="BL4" s="24">
        <v>18810</v>
      </c>
      <c r="BM4" s="24">
        <v>10.3</v>
      </c>
      <c r="BN4" s="24">
        <v>0.39400000000000002</v>
      </c>
      <c r="BO4" s="24"/>
      <c r="BP4" s="24">
        <v>19550</v>
      </c>
      <c r="BQ4" s="24">
        <v>10.5</v>
      </c>
      <c r="BR4" s="25">
        <v>0.32700000000000001</v>
      </c>
    </row>
    <row r="5" spans="1:196">
      <c r="A5" s="2"/>
      <c r="B5" s="10"/>
      <c r="E5" s="10"/>
      <c r="BJ5" s="11">
        <v>5</v>
      </c>
      <c r="BK5" s="23" t="s">
        <v>49</v>
      </c>
      <c r="BL5" s="24">
        <v>27320</v>
      </c>
      <c r="BM5" s="24">
        <v>10.3</v>
      </c>
      <c r="BN5" s="24">
        <v>0.39400000000000002</v>
      </c>
      <c r="BO5" s="24"/>
      <c r="BP5" s="24">
        <v>22820</v>
      </c>
      <c r="BQ5" s="24">
        <v>6.3</v>
      </c>
      <c r="BR5" s="25">
        <v>0.46100000000000002</v>
      </c>
    </row>
    <row r="6" spans="1:196" ht="17.399999999999999">
      <c r="A6" s="4" t="s">
        <v>0</v>
      </c>
      <c r="B6" s="11"/>
      <c r="E6" s="11"/>
      <c r="BJ6" s="11">
        <v>6</v>
      </c>
      <c r="BK6" s="23" t="s">
        <v>50</v>
      </c>
      <c r="BL6" s="24">
        <v>28226</v>
      </c>
      <c r="BM6" s="24"/>
      <c r="BN6" s="24"/>
      <c r="BO6" s="24"/>
      <c r="BP6" s="24">
        <v>31000</v>
      </c>
      <c r="BQ6" s="24">
        <v>4.5</v>
      </c>
      <c r="BR6" s="25">
        <v>6.9000000000000006E-2</v>
      </c>
    </row>
    <row r="7" spans="1:196" ht="17.399999999999999">
      <c r="A7" s="4" t="s">
        <v>1</v>
      </c>
      <c r="B7" s="26"/>
      <c r="E7" s="26"/>
      <c r="BJ7" s="11">
        <v>7</v>
      </c>
      <c r="BK7" s="23" t="s">
        <v>64</v>
      </c>
      <c r="BL7" s="24">
        <v>8471</v>
      </c>
      <c r="BM7" s="24"/>
      <c r="BN7" s="24"/>
      <c r="BO7" s="24"/>
      <c r="BP7" s="24">
        <v>9800</v>
      </c>
      <c r="BQ7" s="24">
        <v>-1.7</v>
      </c>
      <c r="BR7" s="25">
        <v>-4.9000000000000002E-2</v>
      </c>
    </row>
    <row r="8" spans="1:196" ht="17.399999999999999">
      <c r="A8" s="4" t="s">
        <v>2</v>
      </c>
      <c r="B8" s="26"/>
      <c r="E8" s="26"/>
      <c r="AD8" s="69" t="s">
        <v>29</v>
      </c>
      <c r="AE8" s="68"/>
      <c r="AF8" s="68"/>
      <c r="AG8" s="70"/>
      <c r="AH8" s="70"/>
      <c r="BJ8" s="11">
        <v>8</v>
      </c>
      <c r="BK8" s="23" t="s">
        <v>120</v>
      </c>
      <c r="BL8" s="24">
        <v>47396</v>
      </c>
      <c r="BM8" s="24"/>
      <c r="BN8" s="24"/>
      <c r="BO8" s="24"/>
      <c r="BP8" s="24">
        <v>90600</v>
      </c>
      <c r="BQ8" s="24">
        <v>29.5</v>
      </c>
      <c r="BR8" s="25">
        <v>-0.25700000000000001</v>
      </c>
    </row>
    <row r="9" spans="1:196">
      <c r="A9" s="26"/>
      <c r="B9" s="26"/>
      <c r="E9" s="26"/>
      <c r="AD9" s="69" t="s">
        <v>14</v>
      </c>
      <c r="AE9" s="68"/>
      <c r="AF9" s="68"/>
      <c r="AG9" s="70"/>
      <c r="AH9" s="70"/>
      <c r="BJ9" s="11">
        <v>9</v>
      </c>
      <c r="BK9" s="23" t="s">
        <v>121</v>
      </c>
      <c r="BL9" s="24">
        <v>52468</v>
      </c>
      <c r="BM9" s="24"/>
      <c r="BN9" s="24">
        <v>-0.12</v>
      </c>
      <c r="BO9" s="24"/>
      <c r="BP9" s="24">
        <v>60300</v>
      </c>
      <c r="BQ9" s="24">
        <v>11.2</v>
      </c>
      <c r="BR9" s="25">
        <v>-0.21</v>
      </c>
      <c r="DY9" s="10" t="s">
        <v>119</v>
      </c>
    </row>
    <row r="10" spans="1:196">
      <c r="AD10" s="69" t="s">
        <v>30</v>
      </c>
      <c r="AE10" s="68"/>
      <c r="AF10" s="68"/>
      <c r="AG10" s="70"/>
      <c r="AH10" s="70"/>
      <c r="BJ10" s="11">
        <v>10</v>
      </c>
      <c r="BK10" s="19" t="s">
        <v>122</v>
      </c>
      <c r="BL10" s="20">
        <v>8700</v>
      </c>
      <c r="BM10" s="20"/>
      <c r="BN10" s="20">
        <v>-1.0940000000000001</v>
      </c>
      <c r="BO10" s="20"/>
      <c r="BP10" s="20">
        <v>8000</v>
      </c>
      <c r="BQ10" s="20">
        <v>0</v>
      </c>
      <c r="BR10" s="21">
        <v>-0.46700000000000003</v>
      </c>
    </row>
    <row r="11" spans="1:196" ht="17.399999999999999">
      <c r="C11" s="65" t="s">
        <v>10</v>
      </c>
      <c r="D11" s="5"/>
      <c r="F11" s="64" t="s">
        <v>27</v>
      </c>
      <c r="G11" s="44"/>
      <c r="H11" s="44"/>
      <c r="I11" s="45"/>
      <c r="R11" s="64" t="s">
        <v>28</v>
      </c>
      <c r="S11" s="46"/>
      <c r="T11" s="46"/>
      <c r="U11" s="45"/>
      <c r="BD11" s="9"/>
      <c r="BF11" s="29"/>
      <c r="DY11" s="11" t="s">
        <v>112</v>
      </c>
    </row>
    <row r="12" spans="1:196" ht="18" thickBot="1">
      <c r="C12" s="66" t="s">
        <v>11</v>
      </c>
      <c r="D12" s="6"/>
      <c r="R12" s="10"/>
      <c r="AD12" s="63" t="s">
        <v>45</v>
      </c>
      <c r="AE12" s="53"/>
      <c r="AF12" s="53"/>
      <c r="BD12" s="9"/>
      <c r="BF12" s="29"/>
      <c r="BK12" s="48" t="s">
        <v>33</v>
      </c>
      <c r="BL12" s="12"/>
      <c r="BM12" s="12"/>
      <c r="BN12" s="12"/>
      <c r="BO12" s="12"/>
      <c r="BP12" s="12"/>
      <c r="BQ12" s="12"/>
      <c r="BR12" s="12"/>
      <c r="BS12" s="12"/>
      <c r="BT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U12" s="28" t="s">
        <v>34</v>
      </c>
      <c r="DO12" s="12"/>
      <c r="DP12" s="12"/>
      <c r="DQ12" s="12"/>
      <c r="DR12" s="12"/>
      <c r="DS12" s="12"/>
      <c r="DT12" s="12"/>
      <c r="DU12" s="12"/>
      <c r="DV12" s="12"/>
      <c r="DW12" s="12"/>
      <c r="DY12" s="11">
        <f>28.0855+2*15.9994</f>
        <v>60.084299999999999</v>
      </c>
      <c r="DZ12" s="11">
        <f>47.88+2*15.9994</f>
        <v>79.878799999999998</v>
      </c>
      <c r="EA12" s="11">
        <f>2*26.981539+3*15.9994</f>
        <v>101.96127799999999</v>
      </c>
      <c r="EB12" s="11">
        <f>55.847+15.9994</f>
        <v>71.846400000000003</v>
      </c>
      <c r="EC12" s="11">
        <f>54.93805+15.9994</f>
        <v>70.937449999999998</v>
      </c>
      <c r="ED12" s="11">
        <f>24.305+15.9994</f>
        <v>40.304400000000001</v>
      </c>
      <c r="EE12" s="11">
        <f>40.078+15.9994</f>
        <v>56.077400000000004</v>
      </c>
      <c r="EF12" s="11">
        <f>2*22.989768+15.9994</f>
        <v>61.978936000000004</v>
      </c>
      <c r="EG12" s="11">
        <f>2*39.0983+15.9994</f>
        <v>94.195999999999998</v>
      </c>
      <c r="EH12" s="11">
        <f>2*51.9961+3*15.9994</f>
        <v>151.99039999999999</v>
      </c>
      <c r="EI12" s="11"/>
      <c r="EJ12" s="11"/>
      <c r="EK12" s="11"/>
      <c r="EL12" s="11"/>
      <c r="EM12" s="11"/>
      <c r="EN12" s="11"/>
      <c r="EO12" s="11"/>
      <c r="EP12" s="11"/>
      <c r="EQ12" s="11"/>
      <c r="EY12" s="11" t="s">
        <v>112</v>
      </c>
      <c r="EZ12" s="11">
        <f>28.0855+2*15.9994</f>
        <v>60.084299999999999</v>
      </c>
      <c r="FA12" s="11">
        <f>47.88+2*15.9994</f>
        <v>79.878799999999998</v>
      </c>
      <c r="FB12" s="11">
        <f>2*26.981539+3*15.9994</f>
        <v>101.96127799999999</v>
      </c>
      <c r="FC12" s="11">
        <f>55.847+15.9994</f>
        <v>71.846400000000003</v>
      </c>
      <c r="FD12" s="11">
        <f>54.93805+15.9994</f>
        <v>70.937449999999998</v>
      </c>
      <c r="FE12" s="11">
        <f>24.305+15.9994</f>
        <v>40.304400000000001</v>
      </c>
      <c r="FF12" s="11">
        <f>40.078+15.9994</f>
        <v>56.077400000000004</v>
      </c>
      <c r="FG12" s="11">
        <f>2*22.989768+15.9994</f>
        <v>61.978936000000004</v>
      </c>
      <c r="FH12" s="11">
        <f>2*39.0983+15.9994</f>
        <v>94.195999999999998</v>
      </c>
      <c r="FI12" s="11">
        <f>2*51.9961+3*15.9994</f>
        <v>151.99039999999999</v>
      </c>
    </row>
    <row r="13" spans="1:196" ht="16.8" thickBot="1">
      <c r="A13" s="2" t="s">
        <v>7</v>
      </c>
      <c r="B13" s="36"/>
      <c r="C13" s="67" t="s">
        <v>12</v>
      </c>
      <c r="D13" s="37" t="s">
        <v>13</v>
      </c>
      <c r="E13" s="27"/>
      <c r="F13" s="27" t="s">
        <v>96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10"/>
      <c r="AD13" s="51"/>
      <c r="AE13" s="51"/>
      <c r="AF13" s="51" t="s">
        <v>44</v>
      </c>
      <c r="AH13" s="55" t="s">
        <v>46</v>
      </c>
      <c r="AI13" s="56"/>
      <c r="AJ13" s="56"/>
      <c r="AK13" s="56"/>
      <c r="AL13" s="56"/>
      <c r="AM13" s="56"/>
      <c r="AN13" s="56"/>
      <c r="AO13" s="57"/>
      <c r="AP13" s="55" t="s">
        <v>125</v>
      </c>
      <c r="AQ13" s="56"/>
      <c r="AR13" s="56"/>
      <c r="AS13" s="56"/>
      <c r="AT13" s="56"/>
      <c r="AU13" s="56"/>
      <c r="AV13" s="56"/>
      <c r="AX13" s="55" t="s">
        <v>107</v>
      </c>
      <c r="AY13" s="56"/>
      <c r="AZ13" s="56"/>
      <c r="BD13" s="9"/>
      <c r="BF13" s="29"/>
      <c r="BG13" s="30" t="s">
        <v>97</v>
      </c>
      <c r="BK13" s="11" t="s">
        <v>123</v>
      </c>
      <c r="BQ13" s="12"/>
      <c r="BR13" s="12"/>
      <c r="BS13" s="12"/>
      <c r="BT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P13" s="9"/>
      <c r="CQ13" s="30" t="s">
        <v>98</v>
      </c>
      <c r="CU13" s="11" t="s">
        <v>123</v>
      </c>
      <c r="DO13" s="12"/>
      <c r="DP13" s="12"/>
      <c r="DQ13" s="12"/>
      <c r="DR13" s="12"/>
      <c r="DS13" s="12"/>
      <c r="DT13" s="12"/>
      <c r="DU13" s="12"/>
      <c r="DV13" s="12"/>
      <c r="DW13" s="12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27"/>
      <c r="ES13" s="27"/>
      <c r="ET13" s="27"/>
      <c r="EU13" s="27"/>
      <c r="EV13" s="27"/>
      <c r="EW13" s="27"/>
      <c r="EX13" s="27"/>
    </row>
    <row r="14" spans="1:196" ht="13.8">
      <c r="A14" s="38"/>
      <c r="B14" s="39"/>
      <c r="C14" s="39" t="s">
        <v>15</v>
      </c>
      <c r="D14" s="40"/>
      <c r="F14" s="42" t="s">
        <v>26</v>
      </c>
      <c r="G14" s="43"/>
      <c r="H14" s="43"/>
      <c r="I14" s="43"/>
      <c r="J14" s="43"/>
      <c r="K14" s="43"/>
      <c r="L14" s="43"/>
      <c r="M14" s="43"/>
      <c r="N14" s="43"/>
      <c r="O14" s="43"/>
      <c r="R14" s="42" t="s">
        <v>32</v>
      </c>
      <c r="S14" s="47"/>
      <c r="T14" s="47"/>
      <c r="U14" s="47"/>
      <c r="V14" s="47"/>
      <c r="W14" s="47"/>
      <c r="X14" s="47"/>
      <c r="Y14" s="47"/>
      <c r="Z14" s="47"/>
      <c r="AA14" s="47"/>
      <c r="AD14" s="51" t="s">
        <v>42</v>
      </c>
      <c r="AE14" s="51" t="s">
        <v>43</v>
      </c>
      <c r="AF14" s="52" t="s">
        <v>108</v>
      </c>
      <c r="AH14" s="58" t="s">
        <v>47</v>
      </c>
      <c r="AI14" s="57"/>
      <c r="AJ14" s="57"/>
      <c r="AK14" s="57"/>
      <c r="AL14" s="58" t="s">
        <v>124</v>
      </c>
      <c r="AM14" s="57"/>
      <c r="AN14" s="57"/>
      <c r="AO14" s="57"/>
      <c r="AP14" s="58" t="s">
        <v>47</v>
      </c>
      <c r="AQ14" s="57"/>
      <c r="AR14" s="57"/>
      <c r="AS14" s="57"/>
      <c r="AT14" s="58" t="s">
        <v>124</v>
      </c>
      <c r="AU14" s="57"/>
      <c r="AV14" s="57"/>
      <c r="AX14" s="58" t="s">
        <v>126</v>
      </c>
      <c r="AY14" s="57"/>
      <c r="AZ14" s="57"/>
      <c r="BD14" s="9" t="s">
        <v>109</v>
      </c>
      <c r="BF14" s="29"/>
      <c r="BG14" s="11" t="s">
        <v>55</v>
      </c>
      <c r="BK14" s="11" t="s">
        <v>51</v>
      </c>
      <c r="BU14" s="79" t="s">
        <v>54</v>
      </c>
      <c r="CB14" s="90"/>
      <c r="CE14" s="11" t="s">
        <v>62</v>
      </c>
      <c r="CP14" s="9" t="s">
        <v>38</v>
      </c>
      <c r="CQ14" s="11" t="s">
        <v>55</v>
      </c>
      <c r="CU14" s="11" t="s">
        <v>51</v>
      </c>
      <c r="DE14" s="11" t="s">
        <v>54</v>
      </c>
      <c r="DO14" s="11" t="s">
        <v>62</v>
      </c>
      <c r="DY14" s="11" t="s">
        <v>99</v>
      </c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30" t="s">
        <v>100</v>
      </c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Z14" s="11" t="s">
        <v>57</v>
      </c>
      <c r="FL14" s="30" t="s">
        <v>58</v>
      </c>
      <c r="GC14" s="11" t="s">
        <v>66</v>
      </c>
      <c r="GD14" s="11" t="s">
        <v>66</v>
      </c>
      <c r="GE14" s="11" t="s">
        <v>67</v>
      </c>
      <c r="GI14" s="24" t="s">
        <v>71</v>
      </c>
      <c r="GJ14" s="24"/>
      <c r="GK14" s="24"/>
      <c r="GL14" s="24"/>
      <c r="GN14" s="11" t="s">
        <v>106</v>
      </c>
    </row>
    <row r="15" spans="1:196" ht="14.4" thickBot="1">
      <c r="A15" s="38" t="s">
        <v>8</v>
      </c>
      <c r="B15" s="39" t="s">
        <v>9</v>
      </c>
      <c r="C15" s="41" t="s">
        <v>31</v>
      </c>
      <c r="D15" s="40" t="s">
        <v>104</v>
      </c>
      <c r="F15" s="7" t="s">
        <v>16</v>
      </c>
      <c r="G15" s="7" t="s">
        <v>17</v>
      </c>
      <c r="H15" s="7" t="s">
        <v>18</v>
      </c>
      <c r="I15" s="7" t="s">
        <v>19</v>
      </c>
      <c r="J15" s="7" t="s">
        <v>20</v>
      </c>
      <c r="K15" s="7" t="s">
        <v>21</v>
      </c>
      <c r="L15" s="7" t="s">
        <v>22</v>
      </c>
      <c r="M15" s="7" t="s">
        <v>23</v>
      </c>
      <c r="N15" s="7" t="s">
        <v>24</v>
      </c>
      <c r="O15" s="7" t="s">
        <v>25</v>
      </c>
      <c r="P15" s="29" t="s">
        <v>110</v>
      </c>
      <c r="Q15" s="29"/>
      <c r="R15" s="7" t="s">
        <v>16</v>
      </c>
      <c r="S15" s="7" t="s">
        <v>17</v>
      </c>
      <c r="T15" s="7" t="s">
        <v>18</v>
      </c>
      <c r="U15" s="7" t="s">
        <v>19</v>
      </c>
      <c r="V15" s="7" t="s">
        <v>20</v>
      </c>
      <c r="W15" s="7" t="s">
        <v>21</v>
      </c>
      <c r="X15" s="7" t="s">
        <v>22</v>
      </c>
      <c r="Y15" s="7" t="s">
        <v>23</v>
      </c>
      <c r="Z15" s="7" t="s">
        <v>24</v>
      </c>
      <c r="AA15" s="7" t="s">
        <v>25</v>
      </c>
      <c r="AB15" s="11" t="s">
        <v>110</v>
      </c>
      <c r="AD15" s="53" t="s">
        <v>105</v>
      </c>
      <c r="AE15" s="53" t="s">
        <v>105</v>
      </c>
      <c r="AF15" s="53" t="s">
        <v>105</v>
      </c>
      <c r="AH15" s="59" t="s">
        <v>52</v>
      </c>
      <c r="AI15" s="59" t="s">
        <v>53</v>
      </c>
      <c r="AJ15" s="59" t="s">
        <v>72</v>
      </c>
      <c r="AK15" s="51"/>
      <c r="AL15" s="59" t="s">
        <v>52</v>
      </c>
      <c r="AM15" s="59" t="s">
        <v>53</v>
      </c>
      <c r="AN15" s="59" t="s">
        <v>72</v>
      </c>
      <c r="AO15" s="57"/>
      <c r="AP15" s="59" t="s">
        <v>35</v>
      </c>
      <c r="AQ15" s="59" t="s">
        <v>37</v>
      </c>
      <c r="AR15" s="59" t="s">
        <v>36</v>
      </c>
      <c r="AS15" s="51"/>
      <c r="AT15" s="59" t="s">
        <v>39</v>
      </c>
      <c r="AU15" s="59" t="s">
        <v>41</v>
      </c>
      <c r="AV15" s="59" t="s">
        <v>40</v>
      </c>
      <c r="AX15" s="59" t="s">
        <v>103</v>
      </c>
      <c r="AY15" s="59" t="s">
        <v>102</v>
      </c>
      <c r="AZ15" s="59" t="s">
        <v>101</v>
      </c>
      <c r="BB15" s="11" t="s">
        <v>111</v>
      </c>
      <c r="BD15" s="9" t="s">
        <v>105</v>
      </c>
      <c r="BF15" s="29" t="s">
        <v>111</v>
      </c>
      <c r="BG15" s="29" t="s">
        <v>52</v>
      </c>
      <c r="BH15" s="29" t="s">
        <v>53</v>
      </c>
      <c r="BI15" s="29" t="s">
        <v>72</v>
      </c>
      <c r="BJ15" s="11" t="s">
        <v>110</v>
      </c>
      <c r="BK15" s="11">
        <v>1</v>
      </c>
      <c r="BL15" s="11">
        <v>2</v>
      </c>
      <c r="BM15" s="11">
        <v>3</v>
      </c>
      <c r="BN15" s="11">
        <v>4</v>
      </c>
      <c r="BO15" s="11">
        <v>5</v>
      </c>
      <c r="BP15" s="11">
        <v>6</v>
      </c>
      <c r="BQ15" s="11">
        <v>7</v>
      </c>
      <c r="BR15" s="11" t="s">
        <v>63</v>
      </c>
      <c r="BS15" s="30" t="s">
        <v>41</v>
      </c>
      <c r="BU15" s="79">
        <v>1</v>
      </c>
      <c r="BV15" s="79">
        <v>2</v>
      </c>
      <c r="BW15" s="79">
        <v>3</v>
      </c>
      <c r="BX15" s="79">
        <v>4</v>
      </c>
      <c r="BY15" s="79">
        <v>5</v>
      </c>
      <c r="BZ15" s="79">
        <v>6</v>
      </c>
      <c r="CA15" s="79">
        <v>7</v>
      </c>
      <c r="CB15" s="79" t="s">
        <v>63</v>
      </c>
      <c r="CC15" s="80" t="s">
        <v>39</v>
      </c>
      <c r="CE15" s="11">
        <v>1</v>
      </c>
      <c r="CF15" s="11">
        <v>2</v>
      </c>
      <c r="CG15" s="11">
        <v>3</v>
      </c>
      <c r="CH15" s="11">
        <v>4</v>
      </c>
      <c r="CI15" s="11">
        <v>5</v>
      </c>
      <c r="CJ15" s="11">
        <v>6</v>
      </c>
      <c r="CK15" s="11">
        <v>7</v>
      </c>
      <c r="CL15" s="11" t="s">
        <v>63</v>
      </c>
      <c r="CM15" s="30" t="s">
        <v>40</v>
      </c>
      <c r="CN15" s="30"/>
      <c r="CP15" s="9" t="s">
        <v>111</v>
      </c>
      <c r="CQ15" s="29" t="s">
        <v>52</v>
      </c>
      <c r="CR15" s="29" t="s">
        <v>53</v>
      </c>
      <c r="CS15" s="29" t="s">
        <v>72</v>
      </c>
      <c r="CT15" s="11" t="s">
        <v>110</v>
      </c>
      <c r="CU15" s="11">
        <v>1</v>
      </c>
      <c r="CV15" s="11">
        <v>2</v>
      </c>
      <c r="CW15" s="11">
        <v>3</v>
      </c>
      <c r="CX15" s="11">
        <v>4</v>
      </c>
      <c r="CY15" s="11">
        <v>5</v>
      </c>
      <c r="CZ15" s="11">
        <v>6</v>
      </c>
      <c r="DA15" s="11">
        <v>7</v>
      </c>
      <c r="DB15" s="11" t="s">
        <v>63</v>
      </c>
      <c r="DC15" s="30" t="s">
        <v>37</v>
      </c>
      <c r="DE15" s="11">
        <v>1</v>
      </c>
      <c r="DF15" s="11">
        <v>2</v>
      </c>
      <c r="DG15" s="11">
        <v>3</v>
      </c>
      <c r="DH15" s="11">
        <v>4</v>
      </c>
      <c r="DI15" s="11">
        <v>5</v>
      </c>
      <c r="DJ15" s="11">
        <v>6</v>
      </c>
      <c r="DK15" s="11">
        <v>7</v>
      </c>
      <c r="DL15" s="11" t="s">
        <v>63</v>
      </c>
      <c r="DM15" s="30" t="s">
        <v>35</v>
      </c>
      <c r="DO15" s="11">
        <v>1</v>
      </c>
      <c r="DP15" s="11">
        <v>2</v>
      </c>
      <c r="DQ15" s="11">
        <v>3</v>
      </c>
      <c r="DR15" s="11">
        <v>4</v>
      </c>
      <c r="DS15" s="11">
        <v>5</v>
      </c>
      <c r="DT15" s="11">
        <v>6</v>
      </c>
      <c r="DU15" s="11">
        <v>7</v>
      </c>
      <c r="DV15" s="11" t="s">
        <v>63</v>
      </c>
      <c r="DW15" s="30" t="s">
        <v>36</v>
      </c>
      <c r="DX15" s="30"/>
      <c r="DY15" s="11" t="s">
        <v>59</v>
      </c>
      <c r="DZ15" s="11" t="s">
        <v>56</v>
      </c>
      <c r="EA15" s="11" t="s">
        <v>115</v>
      </c>
      <c r="EB15" s="11" t="s">
        <v>60</v>
      </c>
      <c r="EC15" s="11" t="s">
        <v>61</v>
      </c>
      <c r="ED15" s="11" t="s">
        <v>113</v>
      </c>
      <c r="EE15" s="11" t="s">
        <v>114</v>
      </c>
      <c r="EF15" s="11" t="s">
        <v>116</v>
      </c>
      <c r="EG15" s="11" t="s">
        <v>117</v>
      </c>
      <c r="EH15" s="11" t="s">
        <v>118</v>
      </c>
      <c r="EI15" s="11" t="s">
        <v>110</v>
      </c>
      <c r="EJ15" s="11"/>
      <c r="EK15" s="11" t="s">
        <v>59</v>
      </c>
      <c r="EL15" s="11" t="s">
        <v>56</v>
      </c>
      <c r="EM15" s="11" t="s">
        <v>115</v>
      </c>
      <c r="EN15" s="11" t="s">
        <v>60</v>
      </c>
      <c r="EO15" s="11" t="s">
        <v>61</v>
      </c>
      <c r="EP15" s="11" t="s">
        <v>113</v>
      </c>
      <c r="EQ15" s="11" t="s">
        <v>114</v>
      </c>
      <c r="ER15" s="11" t="s">
        <v>116</v>
      </c>
      <c r="ES15" s="11" t="s">
        <v>117</v>
      </c>
      <c r="ET15" s="11" t="s">
        <v>118</v>
      </c>
      <c r="EU15" s="11" t="s">
        <v>110</v>
      </c>
      <c r="EV15" s="11" t="s">
        <v>52</v>
      </c>
      <c r="EW15" s="11" t="s">
        <v>53</v>
      </c>
      <c r="EX15" s="11" t="s">
        <v>72</v>
      </c>
      <c r="EZ15" s="11" t="s">
        <v>59</v>
      </c>
      <c r="FA15" s="11" t="s">
        <v>56</v>
      </c>
      <c r="FB15" s="11" t="s">
        <v>115</v>
      </c>
      <c r="FC15" s="11" t="s">
        <v>60</v>
      </c>
      <c r="FD15" s="11" t="s">
        <v>61</v>
      </c>
      <c r="FE15" s="11" t="s">
        <v>113</v>
      </c>
      <c r="FF15" s="11" t="s">
        <v>114</v>
      </c>
      <c r="FG15" s="11" t="s">
        <v>116</v>
      </c>
      <c r="FH15" s="11" t="s">
        <v>117</v>
      </c>
      <c r="FI15" s="11" t="s">
        <v>118</v>
      </c>
      <c r="FJ15" s="11" t="s">
        <v>110</v>
      </c>
      <c r="FK15" s="31" t="s">
        <v>78</v>
      </c>
      <c r="FL15" s="30" t="s">
        <v>59</v>
      </c>
      <c r="FM15" s="30" t="s">
        <v>56</v>
      </c>
      <c r="FN15" s="30" t="s">
        <v>115</v>
      </c>
      <c r="FO15" s="30" t="s">
        <v>60</v>
      </c>
      <c r="FP15" s="30" t="s">
        <v>61</v>
      </c>
      <c r="FQ15" s="30" t="s">
        <v>113</v>
      </c>
      <c r="FR15" s="30" t="s">
        <v>114</v>
      </c>
      <c r="FS15" s="30" t="s">
        <v>116</v>
      </c>
      <c r="FT15" s="30" t="s">
        <v>117</v>
      </c>
      <c r="FU15" s="30" t="s">
        <v>118</v>
      </c>
      <c r="FV15" s="11" t="s">
        <v>110</v>
      </c>
      <c r="FX15" s="30" t="s">
        <v>52</v>
      </c>
      <c r="FY15" s="30" t="s">
        <v>53</v>
      </c>
      <c r="FZ15" s="30" t="s">
        <v>72</v>
      </c>
      <c r="GC15" s="32" t="s">
        <v>65</v>
      </c>
      <c r="GD15" s="33"/>
      <c r="GE15" s="33" t="s">
        <v>70</v>
      </c>
      <c r="GF15" s="33" t="s">
        <v>69</v>
      </c>
      <c r="GG15" s="33" t="s">
        <v>68</v>
      </c>
      <c r="GI15" s="33"/>
      <c r="GJ15" s="33"/>
      <c r="GK15" s="33"/>
      <c r="GL15" s="33"/>
      <c r="GN15" s="11" t="str">
        <f t="shared" ref="GN15:GN31" si="0">D15</f>
        <v>T (C)</v>
      </c>
    </row>
    <row r="16" spans="1:196" s="30" customFormat="1" ht="12.6">
      <c r="A16" s="30" t="s">
        <v>79</v>
      </c>
      <c r="B16" s="30" t="s">
        <v>80</v>
      </c>
      <c r="C16" s="81">
        <v>6</v>
      </c>
      <c r="D16" s="29">
        <v>775</v>
      </c>
      <c r="F16" s="82">
        <v>65</v>
      </c>
      <c r="G16" s="82"/>
      <c r="H16" s="82">
        <v>19.100000000000001</v>
      </c>
      <c r="I16" s="82">
        <v>0.11</v>
      </c>
      <c r="J16" s="82"/>
      <c r="K16" s="82">
        <v>0.03</v>
      </c>
      <c r="L16" s="82">
        <v>0.51</v>
      </c>
      <c r="M16" s="82">
        <v>2.02</v>
      </c>
      <c r="N16" s="82">
        <v>13.4</v>
      </c>
      <c r="O16" s="82"/>
      <c r="P16" s="30">
        <f t="shared" ref="P16:P31" si="1">SUM(F16:O16)</f>
        <v>100.17</v>
      </c>
      <c r="R16" s="82">
        <v>56.3</v>
      </c>
      <c r="S16" s="82"/>
      <c r="T16" s="82">
        <v>31.4</v>
      </c>
      <c r="U16" s="82">
        <v>0.31</v>
      </c>
      <c r="V16" s="82"/>
      <c r="W16" s="82">
        <v>0.05</v>
      </c>
      <c r="X16" s="82">
        <v>14.6</v>
      </c>
      <c r="Y16" s="82">
        <v>2.7</v>
      </c>
      <c r="Z16" s="82">
        <v>0.71</v>
      </c>
      <c r="AA16" s="82"/>
      <c r="AB16" s="30">
        <f t="shared" ref="AB16:AB31" si="2">SUM(R16:AA16)</f>
        <v>106.06999999999998</v>
      </c>
      <c r="AD16" s="83">
        <f>10^4/(9.8-0.0976*C16-2.46*LN(GC16)-14.2*EK16+423.4*EQ16-2.42*LN(CQ16)-11.4*BG16*BH16)</f>
        <v>952.79072148364025</v>
      </c>
      <c r="AE16" s="83">
        <f>(-442-3.72*C16)/(-0.11+0.1*LN(GC16)-3.27*CQ16+0.098*LN(CQ16)+0.52*BG16*BH16)</f>
        <v>945.12523876626904</v>
      </c>
      <c r="AF16" s="83">
        <f t="shared" ref="AF16:AF31" si="3">10^4/(100.638-0.0975*C16-4.9825*BG16-115.03*CR16-95.745*CS16+45.68*FS16-2.5182*LN(CQ16)+3.7522*LN(GC16)-15.503*(CR16-0.3136)*(CS16-0.6625))</f>
        <v>980.68614069547652</v>
      </c>
      <c r="AH16" s="84">
        <f t="shared" ref="AH16:AH31" si="4">CQ16</f>
        <v>2.5347818136795479E-2</v>
      </c>
      <c r="AI16" s="84">
        <f t="shared" ref="AI16:AI31" si="5">CR16</f>
        <v>0.18167514887191619</v>
      </c>
      <c r="AJ16" s="84">
        <f t="shared" ref="AJ16:AJ31" si="6">CS16</f>
        <v>0.7929770329912883</v>
      </c>
      <c r="AK16" s="84"/>
      <c r="AL16" s="84">
        <f>BG16</f>
        <v>0.71810867436403514</v>
      </c>
      <c r="AM16" s="84">
        <f>BH16</f>
        <v>0.24031165259513401</v>
      </c>
      <c r="AN16" s="84">
        <f>BI16</f>
        <v>4.1579673040830975E-2</v>
      </c>
      <c r="AO16" s="58"/>
      <c r="AP16" s="85">
        <f>DM16</f>
        <v>1.0036214200762397</v>
      </c>
      <c r="AQ16" s="85">
        <f>DC16</f>
        <v>0.36300303596460676</v>
      </c>
      <c r="AR16" s="85">
        <f t="shared" ref="AR16:AR31" si="7">DW16</f>
        <v>0.81258355844690133</v>
      </c>
      <c r="AS16" s="86"/>
      <c r="AT16" s="85">
        <f>CC16</f>
        <v>0.92085262278462132</v>
      </c>
      <c r="AU16" s="85">
        <f>BS16</f>
        <v>0.58139778797730646</v>
      </c>
      <c r="AV16" s="85">
        <f>CM16</f>
        <v>1.1333594025372153</v>
      </c>
      <c r="AX16" s="94">
        <f>AT16-AP16</f>
        <v>-8.2768797291618346E-2</v>
      </c>
      <c r="AY16" s="94">
        <f>AU16-AQ16</f>
        <v>0.2183947520126997</v>
      </c>
      <c r="AZ16" s="94">
        <f>AV16-AR16</f>
        <v>0.32077584409031401</v>
      </c>
      <c r="BB16" s="30">
        <f t="shared" ref="BB16:BB31" si="8">D16+273.15</f>
        <v>1048.1500000000001</v>
      </c>
      <c r="BD16" s="29">
        <f>BF16-273.15</f>
        <v>980.68614069547641</v>
      </c>
      <c r="BE16" s="87"/>
      <c r="BF16" s="89">
        <f>AF16+273.15</f>
        <v>1253.8361406954764</v>
      </c>
      <c r="BG16" s="30">
        <f>FX16</f>
        <v>0.71810867436403514</v>
      </c>
      <c r="BH16" s="30">
        <f>FY16</f>
        <v>0.24031165259513401</v>
      </c>
      <c r="BI16" s="30">
        <f>FZ16</f>
        <v>4.1579673040830975E-2</v>
      </c>
      <c r="BJ16" s="30">
        <f>SUM(BG16:BI16)</f>
        <v>1</v>
      </c>
      <c r="BK16" s="30">
        <f>($BP$5-BF16*$BQ$5+$BR$5*1000*C16)*(2*BH16*BI16*(1-BH16)+BI16*BG16*(0.5-BH16))</f>
        <v>405.65981020631671</v>
      </c>
      <c r="BL16" s="30">
        <f t="shared" ref="BL16:BL31" si="9">($BP$4-BF16*$BQ$4+$BR$4*1000*C16)*(BI16^2*(1-2*BH16)+BI16*BG16*(0.5-BH16))</f>
        <v>72.214966568963831</v>
      </c>
      <c r="BM16" s="30">
        <f t="shared" ref="BM16:BM31" si="10">($BP$6-BF16*$BQ$6+$BR$6*1000*C16)*(BG16^2*(1-2*BH16)+BI16*BG16*(0.5-BH16))</f>
        <v>7102.3344483075498</v>
      </c>
      <c r="BN16" s="30">
        <f t="shared" ref="BN16:BN31" si="11">($BP$7-BF16*$BQ$7+$BR$7*1000*C16)*(2*BG16*BH16*(1-BH16)+BI16*BG16*(0.5-BH16))</f>
        <v>3141.5794030847387</v>
      </c>
      <c r="BO16" s="30">
        <f t="shared" ref="BO16:BO31" si="12">($BP$8-BF16*$BQ$8+$BR$8*1000*C16)*(BI16*BG16*(0.5-BH16-2*BG16))</f>
        <v>-1829.1952780319466</v>
      </c>
      <c r="BP16" s="30">
        <f t="shared" ref="BP16:BP31" si="13">($BP$9-BF16*$BQ$9+$BR$9*1000*C16)*(BI16*BG16*(0.5-BH16-2*BI16))</f>
        <v>237.17625476401278</v>
      </c>
      <c r="BQ16" s="30">
        <f t="shared" ref="BQ16:BQ31" si="14">($BP$10-BF16*$BQ$10+$BR$10*1000*C16)*(BI16*BG16*(1-2*BH16))</f>
        <v>80.61019583468908</v>
      </c>
      <c r="BR16" s="30">
        <f>SUM(BK16:BQ16)</f>
        <v>9210.3798007343248</v>
      </c>
      <c r="BS16" s="30">
        <f>BH16*EXP(BR16/(8.3144*BF16))</f>
        <v>0.58139778797730646</v>
      </c>
      <c r="BU16" s="92">
        <f>($BP$5-BF16*$BQ$5+$BR$5*1000*C16)*BH16*BI16*(0.5-BG16-2*BH16)</f>
        <v>-123.4856746641827</v>
      </c>
      <c r="BV16" s="90">
        <f t="shared" ref="BV16:BV31" si="15">($BP$4-$BQ$4*BF16+$BR$4*1000*C16)*(BH16*BI16*(0.5-BG16-2*BI16))</f>
        <v>-25.126083915293901</v>
      </c>
      <c r="BW16" s="90">
        <f t="shared" ref="BW16:BW31" si="16">($BP$6-BF16*$BQ$6+$BR$6*1000*C16)*(2*BH16*BG16*(1-BG16)+BH16*BI16*(0.5-BG16))</f>
        <v>2451.2155674205615</v>
      </c>
      <c r="BX16" s="90">
        <f t="shared" ref="BX16:BX31" si="17">($BP$7-BF16*$BQ$7+$BR$7*1000*C16)*(BH16^2*(1-2*BG16)+BH16*BI16*(0.5-BG16))</f>
        <v>-318.52799407630806</v>
      </c>
      <c r="BY16" s="90">
        <f>($BP$8-BF16*$BQ$8+$BR$8*C16*1000)*(2*BI16*BG16*(1-BG16)+BH16*BI16*(0.5-BG16))</f>
        <v>763.05588088065849</v>
      </c>
      <c r="BZ16" s="90">
        <f t="shared" ref="BZ16:BZ31" si="18">($BP$9-BF16*$BQ$9+$BR$9*1000*C16)*(BI16^2*(1-2*BG16)+BH16*BI16*(0.5-BG16))</f>
        <v>-131.99979517812292</v>
      </c>
      <c r="CA16" s="90">
        <f t="shared" ref="CA16:CA31" si="19">($BP$10-BF16*$BQ$10+$BR$10*1000*C16)*(BI16*BH16*(1-2*BG16))</f>
        <v>-22.656619391596148</v>
      </c>
      <c r="CB16" s="90">
        <f>SUM(BU16:CA16)</f>
        <v>2592.4752810757168</v>
      </c>
      <c r="CC16" s="90">
        <f>BG16*EXP(CB16/(8.31447*BF16))</f>
        <v>0.92085262278462132</v>
      </c>
      <c r="CE16" s="30">
        <f t="shared" ref="CE16:CE31" si="20">($BP$5-$BQ$5*BF16+$BR$5*1000*C16)*(BH16^2*(1-2*BI16)+BH16*BG16*(0.5-BI16))</f>
        <v>2335.6665790478096</v>
      </c>
      <c r="CF16" s="30">
        <f t="shared" ref="CF16:CF31" si="21">($BP$4-$BQ$4*BF16+$BR$4*C16*1000)*(2*BH16*BI16*(1-BI16)+BH16*BG16*(0.5-BI16))</f>
        <v>820.17185317945848</v>
      </c>
      <c r="CG16" s="30">
        <f t="shared" ref="CG16:CG31" si="22">($BP$6-$BQ$6*BF16+$BR$6*1000*C16)*(BH16*BG16*(0.5-BI16-2*BG16))</f>
        <v>-4348.679587898484</v>
      </c>
      <c r="CH16" s="30">
        <f t="shared" ref="CH16:CH31" si="23">($BP$7-$BQ$7*BF16+$BR$7*C16*1000)*(BH16*BG16*(0.5-BI16-2*BH16))</f>
        <v>-44.589923785119403</v>
      </c>
      <c r="CI16" s="30">
        <f t="shared" ref="CI16:CI31" si="24">($BP$8-$BQ$8*BF16+$BR$8*1000*C16)*(BG16^2*(1-2*BI16)+BH16*BG16*(0.5-BI16))</f>
        <v>28737.653345425329</v>
      </c>
      <c r="CJ16" s="30">
        <f t="shared" ref="CJ16:CJ31" si="25">($BP$9-$BQ$9*BF16+$BR$9*1000*C16)*(2*BI16*BG16*(1-BI16)+BH16*BG16*(0.5-BI16))</f>
        <v>6135.0738663410402</v>
      </c>
      <c r="CK16" s="30">
        <f t="shared" ref="CK16:CK31" si="26">($BP$10-$BQ$10*BF16+$BR$10*1000*C16)*(BG16*BH16*(1-2*BI16))</f>
        <v>822.4227971536078</v>
      </c>
      <c r="CL16" s="30">
        <f>SUM(CE16:CK16)</f>
        <v>34457.718929463641</v>
      </c>
      <c r="CM16" s="30">
        <f t="shared" ref="CM16:CM31" si="27">BI16*EXP(CL16/(8.3144*BF16))</f>
        <v>1.1333594025372153</v>
      </c>
      <c r="CO16" s="30">
        <f>C16</f>
        <v>6</v>
      </c>
      <c r="CP16" s="29">
        <f>BF16</f>
        <v>1253.8361406954764</v>
      </c>
      <c r="CQ16" s="30">
        <f t="shared" ref="CQ16:CQ22" si="28">EQ16/(EQ16+ER16+ES16)</f>
        <v>2.5347818136795479E-2</v>
      </c>
      <c r="CR16" s="30">
        <f t="shared" ref="CR16:CR22" si="29">ER16/(EQ16+ER16+ES16)</f>
        <v>0.18167514887191619</v>
      </c>
      <c r="CS16" s="30">
        <f t="shared" ref="CS16:CS22" si="30">ES16/(ES16+ER16+EQ16)</f>
        <v>0.7929770329912883</v>
      </c>
      <c r="CT16" s="30">
        <f>SUM(CQ16:CS16)</f>
        <v>1</v>
      </c>
      <c r="CU16" s="30">
        <f>($BP$5-CP16*$BQ$5+$BR$5*1000*CO16)*(2*CR16*CS16*(1-CR16)+CS16*CQ16*(0.5-CR16))</f>
        <v>4283.415952844136</v>
      </c>
      <c r="CV16" s="30">
        <f t="shared" ref="CV16:CV31" si="31">($BP$4-CP16*$BQ$4+$BR$4*1000*CO16)*(CS16^2*(1-2*CR16)+CS16*CQ16*(0.5-CR16))</f>
        <v>3394.8761923894322</v>
      </c>
      <c r="CW16" s="30">
        <f t="shared" ref="CW16:CW31" si="32">($BP$6-CP16*$BQ$6+$BR$6*1000*CO16)*(CQ16^2*(1-2*CR16)+CS16*CQ16*(0.5-CR16))</f>
        <v>175.44007505718247</v>
      </c>
      <c r="CX16" s="30">
        <f t="shared" ref="CX16:CX31" si="33">($BP$7-CP16*$BQ$7+$BR$7*1000*CO16)*(2*CQ16*CR16*(1-CR16)+CS16*CQ16*(0.5-CR16))</f>
        <v>162.17222863817148</v>
      </c>
      <c r="CY16" s="30">
        <f t="shared" ref="CY16:CY31" si="34">($BP$8-CP16*$BQ$8+$BR$8*1000*CO16)*(CS16*CQ16*(0.5-CR16-2*CQ16))</f>
        <v>280.10502720665812</v>
      </c>
      <c r="CZ16" s="30">
        <f t="shared" ref="CZ16:CZ31" si="35">($BP$9-CP16*$BQ$9+$BR$9*1000*CO16)*(CS16*CQ16*(0.5-CR16-2*CS16))</f>
        <v>-1146.5086379618576</v>
      </c>
      <c r="DA16" s="30">
        <f t="shared" ref="DA16:DA31" si="36">($BP$10-CP16*$BQ$10+$BR$10*1000*CO16)*(CS16*CQ16*(1-2*CR16))</f>
        <v>66.517819915296371</v>
      </c>
      <c r="DB16" s="30">
        <f>SUM(CU16:DA16)</f>
        <v>7216.0186580890195</v>
      </c>
      <c r="DC16" s="30">
        <f>CR16*EXP(DB16/(8.3144*CP16))</f>
        <v>0.36300303596460676</v>
      </c>
      <c r="DE16" s="30">
        <f t="shared" ref="DE16:DE31" si="37">($BP$5-CP16*$BQ$5+$BR$5*1000*CO16)*CR16*CS16*(0.5-CQ16-2*CR16)</f>
        <v>283.60162061654518</v>
      </c>
      <c r="DF16" s="30">
        <f t="shared" ref="DF16:DF31" si="38">($BP$4-$BQ$4*CP16+$BR$4*1000*CO16)*(CR16*CS16*(0.5-CQ16-2*CS16))</f>
        <v>-1336.3002709744117</v>
      </c>
      <c r="DG16" s="30">
        <f t="shared" ref="DG16:DG31" si="39">($BP$6-CP16*$BQ$6+$BR$6*1000*CO16)*(2*CR16*CQ16*(1-CQ16)+CR16*CS16*(0.5-CQ16))</f>
        <v>1993.6262714301047</v>
      </c>
      <c r="DH16" s="30">
        <f t="shared" ref="DH16:DH31" si="40">($BP$7-CP16*$BQ$7+$BR$7*1000*CO16)*(CR16^2*(1-2*CQ16)+CR16*CS16*(0.5-CQ16))</f>
        <v>1160.4122131693377</v>
      </c>
      <c r="DI16" s="30">
        <f t="shared" ref="DI16:DI31" si="41">($BP$8-CP16*$BQ$8+$BR$8*CO16*1000)*(2*CS16*CQ16*(1-CQ16)+CR16*CS16*(0.5-CQ16))</f>
        <v>5600.7290900191856</v>
      </c>
      <c r="DJ16" s="30">
        <f t="shared" ref="DJ16:DJ31" si="42">($BP$9-CP16*$BQ$9+$BR$9*1000*CO16)*(CS16^2*(1-2*CQ16)+CR16*CS16*(0.5-CQ16))</f>
        <v>29937.198794647709</v>
      </c>
      <c r="DK16" s="30">
        <f t="shared" ref="DK16:DK31" si="43">($BP$10-CP16*$BQ$10+$BR$10*1000*CO16)*(CS16*CR16*(1-2*CQ16))</f>
        <v>710.88260303876882</v>
      </c>
      <c r="DL16" s="30">
        <f>SUM(DE16:DK16)</f>
        <v>38350.150321947243</v>
      </c>
      <c r="DM16" s="93">
        <f>CQ16*EXP(DL16/(8.31447*CP16))</f>
        <v>1.0036214200762397</v>
      </c>
      <c r="DO16" s="30">
        <f t="shared" ref="DO16:DO31" si="44">($BP$5-$BQ$5*CP16+$BR$5*1000*CO16)*(CR16^2*(1-2*CS16)+CR16*CQ16*(0.5-CS16))</f>
        <v>-365.92459020435678</v>
      </c>
      <c r="DP16" s="30">
        <f t="shared" ref="DP16:DP31" si="45">($BP$4-$BQ$4*CP16+$BR$4*CO16*1000)*(2*CR16*CS16*(1-CS16)+CR16*CQ16*(0.5-CS16))</f>
        <v>486.61401847160806</v>
      </c>
      <c r="DQ16" s="30">
        <f t="shared" ref="DQ16:DQ31" si="46">($BP$6-$BQ$6*CP16+$BR$6*1000*CO16)*(CR16*CQ16*(0.5-CS16-2*CQ16))</f>
        <v>-40.787285252695007</v>
      </c>
      <c r="DR16" s="30">
        <f t="shared" ref="DR16:DR31" si="47">($BP$7-$BQ$7*CP16+$BR$7*CO16*1000)*(CR16*CQ16*(0.5-CS16-2*CR16))</f>
        <v>-35.173621901541843</v>
      </c>
      <c r="DS16" s="30">
        <f t="shared" ref="DS16:DS31" si="48">($BP$8-$BQ$8*CP16+$BR$8*1000*CO16)*(CQ16^2*(1-2*CS16)+CR16*CQ16*(0.5-CS16))</f>
        <v>-89.854922999843936</v>
      </c>
      <c r="DT16" s="30">
        <f t="shared" ref="DT16:DT31" si="49">($BP$9-$BQ$9*CP16+$BR$9*1000*CO16)*(2*CS16*CQ16*(1-CS16)+CR16*CQ16*(0.5-CS16))</f>
        <v>313.775230025952</v>
      </c>
      <c r="DU16" s="30">
        <f t="shared" ref="DU16:DU31" si="50">($BP$10-$BQ$10*CP16+$BR$10*1000*CO16)*(CQ16*CR16*(1-2*CS16))</f>
        <v>-14.026068470491955</v>
      </c>
      <c r="DV16" s="30">
        <f>SUM(DO16:DU16)</f>
        <v>254.62275966863052</v>
      </c>
      <c r="DW16" s="30">
        <f>CS16*EXP(DV16/(8.3144*CP16))</f>
        <v>0.81258355844690133</v>
      </c>
      <c r="DY16" s="30">
        <f t="shared" ref="DY16:DY31" si="51">F16/60.0843</f>
        <v>1.0818133855266683</v>
      </c>
      <c r="DZ16" s="30">
        <f t="shared" ref="DZ16:DZ31" si="52">G16/79.8788</f>
        <v>0</v>
      </c>
      <c r="EA16" s="30">
        <f>2*H16/101.961278</f>
        <v>0.37465203211752607</v>
      </c>
      <c r="EB16" s="30">
        <f t="shared" ref="EB16:EB31" si="53">I16/71.8464</f>
        <v>1.5310440049884197E-3</v>
      </c>
      <c r="EC16" s="30">
        <f t="shared" ref="EC16:EC31" si="54">J16/70.93745</f>
        <v>0</v>
      </c>
      <c r="ED16" s="30">
        <f t="shared" ref="ED16:ED31" si="55">K16/40.3044</f>
        <v>7.4433560603805041E-4</v>
      </c>
      <c r="EE16" s="30">
        <f t="shared" ref="EE16:EE31" si="56">L16/56.0774</f>
        <v>9.0945728582280932E-3</v>
      </c>
      <c r="EF16" s="30">
        <f t="shared" ref="EF16:EF31" si="57">2*M16/61.978936</f>
        <v>6.5183435869244355E-2</v>
      </c>
      <c r="EG16" s="30">
        <f t="shared" ref="EG16:EG31" si="58">2*N16/94.196</f>
        <v>0.28451314280861184</v>
      </c>
      <c r="EH16" s="30">
        <f t="shared" ref="EH16:EH31" si="59">2*O16/151.9904</f>
        <v>0</v>
      </c>
      <c r="EI16" s="30">
        <f>SUM(DY16:EH16)</f>
        <v>1.8175319487913055</v>
      </c>
      <c r="EK16" s="30">
        <f>DY16/$EI16</f>
        <v>0.59521010689583498</v>
      </c>
      <c r="EL16" s="30">
        <f t="shared" ref="EL16:EL31" si="60">DZ16/$EI16</f>
        <v>0</v>
      </c>
      <c r="EM16" s="30">
        <f t="shared" ref="EM16:EM31" si="61">EA16/$EI16</f>
        <v>0.20613229515259801</v>
      </c>
      <c r="EN16" s="30">
        <f t="shared" ref="EN16:EN31" si="62">EB16/$EI16</f>
        <v>8.4237529139809296E-4</v>
      </c>
      <c r="EO16" s="30">
        <f t="shared" ref="EO16:EO31" si="63">EC16/$EI16</f>
        <v>0</v>
      </c>
      <c r="EP16" s="30">
        <f t="shared" ref="EP16:EP31" si="64">ED16/$EI16</f>
        <v>4.0953096122081829E-4</v>
      </c>
      <c r="EQ16" s="30">
        <f t="shared" ref="EQ16:EQ31" si="65">EE16/$EI16</f>
        <v>5.0038035723532466E-3</v>
      </c>
      <c r="ER16" s="30">
        <f t="shared" ref="ER16:ER31" si="66">EF16/$EI16</f>
        <v>3.5863708427569939E-2</v>
      </c>
      <c r="ES16" s="30">
        <f t="shared" ref="ES16:ES31" si="67">EG16/$EI16</f>
        <v>0.15653817969902464</v>
      </c>
      <c r="ET16" s="30">
        <f t="shared" ref="ET16:ET31" si="68">EH16/$EI16</f>
        <v>0</v>
      </c>
      <c r="EU16" s="29">
        <f>SUM(EK16:ET16)</f>
        <v>0.99999999999999967</v>
      </c>
      <c r="EV16" s="29">
        <f>EQ16/(EQ16+ER16+ES16)</f>
        <v>2.5347818136795479E-2</v>
      </c>
      <c r="EW16" s="29">
        <f>ER16/(EQ16+ER16+ES16)</f>
        <v>0.18167514887191619</v>
      </c>
      <c r="EX16" s="29">
        <f>ES16/(EQ16+ER16+ES16)</f>
        <v>0.7929770329912883</v>
      </c>
      <c r="EZ16" s="30">
        <f t="shared" ref="EZ16:EZ31" si="69">R16/60.0843</f>
        <v>0.93701682469463732</v>
      </c>
      <c r="FA16" s="30">
        <f t="shared" ref="FA16:FA31" si="70">S16/79.8788</f>
        <v>0</v>
      </c>
      <c r="FB16" s="30">
        <f t="shared" ref="FB16:FB31" si="71">2*T16/101.961278</f>
        <v>0.61592009468535691</v>
      </c>
      <c r="FC16" s="30">
        <f t="shared" ref="FC16:FC31" si="72">U16/71.8464</f>
        <v>4.3147603776946377E-3</v>
      </c>
      <c r="FD16" s="30">
        <f t="shared" ref="FD16:FD31" si="73">V16/70.93745</f>
        <v>0</v>
      </c>
      <c r="FE16" s="30">
        <f t="shared" ref="FE16:FE31" si="74">W16/40.3044</f>
        <v>1.2405593433967507E-3</v>
      </c>
      <c r="FF16" s="30">
        <f t="shared" ref="FF16:FF31" si="75">X16/56.0774</f>
        <v>0.26035443868652969</v>
      </c>
      <c r="FG16" s="30">
        <f t="shared" ref="FG16:FG31" si="76">2*Y16/61.978936</f>
        <v>8.7126374676712762E-2</v>
      </c>
      <c r="FH16" s="30">
        <f t="shared" ref="FH16:FH31" si="77">2*Z16/94.196</f>
        <v>1.5074950104038387E-2</v>
      </c>
      <c r="FI16" s="30">
        <f>2*AA16/151.9904</f>
        <v>0</v>
      </c>
      <c r="FJ16" s="30">
        <f>SUM(EZ16:FI16)</f>
        <v>1.9210480025683667</v>
      </c>
      <c r="FK16" s="88">
        <f>(EP16*FO16)/(EN16*FQ16)</f>
        <v>1.6909090909090907</v>
      </c>
      <c r="FL16" s="30">
        <f>EZ16/$FJ16</f>
        <v>0.48776335804304843</v>
      </c>
      <c r="FM16" s="30">
        <f t="shared" ref="FM16:FM31" si="78">FA16/$FJ16</f>
        <v>0</v>
      </c>
      <c r="FN16" s="30">
        <f t="shared" ref="FN16:FN31" si="79">FB16/$FJ16</f>
        <v>0.32061671226429306</v>
      </c>
      <c r="FO16" s="30">
        <f t="shared" ref="FO16:FO31" si="80">FC16/$FJ16</f>
        <v>2.2460450607824324E-3</v>
      </c>
      <c r="FP16" s="30">
        <f t="shared" ref="FP16:FP31" si="81">FD16/$FJ16</f>
        <v>0</v>
      </c>
      <c r="FQ16" s="30">
        <f t="shared" ref="FQ16:FQ31" si="82">FE16/$FJ16</f>
        <v>6.4577217317743807E-4</v>
      </c>
      <c r="FR16" s="30">
        <f t="shared" ref="FR16:FR31" si="83">FF16/$FJ16</f>
        <v>0.1355272946529425</v>
      </c>
      <c r="FS16" s="30">
        <f t="shared" ref="FS16:FS31" si="84">FG16/$FJ16</f>
        <v>4.5353564596110132E-2</v>
      </c>
      <c r="FT16" s="30">
        <f t="shared" ref="FT16:FT31" si="85">FH16/$FJ16</f>
        <v>7.8472532096458616E-3</v>
      </c>
      <c r="FU16" s="30">
        <f t="shared" ref="FU16:FU31" si="86">FI16/$FJ16</f>
        <v>0</v>
      </c>
      <c r="FV16" s="30">
        <f>SUM(FL16:FU16)</f>
        <v>0.99999999999999989</v>
      </c>
      <c r="FX16" s="30">
        <f>FR16/(FR16+FS16+FT16)</f>
        <v>0.71810867436403514</v>
      </c>
      <c r="FY16" s="30">
        <f>FS16/(FR16+FS16+FT16)</f>
        <v>0.24031165259513401</v>
      </c>
      <c r="FZ16" s="30">
        <f>FT16/(FR16+FS16+FT16)</f>
        <v>4.1579673040830975E-2</v>
      </c>
      <c r="GA16" s="30">
        <f>SUM(FX16:FZ16)</f>
        <v>1</v>
      </c>
      <c r="GC16" s="30">
        <f>CR16/BH16</f>
        <v>0.75599808377995759</v>
      </c>
      <c r="GD16" s="30">
        <f>-273.15+1/((LN(GC16)-0.8)/(-1400))</f>
        <v>1023.4867384909109</v>
      </c>
      <c r="GE16" s="30">
        <f>1/((LN(GC16)-LN(2.55))/-1600)-273.15</f>
        <v>1042.8453180152633</v>
      </c>
      <c r="GF16" s="30">
        <f>1/((LN(GC16)-LN(2.97))/(-1850))-273.15</f>
        <v>1078.9140339794426</v>
      </c>
      <c r="GG16" s="30">
        <f>1/((LN(GC16)-LN(5.42))/-2500)-273.15</f>
        <v>996.00648751231085</v>
      </c>
      <c r="GI16" s="30">
        <f>6326.7-9963.2*CR16+943.3*CR16^2+2690.2*CR16^3</f>
        <v>4563.8999501452699</v>
      </c>
      <c r="GJ16" s="30">
        <f t="shared" ref="GJ16:GJ31" si="87">1000*C16*(0.0925-0.1458*CR16+0.0141*CR16^2+0.0392*CR16^3)</f>
        <v>400.27321572014887</v>
      </c>
      <c r="GK16" s="30">
        <f>-1.9872*LN(GC16)+4.6321-10.815*CR16+7.7345*CR16^2-1.5512*CR16^3</f>
        <v>3.4691180619591959</v>
      </c>
      <c r="GL16" s="30">
        <f>-273.15+(GI16+GJ16)/GK16</f>
        <v>1157.8111483968596</v>
      </c>
      <c r="GN16" s="30">
        <f t="shared" si="0"/>
        <v>775</v>
      </c>
    </row>
    <row r="17" spans="1:196" s="71" customFormat="1" ht="12.6">
      <c r="A17" s="71" t="s">
        <v>79</v>
      </c>
      <c r="B17" s="71" t="s">
        <v>81</v>
      </c>
      <c r="C17" s="72">
        <v>15</v>
      </c>
      <c r="D17" s="72">
        <v>950</v>
      </c>
      <c r="F17" s="71">
        <v>65.5</v>
      </c>
      <c r="H17" s="71">
        <v>19.600000000000001</v>
      </c>
      <c r="I17" s="71">
        <v>7.0000000000000007E-2</v>
      </c>
      <c r="K17" s="71">
        <v>0</v>
      </c>
      <c r="L17" s="71">
        <v>0.75</v>
      </c>
      <c r="M17" s="71">
        <v>4.8099999999999996</v>
      </c>
      <c r="N17" s="71">
        <v>9.36</v>
      </c>
      <c r="P17" s="71">
        <f t="shared" si="1"/>
        <v>100.08999999999999</v>
      </c>
      <c r="R17" s="71">
        <v>60.5</v>
      </c>
      <c r="T17" s="71">
        <v>24.8</v>
      </c>
      <c r="U17" s="71">
        <v>7.0000000000000007E-2</v>
      </c>
      <c r="W17" s="71">
        <v>0</v>
      </c>
      <c r="X17" s="71">
        <v>5.92</v>
      </c>
      <c r="Y17" s="71">
        <v>7.36</v>
      </c>
      <c r="Z17" s="71">
        <v>1.42</v>
      </c>
      <c r="AB17" s="71">
        <f t="shared" si="2"/>
        <v>100.07</v>
      </c>
      <c r="AD17" s="73">
        <f t="shared" ref="AD17:AD31" si="88">10^4/(9.8-0.00976*C17-2.46*LN(GC17)-14.2*EK17+423.4*EQ17-2.42*LN(CQ17)-11.4*BG17*BH17)</f>
        <v>885.03545948854389</v>
      </c>
      <c r="AE17" s="73">
        <f t="shared" ref="AE17:AE31" si="89">(-442-3.72*C17)/(-0.11+0.1*LN(GC17)-3.27*CQ17+0.098*LN(CQ17)+0.52*BG17*BH17)</f>
        <v>993.47288398090609</v>
      </c>
      <c r="AF17" s="73">
        <f t="shared" si="3"/>
        <v>982.42782148616561</v>
      </c>
      <c r="AH17" s="74">
        <f t="shared" si="4"/>
        <v>3.6410390120447993E-2</v>
      </c>
      <c r="AI17" s="74">
        <f t="shared" si="5"/>
        <v>0.42255465857511637</v>
      </c>
      <c r="AJ17" s="74">
        <f t="shared" si="6"/>
        <v>0.54103495130443569</v>
      </c>
      <c r="AK17" s="74"/>
      <c r="AL17" s="74">
        <f t="shared" ref="AL17:AL31" si="90">BG17</f>
        <v>0.28285957518642052</v>
      </c>
      <c r="AM17" s="74">
        <f t="shared" ref="AM17:AM31" si="91">BH17</f>
        <v>0.63635687620284154</v>
      </c>
      <c r="AN17" s="74">
        <f t="shared" ref="AN17:AN31" si="92">BI17</f>
        <v>8.0783548610737999E-2</v>
      </c>
      <c r="AP17" s="75">
        <f t="shared" ref="AP17:AP31" si="93">DM17</f>
        <v>0.47208280912033268</v>
      </c>
      <c r="AQ17" s="75">
        <f t="shared" ref="AQ17:AQ31" si="94">DC17</f>
        <v>0.73231257651653481</v>
      </c>
      <c r="AR17" s="75">
        <f t="shared" si="7"/>
        <v>0.69004536762951352</v>
      </c>
      <c r="AS17" s="76"/>
      <c r="AT17" s="75">
        <f t="shared" ref="AT17:AT31" si="95">CC17</f>
        <v>0.80034197468586532</v>
      </c>
      <c r="AU17" s="75">
        <f t="shared" ref="AU17:AU31" si="96">BS17</f>
        <v>0.65926407138221188</v>
      </c>
      <c r="AV17" s="75">
        <f t="shared" ref="AV17:AV31" si="97">CM17</f>
        <v>0.59544360447414046</v>
      </c>
      <c r="AX17" s="94">
        <f>AT17-AP17</f>
        <v>0.32825916556553264</v>
      </c>
      <c r="AY17" s="94">
        <f t="shared" ref="AY17:AY31" si="98">AU17-AQ17</f>
        <v>-7.3048505134322927E-2</v>
      </c>
      <c r="AZ17" s="94">
        <f t="shared" ref="AZ17:AZ31" si="99">AV17-AR17</f>
        <v>-9.4601763155373053E-2</v>
      </c>
      <c r="BB17" s="71">
        <f t="shared" si="8"/>
        <v>1223.1500000000001</v>
      </c>
      <c r="BD17" s="72">
        <f t="shared" ref="BD17:BD31" si="100">BF17-273.15</f>
        <v>982.42782148616573</v>
      </c>
      <c r="BF17" s="77">
        <f t="shared" ref="BF17:BF31" si="101">AF17+273.15</f>
        <v>1255.5778214861657</v>
      </c>
      <c r="BG17" s="71">
        <f t="shared" ref="BG17:BG31" si="102">FX17</f>
        <v>0.28285957518642052</v>
      </c>
      <c r="BH17" s="71">
        <f t="shared" ref="BH17:BH31" si="103">FY17</f>
        <v>0.63635687620284154</v>
      </c>
      <c r="BI17" s="71">
        <f t="shared" ref="BI17:BI31" si="104">FZ17</f>
        <v>8.0783548610737999E-2</v>
      </c>
      <c r="BJ17" s="71">
        <f>SUM(BG17:BI17)</f>
        <v>1</v>
      </c>
      <c r="BK17" s="71">
        <f>($BP$5-BF17*$BQ$5+$BR$5*1000*C17)*(2*BH17*BI17*(1-BH17)+BI17*BG17*(0.5-BH17))</f>
        <v>747.97976202940549</v>
      </c>
      <c r="BL17" s="71">
        <f>($BP$4-BF17*$BQ$4+$BR$4*1000*C17)*(BI17^2*(1-2*BH17)+BI17*BG17*(0.5-BH17))</f>
        <v>-55.179684687491729</v>
      </c>
      <c r="BM17" s="71">
        <f>($BP$6-BF17*$BQ$6+$BR$6*1000*C17)*(BG17^2*(1-2*BH17)+BI17*BG17*(0.5-BH17))</f>
        <v>-657.92095613517927</v>
      </c>
      <c r="BN17" s="71">
        <f>($BP$7-BF17*$BQ$7+$BR$7*1000*C17)*(2*BG17*BH17*(1-BH17)+BI17*BG17*(0.5-BH17))</f>
        <v>1431.2428843041021</v>
      </c>
      <c r="BO17" s="71">
        <f>($BP$8-BF17*$BQ$8+$BR$8*1000*C17)*(BI17*BG17*(0.5-BH17-2*BG17))</f>
        <v>-797.41059617406506</v>
      </c>
      <c r="BP17" s="71">
        <f>($BP$9-BF17*$BQ$9+$BR$9*1000*C17)*(BI17*BG17*(0.5-BH17-2*BI17))</f>
        <v>-293.32619299348409</v>
      </c>
      <c r="BQ17" s="71">
        <f>($BP$10-BF17*$BQ$10+$BR$10*1000*C17)*(BI17*BG17*(1-2*BH17))</f>
        <v>-6.2004603020207485</v>
      </c>
      <c r="BR17" s="71">
        <f>SUM(BK17:BQ17)</f>
        <v>369.18475604126661</v>
      </c>
      <c r="BS17" s="71">
        <f>BH17*EXP(BR17/(8.3144*BF17))</f>
        <v>0.65926407138221188</v>
      </c>
      <c r="BU17" s="91">
        <f>($BP$5-BF17*$BQ$5+$BR$5*1000*C17)*BH17*BI17*(0.5-BG17-2*BH17)</f>
        <v>-1184.3049291589823</v>
      </c>
      <c r="BV17" s="91">
        <f>($BP$4-$BQ$4*BF17+$BR$4*1000*C17)*(BH17*BI17*(0.5-BG17-2*BI17))</f>
        <v>32.200988142838703</v>
      </c>
      <c r="BW17" s="91">
        <f>($BP$6-BF17*$BQ$6+$BR$6*1000*C17)*(2*BH17*BG17*(1-BG17)+BH17*BI17*(0.5-BG17))</f>
        <v>7106.3137804402477</v>
      </c>
      <c r="BX17" s="91">
        <f>($BP$7-BF17*$BQ$7+$BR$7*1000*C17)*(BH17^2*(1-2*BG17)+BH17*BI17*(0.5-BG17))</f>
        <v>2094.5791015653049</v>
      </c>
      <c r="BY17" s="91">
        <f>($BP$8-BF17*$BQ$8+$BR$8*C17*1000)*(2*BI17*BG17*(1-BG17)+BH17*BI17*(0.5-BG17))</f>
        <v>2183.8819753714897</v>
      </c>
      <c r="BZ17" s="91">
        <f>($BP$9-BF17*$BQ$9+$BR$9*1000*C17)*(BI17^2*(1-2*BG17)+BH17*BI17*(0.5-BG17))</f>
        <v>603.08247160141684</v>
      </c>
      <c r="CA17" s="91">
        <f>($BP$10-BF17*$BQ$10+$BR$10*1000*C17)*(BI17*BH17*(1-2*BG17))</f>
        <v>22.213522266401856</v>
      </c>
      <c r="CB17" s="91">
        <f>SUM(BU17:CA17)</f>
        <v>10857.966910228717</v>
      </c>
      <c r="CC17" s="91">
        <f t="shared" ref="CC17:CC31" si="105">BG17*EXP(CB17/(8.31447*BF17))</f>
        <v>0.80034197468586532</v>
      </c>
      <c r="CE17" s="71">
        <f>($BP$5-$BQ$5*BF17+$BR$5*1000*C17)*(BH17^2*(1-2*BI17)+BH17*BG17*(0.5-BI17))</f>
        <v>9056.929928067173</v>
      </c>
      <c r="CF17" s="71">
        <f>($BP$4-$BQ$4*BF17+$BR$4*C17*1000)*(2*BH17*BI17*(1-BI17)+BH17*BG17*(0.5-BI17))</f>
        <v>1915.7765356869622</v>
      </c>
      <c r="CG17" s="71">
        <f>($BP$6-$BQ$6*BF17+$BR$6*1000*C17)*(BH17*BG17*(0.5-BI17-2*BG17))</f>
        <v>-695.78121774350382</v>
      </c>
      <c r="CH17" s="71">
        <f>($BP$7-$BQ$7*BF17+$BR$7*C17*1000)*(BH17*BG17*(0.5-BI17-2*BH17))</f>
        <v>-1720.5675417817058</v>
      </c>
      <c r="CI17" s="71">
        <f>($BP$8-$BQ$8*BF17+$BR$8*1000*C17)*(BG17^2*(1-2*BI17)+BH17*BG17*(0.5-BI17))</f>
        <v>7085.0869663524027</v>
      </c>
      <c r="CJ17" s="71">
        <f>($BP$9-$BQ$9*BF17+$BR$9*1000*C17)*(2*BI17*BG17*(1-BI17)+BH17*BG17*(0.5-BI17))</f>
        <v>5061.3944179534346</v>
      </c>
      <c r="CK17" s="71">
        <f>($BP$10-$BQ$10*BF17+$BR$10*1000*C17)*(BG17*BH17*(1-2*BI17))</f>
        <v>150.16302894844966</v>
      </c>
      <c r="CL17" s="71">
        <f>SUM(CE17:CK17)</f>
        <v>20853.002117483211</v>
      </c>
      <c r="CM17" s="71">
        <f>BI17*EXP(CL17/(8.3144*BF17))</f>
        <v>0.59544360447414046</v>
      </c>
      <c r="CO17" s="71">
        <f t="shared" ref="CO16:CO31" si="106">C17</f>
        <v>15</v>
      </c>
      <c r="CP17" s="72">
        <f t="shared" ref="CP17:CP31" si="107">BF17</f>
        <v>1255.5778214861657</v>
      </c>
      <c r="CQ17" s="71">
        <f t="shared" si="28"/>
        <v>3.6410390120447993E-2</v>
      </c>
      <c r="CR17" s="71">
        <f t="shared" si="29"/>
        <v>0.42255465857511637</v>
      </c>
      <c r="CS17" s="71">
        <f t="shared" si="30"/>
        <v>0.54103495130443569</v>
      </c>
      <c r="CT17" s="71">
        <f>SUM(CQ17:CS17)</f>
        <v>1</v>
      </c>
      <c r="CU17" s="71">
        <f t="shared" ref="CU16:CU31" si="108">($BP$5-CP17*$BQ$5+$BR$5*1000*CO17)*(2*CR17*CS17*(1-CR17)+CS17*CQ17*(0.5-CR17))</f>
        <v>5795.6586325131075</v>
      </c>
      <c r="CV17" s="71">
        <f t="shared" si="31"/>
        <v>528.23610977209364</v>
      </c>
      <c r="CW17" s="71">
        <f t="shared" si="32"/>
        <v>45.671197127471956</v>
      </c>
      <c r="CX17" s="71">
        <f t="shared" si="33"/>
        <v>216.08337696928882</v>
      </c>
      <c r="CY17" s="71">
        <f t="shared" si="34"/>
        <v>4.5281961475495178</v>
      </c>
      <c r="CZ17" s="71">
        <f t="shared" si="35"/>
        <v>-852.71917361510327</v>
      </c>
      <c r="DA17" s="71">
        <f t="shared" si="36"/>
        <v>3.0359808592325432</v>
      </c>
      <c r="DB17" s="71">
        <f>SUM(CU17:DA17)</f>
        <v>5740.4943197736411</v>
      </c>
      <c r="DC17" s="71">
        <f>CR17*EXP(DB17/(8.3144*CP17))</f>
        <v>0.73231257651653481</v>
      </c>
      <c r="DE17" s="71">
        <f t="shared" si="37"/>
        <v>-1903.6041946447122</v>
      </c>
      <c r="DF17" s="71">
        <f t="shared" si="38"/>
        <v>-1593.7243593150038</v>
      </c>
      <c r="DG17" s="71">
        <f t="shared" si="39"/>
        <v>3578.7099698712541</v>
      </c>
      <c r="DH17" s="71">
        <f t="shared" si="40"/>
        <v>3041.0458568768618</v>
      </c>
      <c r="DI17" s="71">
        <f t="shared" si="41"/>
        <v>7155.0236260441807</v>
      </c>
      <c r="DJ17" s="71">
        <f t="shared" si="42"/>
        <v>16260.681569944327</v>
      </c>
      <c r="DK17" s="71">
        <f t="shared" si="43"/>
        <v>210.9089386116917</v>
      </c>
      <c r="DL17" s="71">
        <f>SUM(DE17:DK17)</f>
        <v>26749.041407388599</v>
      </c>
      <c r="DM17" s="71">
        <f>CQ17*EXP(DL17/(8.31447*CP17))</f>
        <v>0.47208280912033268</v>
      </c>
      <c r="DO17" s="71">
        <f t="shared" si="44"/>
        <v>-333.5955919451053</v>
      </c>
      <c r="DP17" s="71">
        <f t="shared" si="45"/>
        <v>2358.2423136933194</v>
      </c>
      <c r="DQ17" s="71">
        <f t="shared" si="46"/>
        <v>-46.218790224401147</v>
      </c>
      <c r="DR17" s="71">
        <f t="shared" si="47"/>
        <v>-152.69000408146837</v>
      </c>
      <c r="DS17" s="71">
        <f t="shared" si="48"/>
        <v>-36.788982119420311</v>
      </c>
      <c r="DT17" s="71">
        <f t="shared" si="49"/>
        <v>751.93063610884087</v>
      </c>
      <c r="DU17" s="71">
        <f t="shared" si="50"/>
        <v>-1.2563632522275539</v>
      </c>
      <c r="DV17" s="71">
        <f>SUM(DO17:DU17)</f>
        <v>2539.6232181795381</v>
      </c>
      <c r="DW17" s="71">
        <f>CS17*EXP(DV17/(8.3144*CP17))</f>
        <v>0.69004536762951352</v>
      </c>
      <c r="DY17" s="71">
        <f t="shared" si="51"/>
        <v>1.0901350269537966</v>
      </c>
      <c r="DZ17" s="71">
        <f t="shared" si="52"/>
        <v>0</v>
      </c>
      <c r="EA17" s="71">
        <f t="shared" ref="EA17:EA31" si="109">2*H17/101.961278</f>
        <v>0.38445967693735661</v>
      </c>
      <c r="EB17" s="71">
        <f t="shared" si="53"/>
        <v>9.7430073044717626E-4</v>
      </c>
      <c r="EC17" s="71">
        <f t="shared" si="54"/>
        <v>0</v>
      </c>
      <c r="ED17" s="71">
        <f t="shared" si="55"/>
        <v>0</v>
      </c>
      <c r="EE17" s="71">
        <f t="shared" si="56"/>
        <v>1.337437185033543E-2</v>
      </c>
      <c r="EF17" s="71">
        <f t="shared" si="57"/>
        <v>0.15521402303518084</v>
      </c>
      <c r="EG17" s="71">
        <f t="shared" si="58"/>
        <v>0.19873455348422436</v>
      </c>
      <c r="EH17" s="71">
        <f t="shared" si="59"/>
        <v>0</v>
      </c>
      <c r="EI17" s="71">
        <f>SUM(DY17:EH17)</f>
        <v>1.842891952991341</v>
      </c>
      <c r="EK17" s="71">
        <f>DY17/$EI17</f>
        <v>0.59153496502294334</v>
      </c>
      <c r="EL17" s="71">
        <f t="shared" si="60"/>
        <v>0</v>
      </c>
      <c r="EM17" s="71">
        <f t="shared" si="61"/>
        <v>0.20861758949747991</v>
      </c>
      <c r="EN17" s="71">
        <f t="shared" si="62"/>
        <v>5.2868033248813806E-4</v>
      </c>
      <c r="EO17" s="71">
        <f t="shared" si="63"/>
        <v>0</v>
      </c>
      <c r="EP17" s="71">
        <f t="shared" si="64"/>
        <v>0</v>
      </c>
      <c r="EQ17" s="71">
        <f t="shared" si="65"/>
        <v>7.257273997331449E-3</v>
      </c>
      <c r="ER17" s="71">
        <f t="shared" si="66"/>
        <v>8.4223072754341835E-2</v>
      </c>
      <c r="ES17" s="71">
        <f t="shared" si="67"/>
        <v>0.10783841839541536</v>
      </c>
      <c r="ET17" s="71">
        <f t="shared" si="68"/>
        <v>0</v>
      </c>
      <c r="EU17" s="72">
        <f>SUM(EK17:ET17)</f>
        <v>1</v>
      </c>
      <c r="EV17" s="72">
        <f>EQ17/(EQ17+ER17+ES17)</f>
        <v>3.6410390120447993E-2</v>
      </c>
      <c r="EW17" s="72">
        <f>ER17/(EQ17+ER17+ES17)</f>
        <v>0.42255465857511637</v>
      </c>
      <c r="EX17" s="72">
        <f>ES17/(EQ17+ER17+ES17)</f>
        <v>0.54103495130443569</v>
      </c>
      <c r="EZ17" s="71">
        <f t="shared" si="69"/>
        <v>1.0069186126825145</v>
      </c>
      <c r="FA17" s="71">
        <f t="shared" si="70"/>
        <v>0</v>
      </c>
      <c r="FB17" s="71">
        <f t="shared" si="71"/>
        <v>0.48645918306359404</v>
      </c>
      <c r="FC17" s="71">
        <f t="shared" si="72"/>
        <v>9.7430073044717626E-4</v>
      </c>
      <c r="FD17" s="71">
        <f t="shared" si="73"/>
        <v>0</v>
      </c>
      <c r="FE17" s="71">
        <f t="shared" si="74"/>
        <v>0</v>
      </c>
      <c r="FF17" s="71">
        <f t="shared" si="75"/>
        <v>0.10556837513864765</v>
      </c>
      <c r="FG17" s="71">
        <f t="shared" si="76"/>
        <v>0.23750004356318735</v>
      </c>
      <c r="FH17" s="71">
        <f t="shared" si="77"/>
        <v>3.0149900208076775E-2</v>
      </c>
      <c r="FI17" s="71">
        <f t="shared" ref="FI17:FI31" si="110">2*AA17/151.9904</f>
        <v>0</v>
      </c>
      <c r="FJ17" s="71">
        <f>SUM(EZ17:FI17)</f>
        <v>1.8675704153864674</v>
      </c>
      <c r="FK17" s="78" t="e">
        <f>(EP17*FO17)/(EN17*FQ17)</f>
        <v>#DIV/0!</v>
      </c>
      <c r="FL17" s="71">
        <f>EZ17/$FJ17</f>
        <v>0.53915965062776328</v>
      </c>
      <c r="FM17" s="71">
        <f t="shared" si="78"/>
        <v>0</v>
      </c>
      <c r="FN17" s="71">
        <f t="shared" si="79"/>
        <v>0.26047702354662122</v>
      </c>
      <c r="FO17" s="71">
        <f t="shared" si="80"/>
        <v>5.2169424104180745E-4</v>
      </c>
      <c r="FP17" s="71">
        <f t="shared" si="81"/>
        <v>0</v>
      </c>
      <c r="FQ17" s="71">
        <f t="shared" si="82"/>
        <v>0</v>
      </c>
      <c r="FR17" s="71">
        <f t="shared" si="83"/>
        <v>5.6527119014573683E-2</v>
      </c>
      <c r="FS17" s="71">
        <f t="shared" si="84"/>
        <v>0.12717059641043846</v>
      </c>
      <c r="FT17" s="71">
        <f t="shared" si="85"/>
        <v>1.6143916159561608E-2</v>
      </c>
      <c r="FU17" s="71">
        <f t="shared" si="86"/>
        <v>0</v>
      </c>
      <c r="FV17" s="71">
        <f>SUM(FL17:FU17)</f>
        <v>1</v>
      </c>
      <c r="FX17" s="71">
        <f>FR17/(FR17+FS17+FT17)</f>
        <v>0.28285957518642052</v>
      </c>
      <c r="FY17" s="71">
        <f>FS17/(FR17+FS17+FT17)</f>
        <v>0.63635687620284154</v>
      </c>
      <c r="FZ17" s="71">
        <f>FT17/(FR17+FS17+FT17)</f>
        <v>8.0783548610737999E-2</v>
      </c>
      <c r="GA17" s="71">
        <f>SUM(FX17:FZ17)</f>
        <v>1</v>
      </c>
      <c r="GC17" s="71">
        <f>CR17/BH17</f>
        <v>0.66402151744868587</v>
      </c>
      <c r="GD17" s="71">
        <f>-273.15+1/((LN(GC17)-0.8)/(-1400))</f>
        <v>884.40983071105768</v>
      </c>
      <c r="GE17" s="71">
        <f>1/((LN(GC17)-LN(2.55))/-1600)-273.15</f>
        <v>915.96889318417868</v>
      </c>
      <c r="GF17" s="71">
        <f>1/((LN(GC17)-LN(2.97))/(-1850))-273.15</f>
        <v>961.82776629093166</v>
      </c>
      <c r="GG17" s="71">
        <f>1/((LN(GC17)-LN(5.42))/-2500)-273.15</f>
        <v>917.58898107711514</v>
      </c>
      <c r="GI17" s="71">
        <f>6326.7-9963.2*CR17+943.3*CR17^2+2690.2*CR17^3</f>
        <v>2488.1025956112403</v>
      </c>
      <c r="GJ17" s="71">
        <f t="shared" si="87"/>
        <v>545.50032372797409</v>
      </c>
      <c r="GK17" s="71">
        <f>-1.9872*LN(GC17)+4.6321-10.815*CR17+7.7345*CR17^2-1.5512*CR17^3</f>
        <v>2.1397906241855056</v>
      </c>
      <c r="GL17" s="71">
        <f>-273.15+(GI17+GJ17)/GK17</f>
        <v>1144.5601652148471</v>
      </c>
      <c r="GN17" s="71">
        <f t="shared" si="0"/>
        <v>950</v>
      </c>
    </row>
    <row r="18" spans="1:196" ht="12.6">
      <c r="A18" s="11" t="s">
        <v>79</v>
      </c>
      <c r="B18" s="11" t="s">
        <v>82</v>
      </c>
      <c r="C18" s="50">
        <v>7</v>
      </c>
      <c r="D18" s="9">
        <v>900</v>
      </c>
      <c r="E18" s="11"/>
      <c r="F18" s="49">
        <v>65.400000000000006</v>
      </c>
      <c r="G18" s="49"/>
      <c r="H18" s="49">
        <v>19.399999999999999</v>
      </c>
      <c r="I18" s="49">
        <v>0.05</v>
      </c>
      <c r="J18" s="49"/>
      <c r="K18" s="49">
        <v>0</v>
      </c>
      <c r="L18" s="49">
        <v>0.59</v>
      </c>
      <c r="M18" s="49">
        <v>3.13</v>
      </c>
      <c r="N18" s="49">
        <v>11.5</v>
      </c>
      <c r="O18" s="49"/>
      <c r="P18" s="11">
        <f t="shared" si="1"/>
        <v>100.07000000000001</v>
      </c>
      <c r="Q18" s="11"/>
      <c r="R18" s="49">
        <v>57.8</v>
      </c>
      <c r="S18" s="49"/>
      <c r="T18" s="49">
        <v>26.7</v>
      </c>
      <c r="U18" s="49">
        <v>0.08</v>
      </c>
      <c r="V18" s="49"/>
      <c r="W18" s="49">
        <v>0</v>
      </c>
      <c r="X18" s="49">
        <v>8.06</v>
      </c>
      <c r="Y18" s="49">
        <v>6.08</v>
      </c>
      <c r="Z18" s="49">
        <v>1.1299999999999999</v>
      </c>
      <c r="AA18" s="49"/>
      <c r="AB18" s="11">
        <f t="shared" si="2"/>
        <v>99.85</v>
      </c>
      <c r="AD18" s="54">
        <f t="shared" si="88"/>
        <v>879.15551713365812</v>
      </c>
      <c r="AE18" s="54">
        <f t="shared" si="89"/>
        <v>926.55323658662417</v>
      </c>
      <c r="AF18" s="54">
        <f t="shared" si="3"/>
        <v>916.39625071932039</v>
      </c>
      <c r="AH18" s="60">
        <f t="shared" si="4"/>
        <v>2.9579200775742647E-2</v>
      </c>
      <c r="AI18" s="60">
        <f t="shared" si="5"/>
        <v>0.2839569547705092</v>
      </c>
      <c r="AJ18" s="60">
        <f t="shared" si="6"/>
        <v>0.6864638444537482</v>
      </c>
      <c r="AK18" s="60"/>
      <c r="AL18" s="60">
        <f t="shared" si="90"/>
        <v>0.3949512379076453</v>
      </c>
      <c r="AM18" s="60">
        <f t="shared" si="91"/>
        <v>0.53912040016466833</v>
      </c>
      <c r="AN18" s="60">
        <f t="shared" si="92"/>
        <v>6.5928361927686571E-2</v>
      </c>
      <c r="AO18" s="57"/>
      <c r="AP18" s="61">
        <f t="shared" si="93"/>
        <v>1.018885992813118</v>
      </c>
      <c r="AQ18" s="61">
        <f t="shared" si="94"/>
        <v>0.5568857327455341</v>
      </c>
      <c r="AR18" s="61">
        <f t="shared" si="7"/>
        <v>0.74476423150751081</v>
      </c>
      <c r="AS18" s="62"/>
      <c r="AT18" s="61">
        <f t="shared" si="95"/>
        <v>0.98743801012478893</v>
      </c>
      <c r="AU18" s="61">
        <f t="shared" si="96"/>
        <v>0.60256561260894037</v>
      </c>
      <c r="AV18" s="61">
        <f t="shared" si="97"/>
        <v>0.73571056623184994</v>
      </c>
      <c r="AX18" s="94">
        <f t="shared" ref="AX18:AX31" si="111">AT18-AP18</f>
        <v>-3.1447982688329046E-2</v>
      </c>
      <c r="AY18" s="94">
        <f t="shared" si="98"/>
        <v>4.567987986340627E-2</v>
      </c>
      <c r="AZ18" s="94">
        <f t="shared" si="99"/>
        <v>-9.0536652756608715E-3</v>
      </c>
      <c r="BB18" s="11">
        <f t="shared" si="8"/>
        <v>1173.1500000000001</v>
      </c>
      <c r="BD18" s="9">
        <f t="shared" si="100"/>
        <v>916.39625071932039</v>
      </c>
      <c r="BF18" s="29">
        <f t="shared" si="101"/>
        <v>1189.5462507193204</v>
      </c>
      <c r="BG18" s="11">
        <f t="shared" si="102"/>
        <v>0.3949512379076453</v>
      </c>
      <c r="BH18" s="11">
        <f t="shared" si="103"/>
        <v>0.53912040016466833</v>
      </c>
      <c r="BI18" s="11">
        <f t="shared" si="104"/>
        <v>6.5928361927686571E-2</v>
      </c>
      <c r="BJ18" s="11">
        <f>SUM(BG18:BI18)</f>
        <v>1.0000000000000002</v>
      </c>
      <c r="BK18" s="11">
        <f t="shared" ref="BK18:BK31" si="112">($BP$5-BF18*$BQ$5+$BR$5*1000*C18)*(2*BH18*BI18*(1-BH18)+BI18*BG18*(0.5-BH18))</f>
        <v>588.93731704890604</v>
      </c>
      <c r="BL18" s="11">
        <f t="shared" si="9"/>
        <v>-12.702292742159749</v>
      </c>
      <c r="BM18" s="11">
        <f t="shared" si="10"/>
        <v>-345.52128386010463</v>
      </c>
      <c r="BN18" s="11">
        <f t="shared" si="11"/>
        <v>2241.2977121113931</v>
      </c>
      <c r="BO18" s="11">
        <f t="shared" si="12"/>
        <v>-1159.3977778937192</v>
      </c>
      <c r="BP18" s="11">
        <f t="shared" si="13"/>
        <v>-202.59688368487966</v>
      </c>
      <c r="BQ18" s="11">
        <f t="shared" si="14"/>
        <v>-9.6383345545914132</v>
      </c>
      <c r="BR18" s="11">
        <f>SUM(BK18:BQ18)</f>
        <v>1100.3784564248444</v>
      </c>
      <c r="BS18" s="11">
        <f>BH18*EXP(BR18/(8.3144*BF18))</f>
        <v>0.60256561260894037</v>
      </c>
      <c r="BU18" s="79">
        <f t="shared" ref="BU18:BU31" si="113">($BP$5-BF18*$BQ$5+$BR$5*1000*C18)*BH18*BI18*(0.5-BG18-2*BH18)</f>
        <v>-641.75229935381174</v>
      </c>
      <c r="BV18" s="79">
        <f t="shared" si="15"/>
        <v>-8.9079149128055874</v>
      </c>
      <c r="BW18" s="79">
        <f t="shared" si="16"/>
        <v>6830.271015822861</v>
      </c>
      <c r="BX18" s="79">
        <f t="shared" si="17"/>
        <v>743.84020539874052</v>
      </c>
      <c r="BY18" s="79">
        <f t="shared" ref="BY18:BY31" si="114">($BP$8-BF18*$BQ$8+$BR$8*C18*1000)*(2*BI18*BG18*(1-BG18)+BH18*BI18*(0.5-BG18))</f>
        <v>1892.8740939148427</v>
      </c>
      <c r="BZ18" s="79">
        <f t="shared" si="18"/>
        <v>211.47056548135171</v>
      </c>
      <c r="CA18" s="79">
        <f t="shared" si="19"/>
        <v>35.329047911393658</v>
      </c>
      <c r="CB18" s="79">
        <f>SUM(BU18:CA18)</f>
        <v>9063.1247142625707</v>
      </c>
      <c r="CC18" s="79">
        <f t="shared" si="105"/>
        <v>0.98743801012478893</v>
      </c>
      <c r="CE18" s="11">
        <f t="shared" si="20"/>
        <v>6396.131356013625</v>
      </c>
      <c r="CF18" s="11">
        <f t="shared" si="21"/>
        <v>1484.8200988331528</v>
      </c>
      <c r="CG18" s="11">
        <f t="shared" si="22"/>
        <v>-1979.7617712260162</v>
      </c>
      <c r="CH18" s="11">
        <f t="shared" si="23"/>
        <v>-1574.4971581136444</v>
      </c>
      <c r="CI18" s="11">
        <f t="shared" si="24"/>
        <v>12237.354197272041</v>
      </c>
      <c r="CJ18" s="11">
        <f t="shared" si="25"/>
        <v>6419.6331400562485</v>
      </c>
      <c r="CK18" s="11">
        <f>($BP$10-$BQ$10*BF18+$BR$10*1000*C18)*(BG18*BH18*(1-2*BI18))</f>
        <v>874.52775863253794</v>
      </c>
      <c r="CL18" s="11">
        <f>SUM(CE18:CK18)</f>
        <v>23858.207621467947</v>
      </c>
      <c r="CM18" s="11">
        <f t="shared" si="27"/>
        <v>0.73571056623184994</v>
      </c>
      <c r="CO18" s="11">
        <f t="shared" si="106"/>
        <v>7</v>
      </c>
      <c r="CP18" s="9">
        <f t="shared" si="107"/>
        <v>1189.5462507193204</v>
      </c>
      <c r="CQ18" s="11">
        <f t="shared" si="28"/>
        <v>2.9579200775742647E-2</v>
      </c>
      <c r="CR18" s="11">
        <f t="shared" si="29"/>
        <v>0.2839569547705092</v>
      </c>
      <c r="CS18" s="11">
        <f t="shared" si="30"/>
        <v>0.6864638444537482</v>
      </c>
      <c r="CT18" s="11">
        <f>SUM(CQ18:CS18)</f>
        <v>1</v>
      </c>
      <c r="CU18" s="11">
        <f t="shared" si="108"/>
        <v>5260.4374653906725</v>
      </c>
      <c r="CV18" s="11">
        <f t="shared" si="31"/>
        <v>1944.5413176372829</v>
      </c>
      <c r="CW18" s="11">
        <f t="shared" si="32"/>
        <v>124.50468334866372</v>
      </c>
      <c r="CX18" s="11">
        <f t="shared" si="33"/>
        <v>188.43350147753344</v>
      </c>
      <c r="CY18" s="11">
        <f t="shared" si="34"/>
        <v>171.09397784152426</v>
      </c>
      <c r="CZ18" s="11">
        <f t="shared" si="35"/>
        <v>-1068.9887835415393</v>
      </c>
      <c r="DA18" s="11">
        <f t="shared" si="36"/>
        <v>41.507572717734668</v>
      </c>
      <c r="DB18" s="11">
        <f>SUM(CU18:DA18)</f>
        <v>6661.5297348718723</v>
      </c>
      <c r="DC18" s="11">
        <f>CR18*EXP(DB18/(8.3144*CP18))</f>
        <v>0.5568857327455341</v>
      </c>
      <c r="DE18" s="11">
        <f t="shared" si="37"/>
        <v>-352.57778025897653</v>
      </c>
      <c r="DF18" s="11">
        <f t="shared" si="38"/>
        <v>-1644.6554096820244</v>
      </c>
      <c r="DG18" s="11">
        <f t="shared" si="39"/>
        <v>2822.015409482734</v>
      </c>
      <c r="DH18" s="11">
        <f t="shared" si="40"/>
        <v>1923.4463376150832</v>
      </c>
      <c r="DI18" s="11">
        <f t="shared" si="41"/>
        <v>7041.6345285394982</v>
      </c>
      <c r="DJ18" s="11">
        <f t="shared" si="42"/>
        <v>24348.681287126237</v>
      </c>
      <c r="DK18" s="11">
        <f t="shared" si="43"/>
        <v>867.64014324576715</v>
      </c>
      <c r="DL18" s="11">
        <f>SUM(DE18:DK18)</f>
        <v>35006.184516068315</v>
      </c>
      <c r="DM18" s="11">
        <f>CQ18*EXP(DL18/(8.31447*CP18))</f>
        <v>1.018885992813118</v>
      </c>
      <c r="DO18" s="11">
        <f t="shared" si="44"/>
        <v>-586.93617986447089</v>
      </c>
      <c r="DP18" s="11">
        <f t="shared" si="45"/>
        <v>1128.0841821013578</v>
      </c>
      <c r="DQ18" s="11">
        <f t="shared" si="46"/>
        <v>-53.907196845498966</v>
      </c>
      <c r="DR18" s="11">
        <f t="shared" si="47"/>
        <v>-72.734511073703842</v>
      </c>
      <c r="DS18" s="11">
        <f t="shared" si="48"/>
        <v>-101.64158044727147</v>
      </c>
      <c r="DT18" s="11">
        <f t="shared" si="49"/>
        <v>508.15869914169741</v>
      </c>
      <c r="DU18" s="11">
        <f t="shared" si="50"/>
        <v>-14.818918964208745</v>
      </c>
      <c r="DV18" s="11">
        <f>SUM(DO18:DU18)</f>
        <v>806.20449404790133</v>
      </c>
      <c r="DW18" s="11">
        <f>CS18*EXP(DV18/(8.3144*CP18))</f>
        <v>0.74476423150751081</v>
      </c>
      <c r="DY18" s="11">
        <f t="shared" si="51"/>
        <v>1.088470698668371</v>
      </c>
      <c r="DZ18" s="11">
        <f t="shared" si="52"/>
        <v>0</v>
      </c>
      <c r="EA18" s="11">
        <f t="shared" si="109"/>
        <v>0.38053661900942432</v>
      </c>
      <c r="EB18" s="11">
        <f t="shared" si="53"/>
        <v>6.9592909317655444E-4</v>
      </c>
      <c r="EC18" s="11">
        <f t="shared" si="54"/>
        <v>0</v>
      </c>
      <c r="ED18" s="11">
        <f t="shared" si="55"/>
        <v>0</v>
      </c>
      <c r="EE18" s="11">
        <f t="shared" si="56"/>
        <v>1.0521172522263872E-2</v>
      </c>
      <c r="EF18" s="11">
        <f t="shared" si="57"/>
        <v>0.10100205656967071</v>
      </c>
      <c r="EG18" s="11">
        <f t="shared" si="58"/>
        <v>0.24417172703724149</v>
      </c>
      <c r="EH18" s="11">
        <f t="shared" si="59"/>
        <v>0</v>
      </c>
      <c r="EI18" s="11">
        <f>SUM(DY18:EH18)</f>
        <v>1.8253982029001479</v>
      </c>
      <c r="EJ18" s="11"/>
      <c r="EK18" s="11">
        <f>DY18/$EI18</f>
        <v>0.59629219363700225</v>
      </c>
      <c r="EL18" s="11">
        <f t="shared" si="60"/>
        <v>0</v>
      </c>
      <c r="EM18" s="11">
        <f t="shared" si="61"/>
        <v>0.2084677296191248</v>
      </c>
      <c r="EN18" s="11">
        <f t="shared" si="62"/>
        <v>3.8124782421220714E-4</v>
      </c>
      <c r="EO18" s="11">
        <f t="shared" si="63"/>
        <v>0</v>
      </c>
      <c r="EP18" s="11">
        <f t="shared" si="64"/>
        <v>0</v>
      </c>
      <c r="EQ18" s="11">
        <f t="shared" si="65"/>
        <v>5.7637684235407327E-3</v>
      </c>
      <c r="ER18" s="11">
        <f t="shared" si="66"/>
        <v>5.5331519670174495E-2</v>
      </c>
      <c r="ES18" s="11">
        <f t="shared" si="67"/>
        <v>0.13376354082594552</v>
      </c>
      <c r="ET18" s="11">
        <f t="shared" si="68"/>
        <v>0</v>
      </c>
      <c r="EU18" s="9">
        <f>SUM(EK18:ET18)</f>
        <v>1</v>
      </c>
      <c r="EV18" s="9">
        <f>EQ18/(EQ18+ER18+ES18)</f>
        <v>2.9579200775742647E-2</v>
      </c>
      <c r="EW18" s="9">
        <f>ER18/(EQ18+ER18+ES18)</f>
        <v>0.2839569547705092</v>
      </c>
      <c r="EX18" s="9">
        <f>ES18/(EQ18+ER18+ES18)</f>
        <v>0.6864638444537482</v>
      </c>
      <c r="EZ18" s="11">
        <f t="shared" si="69"/>
        <v>0.96198174897602196</v>
      </c>
      <c r="FA18" s="11">
        <f t="shared" si="70"/>
        <v>0</v>
      </c>
      <c r="FB18" s="11">
        <f t="shared" si="71"/>
        <v>0.52372823337895003</v>
      </c>
      <c r="FC18" s="11">
        <f t="shared" si="72"/>
        <v>1.1134865490824871E-3</v>
      </c>
      <c r="FD18" s="11">
        <f t="shared" si="73"/>
        <v>0</v>
      </c>
      <c r="FE18" s="11">
        <f t="shared" si="74"/>
        <v>0</v>
      </c>
      <c r="FF18" s="11">
        <f t="shared" si="75"/>
        <v>0.14372991615160477</v>
      </c>
      <c r="FG18" s="11">
        <f t="shared" si="76"/>
        <v>0.19619568816089389</v>
      </c>
      <c r="FH18" s="11">
        <f t="shared" si="77"/>
        <v>2.399252622192025E-2</v>
      </c>
      <c r="FI18" s="11">
        <f t="shared" si="110"/>
        <v>0</v>
      </c>
      <c r="FJ18" s="11">
        <f>SUM(EZ18:FI18)</f>
        <v>1.8507415994384735</v>
      </c>
      <c r="FK18" s="34" t="e">
        <f>(EP18*FO18)/(EN18*FQ18)</f>
        <v>#DIV/0!</v>
      </c>
      <c r="FL18" s="11">
        <f>EZ18/$FJ18</f>
        <v>0.51978177248941348</v>
      </c>
      <c r="FM18" s="11">
        <f t="shared" si="78"/>
        <v>0</v>
      </c>
      <c r="FN18" s="11">
        <f t="shared" si="79"/>
        <v>0.28298290454910208</v>
      </c>
      <c r="FO18" s="11">
        <f t="shared" si="80"/>
        <v>6.0164344359057249E-4</v>
      </c>
      <c r="FP18" s="11">
        <f t="shared" si="81"/>
        <v>0</v>
      </c>
      <c r="FQ18" s="11">
        <f t="shared" si="82"/>
        <v>0</v>
      </c>
      <c r="FR18" s="11">
        <f t="shared" si="83"/>
        <v>7.7660715139927325E-2</v>
      </c>
      <c r="FS18" s="11">
        <f t="shared" si="84"/>
        <v>0.10600922798753801</v>
      </c>
      <c r="FT18" s="11">
        <f t="shared" si="85"/>
        <v>1.2963736390428427E-2</v>
      </c>
      <c r="FU18" s="11">
        <f t="shared" si="86"/>
        <v>0</v>
      </c>
      <c r="FV18" s="11">
        <f>SUM(FL18:FU18)</f>
        <v>0.99999999999999989</v>
      </c>
      <c r="FX18" s="11">
        <f>FR18/(FR18+FS18+FT18)</f>
        <v>0.3949512379076453</v>
      </c>
      <c r="FY18" s="11">
        <f>FS18/(FR18+FS18+FT18)</f>
        <v>0.53912040016466833</v>
      </c>
      <c r="FZ18" s="11">
        <f>FT18/(FR18+FS18+FT18)</f>
        <v>6.5928361927686571E-2</v>
      </c>
      <c r="GA18" s="11">
        <f>SUM(FX18:FZ18)</f>
        <v>1.0000000000000002</v>
      </c>
      <c r="GC18" s="11">
        <f>CR18/BH18</f>
        <v>0.52670415492305189</v>
      </c>
      <c r="GD18" s="11">
        <f>-273.15+1/((LN(GC18)-0.8)/(-1400))</f>
        <v>698.31915557201989</v>
      </c>
      <c r="GE18" s="11">
        <f>1/((LN(GC18)-LN(2.55))/-1600)-273.15</f>
        <v>741.29980842565465</v>
      </c>
      <c r="GF18" s="11">
        <f>1/((LN(GC18)-LN(2.97))/(-1850))-273.15</f>
        <v>796.41310260017474</v>
      </c>
      <c r="GG18" s="11">
        <f>1/((LN(GC18)-LN(5.42))/-2500)-273.15</f>
        <v>799.25350292991209</v>
      </c>
      <c r="GI18" s="11">
        <f>6326.7-9963.2*CR18+943.3*CR18^2+2690.2*CR18^3</f>
        <v>3635.23433469162</v>
      </c>
      <c r="GJ18" s="11">
        <f t="shared" si="87"/>
        <v>371.93449837854075</v>
      </c>
      <c r="GK18" s="11">
        <f>-1.9872*LN(GC18)+4.6321-10.815*CR18+7.7345*CR18^2-1.5512*CR18^3</f>
        <v>3.4232604094531176</v>
      </c>
      <c r="GL18" s="11">
        <f>-273.15+(GI18+GJ18)/GK18</f>
        <v>897.42084585344935</v>
      </c>
      <c r="GN18" s="11">
        <f t="shared" si="0"/>
        <v>900</v>
      </c>
    </row>
    <row r="19" spans="1:196" ht="12.6">
      <c r="A19" s="11" t="s">
        <v>79</v>
      </c>
      <c r="B19" s="11" t="s">
        <v>83</v>
      </c>
      <c r="C19" s="50">
        <v>15</v>
      </c>
      <c r="D19" s="9">
        <v>950</v>
      </c>
      <c r="E19" s="11"/>
      <c r="F19" s="49">
        <v>64.599999999999994</v>
      </c>
      <c r="G19" s="49"/>
      <c r="H19" s="49">
        <v>18.8</v>
      </c>
      <c r="I19" s="49">
        <v>0.09</v>
      </c>
      <c r="J19" s="49"/>
      <c r="K19" s="49">
        <v>0</v>
      </c>
      <c r="L19" s="49">
        <v>0.39</v>
      </c>
      <c r="M19" s="49">
        <v>1.1499999999999999</v>
      </c>
      <c r="N19" s="49">
        <v>14.8</v>
      </c>
      <c r="O19" s="49"/>
      <c r="P19" s="11">
        <f t="shared" si="1"/>
        <v>99.83</v>
      </c>
      <c r="Q19" s="11"/>
      <c r="R19" s="49">
        <v>46.2</v>
      </c>
      <c r="S19" s="49"/>
      <c r="T19" s="49">
        <v>33.5</v>
      </c>
      <c r="U19" s="49">
        <v>0.31</v>
      </c>
      <c r="V19" s="49"/>
      <c r="W19" s="49">
        <v>0</v>
      </c>
      <c r="X19" s="49">
        <v>17.399999999999999</v>
      </c>
      <c r="Y19" s="49">
        <v>1.22</v>
      </c>
      <c r="Z19" s="49">
        <v>0.3</v>
      </c>
      <c r="AA19" s="49"/>
      <c r="AB19" s="11">
        <f t="shared" si="2"/>
        <v>98.929999999999993</v>
      </c>
      <c r="AD19" s="54">
        <f t="shared" si="88"/>
        <v>875.43588837804236</v>
      </c>
      <c r="AE19" s="54">
        <f t="shared" si="89"/>
        <v>964.32315416358404</v>
      </c>
      <c r="AF19" s="54">
        <f t="shared" si="3"/>
        <v>967.5522351706029</v>
      </c>
      <c r="AH19" s="60">
        <f t="shared" si="4"/>
        <v>1.9410063562510994E-2</v>
      </c>
      <c r="AI19" s="60">
        <f t="shared" si="5"/>
        <v>0.1035699913028357</v>
      </c>
      <c r="AJ19" s="60">
        <f t="shared" si="6"/>
        <v>0.87701994513465342</v>
      </c>
      <c r="AK19" s="60"/>
      <c r="AL19" s="60">
        <f t="shared" si="90"/>
        <v>0.87153114388524155</v>
      </c>
      <c r="AM19" s="60">
        <f t="shared" si="91"/>
        <v>0.11057762104946169</v>
      </c>
      <c r="AN19" s="60">
        <f t="shared" si="92"/>
        <v>1.7891235065296811E-2</v>
      </c>
      <c r="AO19" s="57"/>
      <c r="AP19" s="61">
        <f t="shared" si="93"/>
        <v>0.84284103977371405</v>
      </c>
      <c r="AQ19" s="61">
        <f t="shared" si="94"/>
        <v>0.28342085951734325</v>
      </c>
      <c r="AR19" s="61">
        <f t="shared" si="7"/>
        <v>0.88660027503519745</v>
      </c>
      <c r="AS19" s="62"/>
      <c r="AT19" s="61">
        <f t="shared" si="95"/>
        <v>0.92474623795705169</v>
      </c>
      <c r="AU19" s="61">
        <f t="shared" si="96"/>
        <v>0.58969054342728344</v>
      </c>
      <c r="AV19" s="61">
        <f t="shared" si="97"/>
        <v>0.98995149765046986</v>
      </c>
      <c r="AX19" s="94">
        <f t="shared" si="111"/>
        <v>8.1905198183337635E-2</v>
      </c>
      <c r="AY19" s="94">
        <f t="shared" si="98"/>
        <v>0.30626968390994019</v>
      </c>
      <c r="AZ19" s="94">
        <f t="shared" si="99"/>
        <v>0.10335122261527241</v>
      </c>
      <c r="BB19" s="11">
        <f t="shared" si="8"/>
        <v>1223.1500000000001</v>
      </c>
      <c r="BD19" s="9">
        <f t="shared" si="100"/>
        <v>967.55223517060278</v>
      </c>
      <c r="BF19" s="29">
        <f t="shared" si="101"/>
        <v>1240.7022351706028</v>
      </c>
      <c r="BG19" s="11">
        <f t="shared" si="102"/>
        <v>0.87153114388524155</v>
      </c>
      <c r="BH19" s="11">
        <f t="shared" si="103"/>
        <v>0.11057762104946169</v>
      </c>
      <c r="BI19" s="11">
        <f t="shared" si="104"/>
        <v>1.7891235065296811E-2</v>
      </c>
      <c r="BJ19" s="11">
        <f>SUM(BG19:BI19)</f>
        <v>1</v>
      </c>
      <c r="BK19" s="11">
        <f t="shared" si="112"/>
        <v>210.22953331960366</v>
      </c>
      <c r="BL19" s="11">
        <f t="shared" si="9"/>
        <v>72.239493671526773</v>
      </c>
      <c r="BM19" s="11">
        <f t="shared" si="10"/>
        <v>15809.116376912865</v>
      </c>
      <c r="BN19" s="11">
        <f t="shared" si="11"/>
        <v>1983.4497532624455</v>
      </c>
      <c r="BO19" s="11">
        <f t="shared" si="12"/>
        <v>-1058.3950935383361</v>
      </c>
      <c r="BP19" s="11">
        <f t="shared" si="13"/>
        <v>238.51304330541399</v>
      </c>
      <c r="BQ19" s="11">
        <f t="shared" si="14"/>
        <v>12.083624325382869</v>
      </c>
      <c r="BR19" s="11">
        <f>SUM(BK19:BQ19)</f>
        <v>17267.236731258901</v>
      </c>
      <c r="BS19" s="11">
        <f t="shared" ref="BS19:BS31" si="115">BH19*EXP(BR19/(8.3144*BF19))</f>
        <v>0.58969054342728344</v>
      </c>
      <c r="BU19" s="79">
        <f t="shared" si="113"/>
        <v>-25.700693934470252</v>
      </c>
      <c r="BV19" s="79">
        <f t="shared" si="15"/>
        <v>-9.2085771058989785</v>
      </c>
      <c r="BW19" s="79">
        <f t="shared" si="16"/>
        <v>635.54603409268157</v>
      </c>
      <c r="BX19" s="79">
        <f t="shared" si="17"/>
        <v>-109.73900400297612</v>
      </c>
      <c r="BY19" s="79">
        <f t="shared" si="114"/>
        <v>164.03920952435016</v>
      </c>
      <c r="BZ19" s="79">
        <f t="shared" si="18"/>
        <v>-42.080980345528324</v>
      </c>
      <c r="CA19" s="79">
        <f t="shared" si="19"/>
        <v>-1.4627020336836689</v>
      </c>
      <c r="CB19" s="79">
        <f>SUM(BU19:CA19)</f>
        <v>611.39328619447429</v>
      </c>
      <c r="CC19" s="79">
        <f t="shared" si="105"/>
        <v>0.92474623795705169</v>
      </c>
      <c r="CE19" s="11">
        <f t="shared" si="20"/>
        <v>1276.7919495438905</v>
      </c>
      <c r="CF19" s="11">
        <f t="shared" si="21"/>
        <v>575.3542377690095</v>
      </c>
      <c r="CG19" s="11">
        <f t="shared" si="22"/>
        <v>-3214.4384841211358</v>
      </c>
      <c r="CH19" s="11">
        <f t="shared" si="23"/>
        <v>281.01500945661894</v>
      </c>
      <c r="CI19" s="11">
        <f t="shared" si="24"/>
        <v>39054.829356226546</v>
      </c>
      <c r="CJ19" s="11">
        <f t="shared" si="25"/>
        <v>3334.4309164030401</v>
      </c>
      <c r="CK19" s="11">
        <f t="shared" si="26"/>
        <v>92.458800964754261</v>
      </c>
      <c r="CL19" s="11">
        <f>SUM(CE19:CK19)</f>
        <v>41400.441786242729</v>
      </c>
      <c r="CM19" s="11">
        <f t="shared" si="27"/>
        <v>0.98995149765046986</v>
      </c>
      <c r="CO19" s="11">
        <f t="shared" si="106"/>
        <v>15</v>
      </c>
      <c r="CP19" s="9">
        <f t="shared" si="107"/>
        <v>1240.7022351706028</v>
      </c>
      <c r="CQ19" s="11">
        <f t="shared" si="28"/>
        <v>1.9410063562510994E-2</v>
      </c>
      <c r="CR19" s="11">
        <f t="shared" si="29"/>
        <v>0.1035699913028357</v>
      </c>
      <c r="CS19" s="11">
        <f t="shared" si="30"/>
        <v>0.87701994513465342</v>
      </c>
      <c r="CT19" s="11">
        <f>SUM(CQ19:CS19)</f>
        <v>1</v>
      </c>
      <c r="CU19" s="11">
        <f t="shared" si="108"/>
        <v>3717.3728102028776</v>
      </c>
      <c r="CV19" s="11">
        <f t="shared" si="31"/>
        <v>7046.1351361619572</v>
      </c>
      <c r="CW19" s="11">
        <f t="shared" si="32"/>
        <v>186.40991470785323</v>
      </c>
      <c r="CX19" s="11">
        <f t="shared" si="33"/>
        <v>115.68218045366754</v>
      </c>
      <c r="CY19" s="11">
        <f t="shared" si="34"/>
        <v>305.25822432789369</v>
      </c>
      <c r="CZ19" s="11">
        <f t="shared" si="35"/>
        <v>-999.62946575486819</v>
      </c>
      <c r="DA19" s="11">
        <f t="shared" si="36"/>
        <v>13.42938195721554</v>
      </c>
      <c r="DB19" s="11">
        <f>SUM(CU19:DA19)</f>
        <v>10384.658182056597</v>
      </c>
      <c r="DC19" s="11">
        <f>CR19*EXP(DB19/(8.3144*CP19))</f>
        <v>0.28342085951734325</v>
      </c>
      <c r="DE19" s="11">
        <f t="shared" si="37"/>
        <v>544.41940720253797</v>
      </c>
      <c r="DF19" s="11">
        <f t="shared" si="38"/>
        <v>-1321.8474288218811</v>
      </c>
      <c r="DG19" s="11">
        <f t="shared" si="39"/>
        <v>1259.0007388517465</v>
      </c>
      <c r="DH19" s="11">
        <f t="shared" si="40"/>
        <v>603.00118071904501</v>
      </c>
      <c r="DI19" s="11">
        <f t="shared" si="41"/>
        <v>3863.0449901860743</v>
      </c>
      <c r="DJ19" s="11">
        <f t="shared" si="42"/>
        <v>33866.185766021204</v>
      </c>
      <c r="DK19" s="11">
        <f t="shared" si="43"/>
        <v>86.870267490524725</v>
      </c>
      <c r="DL19" s="11">
        <f>SUM(DE19:DK19)</f>
        <v>38900.674921649246</v>
      </c>
      <c r="DM19" s="11">
        <f>CQ19*EXP(DL19/(8.31447*CP19))</f>
        <v>0.84284103977371405</v>
      </c>
      <c r="DO19" s="11">
        <f t="shared" si="44"/>
        <v>-193.89863630116608</v>
      </c>
      <c r="DP19" s="11">
        <f t="shared" si="45"/>
        <v>246.64656182268791</v>
      </c>
      <c r="DQ19" s="11">
        <f t="shared" si="46"/>
        <v>-22.112768594274158</v>
      </c>
      <c r="DR19" s="11">
        <f t="shared" si="47"/>
        <v>-13.122266649048221</v>
      </c>
      <c r="DS19" s="11">
        <f t="shared" si="48"/>
        <v>-52.250754945361386</v>
      </c>
      <c r="DT19" s="11">
        <f t="shared" si="49"/>
        <v>148.3209754833926</v>
      </c>
      <c r="DU19" s="11">
        <f t="shared" si="50"/>
        <v>-1.5082672452497505</v>
      </c>
      <c r="DV19" s="11">
        <f>SUM(DO19:DU19)</f>
        <v>112.07484357098092</v>
      </c>
      <c r="DW19" s="11">
        <f>CS19*EXP(DV19/(8.3144*CP19))</f>
        <v>0.88660027503519745</v>
      </c>
      <c r="DY19" s="11">
        <f t="shared" si="51"/>
        <v>1.0751560723849658</v>
      </c>
      <c r="DZ19" s="11">
        <f t="shared" si="52"/>
        <v>0</v>
      </c>
      <c r="EA19" s="11">
        <f t="shared" si="109"/>
        <v>0.36876744522562777</v>
      </c>
      <c r="EB19" s="11">
        <f t="shared" si="53"/>
        <v>1.2526723677177979E-3</v>
      </c>
      <c r="EC19" s="11">
        <f t="shared" si="54"/>
        <v>0</v>
      </c>
      <c r="ED19" s="11">
        <f t="shared" si="55"/>
        <v>0</v>
      </c>
      <c r="EE19" s="11">
        <f t="shared" si="56"/>
        <v>6.9546733621744239E-3</v>
      </c>
      <c r="EF19" s="11">
        <f t="shared" si="57"/>
        <v>3.7109381806748019E-2</v>
      </c>
      <c r="EG19" s="11">
        <f t="shared" si="58"/>
        <v>0.31423839653488472</v>
      </c>
      <c r="EH19" s="11">
        <f t="shared" si="59"/>
        <v>0</v>
      </c>
      <c r="EI19" s="11">
        <f>SUM(DY19:EH19)</f>
        <v>1.8034786416821185</v>
      </c>
      <c r="EJ19" s="11"/>
      <c r="EK19" s="11">
        <f>DY19/$EI19</f>
        <v>0.59615680914422109</v>
      </c>
      <c r="EL19" s="11">
        <f t="shared" si="60"/>
        <v>0</v>
      </c>
      <c r="EM19" s="11">
        <f t="shared" si="61"/>
        <v>0.20447563763864457</v>
      </c>
      <c r="EN19" s="11">
        <f t="shared" si="62"/>
        <v>6.9458674961041993E-4</v>
      </c>
      <c r="EO19" s="11">
        <f t="shared" si="63"/>
        <v>0</v>
      </c>
      <c r="EP19" s="11">
        <f t="shared" si="64"/>
        <v>0</v>
      </c>
      <c r="EQ19" s="11">
        <f t="shared" si="65"/>
        <v>3.8562549072872557E-3</v>
      </c>
      <c r="ER19" s="11">
        <f t="shared" si="66"/>
        <v>2.0576557409150025E-2</v>
      </c>
      <c r="ES19" s="11">
        <f t="shared" si="67"/>
        <v>0.17424015415108668</v>
      </c>
      <c r="ET19" s="11">
        <f t="shared" si="68"/>
        <v>0</v>
      </c>
      <c r="EU19" s="9">
        <f>SUM(EK19:ET19)</f>
        <v>1</v>
      </c>
      <c r="EV19" s="9">
        <f>EQ19/(EQ19+ER19+ES19)</f>
        <v>1.9410063562510994E-2</v>
      </c>
      <c r="EW19" s="9">
        <f>ER19/(EQ19+ER19+ES19)</f>
        <v>0.1035699913028357</v>
      </c>
      <c r="EX19" s="9">
        <f>ES19/(EQ19+ER19+ES19)</f>
        <v>0.87701994513465331</v>
      </c>
      <c r="EZ19" s="11">
        <f t="shared" si="69"/>
        <v>0.76891966786664745</v>
      </c>
      <c r="FA19" s="11">
        <f t="shared" si="70"/>
        <v>0</v>
      </c>
      <c r="FB19" s="11">
        <f t="shared" si="71"/>
        <v>0.65711220292864514</v>
      </c>
      <c r="FC19" s="11">
        <f t="shared" si="72"/>
        <v>4.3147603776946377E-3</v>
      </c>
      <c r="FD19" s="11">
        <f t="shared" si="73"/>
        <v>0</v>
      </c>
      <c r="FE19" s="11">
        <f t="shared" si="74"/>
        <v>0</v>
      </c>
      <c r="FF19" s="11">
        <f t="shared" si="75"/>
        <v>0.31028542692778194</v>
      </c>
      <c r="FG19" s="11">
        <f t="shared" si="76"/>
        <v>3.9368213742810944E-2</v>
      </c>
      <c r="FH19" s="11">
        <f t="shared" si="77"/>
        <v>6.3696972270584741E-3</v>
      </c>
      <c r="FI19" s="11">
        <f t="shared" si="110"/>
        <v>0</v>
      </c>
      <c r="FJ19" s="11">
        <f>SUM(EZ19:FI19)</f>
        <v>1.7863699690706385</v>
      </c>
      <c r="FK19" s="34" t="e">
        <f>(EP19*FO19)/(EN19*FQ19)</f>
        <v>#DIV/0!</v>
      </c>
      <c r="FL19" s="11">
        <f>EZ19/$FJ19</f>
        <v>0.43043696500713063</v>
      </c>
      <c r="FM19" s="11">
        <f t="shared" si="78"/>
        <v>0</v>
      </c>
      <c r="FN19" s="11">
        <f t="shared" si="79"/>
        <v>0.36784776631153776</v>
      </c>
      <c r="FO19" s="11">
        <f t="shared" si="80"/>
        <v>2.4153789262027271E-3</v>
      </c>
      <c r="FP19" s="11">
        <f t="shared" si="81"/>
        <v>0</v>
      </c>
      <c r="FQ19" s="11">
        <f t="shared" si="82"/>
        <v>0</v>
      </c>
      <c r="FR19" s="11">
        <f t="shared" si="83"/>
        <v>0.17369606089449005</v>
      </c>
      <c r="FS19" s="11">
        <f t="shared" si="84"/>
        <v>2.2038107684542139E-2</v>
      </c>
      <c r="FT19" s="11">
        <f t="shared" si="85"/>
        <v>3.5657211760967513E-3</v>
      </c>
      <c r="FU19" s="11">
        <f t="shared" si="86"/>
        <v>0</v>
      </c>
      <c r="FV19" s="11">
        <f>SUM(FL19:FU19)</f>
        <v>1</v>
      </c>
      <c r="FX19" s="11">
        <f>FR19/(FR19+FS19+FT19)</f>
        <v>0.87153114388524155</v>
      </c>
      <c r="FY19" s="11">
        <f>FS19/(FR19+FS19+FT19)</f>
        <v>0.11057762104946169</v>
      </c>
      <c r="FZ19" s="11">
        <f>FT19/(FR19+FS19+FT19)</f>
        <v>1.7891235065296811E-2</v>
      </c>
      <c r="GA19" s="11">
        <f>SUM(FX19:FZ19)</f>
        <v>1</v>
      </c>
      <c r="GC19" s="11">
        <f>CR19/BH19</f>
        <v>0.93662705274251246</v>
      </c>
      <c r="GD19" s="11">
        <f>-273.15+1/((LN(GC19)-0.8)/(-1400))</f>
        <v>1344.467988378256</v>
      </c>
      <c r="GE19" s="11">
        <f>1/((LN(GC19)-LN(2.55))/-1600)-273.15</f>
        <v>1324.3523724028591</v>
      </c>
      <c r="GF19" s="11">
        <f>1/((LN(GC19)-LN(2.97))/(-1850))-273.15</f>
        <v>1329.9250598582153</v>
      </c>
      <c r="GG19" s="11">
        <f>1/((LN(GC19)-LN(5.42))/-2500)-273.15</f>
        <v>1150.8922304289222</v>
      </c>
      <c r="GI19" s="11">
        <f>6326.7-9963.2*CR19+943.3*CR19^2+2690.2*CR19^3</f>
        <v>5307.918727384641</v>
      </c>
      <c r="GJ19" s="11">
        <f t="shared" si="87"/>
        <v>1163.9143847754015</v>
      </c>
      <c r="GK19" s="11">
        <f>-1.9872*LN(GC19)+4.6321-10.815*CR19+7.7345*CR19^2-1.5512*CR19^3</f>
        <v>3.7233353839860861</v>
      </c>
      <c r="GL19" s="11">
        <f>-273.15+(GI19+GJ19)/GK19</f>
        <v>1465.0316153320846</v>
      </c>
      <c r="GN19" s="11">
        <f t="shared" si="0"/>
        <v>950</v>
      </c>
    </row>
    <row r="20" spans="1:196" ht="12.6">
      <c r="A20" s="11" t="s">
        <v>79</v>
      </c>
      <c r="B20" s="11" t="s">
        <v>84</v>
      </c>
      <c r="C20" s="50">
        <v>15</v>
      </c>
      <c r="D20" s="9">
        <v>950</v>
      </c>
      <c r="E20" s="11"/>
      <c r="F20" s="49">
        <v>61.8</v>
      </c>
      <c r="G20" s="49"/>
      <c r="H20" s="49">
        <v>19.2</v>
      </c>
      <c r="I20" s="49">
        <v>0.51</v>
      </c>
      <c r="J20" s="49"/>
      <c r="K20" s="49">
        <v>0.03</v>
      </c>
      <c r="L20" s="49">
        <v>0.66</v>
      </c>
      <c r="M20" s="49">
        <v>1.71</v>
      </c>
      <c r="N20" s="49">
        <v>12.9</v>
      </c>
      <c r="O20" s="49"/>
      <c r="P20" s="11">
        <f t="shared" si="1"/>
        <v>96.81</v>
      </c>
      <c r="Q20" s="11"/>
      <c r="R20" s="49">
        <v>50.3</v>
      </c>
      <c r="S20" s="49"/>
      <c r="T20" s="49">
        <v>31.1</v>
      </c>
      <c r="U20" s="49">
        <v>0.54</v>
      </c>
      <c r="V20" s="49"/>
      <c r="W20" s="49">
        <v>0.06</v>
      </c>
      <c r="X20" s="49">
        <v>14.5</v>
      </c>
      <c r="Y20" s="49">
        <v>2.76</v>
      </c>
      <c r="Z20" s="49">
        <v>0.79</v>
      </c>
      <c r="AA20" s="49"/>
      <c r="AB20" s="11">
        <f t="shared" si="2"/>
        <v>100.05000000000003</v>
      </c>
      <c r="AD20" s="54">
        <f t="shared" si="88"/>
        <v>881.13105776624116</v>
      </c>
      <c r="AE20" s="54">
        <f t="shared" si="89"/>
        <v>988.12014915849488</v>
      </c>
      <c r="AF20" s="54">
        <f t="shared" si="3"/>
        <v>1044.2683422078508</v>
      </c>
      <c r="AH20" s="60">
        <f t="shared" si="4"/>
        <v>3.4530055103792694E-2</v>
      </c>
      <c r="AI20" s="60">
        <f t="shared" si="5"/>
        <v>0.16189118243834147</v>
      </c>
      <c r="AJ20" s="60">
        <f t="shared" si="6"/>
        <v>0.80357876245786575</v>
      </c>
      <c r="AK20" s="60"/>
      <c r="AL20" s="60">
        <f t="shared" si="90"/>
        <v>0.70956654994184687</v>
      </c>
      <c r="AM20" s="60">
        <f t="shared" si="91"/>
        <v>0.24440380486392127</v>
      </c>
      <c r="AN20" s="60">
        <f t="shared" si="92"/>
        <v>4.6029645194231909E-2</v>
      </c>
      <c r="AO20" s="57"/>
      <c r="AP20" s="61">
        <f t="shared" si="93"/>
        <v>0.86483264224847989</v>
      </c>
      <c r="AQ20" s="61">
        <f t="shared" si="94"/>
        <v>0.36732439741227524</v>
      </c>
      <c r="AR20" s="61">
        <f t="shared" si="7"/>
        <v>0.82771881651930812</v>
      </c>
      <c r="AS20" s="62"/>
      <c r="AT20" s="61">
        <f t="shared" si="95"/>
        <v>0.90852377297321618</v>
      </c>
      <c r="AU20" s="61">
        <f t="shared" si="96"/>
        <v>0.55894970719008985</v>
      </c>
      <c r="AV20" s="61">
        <f t="shared" si="97"/>
        <v>0.79958193711857684</v>
      </c>
      <c r="AX20" s="94">
        <f t="shared" si="111"/>
        <v>4.3691130724736293E-2</v>
      </c>
      <c r="AY20" s="94">
        <f t="shared" si="98"/>
        <v>0.19162530977781461</v>
      </c>
      <c r="AZ20" s="94">
        <f t="shared" si="99"/>
        <v>-2.8136879400731285E-2</v>
      </c>
      <c r="BB20" s="11">
        <f t="shared" si="8"/>
        <v>1223.1500000000001</v>
      </c>
      <c r="BD20" s="9">
        <f t="shared" si="100"/>
        <v>1044.2683422078508</v>
      </c>
      <c r="BF20" s="29">
        <f t="shared" si="101"/>
        <v>1317.4183422078509</v>
      </c>
      <c r="BG20" s="11">
        <f t="shared" si="102"/>
        <v>0.70956654994184687</v>
      </c>
      <c r="BH20" s="11">
        <f t="shared" si="103"/>
        <v>0.24440380486392127</v>
      </c>
      <c r="BI20" s="11">
        <f t="shared" si="104"/>
        <v>4.6029645194231909E-2</v>
      </c>
      <c r="BJ20" s="11">
        <f>SUM(BG20:BI20)</f>
        <v>1</v>
      </c>
      <c r="BK20" s="11">
        <f t="shared" si="112"/>
        <v>543.35598100446771</v>
      </c>
      <c r="BL20" s="11">
        <f t="shared" si="9"/>
        <v>100.17847322641127</v>
      </c>
      <c r="BM20" s="11">
        <f t="shared" si="10"/>
        <v>6937.1964197591287</v>
      </c>
      <c r="BN20" s="11">
        <f t="shared" si="11"/>
        <v>3056.9951239624065</v>
      </c>
      <c r="BO20" s="11">
        <f t="shared" si="12"/>
        <v>-1819.598530308713</v>
      </c>
      <c r="BP20" s="11">
        <f t="shared" si="13"/>
        <v>226.44372964812899</v>
      </c>
      <c r="BQ20" s="11">
        <f t="shared" si="14"/>
        <v>16.612623486866852</v>
      </c>
      <c r="BR20" s="11">
        <f>SUM(BK20:BQ20)</f>
        <v>9061.183820778695</v>
      </c>
      <c r="BS20" s="11">
        <f t="shared" si="115"/>
        <v>0.55894970719008985</v>
      </c>
      <c r="BU20" s="79">
        <f t="shared" si="113"/>
        <v>-168.40795317329824</v>
      </c>
      <c r="BV20" s="79">
        <f t="shared" si="15"/>
        <v>-36.043322967121561</v>
      </c>
      <c r="BW20" s="79">
        <f t="shared" si="16"/>
        <v>2568.2853775467379</v>
      </c>
      <c r="BX20" s="79">
        <f t="shared" si="17"/>
        <v>-309.67575640305466</v>
      </c>
      <c r="BY20" s="79">
        <f t="shared" si="114"/>
        <v>795.50541916656084</v>
      </c>
      <c r="BZ20" s="79">
        <f t="shared" si="18"/>
        <v>-137.59757856972021</v>
      </c>
      <c r="CA20" s="79">
        <f t="shared" si="19"/>
        <v>-4.6915962460774523</v>
      </c>
      <c r="CB20" s="79">
        <f>SUM(BU20:CA20)</f>
        <v>2707.3745893540267</v>
      </c>
      <c r="CC20" s="79">
        <f t="shared" si="105"/>
        <v>0.90852377297321618</v>
      </c>
      <c r="CE20" s="11">
        <f t="shared" si="20"/>
        <v>2850.0779469300342</v>
      </c>
      <c r="CF20" s="11">
        <f t="shared" si="21"/>
        <v>1064.2488724074974</v>
      </c>
      <c r="CG20" s="11">
        <f t="shared" si="22"/>
        <v>-4369.7063435350829</v>
      </c>
      <c r="CH20" s="11">
        <f t="shared" si="23"/>
        <v>-68.296846726301382</v>
      </c>
      <c r="CI20" s="11">
        <f t="shared" si="24"/>
        <v>25657.699877353018</v>
      </c>
      <c r="CJ20" s="11">
        <f t="shared" si="25"/>
        <v>5979.5195755082023</v>
      </c>
      <c r="CK20" s="11">
        <f t="shared" si="26"/>
        <v>156.66849322092921</v>
      </c>
      <c r="CL20" s="11">
        <f>SUM(CE20:CK20)</f>
        <v>31270.211575158297</v>
      </c>
      <c r="CM20" s="11">
        <f t="shared" si="27"/>
        <v>0.79958193711857684</v>
      </c>
      <c r="CO20" s="11">
        <f t="shared" si="106"/>
        <v>15</v>
      </c>
      <c r="CP20" s="9">
        <f t="shared" si="107"/>
        <v>1317.4183422078509</v>
      </c>
      <c r="CQ20" s="11">
        <f t="shared" si="28"/>
        <v>3.4530055103792694E-2</v>
      </c>
      <c r="CR20" s="11">
        <f t="shared" si="29"/>
        <v>0.16189118243834147</v>
      </c>
      <c r="CS20" s="11">
        <f t="shared" si="30"/>
        <v>0.80357876245786575</v>
      </c>
      <c r="CT20" s="11">
        <f>SUM(CQ20:CS20)</f>
        <v>0.99999999999999989</v>
      </c>
      <c r="CU20" s="11">
        <f t="shared" si="108"/>
        <v>4875.3383405335526</v>
      </c>
      <c r="CV20" s="11">
        <f t="shared" si="31"/>
        <v>4737.9028182749471</v>
      </c>
      <c r="CW20" s="11">
        <f t="shared" si="32"/>
        <v>265.97384340733203</v>
      </c>
      <c r="CX20" s="11">
        <f t="shared" si="33"/>
        <v>211.98359440442542</v>
      </c>
      <c r="CY20" s="11">
        <f t="shared" si="34"/>
        <v>357.45492492211991</v>
      </c>
      <c r="CZ20" s="11">
        <f t="shared" si="35"/>
        <v>-1492.8555164697427</v>
      </c>
      <c r="DA20" s="11">
        <f t="shared" si="36"/>
        <v>18.669612118930765</v>
      </c>
      <c r="DB20" s="11">
        <f>SUM(CU20:DA20)</f>
        <v>8974.4676171915653</v>
      </c>
      <c r="DC20" s="11">
        <f>CR20*EXP(DB20/(8.3144*CP20))</f>
        <v>0.36732439741227524</v>
      </c>
      <c r="DE20" s="11">
        <f t="shared" si="37"/>
        <v>395.10477102795829</v>
      </c>
      <c r="DF20" s="11">
        <f t="shared" si="38"/>
        <v>-1577.646181401665</v>
      </c>
      <c r="DG20" s="11">
        <f t="shared" si="39"/>
        <v>1862.6610088044972</v>
      </c>
      <c r="DH20" s="11">
        <f t="shared" si="40"/>
        <v>960.35880941858943</v>
      </c>
      <c r="DI20" s="11">
        <f t="shared" si="41"/>
        <v>5464.8225812633063</v>
      </c>
      <c r="DJ20" s="11">
        <f t="shared" si="42"/>
        <v>28052.634251777021</v>
      </c>
      <c r="DK20" s="11">
        <f t="shared" si="43"/>
        <v>120.50258572222245</v>
      </c>
      <c r="DL20" s="11">
        <f>SUM(DE20:DK20)</f>
        <v>35278.437826611931</v>
      </c>
      <c r="DM20" s="11">
        <f>CQ20*EXP(DL20/(8.31447*CP20))</f>
        <v>0.86483264224847989</v>
      </c>
      <c r="DO20" s="11">
        <f t="shared" si="44"/>
        <v>-377.4724754299337</v>
      </c>
      <c r="DP20" s="11">
        <f t="shared" si="45"/>
        <v>524.82503133384046</v>
      </c>
      <c r="DQ20" s="11">
        <f t="shared" si="46"/>
        <v>-54.382507619372191</v>
      </c>
      <c r="DR20" s="11">
        <f t="shared" si="47"/>
        <v>-39.645481922746235</v>
      </c>
      <c r="DS20" s="11">
        <f t="shared" si="48"/>
        <v>-115.91875510067558</v>
      </c>
      <c r="DT20" s="11">
        <f t="shared" si="49"/>
        <v>390.17753432382079</v>
      </c>
      <c r="DU20" s="11">
        <f t="shared" si="50"/>
        <v>-3.3771078410753246</v>
      </c>
      <c r="DV20" s="11">
        <f>SUM(DO20:DU20)</f>
        <v>324.20623774385825</v>
      </c>
      <c r="DW20" s="11">
        <f>CS20*EXP(DV20/(8.3144*CP20))</f>
        <v>0.82771881651930812</v>
      </c>
      <c r="DY20" s="11">
        <f t="shared" si="51"/>
        <v>1.0285548803930478</v>
      </c>
      <c r="DZ20" s="11">
        <f t="shared" si="52"/>
        <v>0</v>
      </c>
      <c r="EA20" s="11">
        <f t="shared" si="109"/>
        <v>0.37661356108149213</v>
      </c>
      <c r="EB20" s="11">
        <f t="shared" si="53"/>
        <v>7.0984767504008554E-3</v>
      </c>
      <c r="EC20" s="11">
        <f t="shared" si="54"/>
        <v>0</v>
      </c>
      <c r="ED20" s="11">
        <f t="shared" si="55"/>
        <v>7.4433560603805041E-4</v>
      </c>
      <c r="EE20" s="11">
        <f t="shared" si="56"/>
        <v>1.1769447228295178E-2</v>
      </c>
      <c r="EF20" s="11">
        <f t="shared" si="57"/>
        <v>5.5180037295251408E-2</v>
      </c>
      <c r="EG20" s="11">
        <f t="shared" si="58"/>
        <v>0.27389698076351437</v>
      </c>
      <c r="EH20" s="11">
        <f t="shared" si="59"/>
        <v>0</v>
      </c>
      <c r="EI20" s="11">
        <f>SUM(DY20:EH20)</f>
        <v>1.7538577191180396</v>
      </c>
      <c r="EJ20" s="11"/>
      <c r="EK20" s="11">
        <f>DY20/$EI20</f>
        <v>0.58645286284127773</v>
      </c>
      <c r="EL20" s="11">
        <f t="shared" si="60"/>
        <v>0</v>
      </c>
      <c r="EM20" s="11">
        <f t="shared" si="61"/>
        <v>0.21473438636224115</v>
      </c>
      <c r="EN20" s="11">
        <f t="shared" si="62"/>
        <v>4.0473504053512724E-3</v>
      </c>
      <c r="EO20" s="11">
        <f t="shared" si="63"/>
        <v>0</v>
      </c>
      <c r="EP20" s="11">
        <f t="shared" si="64"/>
        <v>4.2439908204888684E-4</v>
      </c>
      <c r="EQ20" s="11">
        <f t="shared" si="65"/>
        <v>6.7106054841288192E-3</v>
      </c>
      <c r="ER20" s="11">
        <f t="shared" si="66"/>
        <v>3.1462094498178411E-2</v>
      </c>
      <c r="ES20" s="11">
        <f t="shared" si="67"/>
        <v>0.1561683013267739</v>
      </c>
      <c r="ET20" s="11">
        <f t="shared" si="68"/>
        <v>0</v>
      </c>
      <c r="EU20" s="9">
        <f>SUM(EK20:ET20)</f>
        <v>1.0000000000000002</v>
      </c>
      <c r="EV20" s="9">
        <f>EQ20/(EQ20+ER20+ES20)</f>
        <v>3.4530055103792694E-2</v>
      </c>
      <c r="EW20" s="9">
        <f>ER20/(EQ20+ER20+ES20)</f>
        <v>0.16189118243834147</v>
      </c>
      <c r="EX20" s="9">
        <f>ES20/(EQ20+ER20+ES20)</f>
        <v>0.80357876245786575</v>
      </c>
      <c r="EZ20" s="11">
        <f t="shared" si="69"/>
        <v>0.83715712756909877</v>
      </c>
      <c r="FA20" s="11">
        <f t="shared" si="70"/>
        <v>0</v>
      </c>
      <c r="FB20" s="11">
        <f t="shared" si="71"/>
        <v>0.61003550779345872</v>
      </c>
      <c r="FC20" s="11">
        <f t="shared" si="72"/>
        <v>7.5160342063067881E-3</v>
      </c>
      <c r="FD20" s="11">
        <f t="shared" si="73"/>
        <v>0</v>
      </c>
      <c r="FE20" s="11">
        <f t="shared" si="74"/>
        <v>1.4886712120761008E-3</v>
      </c>
      <c r="FF20" s="11">
        <f t="shared" si="75"/>
        <v>0.25857118910648497</v>
      </c>
      <c r="FG20" s="11">
        <f t="shared" si="76"/>
        <v>8.9062516336195247E-2</v>
      </c>
      <c r="FH20" s="11">
        <f t="shared" si="77"/>
        <v>1.6773536031253981E-2</v>
      </c>
      <c r="FI20" s="11">
        <f t="shared" si="110"/>
        <v>0</v>
      </c>
      <c r="FJ20" s="11">
        <f>SUM(EZ20:FI20)</f>
        <v>1.8206045822548746</v>
      </c>
      <c r="FK20" s="34">
        <f>(EP20*FO20)/(EN20*FQ20)</f>
        <v>0.52941176470588236</v>
      </c>
      <c r="FL20" s="11">
        <f>EZ20/$FJ20</f>
        <v>0.45982369578146065</v>
      </c>
      <c r="FM20" s="11">
        <f t="shared" si="78"/>
        <v>0</v>
      </c>
      <c r="FN20" s="11">
        <f t="shared" si="79"/>
        <v>0.33507303768175239</v>
      </c>
      <c r="FO20" s="11">
        <f t="shared" si="80"/>
        <v>4.1283177465136055E-3</v>
      </c>
      <c r="FP20" s="11">
        <f t="shared" si="81"/>
        <v>0</v>
      </c>
      <c r="FQ20" s="11">
        <f t="shared" si="82"/>
        <v>8.1767959203548517E-4</v>
      </c>
      <c r="FR20" s="11">
        <f t="shared" si="83"/>
        <v>0.14202490295077508</v>
      </c>
      <c r="FS20" s="11">
        <f t="shared" si="84"/>
        <v>4.8919198163221468E-2</v>
      </c>
      <c r="FT20" s="11">
        <f t="shared" si="85"/>
        <v>9.2131680842412484E-3</v>
      </c>
      <c r="FU20" s="11">
        <f t="shared" si="86"/>
        <v>0</v>
      </c>
      <c r="FV20" s="11">
        <f>SUM(FL20:FU20)</f>
        <v>0.99999999999999989</v>
      </c>
      <c r="FX20" s="11">
        <f>FR20/(FR20+FS20+FT20)</f>
        <v>0.70956654994184687</v>
      </c>
      <c r="FY20" s="11">
        <f>FS20/(FR20+FS20+FT20)</f>
        <v>0.24440380486392127</v>
      </c>
      <c r="FZ20" s="11">
        <f>FT20/(FR20+FS20+FT20)</f>
        <v>4.6029645194231909E-2</v>
      </c>
      <c r="GA20" s="11">
        <f>SUM(FX20:FZ20)</f>
        <v>1</v>
      </c>
      <c r="GC20" s="11">
        <f>CR20/BH20</f>
        <v>0.66239223455820972</v>
      </c>
      <c r="GD20" s="11">
        <f>-273.15+1/((LN(GC20)-0.8)/(-1400))</f>
        <v>882.06330515089201</v>
      </c>
      <c r="GE20" s="11">
        <f>1/((LN(GC20)-LN(2.55))/-1600)-273.15</f>
        <v>913.80175771743359</v>
      </c>
      <c r="GF20" s="11">
        <f>1/((LN(GC20)-LN(2.97))/(-1850))-273.15</f>
        <v>959.80575954919448</v>
      </c>
      <c r="GG20" s="11">
        <f>1/((LN(GC20)-LN(5.42))/-2500)-273.15</f>
        <v>916.19732167963582</v>
      </c>
      <c r="GI20" s="11">
        <f>6326.7-9963.2*CR20+943.3*CR20^2+2690.2*CR20^3</f>
        <v>4749.8829176949457</v>
      </c>
      <c r="GJ20" s="11">
        <f t="shared" si="87"/>
        <v>1041.4819998811722</v>
      </c>
      <c r="GK20" s="11">
        <f>-1.9872*LN(GC20)+4.6321-10.815*CR20+7.7345*CR20^2-1.5512*CR20^3</f>
        <v>3.8958992993624744</v>
      </c>
      <c r="GL20" s="11">
        <f>-273.15+(GI20+GJ20)/GK20</f>
        <v>1213.3783911531846</v>
      </c>
      <c r="GN20" s="11">
        <f t="shared" si="0"/>
        <v>950</v>
      </c>
    </row>
    <row r="21" spans="1:196" ht="12.6">
      <c r="A21" s="11" t="s">
        <v>79</v>
      </c>
      <c r="B21" s="11" t="s">
        <v>85</v>
      </c>
      <c r="C21" s="50">
        <v>1</v>
      </c>
      <c r="D21" s="9">
        <v>890</v>
      </c>
      <c r="E21" s="11"/>
      <c r="F21" s="49">
        <v>65.099999999999994</v>
      </c>
      <c r="G21" s="49"/>
      <c r="H21" s="49">
        <v>19.2</v>
      </c>
      <c r="I21" s="49">
        <v>0.05</v>
      </c>
      <c r="J21" s="49"/>
      <c r="K21" s="49">
        <v>0</v>
      </c>
      <c r="L21" s="49">
        <v>0.36</v>
      </c>
      <c r="M21" s="49">
        <v>2.87</v>
      </c>
      <c r="N21" s="49">
        <v>12.6</v>
      </c>
      <c r="O21" s="49"/>
      <c r="P21" s="11">
        <f t="shared" si="1"/>
        <v>100.17999999999999</v>
      </c>
      <c r="Q21" s="11"/>
      <c r="R21" s="49">
        <v>60.6</v>
      </c>
      <c r="S21" s="49"/>
      <c r="T21" s="49">
        <v>24.7</v>
      </c>
      <c r="U21" s="49">
        <v>0.05</v>
      </c>
      <c r="V21" s="49"/>
      <c r="W21" s="49">
        <v>0</v>
      </c>
      <c r="X21" s="49">
        <v>5.49</v>
      </c>
      <c r="Y21" s="49">
        <v>7.32</v>
      </c>
      <c r="Z21" s="49">
        <v>1.52</v>
      </c>
      <c r="AA21" s="49"/>
      <c r="AB21" s="11">
        <f t="shared" si="2"/>
        <v>99.679999999999993</v>
      </c>
      <c r="AD21" s="54">
        <f t="shared" si="88"/>
        <v>769.99155940332332</v>
      </c>
      <c r="AE21" s="54">
        <f t="shared" si="89"/>
        <v>785.05648541929293</v>
      </c>
      <c r="AF21" s="54">
        <f t="shared" si="3"/>
        <v>781.04394432723791</v>
      </c>
      <c r="AH21" s="60">
        <f t="shared" si="4"/>
        <v>1.7513406811399086E-2</v>
      </c>
      <c r="AI21" s="60">
        <f t="shared" si="5"/>
        <v>0.25265260513402776</v>
      </c>
      <c r="AJ21" s="60">
        <f t="shared" si="6"/>
        <v>0.72983398805457311</v>
      </c>
      <c r="AK21" s="60"/>
      <c r="AL21" s="60">
        <f t="shared" si="90"/>
        <v>0.267207951347604</v>
      </c>
      <c r="AM21" s="60">
        <f t="shared" si="91"/>
        <v>0.64470622388656385</v>
      </c>
      <c r="AN21" s="60">
        <f t="shared" si="92"/>
        <v>8.8085824765832196E-2</v>
      </c>
      <c r="AO21" s="57"/>
      <c r="AP21" s="61">
        <f t="shared" si="93"/>
        <v>1.6541581558642164</v>
      </c>
      <c r="AQ21" s="61">
        <f t="shared" si="94"/>
        <v>0.53940157537100408</v>
      </c>
      <c r="AR21" s="61">
        <f t="shared" si="7"/>
        <v>0.77228060261597176</v>
      </c>
      <c r="AS21" s="62"/>
      <c r="AT21" s="61">
        <f t="shared" si="95"/>
        <v>1.0809268720725345</v>
      </c>
      <c r="AU21" s="61">
        <f t="shared" si="96"/>
        <v>0.6404624593032342</v>
      </c>
      <c r="AV21" s="61">
        <f t="shared" si="97"/>
        <v>0.90016076018312974</v>
      </c>
      <c r="AX21" s="94">
        <f t="shared" si="111"/>
        <v>-0.57323128379168198</v>
      </c>
      <c r="AY21" s="94">
        <f t="shared" si="98"/>
        <v>0.10106088393223012</v>
      </c>
      <c r="AZ21" s="94">
        <f t="shared" si="99"/>
        <v>0.12788015756715798</v>
      </c>
      <c r="BB21" s="11">
        <f t="shared" si="8"/>
        <v>1163.1500000000001</v>
      </c>
      <c r="BD21" s="9">
        <f t="shared" si="100"/>
        <v>781.04394432723791</v>
      </c>
      <c r="BF21" s="29">
        <f t="shared" si="101"/>
        <v>1054.1939443272379</v>
      </c>
      <c r="BG21" s="11">
        <f t="shared" si="102"/>
        <v>0.267207951347604</v>
      </c>
      <c r="BH21" s="11">
        <f t="shared" si="103"/>
        <v>0.64470622388656385</v>
      </c>
      <c r="BI21" s="11">
        <f t="shared" si="104"/>
        <v>8.8085824765832196E-2</v>
      </c>
      <c r="BJ21" s="11">
        <f t="shared" ref="BJ21:BJ31" si="116">SUM(BG21:BI21)</f>
        <v>1</v>
      </c>
      <c r="BK21" s="11">
        <f t="shared" si="112"/>
        <v>614.79768799239889</v>
      </c>
      <c r="BL21" s="11">
        <f t="shared" si="9"/>
        <v>-49.77880359319623</v>
      </c>
      <c r="BM21" s="11">
        <f t="shared" si="10"/>
        <v>-633.64735770612037</v>
      </c>
      <c r="BN21" s="11">
        <f t="shared" si="11"/>
        <v>1373.7176315787915</v>
      </c>
      <c r="BO21" s="11">
        <f t="shared" si="12"/>
        <v>-946.99938908545437</v>
      </c>
      <c r="BP21" s="11">
        <f t="shared" si="13"/>
        <v>-364.66129509164551</v>
      </c>
      <c r="BQ21" s="11">
        <f t="shared" si="14"/>
        <v>-51.314556090634184</v>
      </c>
      <c r="BR21" s="11">
        <f t="shared" ref="BR21:BR31" si="117">SUM(BK21:BQ21)</f>
        <v>-57.886081995860408</v>
      </c>
      <c r="BS21" s="11">
        <f t="shared" si="115"/>
        <v>0.6404624593032342</v>
      </c>
      <c r="BU21" s="79">
        <f t="shared" si="113"/>
        <v>-998.4565966314608</v>
      </c>
      <c r="BV21" s="79">
        <f t="shared" si="15"/>
        <v>28.321504790915029</v>
      </c>
      <c r="BW21" s="79">
        <f t="shared" si="16"/>
        <v>6994.5134954070891</v>
      </c>
      <c r="BX21" s="79">
        <f t="shared" si="17"/>
        <v>2386.4077111497695</v>
      </c>
      <c r="BY21" s="79">
        <f t="shared" si="114"/>
        <v>2826.8960493296331</v>
      </c>
      <c r="BZ21" s="79">
        <f t="shared" si="18"/>
        <v>812.73172674912394</v>
      </c>
      <c r="CA21" s="79">
        <f t="shared" si="19"/>
        <v>199.17461818198063</v>
      </c>
      <c r="CB21" s="79">
        <f t="shared" ref="CB21:CB31" si="118">SUM(BU21:CA21)</f>
        <v>12249.588508977049</v>
      </c>
      <c r="CC21" s="79">
        <f t="shared" si="105"/>
        <v>1.0809268720725345</v>
      </c>
      <c r="CE21" s="11">
        <f t="shared" si="20"/>
        <v>6878.4982278019197</v>
      </c>
      <c r="CF21" s="11">
        <f t="shared" si="21"/>
        <v>1537.2977202394106</v>
      </c>
      <c r="CG21" s="11">
        <f t="shared" si="22"/>
        <v>-555.55099827106619</v>
      </c>
      <c r="CH21" s="11">
        <f t="shared" si="23"/>
        <v>-1744.9423616045019</v>
      </c>
      <c r="CI21" s="11">
        <f t="shared" si="24"/>
        <v>7688.8487879669128</v>
      </c>
      <c r="CJ21" s="11">
        <f t="shared" si="25"/>
        <v>5498.8857965785464</v>
      </c>
      <c r="CK21" s="11">
        <f t="shared" si="26"/>
        <v>1069.0941199497906</v>
      </c>
      <c r="CL21" s="11">
        <f t="shared" ref="CL21:CL31" si="119">SUM(CE21:CK21)</f>
        <v>20372.131292661012</v>
      </c>
      <c r="CM21" s="11">
        <f t="shared" si="27"/>
        <v>0.90016076018312974</v>
      </c>
      <c r="CO21" s="11">
        <f t="shared" si="106"/>
        <v>1</v>
      </c>
      <c r="CP21" s="9">
        <f t="shared" si="107"/>
        <v>1054.1939443272379</v>
      </c>
      <c r="CQ21" s="11">
        <f t="shared" si="28"/>
        <v>1.7513406811399086E-2</v>
      </c>
      <c r="CR21" s="11">
        <f t="shared" si="29"/>
        <v>0.25265260513402776</v>
      </c>
      <c r="CS21" s="11">
        <f t="shared" si="30"/>
        <v>0.72983398805457311</v>
      </c>
      <c r="CT21" s="11">
        <f t="shared" ref="CT21:CT31" si="120">SUM(CQ21:CS21)</f>
        <v>1</v>
      </c>
      <c r="CU21" s="11">
        <f t="shared" si="108"/>
        <v>4638.698412734153</v>
      </c>
      <c r="CV21" s="11">
        <f t="shared" si="31"/>
        <v>2348.7714592309735</v>
      </c>
      <c r="CW21" s="11">
        <f t="shared" si="32"/>
        <v>87.22296785993052</v>
      </c>
      <c r="CX21" s="11">
        <f t="shared" si="33"/>
        <v>112.83757719299882</v>
      </c>
      <c r="CY21" s="11">
        <f t="shared" si="34"/>
        <v>160.78044655709604</v>
      </c>
      <c r="CZ21" s="11">
        <f t="shared" si="35"/>
        <v>-748.18103458806468</v>
      </c>
      <c r="DA21" s="11">
        <f t="shared" si="36"/>
        <v>47.632132340624267</v>
      </c>
      <c r="DB21" s="11">
        <f t="shared" ref="DB21:DB31" si="121">SUM(CU21:DA21)</f>
        <v>6647.7619613277111</v>
      </c>
      <c r="DC21" s="11">
        <f t="shared" ref="DC21:DC31" si="122">CR21*EXP(DB21/(8.3144*CP21))</f>
        <v>0.53940157537100408</v>
      </c>
      <c r="DE21" s="11">
        <f t="shared" si="37"/>
        <v>-70.01313060388604</v>
      </c>
      <c r="DF21" s="11">
        <f t="shared" si="38"/>
        <v>-1587.0790534373343</v>
      </c>
      <c r="DG21" s="11">
        <f t="shared" si="39"/>
        <v>2570.9772880037126</v>
      </c>
      <c r="DH21" s="11">
        <f t="shared" si="40"/>
        <v>1737.9949538483136</v>
      </c>
      <c r="DI21" s="11">
        <f t="shared" si="41"/>
        <v>6758.8186326019622</v>
      </c>
      <c r="DJ21" s="11">
        <f t="shared" si="42"/>
        <v>29113.130566534554</v>
      </c>
      <c r="DK21" s="11">
        <f t="shared" si="43"/>
        <v>1340.3896888911911</v>
      </c>
      <c r="DL21" s="11">
        <f t="shared" ref="DL21:DL31" si="123">SUM(DE21:DK21)</f>
        <v>39864.218945838511</v>
      </c>
      <c r="DM21" s="11">
        <f t="shared" ref="DM21:DM31" si="124">CQ21*EXP(DL21/(8.31447*CP21))</f>
        <v>1.6541581558642164</v>
      </c>
      <c r="DO21" s="11">
        <f t="shared" si="44"/>
        <v>-505.16283214535821</v>
      </c>
      <c r="DP21" s="11">
        <f t="shared" si="45"/>
        <v>868.61723193221394</v>
      </c>
      <c r="DQ21" s="11">
        <f t="shared" si="46"/>
        <v>-30.851947586930052</v>
      </c>
      <c r="DR21" s="11">
        <f t="shared" si="47"/>
        <v>-37.548065996248042</v>
      </c>
      <c r="DS21" s="11">
        <f t="shared" si="48"/>
        <v>-68.602524448180716</v>
      </c>
      <c r="DT21" s="11">
        <f t="shared" si="49"/>
        <v>284.36229384200942</v>
      </c>
      <c r="DU21" s="11">
        <f t="shared" si="50"/>
        <v>-15.32168863923024</v>
      </c>
      <c r="DV21" s="11">
        <f t="shared" ref="DV21:DV31" si="125">SUM(DO21:DU21)</f>
        <v>495.49246695827611</v>
      </c>
      <c r="DW21" s="11">
        <f t="shared" ref="DW21:DW31" si="126">CS21*EXP(DV21/(8.3144*CP21))</f>
        <v>0.77228060261597176</v>
      </c>
      <c r="DY21" s="11">
        <f t="shared" si="51"/>
        <v>1.0834777138120939</v>
      </c>
      <c r="DZ21" s="11">
        <f t="shared" si="52"/>
        <v>0</v>
      </c>
      <c r="EA21" s="11">
        <f t="shared" si="109"/>
        <v>0.37661356108149213</v>
      </c>
      <c r="EB21" s="11">
        <f t="shared" si="53"/>
        <v>6.9592909317655444E-4</v>
      </c>
      <c r="EC21" s="11">
        <f t="shared" si="54"/>
        <v>0</v>
      </c>
      <c r="ED21" s="11">
        <f t="shared" si="55"/>
        <v>0</v>
      </c>
      <c r="EE21" s="11">
        <f t="shared" si="56"/>
        <v>6.4196984881610061E-3</v>
      </c>
      <c r="EF21" s="11">
        <f t="shared" si="57"/>
        <v>9.2612109378579846E-2</v>
      </c>
      <c r="EG21" s="11">
        <f t="shared" si="58"/>
        <v>0.26752728353645588</v>
      </c>
      <c r="EH21" s="11">
        <f t="shared" si="59"/>
        <v>0</v>
      </c>
      <c r="EI21" s="11">
        <f t="shared" ref="EI21:EI31" si="127">SUM(DY21:EH21)</f>
        <v>1.8273462953899593</v>
      </c>
      <c r="EJ21" s="11"/>
      <c r="EK21" s="11">
        <f t="shared" ref="EK21:EK31" si="128">DY21/$EI21</f>
        <v>0.59292413077121631</v>
      </c>
      <c r="EL21" s="11">
        <f t="shared" si="60"/>
        <v>0</v>
      </c>
      <c r="EM21" s="11">
        <f t="shared" si="61"/>
        <v>0.20609862620545169</v>
      </c>
      <c r="EN21" s="11">
        <f t="shared" si="62"/>
        <v>3.8084138454339429E-4</v>
      </c>
      <c r="EO21" s="11">
        <f t="shared" si="63"/>
        <v>0</v>
      </c>
      <c r="EP21" s="11">
        <f t="shared" si="64"/>
        <v>0</v>
      </c>
      <c r="EQ21" s="11">
        <f t="shared" si="65"/>
        <v>3.5131263868029075E-3</v>
      </c>
      <c r="ER21" s="11">
        <f t="shared" si="66"/>
        <v>5.0681203454551696E-2</v>
      </c>
      <c r="ES21" s="11">
        <f t="shared" si="67"/>
        <v>0.146402071797434</v>
      </c>
      <c r="ET21" s="11">
        <f t="shared" si="68"/>
        <v>0</v>
      </c>
      <c r="EU21" s="9">
        <f t="shared" ref="EU21:EU31" si="129">SUM(EK21:ET21)</f>
        <v>1</v>
      </c>
      <c r="EV21" s="9">
        <f t="shared" ref="EV21:EV31" si="130">EQ21/(EQ21+ER21+ES21)</f>
        <v>1.7513406811399086E-2</v>
      </c>
      <c r="EW21" s="9">
        <f t="shared" ref="EW21:EW31" si="131">ER21/(EQ21+ER21+ES21)</f>
        <v>0.25265260513402776</v>
      </c>
      <c r="EX21" s="9">
        <f t="shared" ref="EX21:EX31" si="132">ES21/(EQ21+ER21+ES21)</f>
        <v>0.72983398805457311</v>
      </c>
      <c r="EZ21" s="11">
        <f t="shared" si="69"/>
        <v>1.0085829409679401</v>
      </c>
      <c r="FA21" s="11">
        <f t="shared" si="70"/>
        <v>0</v>
      </c>
      <c r="FB21" s="11">
        <f t="shared" si="71"/>
        <v>0.48449765409962792</v>
      </c>
      <c r="FC21" s="11">
        <f t="shared" si="72"/>
        <v>6.9592909317655444E-4</v>
      </c>
      <c r="FD21" s="11">
        <f t="shared" si="73"/>
        <v>0</v>
      </c>
      <c r="FE21" s="11">
        <f t="shared" si="74"/>
        <v>0</v>
      </c>
      <c r="FF21" s="11">
        <f t="shared" si="75"/>
        <v>9.7900401944455345E-2</v>
      </c>
      <c r="FG21" s="11">
        <f t="shared" si="76"/>
        <v>0.23620928245686568</v>
      </c>
      <c r="FH21" s="11">
        <f t="shared" si="77"/>
        <v>3.2273132617096266E-2</v>
      </c>
      <c r="FI21" s="11">
        <f t="shared" si="110"/>
        <v>0</v>
      </c>
      <c r="FJ21" s="11">
        <f t="shared" ref="FJ21:FJ31" si="133">SUM(EZ21:FI21)</f>
        <v>1.8601593411791619</v>
      </c>
      <c r="FK21" s="34" t="e">
        <f t="shared" ref="FK21:FK31" si="134">(EP21*FO21)/(EN21*FQ21)</f>
        <v>#DIV/0!</v>
      </c>
      <c r="FL21" s="11">
        <f t="shared" ref="FL21:FL31" si="135">EZ21/$FJ21</f>
        <v>0.54220244397374884</v>
      </c>
      <c r="FM21" s="11">
        <f t="shared" si="78"/>
        <v>0</v>
      </c>
      <c r="FN21" s="11">
        <f t="shared" si="79"/>
        <v>0.26046029680043598</v>
      </c>
      <c r="FO21" s="11">
        <f t="shared" si="80"/>
        <v>3.7412337629925962E-4</v>
      </c>
      <c r="FP21" s="11">
        <f t="shared" si="81"/>
        <v>0</v>
      </c>
      <c r="FQ21" s="11">
        <f t="shared" si="82"/>
        <v>0</v>
      </c>
      <c r="FR21" s="11">
        <f t="shared" si="83"/>
        <v>5.2630116021348962E-2</v>
      </c>
      <c r="FS21" s="11">
        <f t="shared" si="84"/>
        <v>0.12698335955839768</v>
      </c>
      <c r="FT21" s="11">
        <f t="shared" si="85"/>
        <v>1.7349660269769258E-2</v>
      </c>
      <c r="FU21" s="11">
        <f t="shared" si="86"/>
        <v>0</v>
      </c>
      <c r="FV21" s="11">
        <f t="shared" ref="FV21:FV31" si="136">SUM(FL21:FU21)</f>
        <v>1</v>
      </c>
      <c r="FX21" s="11">
        <f t="shared" ref="FX21:FX31" si="137">FR21/(FR21+FS21+FT21)</f>
        <v>0.267207951347604</v>
      </c>
      <c r="FY21" s="11">
        <f t="shared" ref="FY21:FY31" si="138">FS21/(FR21+FS21+FT21)</f>
        <v>0.64470622388656385</v>
      </c>
      <c r="FZ21" s="11">
        <f t="shared" ref="FZ21:FZ31" si="139">FT21/(FR21+FS21+FT21)</f>
        <v>8.8085824765832196E-2</v>
      </c>
      <c r="GA21" s="11">
        <f t="shared" ref="GA21:GA31" si="140">SUM(FX21:FZ21)</f>
        <v>1</v>
      </c>
      <c r="GC21" s="11">
        <f t="shared" ref="GC21:GC31" si="141">CR21/BH21</f>
        <v>0.39188795729461118</v>
      </c>
      <c r="GD21" s="11">
        <f t="shared" ref="GD21:GD31" si="142">-273.15+1/((LN(GC21)-0.8)/(-1400))</f>
        <v>532.93975323467714</v>
      </c>
      <c r="GE21" s="11">
        <f t="shared" ref="GE21:GE31" si="143">1/((LN(GC21)-LN(2.55))/-1600)-273.15</f>
        <v>581.1526080112601</v>
      </c>
      <c r="GF21" s="11">
        <f t="shared" ref="GF21:GF31" si="144">1/((LN(GC21)-LN(2.97))/(-1850))-273.15</f>
        <v>640.27631491736827</v>
      </c>
      <c r="GG21" s="11">
        <f t="shared" ref="GG21:GG31" si="145">1/((LN(GC21)-LN(5.42))/-2500)-273.15</f>
        <v>678.55112282002415</v>
      </c>
      <c r="GI21" s="11">
        <f t="shared" ref="GI21:GI31" si="146">6326.7-9963.2*CR21+943.3*CR21^2+2690.2*CR21^3</f>
        <v>3913.0721823126223</v>
      </c>
      <c r="GJ21" s="11">
        <f t="shared" si="87"/>
        <v>57.195504496698476</v>
      </c>
      <c r="GK21" s="11">
        <f t="shared" ref="GK21:GK31" si="147">-1.9872*LN(GC21)+4.6321-10.815*CR21+7.7345*CR21^2-1.5512*CR21^3</f>
        <v>4.2299316413152468</v>
      </c>
      <c r="GL21" s="11">
        <f t="shared" ref="GL21:GL31" si="148">-273.15+(GI21+GJ21)/GK21</f>
        <v>665.46273029339397</v>
      </c>
      <c r="GN21" s="11">
        <f t="shared" si="0"/>
        <v>890</v>
      </c>
    </row>
    <row r="22" spans="1:196" ht="12.6">
      <c r="A22" s="11" t="s">
        <v>79</v>
      </c>
      <c r="B22" s="11" t="s">
        <v>86</v>
      </c>
      <c r="C22" s="50">
        <v>1</v>
      </c>
      <c r="D22" s="9">
        <v>880</v>
      </c>
      <c r="E22" s="11"/>
      <c r="F22" s="49">
        <v>65</v>
      </c>
      <c r="G22" s="49"/>
      <c r="H22" s="49">
        <v>19.2</v>
      </c>
      <c r="I22" s="49">
        <v>0</v>
      </c>
      <c r="J22" s="49"/>
      <c r="K22" s="49">
        <v>0</v>
      </c>
      <c r="L22" s="49">
        <v>0.35</v>
      </c>
      <c r="M22" s="49">
        <v>2.5099999999999998</v>
      </c>
      <c r="N22" s="49">
        <v>12.8</v>
      </c>
      <c r="O22" s="49"/>
      <c r="P22" s="11">
        <f t="shared" si="1"/>
        <v>99.86</v>
      </c>
      <c r="Q22" s="11"/>
      <c r="R22" s="49">
        <v>59.1</v>
      </c>
      <c r="S22" s="49"/>
      <c r="T22" s="49">
        <v>25.9</v>
      </c>
      <c r="U22" s="49">
        <v>0.06</v>
      </c>
      <c r="V22" s="49"/>
      <c r="W22" s="49">
        <v>0</v>
      </c>
      <c r="X22" s="49">
        <v>6.94</v>
      </c>
      <c r="Y22" s="49">
        <v>6.78</v>
      </c>
      <c r="Z22" s="49">
        <v>1.1299999999999999</v>
      </c>
      <c r="AA22" s="49"/>
      <c r="AB22" s="11">
        <f t="shared" si="2"/>
        <v>99.91</v>
      </c>
      <c r="AD22" s="54">
        <f t="shared" si="88"/>
        <v>787.77549773632961</v>
      </c>
      <c r="AE22" s="54">
        <f t="shared" si="89"/>
        <v>800.99942031362207</v>
      </c>
      <c r="AF22" s="54">
        <f t="shared" si="3"/>
        <v>800.94914216007271</v>
      </c>
      <c r="AH22" s="60">
        <f t="shared" si="4"/>
        <v>1.7384938862898502E-2</v>
      </c>
      <c r="AI22" s="60">
        <f t="shared" si="5"/>
        <v>0.22560701205064376</v>
      </c>
      <c r="AJ22" s="60">
        <f t="shared" si="6"/>
        <v>0.75700804908645769</v>
      </c>
      <c r="AK22" s="60"/>
      <c r="AL22" s="60">
        <f t="shared" si="90"/>
        <v>0.33764262638747555</v>
      </c>
      <c r="AM22" s="60">
        <f t="shared" si="91"/>
        <v>0.59689953710072063</v>
      </c>
      <c r="AN22" s="60">
        <f t="shared" si="92"/>
        <v>6.5457836511803744E-2</v>
      </c>
      <c r="AO22" s="57"/>
      <c r="AP22" s="61">
        <f t="shared" si="93"/>
        <v>1.638952606492913</v>
      </c>
      <c r="AQ22" s="61">
        <f t="shared" si="94"/>
        <v>0.48471267018514008</v>
      </c>
      <c r="AR22" s="61">
        <f t="shared" si="7"/>
        <v>0.78900105548772881</v>
      </c>
      <c r="AS22" s="62"/>
      <c r="AT22" s="61">
        <f t="shared" si="95"/>
        <v>1.0923598995884884</v>
      </c>
      <c r="AU22" s="61">
        <f t="shared" si="96"/>
        <v>0.62454855372495144</v>
      </c>
      <c r="AV22" s="61">
        <f t="shared" si="97"/>
        <v>0.89518123447708731</v>
      </c>
      <c r="AX22" s="94">
        <f t="shared" si="111"/>
        <v>-0.54659270690442452</v>
      </c>
      <c r="AY22" s="94">
        <f t="shared" si="98"/>
        <v>0.13983588353981136</v>
      </c>
      <c r="AZ22" s="94">
        <f t="shared" si="99"/>
        <v>0.1061801789893585</v>
      </c>
      <c r="BB22" s="11">
        <f t="shared" si="8"/>
        <v>1153.1500000000001</v>
      </c>
      <c r="BD22" s="9">
        <f t="shared" si="100"/>
        <v>800.94914216007271</v>
      </c>
      <c r="BF22" s="29">
        <f t="shared" si="101"/>
        <v>1074.0991421600727</v>
      </c>
      <c r="BG22" s="11">
        <f t="shared" si="102"/>
        <v>0.33764262638747555</v>
      </c>
      <c r="BH22" s="11">
        <f t="shared" si="103"/>
        <v>0.59689953710072063</v>
      </c>
      <c r="BI22" s="11">
        <f t="shared" si="104"/>
        <v>6.5457836511803744E-2</v>
      </c>
      <c r="BJ22" s="11">
        <f t="shared" si="116"/>
        <v>0.99999999999999989</v>
      </c>
      <c r="BK22" s="11">
        <f t="shared" si="112"/>
        <v>484.82434621229578</v>
      </c>
      <c r="BL22" s="11">
        <f t="shared" si="9"/>
        <v>-25.555999022249566</v>
      </c>
      <c r="BM22" s="11">
        <f t="shared" si="10"/>
        <v>-635.82385476830791</v>
      </c>
      <c r="BN22" s="11">
        <f t="shared" si="11"/>
        <v>1856.2406873071775</v>
      </c>
      <c r="BO22" s="11">
        <f t="shared" si="12"/>
        <v>-1001.0610517197977</v>
      </c>
      <c r="BP22" s="11">
        <f t="shared" si="13"/>
        <v>-241.98375383818805</v>
      </c>
      <c r="BQ22" s="11">
        <f t="shared" si="14"/>
        <v>-32.265513585159354</v>
      </c>
      <c r="BR22" s="11">
        <f t="shared" si="117"/>
        <v>404.3748605857707</v>
      </c>
      <c r="BS22" s="11">
        <f t="shared" si="115"/>
        <v>0.62454855372495144</v>
      </c>
      <c r="BU22" s="79">
        <f t="shared" si="113"/>
        <v>-665.52514386864959</v>
      </c>
      <c r="BV22" s="79">
        <f t="shared" si="15"/>
        <v>10.563669263319126</v>
      </c>
      <c r="BW22" s="79">
        <f t="shared" si="16"/>
        <v>7170.8304345670949</v>
      </c>
      <c r="BX22" s="79">
        <f t="shared" si="17"/>
        <v>1412.8057555488829</v>
      </c>
      <c r="BY22" s="79">
        <f t="shared" si="114"/>
        <v>2089.4576477766209</v>
      </c>
      <c r="BZ22" s="79">
        <f t="shared" si="18"/>
        <v>371.74006278610034</v>
      </c>
      <c r="CA22" s="79">
        <f t="shared" si="19"/>
        <v>95.572483068721127</v>
      </c>
      <c r="CB22" s="79">
        <f t="shared" si="118"/>
        <v>10485.44490914209</v>
      </c>
      <c r="CC22" s="79">
        <f t="shared" si="105"/>
        <v>1.0923598995884884</v>
      </c>
      <c r="CE22" s="11">
        <f t="shared" si="20"/>
        <v>6559.7989065204074</v>
      </c>
      <c r="CF22" s="11">
        <f t="shared" si="21"/>
        <v>1381.0398916287427</v>
      </c>
      <c r="CG22" s="11">
        <f t="shared" si="22"/>
        <v>-1272.9243028523065</v>
      </c>
      <c r="CH22" s="11">
        <f t="shared" si="23"/>
        <v>-1771.5039238131624</v>
      </c>
      <c r="CI22" s="11">
        <f t="shared" si="24"/>
        <v>10948.630415300424</v>
      </c>
      <c r="CJ22" s="11">
        <f t="shared" si="25"/>
        <v>6194.2906082186628</v>
      </c>
      <c r="CK22" s="11">
        <f t="shared" si="26"/>
        <v>1319.4362063662891</v>
      </c>
      <c r="CL22" s="11">
        <f t="shared" si="119"/>
        <v>23358.767801369057</v>
      </c>
      <c r="CM22" s="11">
        <f t="shared" si="27"/>
        <v>0.89518123447708731</v>
      </c>
      <c r="CO22" s="11">
        <f t="shared" si="106"/>
        <v>1</v>
      </c>
      <c r="CP22" s="9">
        <f t="shared" si="107"/>
        <v>1074.0991421600727</v>
      </c>
      <c r="CQ22" s="11">
        <f t="shared" si="28"/>
        <v>1.7384938862898502E-2</v>
      </c>
      <c r="CR22" s="11">
        <f t="shared" si="29"/>
        <v>0.22560701205064376</v>
      </c>
      <c r="CS22" s="11">
        <f t="shared" si="30"/>
        <v>0.75700804908645769</v>
      </c>
      <c r="CT22" s="11">
        <f t="shared" si="120"/>
        <v>1</v>
      </c>
      <c r="CU22" s="11">
        <f t="shared" si="108"/>
        <v>4427.8240276245069</v>
      </c>
      <c r="CV22" s="11">
        <f t="shared" si="31"/>
        <v>2735.3211378636061</v>
      </c>
      <c r="CW22" s="11">
        <f t="shared" si="32"/>
        <v>99.09227608788737</v>
      </c>
      <c r="CX22" s="11">
        <f t="shared" si="33"/>
        <v>112.13164962047364</v>
      </c>
      <c r="CY22" s="11">
        <f t="shared" si="34"/>
        <v>184.97914628441717</v>
      </c>
      <c r="CZ22" s="11">
        <f t="shared" si="35"/>
        <v>-784.05748543662276</v>
      </c>
      <c r="DA22" s="11">
        <f t="shared" si="36"/>
        <v>54.405729385118903</v>
      </c>
      <c r="DB22" s="11">
        <f t="shared" si="121"/>
        <v>6829.6964814293869</v>
      </c>
      <c r="DC22" s="11">
        <f t="shared" si="122"/>
        <v>0.48471267018514008</v>
      </c>
      <c r="DE22" s="11">
        <f t="shared" si="37"/>
        <v>88.56333765017412</v>
      </c>
      <c r="DF22" s="11">
        <f t="shared" si="38"/>
        <v>-1514.6996789401326</v>
      </c>
      <c r="DG22" s="11">
        <f t="shared" si="39"/>
        <v>2364.6631315445352</v>
      </c>
      <c r="DH22" s="11">
        <f t="shared" si="40"/>
        <v>1522.9830978714224</v>
      </c>
      <c r="DI22" s="11">
        <f t="shared" si="41"/>
        <v>6351.8303420849579</v>
      </c>
      <c r="DJ22" s="11">
        <f t="shared" si="42"/>
        <v>30545.069168250178</v>
      </c>
      <c r="DK22" s="11">
        <f t="shared" si="43"/>
        <v>1241.8007708077835</v>
      </c>
      <c r="DL22" s="11">
        <f t="shared" si="123"/>
        <v>40600.210169268925</v>
      </c>
      <c r="DM22" s="11">
        <f t="shared" si="124"/>
        <v>1.638952606492913</v>
      </c>
      <c r="DO22" s="11">
        <f t="shared" si="44"/>
        <v>-448.7015140521093</v>
      </c>
      <c r="DP22" s="11">
        <f t="shared" si="45"/>
        <v>705.04048457706824</v>
      </c>
      <c r="DQ22" s="11">
        <f t="shared" si="46"/>
        <v>-30.023991792943612</v>
      </c>
      <c r="DR22" s="11">
        <f t="shared" si="47"/>
        <v>-32.158077164769708</v>
      </c>
      <c r="DS22" s="11">
        <f t="shared" si="48"/>
        <v>-68.240583646895587</v>
      </c>
      <c r="DT22" s="11">
        <f t="shared" si="49"/>
        <v>258.93729425167857</v>
      </c>
      <c r="DU22" s="11">
        <f t="shared" si="50"/>
        <v>-15.186946028832855</v>
      </c>
      <c r="DV22" s="11">
        <f t="shared" si="125"/>
        <v>369.66666614319576</v>
      </c>
      <c r="DW22" s="11">
        <f t="shared" si="126"/>
        <v>0.78900105548772881</v>
      </c>
      <c r="DY22" s="11">
        <f t="shared" si="51"/>
        <v>1.0818133855266683</v>
      </c>
      <c r="DZ22" s="11">
        <f t="shared" si="52"/>
        <v>0</v>
      </c>
      <c r="EA22" s="11">
        <f t="shared" si="109"/>
        <v>0.37661356108149213</v>
      </c>
      <c r="EB22" s="11">
        <f t="shared" si="53"/>
        <v>0</v>
      </c>
      <c r="EC22" s="11">
        <f t="shared" si="54"/>
        <v>0</v>
      </c>
      <c r="ED22" s="11">
        <f t="shared" si="55"/>
        <v>0</v>
      </c>
      <c r="EE22" s="11">
        <f t="shared" si="56"/>
        <v>6.2413735301565338E-3</v>
      </c>
      <c r="EF22" s="11">
        <f t="shared" si="57"/>
        <v>8.0995259421684812E-2</v>
      </c>
      <c r="EG22" s="11">
        <f t="shared" si="58"/>
        <v>0.27177374835449492</v>
      </c>
      <c r="EH22" s="11">
        <f t="shared" si="59"/>
        <v>0</v>
      </c>
      <c r="EI22" s="11">
        <f t="shared" si="127"/>
        <v>1.8174373279144966</v>
      </c>
      <c r="EJ22" s="11"/>
      <c r="EK22" s="11">
        <f t="shared" si="128"/>
        <v>0.59524109520081536</v>
      </c>
      <c r="EL22" s="11">
        <f t="shared" si="60"/>
        <v>0</v>
      </c>
      <c r="EM22" s="11">
        <f t="shared" si="61"/>
        <v>0.2072223098408873</v>
      </c>
      <c r="EN22" s="11">
        <f t="shared" si="62"/>
        <v>0</v>
      </c>
      <c r="EO22" s="11">
        <f t="shared" si="63"/>
        <v>0</v>
      </c>
      <c r="EP22" s="11">
        <f t="shared" si="64"/>
        <v>0</v>
      </c>
      <c r="EQ22" s="11">
        <f t="shared" si="65"/>
        <v>3.4341616265351443E-3</v>
      </c>
      <c r="ER22" s="11">
        <f t="shared" si="66"/>
        <v>4.4565640959199737E-2</v>
      </c>
      <c r="ES22" s="11">
        <f t="shared" si="67"/>
        <v>0.14953679237256251</v>
      </c>
      <c r="ET22" s="11">
        <f t="shared" si="68"/>
        <v>0</v>
      </c>
      <c r="EU22" s="9">
        <f t="shared" si="129"/>
        <v>1</v>
      </c>
      <c r="EV22" s="9">
        <f t="shared" si="130"/>
        <v>1.7384938862898502E-2</v>
      </c>
      <c r="EW22" s="9">
        <f t="shared" si="131"/>
        <v>0.22560701205064376</v>
      </c>
      <c r="EX22" s="9">
        <f t="shared" si="132"/>
        <v>0.75700804908645769</v>
      </c>
      <c r="EZ22" s="11">
        <f t="shared" si="69"/>
        <v>0.98361801668655546</v>
      </c>
      <c r="FA22" s="11">
        <f t="shared" si="70"/>
        <v>0</v>
      </c>
      <c r="FB22" s="11">
        <f t="shared" si="71"/>
        <v>0.50803600166722118</v>
      </c>
      <c r="FC22" s="11">
        <f t="shared" si="72"/>
        <v>8.3511491181186524E-4</v>
      </c>
      <c r="FD22" s="11">
        <f t="shared" si="73"/>
        <v>0</v>
      </c>
      <c r="FE22" s="11">
        <f t="shared" si="74"/>
        <v>0</v>
      </c>
      <c r="FF22" s="11">
        <f t="shared" si="75"/>
        <v>0.12375752085510386</v>
      </c>
      <c r="FG22" s="11">
        <f t="shared" si="76"/>
        <v>0.21878400752152313</v>
      </c>
      <c r="FH22" s="11">
        <f t="shared" si="77"/>
        <v>2.399252622192025E-2</v>
      </c>
      <c r="FI22" s="11">
        <f t="shared" si="110"/>
        <v>0</v>
      </c>
      <c r="FJ22" s="11">
        <f t="shared" si="133"/>
        <v>1.8590231878641357</v>
      </c>
      <c r="FK22" s="34" t="e">
        <f t="shared" si="134"/>
        <v>#DIV/0!</v>
      </c>
      <c r="FL22" s="11">
        <f t="shared" si="135"/>
        <v>0.52910475948212965</v>
      </c>
      <c r="FM22" s="11">
        <f t="shared" si="78"/>
        <v>0</v>
      </c>
      <c r="FN22" s="11">
        <f t="shared" si="79"/>
        <v>0.27328115377135914</v>
      </c>
      <c r="FO22" s="11">
        <f t="shared" si="80"/>
        <v>4.492224288882289E-4</v>
      </c>
      <c r="FP22" s="11">
        <f t="shared" si="81"/>
        <v>0</v>
      </c>
      <c r="FQ22" s="11">
        <f t="shared" si="82"/>
        <v>0</v>
      </c>
      <c r="FR22" s="11">
        <f t="shared" si="83"/>
        <v>6.6571262619532487E-2</v>
      </c>
      <c r="FS22" s="11">
        <f t="shared" si="84"/>
        <v>0.11768761624371556</v>
      </c>
      <c r="FT22" s="11">
        <f t="shared" si="85"/>
        <v>1.2905985454374932E-2</v>
      </c>
      <c r="FU22" s="11">
        <f t="shared" si="86"/>
        <v>0</v>
      </c>
      <c r="FV22" s="11">
        <f t="shared" si="136"/>
        <v>1</v>
      </c>
      <c r="FX22" s="11">
        <f t="shared" si="137"/>
        <v>0.33764262638747555</v>
      </c>
      <c r="FY22" s="11">
        <f t="shared" si="138"/>
        <v>0.59689953710072063</v>
      </c>
      <c r="FZ22" s="11">
        <f t="shared" si="139"/>
        <v>6.5457836511803744E-2</v>
      </c>
      <c r="GA22" s="11">
        <f t="shared" si="140"/>
        <v>0.99999999999999989</v>
      </c>
      <c r="GC22" s="11">
        <f t="shared" si="141"/>
        <v>0.37796479646553138</v>
      </c>
      <c r="GD22" s="11">
        <f t="shared" si="142"/>
        <v>516.49249905590671</v>
      </c>
      <c r="GE22" s="11">
        <f t="shared" si="143"/>
        <v>564.96426101218231</v>
      </c>
      <c r="GF22" s="11">
        <f t="shared" si="144"/>
        <v>624.2477626390056</v>
      </c>
      <c r="GG22" s="11">
        <f t="shared" si="145"/>
        <v>665.62319911341933</v>
      </c>
      <c r="GI22" s="11">
        <f t="shared" si="146"/>
        <v>4157.8365336008146</v>
      </c>
      <c r="GJ22" s="11">
        <f t="shared" si="87"/>
        <v>60.774302934373338</v>
      </c>
      <c r="GK22" s="11">
        <f t="shared" si="147"/>
        <v>4.5014768924490864</v>
      </c>
      <c r="GL22" s="11">
        <f t="shared" si="148"/>
        <v>664.01149995385163</v>
      </c>
      <c r="GN22" s="11">
        <f t="shared" si="0"/>
        <v>880</v>
      </c>
    </row>
    <row r="23" spans="1:196" ht="12.6">
      <c r="A23" s="11" t="s">
        <v>79</v>
      </c>
      <c r="B23" s="11" t="s">
        <v>87</v>
      </c>
      <c r="C23" s="50">
        <v>1</v>
      </c>
      <c r="D23" s="9">
        <v>800</v>
      </c>
      <c r="E23" s="11"/>
      <c r="F23" s="49">
        <v>64.900000000000006</v>
      </c>
      <c r="G23" s="49"/>
      <c r="H23" s="49">
        <v>19.3</v>
      </c>
      <c r="I23" s="49">
        <v>0.06</v>
      </c>
      <c r="J23" s="49"/>
      <c r="K23" s="49">
        <v>0.03</v>
      </c>
      <c r="L23" s="49">
        <v>0.28999999999999998</v>
      </c>
      <c r="M23" s="49">
        <v>2.2999999999999998</v>
      </c>
      <c r="N23" s="49">
        <v>13.3</v>
      </c>
      <c r="O23" s="49"/>
      <c r="P23" s="11">
        <f t="shared" si="1"/>
        <v>100.18</v>
      </c>
      <c r="Q23" s="11"/>
      <c r="R23" s="49">
        <v>59</v>
      </c>
      <c r="S23" s="49"/>
      <c r="T23" s="49">
        <v>26.3</v>
      </c>
      <c r="U23" s="49">
        <v>0.05</v>
      </c>
      <c r="V23" s="49"/>
      <c r="W23" s="49">
        <v>0.03</v>
      </c>
      <c r="X23" s="49">
        <v>7.68</v>
      </c>
      <c r="Y23" s="49">
        <v>6.84</v>
      </c>
      <c r="Z23" s="49">
        <v>1.0900000000000001</v>
      </c>
      <c r="AA23" s="49"/>
      <c r="AB23" s="11">
        <f t="shared" si="2"/>
        <v>100.99000000000001</v>
      </c>
      <c r="AD23" s="54">
        <f t="shared" si="88"/>
        <v>767.3040480989979</v>
      </c>
      <c r="AE23" s="54">
        <f t="shared" si="89"/>
        <v>784.01970848916312</v>
      </c>
      <c r="AF23" s="54">
        <f t="shared" si="3"/>
        <v>782.6424491028481</v>
      </c>
      <c r="AH23" s="60">
        <f t="shared" si="4"/>
        <v>1.429438438887517E-2</v>
      </c>
      <c r="AI23" s="60">
        <f t="shared" si="5"/>
        <v>0.20514882953983499</v>
      </c>
      <c r="AJ23" s="60">
        <f t="shared" si="6"/>
        <v>0.78055678607128987</v>
      </c>
      <c r="AK23" s="60"/>
      <c r="AL23" s="60">
        <f t="shared" si="90"/>
        <v>0.35963096621689938</v>
      </c>
      <c r="AM23" s="60">
        <f t="shared" si="91"/>
        <v>0.57959644147342793</v>
      </c>
      <c r="AN23" s="60">
        <f t="shared" si="92"/>
        <v>6.0772592309672663E-2</v>
      </c>
      <c r="AO23" s="57"/>
      <c r="AP23" s="61">
        <f t="shared" si="93"/>
        <v>1.6440280443834396</v>
      </c>
      <c r="AQ23" s="61">
        <f t="shared" si="94"/>
        <v>0.46591128923673725</v>
      </c>
      <c r="AR23" s="61">
        <f t="shared" si="7"/>
        <v>0.80638078486735076</v>
      </c>
      <c r="AS23" s="62"/>
      <c r="AT23" s="61">
        <f t="shared" si="95"/>
        <v>1.1265947587262484</v>
      </c>
      <c r="AU23" s="61">
        <f t="shared" si="96"/>
        <v>0.61967490943027126</v>
      </c>
      <c r="AV23" s="61">
        <f t="shared" si="97"/>
        <v>0.9873124760129437</v>
      </c>
      <c r="AX23" s="94">
        <f t="shared" si="111"/>
        <v>-0.51743328565719127</v>
      </c>
      <c r="AY23" s="94">
        <f t="shared" si="98"/>
        <v>0.15376362019353401</v>
      </c>
      <c r="AZ23" s="94">
        <f t="shared" si="99"/>
        <v>0.18093169114559293</v>
      </c>
      <c r="BB23" s="11">
        <f t="shared" si="8"/>
        <v>1073.1500000000001</v>
      </c>
      <c r="BD23" s="9">
        <f t="shared" si="100"/>
        <v>782.64244910284799</v>
      </c>
      <c r="BF23" s="29">
        <f t="shared" si="101"/>
        <v>1055.792449102848</v>
      </c>
      <c r="BG23" s="11">
        <f t="shared" si="102"/>
        <v>0.35963096621689938</v>
      </c>
      <c r="BH23" s="11">
        <f t="shared" si="103"/>
        <v>0.57959644147342793</v>
      </c>
      <c r="BI23" s="11">
        <f t="shared" si="104"/>
        <v>6.0772592309672663E-2</v>
      </c>
      <c r="BJ23" s="11">
        <f t="shared" si="116"/>
        <v>1</v>
      </c>
      <c r="BK23" s="11">
        <f t="shared" si="112"/>
        <v>463.57411150346746</v>
      </c>
      <c r="BL23" s="11">
        <f t="shared" si="9"/>
        <v>-20.462215057723537</v>
      </c>
      <c r="BM23" s="11">
        <f t="shared" si="10"/>
        <v>-587.64676580368928</v>
      </c>
      <c r="BN23" s="11">
        <f t="shared" si="11"/>
        <v>2003.4226469232744</v>
      </c>
      <c r="BO23" s="11">
        <f t="shared" si="12"/>
        <v>-1033.5589030353854</v>
      </c>
      <c r="BP23" s="11">
        <f t="shared" si="13"/>
        <v>-212.17794068146441</v>
      </c>
      <c r="BQ23" s="11">
        <f t="shared" si="14"/>
        <v>-26.209362466418497</v>
      </c>
      <c r="BR23" s="11">
        <f t="shared" si="117"/>
        <v>586.94157138206083</v>
      </c>
      <c r="BS23" s="11">
        <f t="shared" si="115"/>
        <v>0.61967490943027126</v>
      </c>
      <c r="BU23" s="79">
        <f t="shared" si="113"/>
        <v>-596.77684501082092</v>
      </c>
      <c r="BV23" s="79">
        <f t="shared" si="15"/>
        <v>5.8289327331397178</v>
      </c>
      <c r="BW23" s="79">
        <f t="shared" si="16"/>
        <v>7155.9094970959086</v>
      </c>
      <c r="BX23" s="79">
        <f t="shared" si="17"/>
        <v>1145.9623928541084</v>
      </c>
      <c r="BY23" s="79">
        <f t="shared" si="114"/>
        <v>1949.7007139348423</v>
      </c>
      <c r="BZ23" s="79">
        <f t="shared" si="18"/>
        <v>288.68103613489745</v>
      </c>
      <c r="CA23" s="79">
        <f t="shared" si="19"/>
        <v>74.490818439293449</v>
      </c>
      <c r="CB23" s="79">
        <f t="shared" si="118"/>
        <v>10023.796546181369</v>
      </c>
      <c r="CC23" s="79">
        <f t="shared" si="105"/>
        <v>1.1265947587262484</v>
      </c>
      <c r="CE23" s="11">
        <f t="shared" si="20"/>
        <v>6429.8662590223121</v>
      </c>
      <c r="CF23" s="11">
        <f t="shared" si="21"/>
        <v>1386.5344655032304</v>
      </c>
      <c r="CG23" s="11">
        <f t="shared" si="22"/>
        <v>-1536.1943413815152</v>
      </c>
      <c r="CH23" s="11">
        <f t="shared" si="23"/>
        <v>-1732.6875927982517</v>
      </c>
      <c r="CI23" s="11">
        <f t="shared" si="24"/>
        <v>12145.318526277391</v>
      </c>
      <c r="CJ23" s="11">
        <f t="shared" si="25"/>
        <v>6400.3358957495902</v>
      </c>
      <c r="CK23" s="11">
        <f t="shared" si="26"/>
        <v>1379.33636284872</v>
      </c>
      <c r="CL23" s="11">
        <f t="shared" si="119"/>
        <v>24472.50957522148</v>
      </c>
      <c r="CM23" s="11">
        <f t="shared" si="27"/>
        <v>0.9873124760129437</v>
      </c>
      <c r="CO23" s="11">
        <f t="shared" si="106"/>
        <v>1</v>
      </c>
      <c r="CP23" s="9">
        <f t="shared" si="107"/>
        <v>1055.792449102848</v>
      </c>
      <c r="CQ23" s="11">
        <f t="shared" ref="CQ23:CQ31" si="149">EQ23/(EQ23+ER23+ES23)</f>
        <v>1.429438438887517E-2</v>
      </c>
      <c r="CR23" s="11">
        <f t="shared" ref="CR23:CR31" si="150">ER23/(EQ23+ER23+ES23)</f>
        <v>0.20514882953983499</v>
      </c>
      <c r="CS23" s="11">
        <f t="shared" ref="CS23:CS31" si="151">ES23/(ES23+ER23+EQ23)</f>
        <v>0.78055678607128987</v>
      </c>
      <c r="CT23" s="11">
        <f t="shared" si="120"/>
        <v>1</v>
      </c>
      <c r="CU23" s="11">
        <f t="shared" si="108"/>
        <v>4287.9078090714293</v>
      </c>
      <c r="CV23" s="11">
        <f t="shared" si="31"/>
        <v>3187.4804622840506</v>
      </c>
      <c r="CW23" s="11">
        <f t="shared" si="32"/>
        <v>89.752542144396884</v>
      </c>
      <c r="CX23" s="11">
        <f t="shared" si="33"/>
        <v>91.80783675031492</v>
      </c>
      <c r="CY23" s="11">
        <f t="shared" si="34"/>
        <v>175.86539987062446</v>
      </c>
      <c r="CZ23" s="11">
        <f t="shared" si="35"/>
        <v>-681.91006948125573</v>
      </c>
      <c r="DA23" s="11">
        <f t="shared" si="36"/>
        <v>49.564505713485701</v>
      </c>
      <c r="DB23" s="11">
        <f t="shared" si="121"/>
        <v>7200.4684863530456</v>
      </c>
      <c r="DC23" s="11">
        <f t="shared" si="122"/>
        <v>0.46591128923673725</v>
      </c>
      <c r="DE23" s="11">
        <f t="shared" si="37"/>
        <v>200.80295913648766</v>
      </c>
      <c r="DF23" s="11">
        <f t="shared" si="38"/>
        <v>-1513.888638218112</v>
      </c>
      <c r="DG23" s="11">
        <f t="shared" si="39"/>
        <v>2199.0557121314596</v>
      </c>
      <c r="DH23" s="11">
        <f t="shared" si="40"/>
        <v>1370.0192031914498</v>
      </c>
      <c r="DI23" s="11">
        <f t="shared" si="41"/>
        <v>5906.2370768503024</v>
      </c>
      <c r="DJ23" s="11">
        <f t="shared" si="42"/>
        <v>32319.622847571103</v>
      </c>
      <c r="DK23" s="11">
        <f t="shared" si="43"/>
        <v>1171.7760982382561</v>
      </c>
      <c r="DL23" s="11">
        <f t="shared" si="123"/>
        <v>41653.625258900945</v>
      </c>
      <c r="DM23" s="11">
        <f t="shared" si="124"/>
        <v>1.6440280443834396</v>
      </c>
      <c r="DO23" s="11">
        <f t="shared" si="44"/>
        <v>-406.38817461668049</v>
      </c>
      <c r="DP23" s="11">
        <f t="shared" si="45"/>
        <v>610.60273389936935</v>
      </c>
      <c r="DQ23" s="11">
        <f t="shared" si="46"/>
        <v>-23.858838602904868</v>
      </c>
      <c r="DR23" s="11">
        <f t="shared" si="47"/>
        <v>-23.390896138482017</v>
      </c>
      <c r="DS23" s="11">
        <f t="shared" si="48"/>
        <v>-55.490087568376246</v>
      </c>
      <c r="DT23" s="11">
        <f t="shared" si="49"/>
        <v>196.64098719554931</v>
      </c>
      <c r="DU23" s="11">
        <f t="shared" si="50"/>
        <v>-12.395191502463302</v>
      </c>
      <c r="DV23" s="11">
        <f t="shared" si="125"/>
        <v>285.72053266601171</v>
      </c>
      <c r="DW23" s="11">
        <f t="shared" si="126"/>
        <v>0.80638078486735076</v>
      </c>
      <c r="DY23" s="11">
        <f t="shared" si="51"/>
        <v>1.0801490572412429</v>
      </c>
      <c r="DZ23" s="11">
        <f t="shared" si="52"/>
        <v>0</v>
      </c>
      <c r="EA23" s="11">
        <f t="shared" si="109"/>
        <v>0.37857509004545825</v>
      </c>
      <c r="EB23" s="11">
        <f t="shared" si="53"/>
        <v>8.3511491181186524E-4</v>
      </c>
      <c r="EC23" s="11">
        <f t="shared" si="54"/>
        <v>0</v>
      </c>
      <c r="ED23" s="11">
        <f t="shared" si="55"/>
        <v>7.4433560603805041E-4</v>
      </c>
      <c r="EE23" s="11">
        <f t="shared" si="56"/>
        <v>5.1714237821296992E-3</v>
      </c>
      <c r="EF23" s="11">
        <f t="shared" si="57"/>
        <v>7.4218763613496039E-2</v>
      </c>
      <c r="EG23" s="11">
        <f t="shared" si="58"/>
        <v>0.28238991039959238</v>
      </c>
      <c r="EH23" s="11">
        <f t="shared" si="59"/>
        <v>0</v>
      </c>
      <c r="EI23" s="11">
        <f t="shared" si="127"/>
        <v>1.8220836955997692</v>
      </c>
      <c r="EJ23" s="11"/>
      <c r="EK23" s="11">
        <f t="shared" si="128"/>
        <v>0.59280979235462272</v>
      </c>
      <c r="EL23" s="11">
        <f t="shared" si="60"/>
        <v>0</v>
      </c>
      <c r="EM23" s="11">
        <f t="shared" si="61"/>
        <v>0.20777041744004188</v>
      </c>
      <c r="EN23" s="11">
        <f t="shared" si="62"/>
        <v>4.5832961121853037E-4</v>
      </c>
      <c r="EO23" s="11">
        <f t="shared" si="63"/>
        <v>0</v>
      </c>
      <c r="EP23" s="11">
        <f t="shared" si="64"/>
        <v>4.0850791203256992E-4</v>
      </c>
      <c r="EQ23" s="11">
        <f t="shared" si="65"/>
        <v>2.8381922271838553E-3</v>
      </c>
      <c r="ER23" s="11">
        <f t="shared" si="66"/>
        <v>4.0732905844407821E-2</v>
      </c>
      <c r="ES23" s="11">
        <f t="shared" si="67"/>
        <v>0.15498185461049255</v>
      </c>
      <c r="ET23" s="11">
        <f t="shared" si="68"/>
        <v>0</v>
      </c>
      <c r="EU23" s="9">
        <f t="shared" si="129"/>
        <v>0.99999999999999989</v>
      </c>
      <c r="EV23" s="9">
        <f t="shared" si="130"/>
        <v>1.429438438887517E-2</v>
      </c>
      <c r="EW23" s="9">
        <f t="shared" si="131"/>
        <v>0.20514882953983499</v>
      </c>
      <c r="EX23" s="9">
        <f t="shared" si="132"/>
        <v>0.78055678607128987</v>
      </c>
      <c r="EZ23" s="11">
        <f t="shared" si="69"/>
        <v>0.98195368840112973</v>
      </c>
      <c r="FA23" s="11">
        <f t="shared" si="70"/>
        <v>0</v>
      </c>
      <c r="FB23" s="11">
        <f t="shared" si="71"/>
        <v>0.51588211752308566</v>
      </c>
      <c r="FC23" s="11">
        <f t="shared" si="72"/>
        <v>6.9592909317655444E-4</v>
      </c>
      <c r="FD23" s="11">
        <f t="shared" si="73"/>
        <v>0</v>
      </c>
      <c r="FE23" s="11">
        <f t="shared" si="74"/>
        <v>7.4433560603805041E-4</v>
      </c>
      <c r="FF23" s="11">
        <f t="shared" si="75"/>
        <v>0.13695356774743481</v>
      </c>
      <c r="FG23" s="11">
        <f t="shared" si="76"/>
        <v>0.22072014918100563</v>
      </c>
      <c r="FH23" s="11">
        <f t="shared" si="77"/>
        <v>2.3143233258312457E-2</v>
      </c>
      <c r="FI23" s="11">
        <f t="shared" si="110"/>
        <v>0</v>
      </c>
      <c r="FJ23" s="11">
        <f t="shared" si="133"/>
        <v>1.8800930208101827</v>
      </c>
      <c r="FK23" s="34">
        <f t="shared" si="134"/>
        <v>0.83333333333333326</v>
      </c>
      <c r="FL23" s="11">
        <f t="shared" si="135"/>
        <v>0.52228994923771344</v>
      </c>
      <c r="FM23" s="11">
        <f t="shared" si="78"/>
        <v>0</v>
      </c>
      <c r="FN23" s="11">
        <f t="shared" si="79"/>
        <v>0.27439180498674376</v>
      </c>
      <c r="FO23" s="11">
        <f t="shared" si="80"/>
        <v>3.701567345197951E-4</v>
      </c>
      <c r="FP23" s="11">
        <f t="shared" si="81"/>
        <v>0</v>
      </c>
      <c r="FQ23" s="11">
        <f t="shared" si="82"/>
        <v>3.9590360572547425E-4</v>
      </c>
      <c r="FR23" s="11">
        <f t="shared" si="83"/>
        <v>7.2844038157440644E-2</v>
      </c>
      <c r="FS23" s="11">
        <f t="shared" si="84"/>
        <v>0.11739852589096436</v>
      </c>
      <c r="FT23" s="11">
        <f t="shared" si="85"/>
        <v>1.2309621386892556E-2</v>
      </c>
      <c r="FU23" s="11">
        <f t="shared" si="86"/>
        <v>0</v>
      </c>
      <c r="FV23" s="11">
        <f t="shared" si="136"/>
        <v>1</v>
      </c>
      <c r="FX23" s="11">
        <f t="shared" si="137"/>
        <v>0.35963096621689938</v>
      </c>
      <c r="FY23" s="11">
        <f t="shared" si="138"/>
        <v>0.57959644147342793</v>
      </c>
      <c r="FZ23" s="11">
        <f t="shared" si="139"/>
        <v>6.0772592309672663E-2</v>
      </c>
      <c r="GA23" s="11">
        <f t="shared" si="140"/>
        <v>1</v>
      </c>
      <c r="GC23" s="11">
        <f t="shared" si="141"/>
        <v>0.35395115438996394</v>
      </c>
      <c r="GD23" s="11">
        <f t="shared" si="142"/>
        <v>488.30043713793089</v>
      </c>
      <c r="GE23" s="11">
        <f t="shared" si="143"/>
        <v>537.10387768025601</v>
      </c>
      <c r="GF23" s="11">
        <f t="shared" si="144"/>
        <v>596.55489746231842</v>
      </c>
      <c r="GG23" s="11">
        <f t="shared" si="145"/>
        <v>643.03982344298674</v>
      </c>
      <c r="GI23" s="11">
        <f t="shared" si="146"/>
        <v>4345.6878691882057</v>
      </c>
      <c r="GJ23" s="11">
        <f t="shared" si="87"/>
        <v>63.521162819529131</v>
      </c>
      <c r="GK23" s="11">
        <f t="shared" si="147"/>
        <v>4.7894356743979332</v>
      </c>
      <c r="GL23" s="11">
        <f t="shared" si="148"/>
        <v>647.46138968360913</v>
      </c>
      <c r="GN23" s="11">
        <f t="shared" si="0"/>
        <v>800</v>
      </c>
    </row>
    <row r="24" spans="1:196" ht="12.6">
      <c r="A24" s="11" t="s">
        <v>79</v>
      </c>
      <c r="B24" s="11" t="s">
        <v>88</v>
      </c>
      <c r="C24" s="50">
        <v>2</v>
      </c>
      <c r="D24" s="9">
        <v>800</v>
      </c>
      <c r="E24" s="11"/>
      <c r="F24" s="49">
        <v>64.900000000000006</v>
      </c>
      <c r="G24" s="49"/>
      <c r="H24" s="49">
        <v>18.600000000000001</v>
      </c>
      <c r="I24" s="49">
        <v>0</v>
      </c>
      <c r="J24" s="49"/>
      <c r="K24" s="49">
        <v>0</v>
      </c>
      <c r="L24" s="49">
        <v>0.17</v>
      </c>
      <c r="M24" s="49">
        <v>3.02</v>
      </c>
      <c r="N24" s="49">
        <v>12.1</v>
      </c>
      <c r="O24" s="49"/>
      <c r="P24" s="11">
        <f t="shared" si="1"/>
        <v>98.789999999999992</v>
      </c>
      <c r="Q24" s="11"/>
      <c r="R24" s="49">
        <v>63.4</v>
      </c>
      <c r="S24" s="49"/>
      <c r="T24" s="49">
        <v>23.1</v>
      </c>
      <c r="U24" s="49">
        <v>0</v>
      </c>
      <c r="V24" s="49"/>
      <c r="W24" s="49">
        <v>0</v>
      </c>
      <c r="X24" s="49">
        <v>4.38</v>
      </c>
      <c r="Y24" s="49">
        <v>8.44</v>
      </c>
      <c r="Z24" s="49">
        <v>1.01</v>
      </c>
      <c r="AA24" s="49"/>
      <c r="AB24" s="11">
        <f t="shared" si="2"/>
        <v>100.33</v>
      </c>
      <c r="AD24" s="54">
        <f t="shared" si="88"/>
        <v>704.09687002099565</v>
      </c>
      <c r="AE24" s="54">
        <f t="shared" si="89"/>
        <v>720.26502110787499</v>
      </c>
      <c r="AF24" s="54">
        <f t="shared" si="3"/>
        <v>706.11045669551572</v>
      </c>
      <c r="AH24" s="60">
        <f t="shared" si="4"/>
        <v>8.482276917481003E-3</v>
      </c>
      <c r="AI24" s="60">
        <f t="shared" si="5"/>
        <v>0.27267430636325984</v>
      </c>
      <c r="AJ24" s="60">
        <f t="shared" si="6"/>
        <v>0.71884341671925922</v>
      </c>
      <c r="AK24" s="60"/>
      <c r="AL24" s="60">
        <f t="shared" si="90"/>
        <v>0.21001882597059043</v>
      </c>
      <c r="AM24" s="60">
        <f t="shared" si="91"/>
        <v>0.73231901574816316</v>
      </c>
      <c r="AN24" s="60">
        <f t="shared" si="92"/>
        <v>5.7662158281246371E-2</v>
      </c>
      <c r="AO24" s="57"/>
      <c r="AP24" s="61">
        <f t="shared" si="93"/>
        <v>1.1757736429585526</v>
      </c>
      <c r="AQ24" s="61">
        <f t="shared" si="94"/>
        <v>0.66092104928912709</v>
      </c>
      <c r="AR24" s="61">
        <f t="shared" si="7"/>
        <v>0.77154081699344634</v>
      </c>
      <c r="AS24" s="62"/>
      <c r="AT24" s="61">
        <f t="shared" si="95"/>
        <v>0.97329540268884673</v>
      </c>
      <c r="AU24" s="61">
        <f t="shared" si="96"/>
        <v>0.71951040215635675</v>
      </c>
      <c r="AV24" s="61">
        <f t="shared" si="97"/>
        <v>0.78493209508599937</v>
      </c>
      <c r="AX24" s="94">
        <f t="shared" si="111"/>
        <v>-0.20247824026970584</v>
      </c>
      <c r="AY24" s="94">
        <f t="shared" si="98"/>
        <v>5.858935286722966E-2</v>
      </c>
      <c r="AZ24" s="94">
        <f t="shared" si="99"/>
        <v>1.3391278092553027E-2</v>
      </c>
      <c r="BB24" s="11">
        <f t="shared" si="8"/>
        <v>1073.1500000000001</v>
      </c>
      <c r="BD24" s="9">
        <f t="shared" si="100"/>
        <v>706.11045669551572</v>
      </c>
      <c r="BF24" s="29">
        <f t="shared" si="101"/>
        <v>979.2604566955157</v>
      </c>
      <c r="BG24" s="11">
        <f t="shared" si="102"/>
        <v>0.21001882597059043</v>
      </c>
      <c r="BH24" s="11">
        <f t="shared" si="103"/>
        <v>0.73231901574816316</v>
      </c>
      <c r="BI24" s="11">
        <f t="shared" si="104"/>
        <v>5.7662158281246371E-2</v>
      </c>
      <c r="BJ24" s="11">
        <f t="shared" si="116"/>
        <v>0.99999999999999989</v>
      </c>
      <c r="BK24" s="11">
        <f t="shared" si="112"/>
        <v>347.82205919129274</v>
      </c>
      <c r="BL24" s="11">
        <f t="shared" si="9"/>
        <v>-43.242048109292931</v>
      </c>
      <c r="BM24" s="11">
        <f t="shared" si="10"/>
        <v>-623.04381365097822</v>
      </c>
      <c r="BN24" s="11">
        <f t="shared" si="11"/>
        <v>903.94786654118639</v>
      </c>
      <c r="BO24" s="11">
        <f t="shared" si="12"/>
        <v>-483.47069301195955</v>
      </c>
      <c r="BP24" s="11">
        <f t="shared" si="13"/>
        <v>-205.92115125508278</v>
      </c>
      <c r="BQ24" s="11">
        <f t="shared" si="14"/>
        <v>-39.759188173035653</v>
      </c>
      <c r="BR24" s="11">
        <f t="shared" si="117"/>
        <v>-143.66696846786999</v>
      </c>
      <c r="BS24" s="11">
        <f t="shared" si="115"/>
        <v>0.71951040215635675</v>
      </c>
      <c r="BU24" s="79">
        <f t="shared" si="113"/>
        <v>-871.6451304411047</v>
      </c>
      <c r="BV24" s="79">
        <f t="shared" si="15"/>
        <v>73.175515815814094</v>
      </c>
      <c r="BW24" s="79">
        <f t="shared" si="16"/>
        <v>6823.0245416007583</v>
      </c>
      <c r="BX24" s="79">
        <f t="shared" si="17"/>
        <v>3674.5693564171916</v>
      </c>
      <c r="BY24" s="79">
        <f t="shared" si="114"/>
        <v>1920.303390334145</v>
      </c>
      <c r="BZ24" s="79">
        <f t="shared" si="18"/>
        <v>693.25303731504289</v>
      </c>
      <c r="CA24" s="79">
        <f t="shared" si="19"/>
        <v>173.0472244299967</v>
      </c>
      <c r="CB24" s="79">
        <f t="shared" si="118"/>
        <v>12485.727935471843</v>
      </c>
      <c r="CC24" s="79">
        <f t="shared" si="105"/>
        <v>0.97329540268884673</v>
      </c>
      <c r="CE24" s="11">
        <f t="shared" si="20"/>
        <v>9532.7394440190728</v>
      </c>
      <c r="CF24" s="11">
        <f t="shared" si="21"/>
        <v>1464.6141119416832</v>
      </c>
      <c r="CG24" s="11">
        <f t="shared" si="22"/>
        <v>91.682749857037521</v>
      </c>
      <c r="CH24" s="11">
        <f t="shared" si="23"/>
        <v>-1787.1994060312738</v>
      </c>
      <c r="CI24" s="11">
        <f t="shared" si="24"/>
        <v>6551.4158530418563</v>
      </c>
      <c r="CJ24" s="11">
        <f t="shared" si="25"/>
        <v>4443.9542775729469</v>
      </c>
      <c r="CK24" s="11">
        <f t="shared" si="26"/>
        <v>961.42688210955498</v>
      </c>
      <c r="CL24" s="11">
        <f t="shared" si="119"/>
        <v>21258.633912510875</v>
      </c>
      <c r="CM24" s="11">
        <f t="shared" si="27"/>
        <v>0.78493209508599937</v>
      </c>
      <c r="CO24" s="11">
        <f t="shared" si="106"/>
        <v>2</v>
      </c>
      <c r="CP24" s="9">
        <f t="shared" si="107"/>
        <v>979.2604566955157</v>
      </c>
      <c r="CQ24" s="11">
        <f t="shared" si="149"/>
        <v>8.482276917481003E-3</v>
      </c>
      <c r="CR24" s="11">
        <f t="shared" si="150"/>
        <v>0.27267430636325984</v>
      </c>
      <c r="CS24" s="11">
        <f t="shared" si="151"/>
        <v>0.71884341671925922</v>
      </c>
      <c r="CT24" s="11">
        <f t="shared" si="120"/>
        <v>1</v>
      </c>
      <c r="CU24" s="11">
        <f t="shared" si="108"/>
        <v>5034.7866698040589</v>
      </c>
      <c r="CV24" s="11">
        <f t="shared" si="31"/>
        <v>2344.7192608344712</v>
      </c>
      <c r="CW24" s="11">
        <f t="shared" si="32"/>
        <v>37.926781829039619</v>
      </c>
      <c r="CX24" s="11">
        <f t="shared" si="33"/>
        <v>53.99843859023126</v>
      </c>
      <c r="CY24" s="11">
        <f t="shared" si="34"/>
        <v>78.49611971967397</v>
      </c>
      <c r="CZ24" s="11">
        <f t="shared" si="35"/>
        <v>-360.97709961821192</v>
      </c>
      <c r="DA24" s="11">
        <f t="shared" si="36"/>
        <v>19.588397122055127</v>
      </c>
      <c r="DB24" s="11">
        <f t="shared" si="121"/>
        <v>7208.5385682813194</v>
      </c>
      <c r="DC24" s="11">
        <f t="shared" si="122"/>
        <v>0.66092104928912709</v>
      </c>
      <c r="DE24" s="11">
        <f t="shared" si="37"/>
        <v>-185.41614983061055</v>
      </c>
      <c r="DF24" s="11">
        <f t="shared" si="38"/>
        <v>-1840.0779777787907</v>
      </c>
      <c r="DG24" s="11">
        <f t="shared" si="39"/>
        <v>2697.9665581595841</v>
      </c>
      <c r="DH24" s="11">
        <f t="shared" si="40"/>
        <v>1925.8944396823747</v>
      </c>
      <c r="DI24" s="11">
        <f t="shared" si="41"/>
        <v>6635.9161120956587</v>
      </c>
      <c r="DJ24" s="11">
        <f t="shared" si="42"/>
        <v>29558.285232238206</v>
      </c>
      <c r="DK24" s="11">
        <f t="shared" si="43"/>
        <v>1361.5115432133555</v>
      </c>
      <c r="DL24" s="11">
        <f t="shared" si="123"/>
        <v>40154.079757779771</v>
      </c>
      <c r="DM24" s="11">
        <f t="shared" si="124"/>
        <v>1.1757736429585526</v>
      </c>
      <c r="DO24" s="11">
        <f t="shared" si="44"/>
        <v>-580.7542048516483</v>
      </c>
      <c r="DP24" s="11">
        <f t="shared" si="45"/>
        <v>1088.5457744711564</v>
      </c>
      <c r="DQ24" s="11">
        <f t="shared" si="46"/>
        <v>-14.579266618197211</v>
      </c>
      <c r="DR24" s="11">
        <f t="shared" si="47"/>
        <v>-20.090706052867038</v>
      </c>
      <c r="DS24" s="11">
        <f t="shared" si="48"/>
        <v>-32.903241891748351</v>
      </c>
      <c r="DT24" s="11">
        <f t="shared" si="49"/>
        <v>142.94623723006475</v>
      </c>
      <c r="DU24" s="11">
        <f t="shared" si="50"/>
        <v>-7.1530914768453053</v>
      </c>
      <c r="DV24" s="11">
        <f t="shared" si="125"/>
        <v>576.01150080991488</v>
      </c>
      <c r="DW24" s="11">
        <f t="shared" si="126"/>
        <v>0.77154081699344634</v>
      </c>
      <c r="DY24" s="11">
        <f t="shared" si="51"/>
        <v>1.0801490572412429</v>
      </c>
      <c r="DZ24" s="11">
        <f t="shared" si="52"/>
        <v>0</v>
      </c>
      <c r="EA24" s="11">
        <f t="shared" si="109"/>
        <v>0.36484438729769558</v>
      </c>
      <c r="EB24" s="11">
        <f t="shared" si="53"/>
        <v>0</v>
      </c>
      <c r="EC24" s="11">
        <f t="shared" si="54"/>
        <v>0</v>
      </c>
      <c r="ED24" s="11">
        <f t="shared" si="55"/>
        <v>0</v>
      </c>
      <c r="EE24" s="11">
        <f t="shared" si="56"/>
        <v>3.0315242860760312E-3</v>
      </c>
      <c r="EF24" s="11">
        <f t="shared" si="57"/>
        <v>9.7452463527286107E-2</v>
      </c>
      <c r="EG24" s="11">
        <f t="shared" si="58"/>
        <v>0.25691112149135842</v>
      </c>
      <c r="EH24" s="11">
        <f t="shared" si="59"/>
        <v>0</v>
      </c>
      <c r="EI24" s="11">
        <f t="shared" si="127"/>
        <v>1.8023885538436593</v>
      </c>
      <c r="EJ24" s="11"/>
      <c r="EK24" s="11">
        <f t="shared" si="128"/>
        <v>0.59928757033980584</v>
      </c>
      <c r="EL24" s="11">
        <f t="shared" si="60"/>
        <v>0</v>
      </c>
      <c r="EM24" s="11">
        <f t="shared" si="61"/>
        <v>0.20242271652227908</v>
      </c>
      <c r="EN24" s="11">
        <f t="shared" si="62"/>
        <v>0</v>
      </c>
      <c r="EO24" s="11">
        <f t="shared" si="63"/>
        <v>0</v>
      </c>
      <c r="EP24" s="11">
        <f t="shared" si="64"/>
        <v>0</v>
      </c>
      <c r="EQ24" s="11">
        <f t="shared" si="65"/>
        <v>1.6819482567236655E-3</v>
      </c>
      <c r="ER24" s="11">
        <f t="shared" si="66"/>
        <v>5.4068509988850724E-2</v>
      </c>
      <c r="ES24" s="11">
        <f t="shared" si="67"/>
        <v>0.14253925489234054</v>
      </c>
      <c r="ET24" s="11">
        <f t="shared" si="68"/>
        <v>0</v>
      </c>
      <c r="EU24" s="9">
        <f t="shared" si="129"/>
        <v>0.99999999999999978</v>
      </c>
      <c r="EV24" s="9">
        <f t="shared" si="130"/>
        <v>8.482276917481003E-3</v>
      </c>
      <c r="EW24" s="9">
        <f t="shared" si="131"/>
        <v>0.27267430636325984</v>
      </c>
      <c r="EX24" s="9">
        <f t="shared" si="132"/>
        <v>0.71884341671925911</v>
      </c>
      <c r="EZ24" s="11">
        <f t="shared" si="69"/>
        <v>1.0551841329598581</v>
      </c>
      <c r="FA24" s="11">
        <f t="shared" si="70"/>
        <v>0</v>
      </c>
      <c r="FB24" s="11">
        <f t="shared" si="71"/>
        <v>0.45311319067617029</v>
      </c>
      <c r="FC24" s="11">
        <f t="shared" si="72"/>
        <v>0</v>
      </c>
      <c r="FD24" s="11">
        <f t="shared" si="73"/>
        <v>0</v>
      </c>
      <c r="FE24" s="11">
        <f t="shared" si="74"/>
        <v>0</v>
      </c>
      <c r="FF24" s="11">
        <f t="shared" si="75"/>
        <v>7.8106331605958909E-2</v>
      </c>
      <c r="FG24" s="11">
        <f t="shared" si="76"/>
        <v>0.27235059343387241</v>
      </c>
      <c r="FH24" s="11">
        <f t="shared" si="77"/>
        <v>2.1444647331096862E-2</v>
      </c>
      <c r="FI24" s="11">
        <f t="shared" si="110"/>
        <v>0</v>
      </c>
      <c r="FJ24" s="11">
        <f t="shared" si="133"/>
        <v>1.8801988960069567</v>
      </c>
      <c r="FK24" s="34" t="e">
        <f t="shared" si="134"/>
        <v>#DIV/0!</v>
      </c>
      <c r="FL24" s="11">
        <f t="shared" si="135"/>
        <v>0.56120878232658744</v>
      </c>
      <c r="FM24" s="11">
        <f t="shared" si="78"/>
        <v>0</v>
      </c>
      <c r="FN24" s="11">
        <f t="shared" si="79"/>
        <v>0.24099215866920379</v>
      </c>
      <c r="FO24" s="11">
        <f t="shared" si="80"/>
        <v>0</v>
      </c>
      <c r="FP24" s="11">
        <f t="shared" si="81"/>
        <v>0</v>
      </c>
      <c r="FQ24" s="11">
        <f t="shared" si="82"/>
        <v>0</v>
      </c>
      <c r="FR24" s="11">
        <f t="shared" si="83"/>
        <v>4.154152615015147E-2</v>
      </c>
      <c r="FS24" s="11">
        <f t="shared" si="84"/>
        <v>0.14485201220587501</v>
      </c>
      <c r="FT24" s="11">
        <f t="shared" si="85"/>
        <v>1.1405520648182276E-2</v>
      </c>
      <c r="FU24" s="11">
        <f t="shared" si="86"/>
        <v>0</v>
      </c>
      <c r="FV24" s="11">
        <f t="shared" si="136"/>
        <v>1</v>
      </c>
      <c r="FX24" s="11">
        <f t="shared" si="137"/>
        <v>0.21001882597059043</v>
      </c>
      <c r="FY24" s="11">
        <f t="shared" si="138"/>
        <v>0.73231901574816316</v>
      </c>
      <c r="FZ24" s="11">
        <f t="shared" si="139"/>
        <v>5.7662158281246371E-2</v>
      </c>
      <c r="GA24" s="11">
        <f t="shared" si="140"/>
        <v>0.99999999999999989</v>
      </c>
      <c r="GC24" s="11">
        <f t="shared" si="141"/>
        <v>0.37234361050243392</v>
      </c>
      <c r="GD24" s="11">
        <f t="shared" si="142"/>
        <v>509.87484164216551</v>
      </c>
      <c r="GE24" s="11">
        <f t="shared" si="143"/>
        <v>558.43720547105204</v>
      </c>
      <c r="GF24" s="11">
        <f t="shared" si="144"/>
        <v>617.77217353568551</v>
      </c>
      <c r="GG24" s="11">
        <f t="shared" si="145"/>
        <v>660.37064106676496</v>
      </c>
      <c r="GI24" s="11">
        <f t="shared" si="146"/>
        <v>3734.6671727160929</v>
      </c>
      <c r="GJ24" s="11">
        <f t="shared" si="87"/>
        <v>109.17433503130225</v>
      </c>
      <c r="GK24" s="11">
        <f t="shared" si="147"/>
        <v>4.1899795195699028</v>
      </c>
      <c r="GL24" s="11">
        <f t="shared" si="148"/>
        <v>644.23909218868016</v>
      </c>
      <c r="GN24" s="11">
        <f t="shared" si="0"/>
        <v>800</v>
      </c>
    </row>
    <row r="25" spans="1:196" ht="12.6">
      <c r="A25" s="11" t="s">
        <v>79</v>
      </c>
      <c r="B25" s="11" t="s">
        <v>89</v>
      </c>
      <c r="C25" s="50">
        <v>2</v>
      </c>
      <c r="D25" s="9">
        <v>800</v>
      </c>
      <c r="E25" s="11"/>
      <c r="F25" s="49">
        <v>66</v>
      </c>
      <c r="G25" s="49"/>
      <c r="H25" s="49">
        <v>18.899999999999999</v>
      </c>
      <c r="I25" s="49">
        <v>0.05</v>
      </c>
      <c r="J25" s="49"/>
      <c r="K25" s="49">
        <v>0</v>
      </c>
      <c r="L25" s="49">
        <v>0.18</v>
      </c>
      <c r="M25" s="49">
        <v>3.73</v>
      </c>
      <c r="N25" s="49">
        <v>11.3</v>
      </c>
      <c r="O25" s="49"/>
      <c r="P25" s="11">
        <f t="shared" si="1"/>
        <v>100.16000000000001</v>
      </c>
      <c r="Q25" s="11"/>
      <c r="R25" s="49">
        <v>64.900000000000006</v>
      </c>
      <c r="S25" s="49"/>
      <c r="T25" s="49">
        <v>22.1</v>
      </c>
      <c r="U25" s="49">
        <v>7.0000000000000007E-2</v>
      </c>
      <c r="V25" s="49"/>
      <c r="W25" s="49">
        <v>0</v>
      </c>
      <c r="X25" s="49">
        <v>3.25</v>
      </c>
      <c r="Y25" s="49">
        <v>9.18</v>
      </c>
      <c r="Z25" s="49">
        <v>1.1499999999999999</v>
      </c>
      <c r="AA25" s="49"/>
      <c r="AB25" s="11">
        <f t="shared" si="2"/>
        <v>100.65</v>
      </c>
      <c r="AD25" s="54">
        <f t="shared" si="88"/>
        <v>703.75885056977756</v>
      </c>
      <c r="AE25" s="54">
        <f t="shared" si="89"/>
        <v>717.86284002694322</v>
      </c>
      <c r="AF25" s="54">
        <f t="shared" si="3"/>
        <v>702.91020683470992</v>
      </c>
      <c r="AH25" s="60">
        <f t="shared" si="4"/>
        <v>8.8304312033769729E-3</v>
      </c>
      <c r="AI25" s="60">
        <f t="shared" si="5"/>
        <v>0.33112501191097488</v>
      </c>
      <c r="AJ25" s="60">
        <f t="shared" si="6"/>
        <v>0.66004455688564823</v>
      </c>
      <c r="AK25" s="60"/>
      <c r="AL25" s="60">
        <f t="shared" si="90"/>
        <v>0.15307774720836279</v>
      </c>
      <c r="AM25" s="60">
        <f t="shared" si="91"/>
        <v>0.78242934686718124</v>
      </c>
      <c r="AN25" s="60">
        <f t="shared" si="92"/>
        <v>6.4492905924455918E-2</v>
      </c>
      <c r="AO25" s="57"/>
      <c r="AP25" s="61">
        <f t="shared" si="93"/>
        <v>0.95580949507955448</v>
      </c>
      <c r="AQ25" s="61">
        <f t="shared" si="94"/>
        <v>0.73381068383156867</v>
      </c>
      <c r="AR25" s="61">
        <f t="shared" si="7"/>
        <v>0.74128975983259049</v>
      </c>
      <c r="AS25" s="62"/>
      <c r="AT25" s="61">
        <f t="shared" si="95"/>
        <v>0.78734902311773092</v>
      </c>
      <c r="AU25" s="61">
        <f t="shared" si="96"/>
        <v>0.76560469913063955</v>
      </c>
      <c r="AV25" s="61">
        <f t="shared" si="97"/>
        <v>0.693718745134008</v>
      </c>
      <c r="AX25" s="94">
        <f t="shared" si="111"/>
        <v>-0.16846047196182357</v>
      </c>
      <c r="AY25" s="94">
        <f t="shared" si="98"/>
        <v>3.1794015299070888E-2</v>
      </c>
      <c r="AZ25" s="94">
        <f t="shared" si="99"/>
        <v>-4.7571014698582492E-2</v>
      </c>
      <c r="BB25" s="11">
        <f t="shared" si="8"/>
        <v>1073.1500000000001</v>
      </c>
      <c r="BD25" s="9">
        <f t="shared" si="100"/>
        <v>702.91020683470992</v>
      </c>
      <c r="BF25" s="29">
        <f t="shared" si="101"/>
        <v>976.0602068347099</v>
      </c>
      <c r="BG25" s="11">
        <f t="shared" si="102"/>
        <v>0.15307774720836279</v>
      </c>
      <c r="BH25" s="11">
        <f t="shared" si="103"/>
        <v>0.78242934686718124</v>
      </c>
      <c r="BI25" s="11">
        <f t="shared" si="104"/>
        <v>6.4492905924455918E-2</v>
      </c>
      <c r="BJ25" s="11">
        <f t="shared" si="116"/>
        <v>0.99999999999999989</v>
      </c>
      <c r="BK25" s="11">
        <f t="shared" si="112"/>
        <v>337.24493869612365</v>
      </c>
      <c r="BL25" s="11">
        <f t="shared" si="9"/>
        <v>-51.147694191717434</v>
      </c>
      <c r="BM25" s="11">
        <f t="shared" si="10"/>
        <v>-428.58646829935213</v>
      </c>
      <c r="BN25" s="11">
        <f t="shared" si="11"/>
        <v>560.44972719955399</v>
      </c>
      <c r="BO25" s="11">
        <f t="shared" si="12"/>
        <v>-356.15451993489131</v>
      </c>
      <c r="BP25" s="11">
        <f t="shared" si="13"/>
        <v>-198.81097901891258</v>
      </c>
      <c r="BQ25" s="11">
        <f t="shared" si="14"/>
        <v>-39.403741249030617</v>
      </c>
      <c r="BR25" s="11">
        <f t="shared" si="117"/>
        <v>-176.40873679822644</v>
      </c>
      <c r="BS25" s="11">
        <f t="shared" si="115"/>
        <v>0.76560469913063955</v>
      </c>
      <c r="BU25" s="79">
        <f t="shared" si="113"/>
        <v>-1081.2277376390402</v>
      </c>
      <c r="BV25" s="79">
        <f t="shared" si="15"/>
        <v>109.48238314727618</v>
      </c>
      <c r="BW25" s="79">
        <f t="shared" si="16"/>
        <v>5894.280501792874</v>
      </c>
      <c r="BX25" s="79">
        <f t="shared" si="17"/>
        <v>5024.8166349682688</v>
      </c>
      <c r="BY25" s="79">
        <f t="shared" si="114"/>
        <v>2097.9379648837785</v>
      </c>
      <c r="BZ25" s="79">
        <f t="shared" si="18"/>
        <v>998.15139425303357</v>
      </c>
      <c r="CA25" s="79">
        <f t="shared" si="19"/>
        <v>247.39610841405687</v>
      </c>
      <c r="CB25" s="79">
        <f t="shared" si="118"/>
        <v>13290.837249820248</v>
      </c>
      <c r="CC25" s="79">
        <f t="shared" si="105"/>
        <v>0.78734902311773092</v>
      </c>
      <c r="CE25" s="11">
        <f t="shared" si="20"/>
        <v>10298.712477960948</v>
      </c>
      <c r="CF25" s="11">
        <f t="shared" si="21"/>
        <v>1459.2109864532697</v>
      </c>
      <c r="CG25" s="11">
        <f t="shared" si="22"/>
        <v>414.36535636097449</v>
      </c>
      <c r="CH25" s="11">
        <f t="shared" si="23"/>
        <v>-1536.7898466218412</v>
      </c>
      <c r="CI25" s="11">
        <f t="shared" si="24"/>
        <v>4448.104255242527</v>
      </c>
      <c r="CJ25" s="11">
        <f t="shared" si="25"/>
        <v>3457.3645703183442</v>
      </c>
      <c r="CK25" s="11">
        <f t="shared" si="26"/>
        <v>737.15031601829264</v>
      </c>
      <c r="CL25" s="11">
        <f t="shared" si="119"/>
        <v>19278.118115732512</v>
      </c>
      <c r="CM25" s="11">
        <f t="shared" si="27"/>
        <v>0.693718745134008</v>
      </c>
      <c r="CO25" s="11">
        <f t="shared" si="106"/>
        <v>2</v>
      </c>
      <c r="CP25" s="9">
        <f t="shared" si="107"/>
        <v>976.0602068347099</v>
      </c>
      <c r="CQ25" s="11">
        <f t="shared" si="149"/>
        <v>8.8304312033769729E-3</v>
      </c>
      <c r="CR25" s="11">
        <f t="shared" si="150"/>
        <v>0.33112501191097488</v>
      </c>
      <c r="CS25" s="11">
        <f t="shared" si="151"/>
        <v>0.66004455688564823</v>
      </c>
      <c r="CT25" s="11">
        <f t="shared" si="120"/>
        <v>1</v>
      </c>
      <c r="CU25" s="11">
        <f t="shared" si="108"/>
        <v>5161.0167883986087</v>
      </c>
      <c r="CV25" s="11">
        <f t="shared" si="31"/>
        <v>1474.6691164092895</v>
      </c>
      <c r="CW25" s="11">
        <f t="shared" si="32"/>
        <v>27.029788171086196</v>
      </c>
      <c r="CX25" s="11">
        <f t="shared" si="33"/>
        <v>55.623048501572107</v>
      </c>
      <c r="CY25" s="11">
        <f t="shared" si="34"/>
        <v>54.019791973062183</v>
      </c>
      <c r="CZ25" s="11">
        <f t="shared" si="35"/>
        <v>-328.43341924736188</v>
      </c>
      <c r="DA25" s="11">
        <f t="shared" si="36"/>
        <v>13.909903768851466</v>
      </c>
      <c r="DB25" s="11">
        <f t="shared" si="121"/>
        <v>6457.8350179751078</v>
      </c>
      <c r="DC25" s="11">
        <f t="shared" si="122"/>
        <v>0.73381068383156867</v>
      </c>
      <c r="DE25" s="11">
        <f t="shared" si="37"/>
        <v>-657.81097349410391</v>
      </c>
      <c r="DF25" s="11">
        <f t="shared" si="38"/>
        <v>-1803.5780104379937</v>
      </c>
      <c r="DG25" s="11">
        <f t="shared" si="39"/>
        <v>3026.1452304839631</v>
      </c>
      <c r="DH25" s="11">
        <f t="shared" si="40"/>
        <v>2443.3167603721681</v>
      </c>
      <c r="DI25" s="11">
        <f t="shared" si="41"/>
        <v>7287.8106757036803</v>
      </c>
      <c r="DJ25" s="11">
        <f t="shared" si="42"/>
        <v>26202.586734769997</v>
      </c>
      <c r="DK25" s="11">
        <f t="shared" si="43"/>
        <v>1517.0514894622436</v>
      </c>
      <c r="DL25" s="11">
        <f t="shared" si="123"/>
        <v>38015.521906859954</v>
      </c>
      <c r="DM25" s="11">
        <f t="shared" si="124"/>
        <v>0.95580949507955448</v>
      </c>
      <c r="DO25" s="11">
        <f t="shared" si="44"/>
        <v>-625.66658627497827</v>
      </c>
      <c r="DP25" s="11">
        <f t="shared" si="45"/>
        <v>1474.7035195723536</v>
      </c>
      <c r="DQ25" s="11">
        <f t="shared" si="46"/>
        <v>-13.897254520501063</v>
      </c>
      <c r="DR25" s="11">
        <f t="shared" si="47"/>
        <v>-27.316776160366718</v>
      </c>
      <c r="DS25" s="11">
        <f t="shared" si="48"/>
        <v>-30.21252946612433</v>
      </c>
      <c r="DT25" s="11">
        <f t="shared" si="49"/>
        <v>171.06778298048178</v>
      </c>
      <c r="DU25" s="11">
        <f t="shared" si="50"/>
        <v>-6.6133032178436784</v>
      </c>
      <c r="DV25" s="11">
        <f t="shared" si="125"/>
        <v>942.06485291302124</v>
      </c>
      <c r="DW25" s="11">
        <f t="shared" si="126"/>
        <v>0.74128975983259049</v>
      </c>
      <c r="DY25" s="11">
        <f t="shared" si="51"/>
        <v>1.0984566683809249</v>
      </c>
      <c r="DZ25" s="11">
        <f t="shared" si="52"/>
        <v>0</v>
      </c>
      <c r="EA25" s="11">
        <f t="shared" si="109"/>
        <v>0.37072897418959383</v>
      </c>
      <c r="EB25" s="11">
        <f t="shared" si="53"/>
        <v>6.9592909317655444E-4</v>
      </c>
      <c r="EC25" s="11">
        <f t="shared" si="54"/>
        <v>0</v>
      </c>
      <c r="ED25" s="11">
        <f t="shared" si="55"/>
        <v>0</v>
      </c>
      <c r="EE25" s="11">
        <f t="shared" si="56"/>
        <v>3.2098492440805031E-3</v>
      </c>
      <c r="EF25" s="11">
        <f t="shared" si="57"/>
        <v>0.12036347316449576</v>
      </c>
      <c r="EG25" s="11">
        <f t="shared" si="58"/>
        <v>0.23992526221920255</v>
      </c>
      <c r="EH25" s="11">
        <f t="shared" si="59"/>
        <v>0</v>
      </c>
      <c r="EI25" s="11">
        <f t="shared" si="127"/>
        <v>1.833380156291474</v>
      </c>
      <c r="EJ25" s="11"/>
      <c r="EK25" s="11">
        <f t="shared" si="128"/>
        <v>0.59914288076667188</v>
      </c>
      <c r="EL25" s="11">
        <f t="shared" si="60"/>
        <v>0</v>
      </c>
      <c r="EM25" s="11">
        <f t="shared" si="61"/>
        <v>0.20221063968505978</v>
      </c>
      <c r="EN25" s="11">
        <f t="shared" si="62"/>
        <v>3.7958799258756371E-4</v>
      </c>
      <c r="EO25" s="11">
        <f t="shared" si="63"/>
        <v>0</v>
      </c>
      <c r="EP25" s="11">
        <f t="shared" si="64"/>
        <v>0</v>
      </c>
      <c r="EQ25" s="11">
        <f t="shared" si="65"/>
        <v>1.7507821457898422E-3</v>
      </c>
      <c r="ER25" s="11">
        <f t="shared" si="66"/>
        <v>6.5651126827926773E-2</v>
      </c>
      <c r="ES25" s="11">
        <f t="shared" si="67"/>
        <v>0.13086498258196419</v>
      </c>
      <c r="ET25" s="11">
        <f t="shared" si="68"/>
        <v>0</v>
      </c>
      <c r="EU25" s="9">
        <f t="shared" si="129"/>
        <v>1</v>
      </c>
      <c r="EV25" s="9">
        <f t="shared" si="130"/>
        <v>8.8304312033769729E-3</v>
      </c>
      <c r="EW25" s="9">
        <f t="shared" si="131"/>
        <v>0.33112501191097488</v>
      </c>
      <c r="EX25" s="9">
        <f t="shared" si="132"/>
        <v>0.66004455688564811</v>
      </c>
      <c r="EZ25" s="11">
        <f t="shared" si="69"/>
        <v>1.0801490572412429</v>
      </c>
      <c r="FA25" s="11">
        <f t="shared" si="70"/>
        <v>0</v>
      </c>
      <c r="FB25" s="11">
        <f t="shared" si="71"/>
        <v>0.43349790103650926</v>
      </c>
      <c r="FC25" s="11">
        <f t="shared" si="72"/>
        <v>9.7430073044717626E-4</v>
      </c>
      <c r="FD25" s="11">
        <f t="shared" si="73"/>
        <v>0</v>
      </c>
      <c r="FE25" s="11">
        <f t="shared" si="74"/>
        <v>0</v>
      </c>
      <c r="FF25" s="11">
        <f t="shared" si="75"/>
        <v>5.795561135145353E-2</v>
      </c>
      <c r="FG25" s="11">
        <f t="shared" si="76"/>
        <v>0.29622967390082333</v>
      </c>
      <c r="FH25" s="11">
        <f t="shared" si="77"/>
        <v>2.4417172703724149E-2</v>
      </c>
      <c r="FI25" s="11">
        <f t="shared" si="110"/>
        <v>0</v>
      </c>
      <c r="FJ25" s="11">
        <f t="shared" si="133"/>
        <v>1.8932237169642001</v>
      </c>
      <c r="FK25" s="34" t="e">
        <f t="shared" si="134"/>
        <v>#DIV/0!</v>
      </c>
      <c r="FL25" s="11">
        <f t="shared" si="135"/>
        <v>0.57053429426358071</v>
      </c>
      <c r="FM25" s="11">
        <f t="shared" si="78"/>
        <v>0</v>
      </c>
      <c r="FN25" s="11">
        <f t="shared" si="79"/>
        <v>0.22897341563607007</v>
      </c>
      <c r="FO25" s="11">
        <f t="shared" si="80"/>
        <v>5.1462525094999104E-4</v>
      </c>
      <c r="FP25" s="11">
        <f t="shared" si="81"/>
        <v>0</v>
      </c>
      <c r="FQ25" s="11">
        <f t="shared" si="82"/>
        <v>0</v>
      </c>
      <c r="FR25" s="11">
        <f t="shared" si="83"/>
        <v>3.0612130427135061E-2</v>
      </c>
      <c r="FS25" s="11">
        <f t="shared" si="84"/>
        <v>0.15646839369613966</v>
      </c>
      <c r="FT25" s="11">
        <f t="shared" si="85"/>
        <v>1.2897140726124691E-2</v>
      </c>
      <c r="FU25" s="11">
        <f t="shared" si="86"/>
        <v>0</v>
      </c>
      <c r="FV25" s="11">
        <f t="shared" si="136"/>
        <v>1.0000000000000002</v>
      </c>
      <c r="FX25" s="11">
        <f t="shared" si="137"/>
        <v>0.15307774720836279</v>
      </c>
      <c r="FY25" s="11">
        <f t="shared" si="138"/>
        <v>0.78242934686718124</v>
      </c>
      <c r="FZ25" s="11">
        <f t="shared" si="139"/>
        <v>6.4492905924455918E-2</v>
      </c>
      <c r="GA25" s="11">
        <f t="shared" si="140"/>
        <v>0.99999999999999989</v>
      </c>
      <c r="GC25" s="11">
        <f t="shared" si="141"/>
        <v>0.42320116600532359</v>
      </c>
      <c r="GD25" s="11">
        <f t="shared" si="142"/>
        <v>570.27041902710778</v>
      </c>
      <c r="GE25" s="11">
        <f t="shared" si="143"/>
        <v>617.71809966193064</v>
      </c>
      <c r="GF25" s="11">
        <f t="shared" si="144"/>
        <v>676.31310876739451</v>
      </c>
      <c r="GG25" s="11">
        <f t="shared" si="145"/>
        <v>707.24082711355663</v>
      </c>
      <c r="GI25" s="11">
        <f t="shared" si="146"/>
        <v>3228.7321047727564</v>
      </c>
      <c r="GJ25" s="11">
        <f t="shared" si="87"/>
        <v>94.382275331368433</v>
      </c>
      <c r="GK25" s="11">
        <f t="shared" si="147"/>
        <v>3.551513680586436</v>
      </c>
      <c r="GL25" s="11">
        <f t="shared" si="148"/>
        <v>662.5395901229931</v>
      </c>
      <c r="GN25" s="11">
        <f t="shared" si="0"/>
        <v>800</v>
      </c>
    </row>
    <row r="26" spans="1:196" ht="12.6">
      <c r="A26" s="11" t="s">
        <v>79</v>
      </c>
      <c r="B26" s="11" t="s">
        <v>90</v>
      </c>
      <c r="C26" s="50">
        <v>2</v>
      </c>
      <c r="D26" s="9">
        <v>800</v>
      </c>
      <c r="E26" s="11"/>
      <c r="F26" s="49">
        <v>66</v>
      </c>
      <c r="G26" s="49"/>
      <c r="H26" s="49">
        <v>19.2</v>
      </c>
      <c r="I26" s="49">
        <v>0</v>
      </c>
      <c r="J26" s="49"/>
      <c r="K26" s="49">
        <v>0</v>
      </c>
      <c r="L26" s="49">
        <v>0.18</v>
      </c>
      <c r="M26" s="49">
        <v>4.3099999999999996</v>
      </c>
      <c r="N26" s="49">
        <v>10.4</v>
      </c>
      <c r="O26" s="49"/>
      <c r="P26" s="11">
        <f t="shared" si="1"/>
        <v>100.09000000000002</v>
      </c>
      <c r="Q26" s="11"/>
      <c r="R26" s="49">
        <v>66.099999999999994</v>
      </c>
      <c r="S26" s="49"/>
      <c r="T26" s="49">
        <v>20.8</v>
      </c>
      <c r="U26" s="49">
        <v>0.15</v>
      </c>
      <c r="V26" s="49"/>
      <c r="W26" s="49">
        <v>0</v>
      </c>
      <c r="X26" s="49">
        <v>0.97</v>
      </c>
      <c r="Y26" s="49">
        <v>8.44</v>
      </c>
      <c r="Z26" s="49">
        <v>3.78</v>
      </c>
      <c r="AA26" s="49"/>
      <c r="AB26" s="11">
        <f t="shared" si="2"/>
        <v>100.24</v>
      </c>
      <c r="AD26" s="54">
        <f t="shared" si="88"/>
        <v>680.63432550656955</v>
      </c>
      <c r="AE26" s="54">
        <f t="shared" si="89"/>
        <v>691.72035035828117</v>
      </c>
      <c r="AF26" s="54">
        <f t="shared" si="3"/>
        <v>711.46139865241878</v>
      </c>
      <c r="AH26" s="60">
        <f t="shared" si="4"/>
        <v>8.839989996914141E-3</v>
      </c>
      <c r="AI26" s="60">
        <f t="shared" si="5"/>
        <v>0.3830277924813803</v>
      </c>
      <c r="AJ26" s="60">
        <f t="shared" si="6"/>
        <v>0.60813221752170565</v>
      </c>
      <c r="AK26" s="60"/>
      <c r="AL26" s="60">
        <f t="shared" si="90"/>
        <v>4.6761898765978291E-2</v>
      </c>
      <c r="AM26" s="60">
        <f t="shared" si="91"/>
        <v>0.73626914129333099</v>
      </c>
      <c r="AN26" s="60">
        <f t="shared" si="92"/>
        <v>0.21696895994069054</v>
      </c>
      <c r="AO26" s="57"/>
      <c r="AP26" s="61">
        <f t="shared" si="93"/>
        <v>0.7158773567708332</v>
      </c>
      <c r="AQ26" s="61">
        <f t="shared" si="94"/>
        <v>0.77190084057005515</v>
      </c>
      <c r="AR26" s="61">
        <f t="shared" si="7"/>
        <v>0.7170594800086697</v>
      </c>
      <c r="AS26" s="62"/>
      <c r="AT26" s="61">
        <f t="shared" si="95"/>
        <v>0.50749636408226451</v>
      </c>
      <c r="AU26" s="61">
        <f t="shared" si="96"/>
        <v>0.8029839024946106</v>
      </c>
      <c r="AV26" s="61">
        <f t="shared" si="97"/>
        <v>0.7258466582602231</v>
      </c>
      <c r="AX26" s="94">
        <f t="shared" si="111"/>
        <v>-0.20838099268856869</v>
      </c>
      <c r="AY26" s="94">
        <f t="shared" si="98"/>
        <v>3.1083061924555455E-2</v>
      </c>
      <c r="AZ26" s="94">
        <f t="shared" si="99"/>
        <v>8.7871782515533958E-3</v>
      </c>
      <c r="BB26" s="11">
        <f t="shared" si="8"/>
        <v>1073.1500000000001</v>
      </c>
      <c r="BD26" s="9">
        <f t="shared" si="100"/>
        <v>711.46139865241878</v>
      </c>
      <c r="BF26" s="29">
        <f t="shared" si="101"/>
        <v>984.61139865241876</v>
      </c>
      <c r="BG26" s="11">
        <f t="shared" si="102"/>
        <v>4.6761898765978291E-2</v>
      </c>
      <c r="BH26" s="11">
        <f t="shared" si="103"/>
        <v>0.73626914129333099</v>
      </c>
      <c r="BI26" s="11">
        <f t="shared" si="104"/>
        <v>0.21696895994069054</v>
      </c>
      <c r="BJ26" s="11">
        <f t="shared" si="116"/>
        <v>0.99999999999999978</v>
      </c>
      <c r="BK26" s="11">
        <f t="shared" si="112"/>
        <v>1435.8007110437823</v>
      </c>
      <c r="BL26" s="11">
        <f t="shared" si="9"/>
        <v>-243.10909396990147</v>
      </c>
      <c r="BM26" s="11">
        <f t="shared" si="10"/>
        <v>-91.617780242439181</v>
      </c>
      <c r="BN26" s="11">
        <f t="shared" si="11"/>
        <v>179.31737808346307</v>
      </c>
      <c r="BO26" s="11">
        <f t="shared" si="12"/>
        <v>-204.24214563999217</v>
      </c>
      <c r="BP26" s="11">
        <f t="shared" si="13"/>
        <v>-332.18821759801904</v>
      </c>
      <c r="BQ26" s="11">
        <f t="shared" si="14"/>
        <v>-33.876643679998011</v>
      </c>
      <c r="BR26" s="11">
        <f t="shared" si="117"/>
        <v>710.08420799689532</v>
      </c>
      <c r="BS26" s="11">
        <f t="shared" si="115"/>
        <v>0.8029839024946106</v>
      </c>
      <c r="BU26" s="79">
        <f t="shared" si="113"/>
        <v>-2855.8793248874317</v>
      </c>
      <c r="BV26" s="79">
        <f t="shared" si="15"/>
        <v>30.417129869556241</v>
      </c>
      <c r="BW26" s="79">
        <f t="shared" si="16"/>
        <v>3686.732691403583</v>
      </c>
      <c r="BX26" s="79">
        <f t="shared" si="17"/>
        <v>6413.6686513924105</v>
      </c>
      <c r="BY26" s="79">
        <f t="shared" si="114"/>
        <v>5600.206449124239</v>
      </c>
      <c r="BZ26" s="79">
        <f t="shared" si="18"/>
        <v>5621.7588685541295</v>
      </c>
      <c r="CA26" s="79">
        <f t="shared" si="19"/>
        <v>1023.2087514717948</v>
      </c>
      <c r="CB26" s="79">
        <f t="shared" si="118"/>
        <v>19520.113216928279</v>
      </c>
      <c r="CC26" s="79">
        <f t="shared" si="105"/>
        <v>0.50749636408226451</v>
      </c>
      <c r="CE26" s="11">
        <f t="shared" si="20"/>
        <v>5552.8737657127222</v>
      </c>
      <c r="CF26" s="11">
        <f t="shared" si="21"/>
        <v>2564.2532785282879</v>
      </c>
      <c r="CG26" s="11">
        <f t="shared" si="22"/>
        <v>174.25437833110752</v>
      </c>
      <c r="CH26" s="11">
        <f t="shared" si="23"/>
        <v>-465.88559022105318</v>
      </c>
      <c r="CI26" s="11">
        <f t="shared" si="24"/>
        <v>670.36326335564911</v>
      </c>
      <c r="CJ26" s="11">
        <f t="shared" si="25"/>
        <v>1252.2641774087169</v>
      </c>
      <c r="CK26" s="11">
        <f t="shared" si="26"/>
        <v>137.71030241259774</v>
      </c>
      <c r="CL26" s="11">
        <f t="shared" si="119"/>
        <v>9885.8335755280259</v>
      </c>
      <c r="CM26" s="11">
        <f t="shared" si="27"/>
        <v>0.7258466582602231</v>
      </c>
      <c r="CO26" s="11">
        <f t="shared" si="106"/>
        <v>2</v>
      </c>
      <c r="CP26" s="9">
        <f t="shared" si="107"/>
        <v>984.61139865241876</v>
      </c>
      <c r="CQ26" s="11">
        <f t="shared" si="149"/>
        <v>8.839989996914141E-3</v>
      </c>
      <c r="CR26" s="11">
        <f t="shared" si="150"/>
        <v>0.3830277924813803</v>
      </c>
      <c r="CS26" s="11">
        <f t="shared" si="151"/>
        <v>0.60813221752170565</v>
      </c>
      <c r="CT26" s="11">
        <f t="shared" si="120"/>
        <v>1</v>
      </c>
      <c r="CU26" s="11">
        <f t="shared" si="108"/>
        <v>5052.1537062226944</v>
      </c>
      <c r="CV26" s="11">
        <f t="shared" si="31"/>
        <v>859.75843045935585</v>
      </c>
      <c r="CW26" s="11">
        <f t="shared" si="32"/>
        <v>17.282542516394688</v>
      </c>
      <c r="CX26" s="11">
        <f t="shared" si="33"/>
        <v>54.682722388084194</v>
      </c>
      <c r="CY26" s="11">
        <f t="shared" si="34"/>
        <v>32.582117558861533</v>
      </c>
      <c r="CZ26" s="11">
        <f t="shared" si="35"/>
        <v>-288.70109000378329</v>
      </c>
      <c r="DA26" s="11">
        <f t="shared" si="36"/>
        <v>8.8866095778908765</v>
      </c>
      <c r="DB26" s="11">
        <f t="shared" si="121"/>
        <v>5736.6450387194991</v>
      </c>
      <c r="DC26" s="11">
        <f t="shared" si="122"/>
        <v>0.77190084057005515</v>
      </c>
      <c r="DE26" s="11">
        <f t="shared" si="37"/>
        <v>-1123.0512967279328</v>
      </c>
      <c r="DF26" s="11">
        <f t="shared" si="38"/>
        <v>-1666.2934663567848</v>
      </c>
      <c r="DG26" s="11">
        <f t="shared" si="39"/>
        <v>3234.7477215576027</v>
      </c>
      <c r="DH26" s="11">
        <f t="shared" si="40"/>
        <v>2940.9174059634033</v>
      </c>
      <c r="DI26" s="11">
        <f t="shared" si="41"/>
        <v>7633.8640495479067</v>
      </c>
      <c r="DJ26" s="11">
        <f t="shared" si="42"/>
        <v>23336.424640681711</v>
      </c>
      <c r="DK26" s="11">
        <f t="shared" si="43"/>
        <v>1616.7948896732914</v>
      </c>
      <c r="DL26" s="11">
        <f t="shared" si="123"/>
        <v>35973.403944339203</v>
      </c>
      <c r="DM26" s="11">
        <f t="shared" si="124"/>
        <v>0.7158773567708332</v>
      </c>
      <c r="DO26" s="11">
        <f t="shared" si="44"/>
        <v>-562.90113311539062</v>
      </c>
      <c r="DP26" s="11">
        <f t="shared" si="45"/>
        <v>1797.4160083500824</v>
      </c>
      <c r="DQ26" s="11">
        <f t="shared" si="46"/>
        <v>-11.377162466511537</v>
      </c>
      <c r="DR26" s="11">
        <f t="shared" si="47"/>
        <v>-33.672104064750791</v>
      </c>
      <c r="DS26" s="11">
        <f t="shared" si="48"/>
        <v>-23.380237387045163</v>
      </c>
      <c r="DT26" s="11">
        <f t="shared" si="49"/>
        <v>187.94178584233399</v>
      </c>
      <c r="DU26" s="11">
        <f t="shared" si="50"/>
        <v>-5.1741712585629793</v>
      </c>
      <c r="DV26" s="11">
        <f t="shared" si="125"/>
        <v>1348.8529859001553</v>
      </c>
      <c r="DW26" s="11">
        <f t="shared" si="126"/>
        <v>0.7170594800086697</v>
      </c>
      <c r="DY26" s="11">
        <f t="shared" si="51"/>
        <v>1.0984566683809249</v>
      </c>
      <c r="DZ26" s="11">
        <f t="shared" si="52"/>
        <v>0</v>
      </c>
      <c r="EA26" s="11">
        <f t="shared" si="109"/>
        <v>0.37661356108149213</v>
      </c>
      <c r="EB26" s="11">
        <f t="shared" si="53"/>
        <v>0</v>
      </c>
      <c r="EC26" s="11">
        <f t="shared" si="54"/>
        <v>0</v>
      </c>
      <c r="ED26" s="11">
        <f t="shared" si="55"/>
        <v>0</v>
      </c>
      <c r="EE26" s="11">
        <f t="shared" si="56"/>
        <v>3.2098492440805031E-3</v>
      </c>
      <c r="EF26" s="11">
        <f t="shared" si="57"/>
        <v>0.13907950920615997</v>
      </c>
      <c r="EG26" s="11">
        <f t="shared" si="58"/>
        <v>0.2208161705380271</v>
      </c>
      <c r="EH26" s="11">
        <f t="shared" si="59"/>
        <v>0</v>
      </c>
      <c r="EI26" s="11">
        <f t="shared" si="127"/>
        <v>1.8381757584506848</v>
      </c>
      <c r="EJ26" s="11"/>
      <c r="EK26" s="11">
        <f t="shared" si="128"/>
        <v>0.59757978165633319</v>
      </c>
      <c r="EL26" s="11">
        <f t="shared" si="60"/>
        <v>0</v>
      </c>
      <c r="EM26" s="11">
        <f t="shared" si="61"/>
        <v>0.20488441290234546</v>
      </c>
      <c r="EN26" s="11">
        <f t="shared" si="62"/>
        <v>0</v>
      </c>
      <c r="EO26" s="11">
        <f t="shared" si="63"/>
        <v>0</v>
      </c>
      <c r="EP26" s="11">
        <f t="shared" si="64"/>
        <v>0</v>
      </c>
      <c r="EQ26" s="11">
        <f t="shared" si="65"/>
        <v>1.7462145441336577E-3</v>
      </c>
      <c r="ER26" s="11">
        <f t="shared" si="66"/>
        <v>7.5661703494220703E-2</v>
      </c>
      <c r="ES26" s="11">
        <f t="shared" si="67"/>
        <v>0.12012788740296687</v>
      </c>
      <c r="ET26" s="11">
        <f t="shared" si="68"/>
        <v>0</v>
      </c>
      <c r="EU26" s="9">
        <f t="shared" si="129"/>
        <v>1</v>
      </c>
      <c r="EV26" s="9">
        <f t="shared" si="130"/>
        <v>8.839989996914141E-3</v>
      </c>
      <c r="EW26" s="9">
        <f t="shared" si="131"/>
        <v>0.3830277924813803</v>
      </c>
      <c r="EX26" s="9">
        <f t="shared" si="132"/>
        <v>0.60813221752170554</v>
      </c>
      <c r="EZ26" s="11">
        <f t="shared" si="69"/>
        <v>1.1001209966663503</v>
      </c>
      <c r="FA26" s="11">
        <f t="shared" si="70"/>
        <v>0</v>
      </c>
      <c r="FB26" s="11">
        <f t="shared" si="71"/>
        <v>0.40799802450494987</v>
      </c>
      <c r="FC26" s="11">
        <f t="shared" si="72"/>
        <v>2.0877872795296631E-3</v>
      </c>
      <c r="FD26" s="11">
        <f t="shared" si="73"/>
        <v>0</v>
      </c>
      <c r="FE26" s="11">
        <f t="shared" si="74"/>
        <v>0</v>
      </c>
      <c r="FF26" s="11">
        <f t="shared" si="75"/>
        <v>1.7297520926433822E-2</v>
      </c>
      <c r="FG26" s="11">
        <f t="shared" si="76"/>
        <v>0.27235059343387241</v>
      </c>
      <c r="FH26" s="11">
        <f t="shared" si="77"/>
        <v>8.0258185060936765E-2</v>
      </c>
      <c r="FI26" s="11">
        <f t="shared" si="110"/>
        <v>0</v>
      </c>
      <c r="FJ26" s="11">
        <f t="shared" si="133"/>
        <v>1.880113107872073</v>
      </c>
      <c r="FK26" s="34" t="e">
        <f t="shared" si="134"/>
        <v>#DIV/0!</v>
      </c>
      <c r="FL26" s="11">
        <f t="shared" si="135"/>
        <v>0.58513553895248149</v>
      </c>
      <c r="FM26" s="11">
        <f t="shared" si="78"/>
        <v>0</v>
      </c>
      <c r="FN26" s="11">
        <f t="shared" si="79"/>
        <v>0.21700716983284335</v>
      </c>
      <c r="FO26" s="11">
        <f t="shared" si="80"/>
        <v>1.11045833933504E-3</v>
      </c>
      <c r="FP26" s="11">
        <f t="shared" si="81"/>
        <v>0</v>
      </c>
      <c r="FQ26" s="11">
        <f t="shared" si="82"/>
        <v>0</v>
      </c>
      <c r="FR26" s="11">
        <f t="shared" si="83"/>
        <v>9.2002554814435041E-3</v>
      </c>
      <c r="FS26" s="11">
        <f t="shared" si="84"/>
        <v>0.14485862169330918</v>
      </c>
      <c r="FT26" s="11">
        <f t="shared" si="85"/>
        <v>4.2687955700587407E-2</v>
      </c>
      <c r="FU26" s="11">
        <f t="shared" si="86"/>
        <v>0</v>
      </c>
      <c r="FV26" s="11">
        <f t="shared" si="136"/>
        <v>0.99999999999999989</v>
      </c>
      <c r="FX26" s="11">
        <f t="shared" si="137"/>
        <v>4.6761898765978291E-2</v>
      </c>
      <c r="FY26" s="11">
        <f t="shared" si="138"/>
        <v>0.73626914129333099</v>
      </c>
      <c r="FZ26" s="11">
        <f t="shared" si="139"/>
        <v>0.21696895994069054</v>
      </c>
      <c r="GA26" s="11">
        <f t="shared" si="140"/>
        <v>0.99999999999999978</v>
      </c>
      <c r="GC26" s="11">
        <f t="shared" si="141"/>
        <v>0.52022795877137173</v>
      </c>
      <c r="GD26" s="11">
        <f t="shared" si="142"/>
        <v>690.05012649107061</v>
      </c>
      <c r="GE26" s="11">
        <f t="shared" si="143"/>
        <v>733.40421527585454</v>
      </c>
      <c r="GF26" s="11">
        <f t="shared" si="144"/>
        <v>788.81714081942516</v>
      </c>
      <c r="GG26" s="11">
        <f t="shared" si="145"/>
        <v>793.59222197943143</v>
      </c>
      <c r="GI26" s="11">
        <f t="shared" si="146"/>
        <v>2800.0827317614207</v>
      </c>
      <c r="GJ26" s="11">
        <f t="shared" si="87"/>
        <v>81.851944770969325</v>
      </c>
      <c r="GK26" s="11">
        <f t="shared" si="147"/>
        <v>2.8358285580587421</v>
      </c>
      <c r="GL26" s="11">
        <f t="shared" si="148"/>
        <v>743.10842942537033</v>
      </c>
      <c r="GN26" s="11">
        <f t="shared" si="0"/>
        <v>800</v>
      </c>
    </row>
    <row r="27" spans="1:196" ht="12.6">
      <c r="A27" s="11" t="s">
        <v>79</v>
      </c>
      <c r="B27" s="11" t="s">
        <v>91</v>
      </c>
      <c r="C27" s="50">
        <v>2</v>
      </c>
      <c r="D27" s="9">
        <v>800</v>
      </c>
      <c r="E27" s="11"/>
      <c r="F27" s="49">
        <v>65.5</v>
      </c>
      <c r="G27" s="49"/>
      <c r="H27" s="49">
        <v>18.899999999999999</v>
      </c>
      <c r="I27" s="49">
        <v>0.11</v>
      </c>
      <c r="J27" s="49"/>
      <c r="K27" s="49">
        <v>0.04</v>
      </c>
      <c r="L27" s="49">
        <v>0.17</v>
      </c>
      <c r="M27" s="49">
        <v>2.58</v>
      </c>
      <c r="N27" s="49">
        <v>12.5</v>
      </c>
      <c r="O27" s="49"/>
      <c r="P27" s="11">
        <f t="shared" si="1"/>
        <v>99.800000000000011</v>
      </c>
      <c r="Q27" s="11"/>
      <c r="R27" s="49">
        <v>63.8</v>
      </c>
      <c r="S27" s="49"/>
      <c r="T27" s="49">
        <v>23.2</v>
      </c>
      <c r="U27" s="49">
        <v>0.09</v>
      </c>
      <c r="V27" s="49"/>
      <c r="W27" s="49">
        <v>0</v>
      </c>
      <c r="X27" s="49">
        <v>4.2300000000000004</v>
      </c>
      <c r="Y27" s="49">
        <v>8.42</v>
      </c>
      <c r="Z27" s="49">
        <v>1.38</v>
      </c>
      <c r="AA27" s="49"/>
      <c r="AB27" s="11">
        <f t="shared" si="2"/>
        <v>101.12</v>
      </c>
      <c r="AD27" s="54">
        <f t="shared" si="88"/>
        <v>686.96982864509653</v>
      </c>
      <c r="AE27" s="54">
        <f t="shared" si="89"/>
        <v>701.8979037337773</v>
      </c>
      <c r="AF27" s="54">
        <f t="shared" si="3"/>
        <v>694.052156015489</v>
      </c>
      <c r="AH27" s="60">
        <f t="shared" si="4"/>
        <v>8.6198844393336731E-3</v>
      </c>
      <c r="AI27" s="60">
        <f t="shared" si="5"/>
        <v>0.23672600938797667</v>
      </c>
      <c r="AJ27" s="60">
        <f t="shared" si="6"/>
        <v>0.75465410617268958</v>
      </c>
      <c r="AK27" s="60"/>
      <c r="AL27" s="60">
        <f t="shared" si="90"/>
        <v>0.20038253853254609</v>
      </c>
      <c r="AM27" s="60">
        <f t="shared" si="91"/>
        <v>0.72178083633331691</v>
      </c>
      <c r="AN27" s="60">
        <f t="shared" si="92"/>
        <v>7.7836625134137083E-2</v>
      </c>
      <c r="AO27" s="57"/>
      <c r="AP27" s="61">
        <f t="shared" si="93"/>
        <v>1.5028981977458955</v>
      </c>
      <c r="AQ27" s="61">
        <f t="shared" si="94"/>
        <v>0.61675626804781825</v>
      </c>
      <c r="AR27" s="61">
        <f t="shared" si="7"/>
        <v>0.79515804085227637</v>
      </c>
      <c r="AS27" s="62"/>
      <c r="AT27" s="61">
        <f t="shared" si="95"/>
        <v>1.0267345869748028</v>
      </c>
      <c r="AU27" s="61">
        <f t="shared" si="96"/>
        <v>0.70385523329995503</v>
      </c>
      <c r="AV27" s="61">
        <f t="shared" si="97"/>
        <v>0.93787197469462336</v>
      </c>
      <c r="AX27" s="94">
        <f t="shared" si="111"/>
        <v>-0.4761636107710927</v>
      </c>
      <c r="AY27" s="94">
        <f t="shared" si="98"/>
        <v>8.7098965252136784E-2</v>
      </c>
      <c r="AZ27" s="94">
        <f t="shared" si="99"/>
        <v>0.14271393384234698</v>
      </c>
      <c r="BB27" s="11">
        <f t="shared" si="8"/>
        <v>1073.1500000000001</v>
      </c>
      <c r="BD27" s="9">
        <f t="shared" si="100"/>
        <v>694.052156015489</v>
      </c>
      <c r="BF27" s="29">
        <f t="shared" si="101"/>
        <v>967.20215601548898</v>
      </c>
      <c r="BG27" s="11">
        <f t="shared" si="102"/>
        <v>0.20038253853254609</v>
      </c>
      <c r="BH27" s="11">
        <f t="shared" si="103"/>
        <v>0.72178083633331691</v>
      </c>
      <c r="BI27" s="11">
        <f t="shared" si="104"/>
        <v>7.7836625134137083E-2</v>
      </c>
      <c r="BJ27" s="11">
        <f t="shared" si="116"/>
        <v>1</v>
      </c>
      <c r="BK27" s="11">
        <f t="shared" si="112"/>
        <v>490.66914086966835</v>
      </c>
      <c r="BL27" s="11">
        <f t="shared" si="9"/>
        <v>-61.762092523339021</v>
      </c>
      <c r="BM27" s="11">
        <f t="shared" si="10"/>
        <v>-569.71722683300197</v>
      </c>
      <c r="BN27" s="11">
        <f t="shared" si="11"/>
        <v>873.88546179245509</v>
      </c>
      <c r="BO27" s="11">
        <f t="shared" si="12"/>
        <v>-597.67937240722244</v>
      </c>
      <c r="BP27" s="11">
        <f t="shared" si="13"/>
        <v>-288.75095259772269</v>
      </c>
      <c r="BQ27" s="11">
        <f t="shared" si="14"/>
        <v>-48.884538231093799</v>
      </c>
      <c r="BR27" s="11">
        <f t="shared" si="117"/>
        <v>-202.23957993025647</v>
      </c>
      <c r="BS27" s="11">
        <f t="shared" si="115"/>
        <v>0.70385523329995503</v>
      </c>
      <c r="BU27" s="79">
        <f t="shared" si="113"/>
        <v>-1134.2403671764396</v>
      </c>
      <c r="BV27" s="79">
        <f t="shared" si="15"/>
        <v>81.260499036287413</v>
      </c>
      <c r="BW27" s="79">
        <f t="shared" si="16"/>
        <v>6646.4100670759153</v>
      </c>
      <c r="BX27" s="79">
        <f t="shared" si="17"/>
        <v>3733.0817385284113</v>
      </c>
      <c r="BY27" s="79">
        <f t="shared" si="114"/>
        <v>2571.4748044733742</v>
      </c>
      <c r="BZ27" s="79">
        <f t="shared" si="18"/>
        <v>1003.6699947043836</v>
      </c>
      <c r="CA27" s="79">
        <f t="shared" si="19"/>
        <v>237.88118506357532</v>
      </c>
      <c r="CB27" s="79">
        <f t="shared" si="118"/>
        <v>13139.537921705507</v>
      </c>
      <c r="CC27" s="79">
        <f t="shared" si="105"/>
        <v>1.0267345869748028</v>
      </c>
      <c r="CE27" s="11">
        <f t="shared" si="20"/>
        <v>8840.6436548321635</v>
      </c>
      <c r="CF27" s="11">
        <f t="shared" si="21"/>
        <v>1654.7119417753645</v>
      </c>
      <c r="CG27" s="11">
        <f t="shared" si="22"/>
        <v>82.898308739212197</v>
      </c>
      <c r="CH27" s="11">
        <f t="shared" si="23"/>
        <v>-1676.1483620388187</v>
      </c>
      <c r="CI27" s="11">
        <f t="shared" si="24"/>
        <v>5845.1754231907089</v>
      </c>
      <c r="CJ27" s="11">
        <f t="shared" si="25"/>
        <v>4405.6573039646646</v>
      </c>
      <c r="CK27" s="11">
        <f t="shared" si="26"/>
        <v>862.87801336000007</v>
      </c>
      <c r="CL27" s="11">
        <f t="shared" si="119"/>
        <v>20015.816283823297</v>
      </c>
      <c r="CM27" s="11">
        <f t="shared" si="27"/>
        <v>0.93787197469462336</v>
      </c>
      <c r="CO27" s="11">
        <f t="shared" si="106"/>
        <v>2</v>
      </c>
      <c r="CP27" s="9">
        <f t="shared" si="107"/>
        <v>967.20215601548898</v>
      </c>
      <c r="CQ27" s="11">
        <f t="shared" si="149"/>
        <v>8.6198844393336731E-3</v>
      </c>
      <c r="CR27" s="11">
        <f t="shared" si="150"/>
        <v>0.23672600938797667</v>
      </c>
      <c r="CS27" s="11">
        <f t="shared" si="151"/>
        <v>0.75465410617268958</v>
      </c>
      <c r="CT27" s="11">
        <f t="shared" si="120"/>
        <v>0.99999999999999989</v>
      </c>
      <c r="CU27" s="11">
        <f t="shared" si="108"/>
        <v>4843.2187536227984</v>
      </c>
      <c r="CV27" s="11">
        <f t="shared" si="31"/>
        <v>3030.4214546568328</v>
      </c>
      <c r="CW27" s="11">
        <f t="shared" si="32"/>
        <v>46.921103407617856</v>
      </c>
      <c r="CX27" s="11">
        <f t="shared" si="33"/>
        <v>54.775174618597639</v>
      </c>
      <c r="CY27" s="11">
        <f t="shared" si="34"/>
        <v>98.51399043108654</v>
      </c>
      <c r="CZ27" s="11">
        <f t="shared" si="35"/>
        <v>-397.55276249209487</v>
      </c>
      <c r="DA27" s="11">
        <f t="shared" si="36"/>
        <v>24.202541203338161</v>
      </c>
      <c r="DB27" s="11">
        <f t="shared" si="121"/>
        <v>7700.5002554481762</v>
      </c>
      <c r="DC27" s="11">
        <f t="shared" si="122"/>
        <v>0.61675626804781825</v>
      </c>
      <c r="DE27" s="11">
        <f t="shared" si="37"/>
        <v>56.52479743833846</v>
      </c>
      <c r="DF27" s="11">
        <f t="shared" si="38"/>
        <v>-1827.2878006504595</v>
      </c>
      <c r="DG27" s="11">
        <f t="shared" si="39"/>
        <v>2459.6977348952882</v>
      </c>
      <c r="DH27" s="11">
        <f t="shared" si="40"/>
        <v>1620.8825936142914</v>
      </c>
      <c r="DI27" s="11">
        <f t="shared" si="41"/>
        <v>6197.279881730441</v>
      </c>
      <c r="DJ27" s="11">
        <f t="shared" si="42"/>
        <v>31756.577527040077</v>
      </c>
      <c r="DK27" s="11">
        <f t="shared" si="43"/>
        <v>1240.552428825928</v>
      </c>
      <c r="DL27" s="11">
        <f t="shared" si="123"/>
        <v>41504.227162893898</v>
      </c>
      <c r="DM27" s="11">
        <f t="shared" si="124"/>
        <v>1.5028981977458955</v>
      </c>
      <c r="DO27" s="11">
        <f t="shared" si="44"/>
        <v>-512.88428299352927</v>
      </c>
      <c r="DP27" s="11">
        <f t="shared" si="45"/>
        <v>875.62178892420627</v>
      </c>
      <c r="DQ27" s="11">
        <f t="shared" si="46"/>
        <v>-14.861001113696782</v>
      </c>
      <c r="DR27" s="11">
        <f t="shared" si="47"/>
        <v>-16.857540472532317</v>
      </c>
      <c r="DS27" s="11">
        <f t="shared" si="48"/>
        <v>-34.314710228089183</v>
      </c>
      <c r="DT27" s="11">
        <f t="shared" si="49"/>
        <v>131.07070284217176</v>
      </c>
      <c r="DU27" s="11">
        <f t="shared" si="50"/>
        <v>-7.3434768944227047</v>
      </c>
      <c r="DV27" s="11">
        <f t="shared" si="125"/>
        <v>420.43148006410775</v>
      </c>
      <c r="DW27" s="11">
        <f t="shared" si="126"/>
        <v>0.79515804085227637</v>
      </c>
      <c r="DY27" s="11">
        <f t="shared" si="51"/>
        <v>1.0901350269537966</v>
      </c>
      <c r="DZ27" s="11">
        <f t="shared" si="52"/>
        <v>0</v>
      </c>
      <c r="EA27" s="11">
        <f t="shared" si="109"/>
        <v>0.37072897418959383</v>
      </c>
      <c r="EB27" s="11">
        <f t="shared" si="53"/>
        <v>1.5310440049884197E-3</v>
      </c>
      <c r="EC27" s="11">
        <f t="shared" si="54"/>
        <v>0</v>
      </c>
      <c r="ED27" s="11">
        <f t="shared" si="55"/>
        <v>9.9244747471740062E-4</v>
      </c>
      <c r="EE27" s="11">
        <f t="shared" si="56"/>
        <v>3.0315242860760312E-3</v>
      </c>
      <c r="EF27" s="11">
        <f t="shared" si="57"/>
        <v>8.3254091357747737E-2</v>
      </c>
      <c r="EG27" s="11">
        <f t="shared" si="58"/>
        <v>0.26540405112743642</v>
      </c>
      <c r="EH27" s="11">
        <f t="shared" si="59"/>
        <v>0</v>
      </c>
      <c r="EI27" s="11">
        <f t="shared" si="127"/>
        <v>1.8150771593943567</v>
      </c>
      <c r="EJ27" s="11"/>
      <c r="EK27" s="11">
        <f t="shared" si="128"/>
        <v>0.60059982646552934</v>
      </c>
      <c r="EL27" s="11">
        <f t="shared" si="60"/>
        <v>0</v>
      </c>
      <c r="EM27" s="11">
        <f t="shared" si="61"/>
        <v>0.20424970490692324</v>
      </c>
      <c r="EN27" s="11">
        <f t="shared" si="62"/>
        <v>8.4351455642761141E-4</v>
      </c>
      <c r="EO27" s="11">
        <f t="shared" si="63"/>
        <v>0</v>
      </c>
      <c r="EP27" s="11">
        <f t="shared" si="64"/>
        <v>5.4677977163712101E-4</v>
      </c>
      <c r="EQ27" s="11">
        <f t="shared" si="65"/>
        <v>1.6701903114066901E-3</v>
      </c>
      <c r="ER27" s="11">
        <f t="shared" si="66"/>
        <v>4.5868072840235301E-2</v>
      </c>
      <c r="ES27" s="11">
        <f t="shared" si="67"/>
        <v>0.14622191114784056</v>
      </c>
      <c r="ET27" s="11">
        <f t="shared" si="68"/>
        <v>0</v>
      </c>
      <c r="EU27" s="9">
        <f t="shared" si="129"/>
        <v>0.99999999999999989</v>
      </c>
      <c r="EV27" s="9">
        <f t="shared" si="130"/>
        <v>8.6198844393336731E-3</v>
      </c>
      <c r="EW27" s="9">
        <f t="shared" si="131"/>
        <v>0.23672600938797667</v>
      </c>
      <c r="EX27" s="9">
        <f t="shared" si="132"/>
        <v>0.75465410617268958</v>
      </c>
      <c r="EZ27" s="11">
        <f t="shared" si="69"/>
        <v>1.0618414461015606</v>
      </c>
      <c r="FA27" s="11">
        <f t="shared" si="70"/>
        <v>0</v>
      </c>
      <c r="FB27" s="11">
        <f t="shared" si="71"/>
        <v>0.45507471964013635</v>
      </c>
      <c r="FC27" s="11">
        <f t="shared" si="72"/>
        <v>1.2526723677177979E-3</v>
      </c>
      <c r="FD27" s="11">
        <f t="shared" si="73"/>
        <v>0</v>
      </c>
      <c r="FE27" s="11">
        <f t="shared" si="74"/>
        <v>0</v>
      </c>
      <c r="FF27" s="11">
        <f t="shared" si="75"/>
        <v>7.5431457235891827E-2</v>
      </c>
      <c r="FG27" s="11">
        <f t="shared" si="76"/>
        <v>0.27170521288071159</v>
      </c>
      <c r="FH27" s="11">
        <f t="shared" si="77"/>
        <v>2.9300607244468979E-2</v>
      </c>
      <c r="FI27" s="11">
        <f t="shared" si="110"/>
        <v>0</v>
      </c>
      <c r="FJ27" s="11">
        <f t="shared" si="133"/>
        <v>1.8946061154704872</v>
      </c>
      <c r="FK27" s="34" t="e">
        <f t="shared" si="134"/>
        <v>#DIV/0!</v>
      </c>
      <c r="FL27" s="11">
        <f t="shared" si="135"/>
        <v>0.56045498715065312</v>
      </c>
      <c r="FM27" s="11">
        <f t="shared" si="78"/>
        <v>0</v>
      </c>
      <c r="FN27" s="11">
        <f t="shared" si="79"/>
        <v>0.24019489640839026</v>
      </c>
      <c r="FO27" s="11">
        <f t="shared" si="80"/>
        <v>6.611782562555077E-4</v>
      </c>
      <c r="FP27" s="11">
        <f t="shared" si="81"/>
        <v>0</v>
      </c>
      <c r="FQ27" s="11">
        <f t="shared" si="82"/>
        <v>0</v>
      </c>
      <c r="FR27" s="11">
        <f t="shared" si="83"/>
        <v>3.9813793811786548E-2</v>
      </c>
      <c r="FS27" s="11">
        <f t="shared" si="84"/>
        <v>0.14340986797313229</v>
      </c>
      <c r="FT27" s="11">
        <f t="shared" si="85"/>
        <v>1.5465276399782318E-2</v>
      </c>
      <c r="FU27" s="11">
        <f t="shared" si="86"/>
        <v>0</v>
      </c>
      <c r="FV27" s="11">
        <f t="shared" si="136"/>
        <v>1</v>
      </c>
      <c r="FX27" s="11">
        <f t="shared" si="137"/>
        <v>0.20038253853254609</v>
      </c>
      <c r="FY27" s="11">
        <f t="shared" si="138"/>
        <v>0.72178083633331691</v>
      </c>
      <c r="FZ27" s="11">
        <f t="shared" si="139"/>
        <v>7.7836625134137083E-2</v>
      </c>
      <c r="GA27" s="11">
        <f t="shared" si="140"/>
        <v>1</v>
      </c>
      <c r="GC27" s="11">
        <f t="shared" si="141"/>
        <v>0.3279749163063912</v>
      </c>
      <c r="GD27" s="11">
        <f t="shared" si="142"/>
        <v>457.9899264298482</v>
      </c>
      <c r="GE27" s="11">
        <f t="shared" si="143"/>
        <v>506.99092477987779</v>
      </c>
      <c r="GF27" s="11">
        <f t="shared" si="144"/>
        <v>566.46909211661784</v>
      </c>
      <c r="GG27" s="11">
        <f t="shared" si="145"/>
        <v>618.14293532668887</v>
      </c>
      <c r="GI27" s="11">
        <f t="shared" si="146"/>
        <v>4056.7012277146791</v>
      </c>
      <c r="GJ27" s="11">
        <f t="shared" si="87"/>
        <v>118.59105066402127</v>
      </c>
      <c r="GK27" s="11">
        <f t="shared" si="147"/>
        <v>4.7001319306958393</v>
      </c>
      <c r="GL27" s="11">
        <f t="shared" si="148"/>
        <v>615.1851233420723</v>
      </c>
      <c r="GN27" s="11">
        <f t="shared" si="0"/>
        <v>800</v>
      </c>
    </row>
    <row r="28" spans="1:196" ht="12.6">
      <c r="A28" s="11" t="s">
        <v>79</v>
      </c>
      <c r="B28" s="11" t="s">
        <v>92</v>
      </c>
      <c r="C28" s="50">
        <v>2</v>
      </c>
      <c r="D28" s="9">
        <v>700</v>
      </c>
      <c r="E28" s="11"/>
      <c r="F28" s="49">
        <v>65.3</v>
      </c>
      <c r="G28" s="49"/>
      <c r="H28" s="49">
        <v>18.899999999999999</v>
      </c>
      <c r="I28" s="49">
        <v>0</v>
      </c>
      <c r="J28" s="49"/>
      <c r="K28" s="49">
        <v>0</v>
      </c>
      <c r="L28" s="49">
        <v>0.2</v>
      </c>
      <c r="M28" s="49">
        <v>3.54</v>
      </c>
      <c r="N28" s="49">
        <v>10.9</v>
      </c>
      <c r="O28" s="49"/>
      <c r="P28" s="11">
        <f t="shared" si="1"/>
        <v>98.84</v>
      </c>
      <c r="Q28" s="11"/>
      <c r="R28" s="49">
        <v>64.900000000000006</v>
      </c>
      <c r="S28" s="49"/>
      <c r="T28" s="49">
        <v>21.7</v>
      </c>
      <c r="U28" s="49">
        <v>0</v>
      </c>
      <c r="V28" s="49"/>
      <c r="W28" s="49">
        <v>0</v>
      </c>
      <c r="X28" s="49">
        <v>2.78</v>
      </c>
      <c r="Y28" s="49">
        <v>9.2799999999999994</v>
      </c>
      <c r="Z28" s="49">
        <v>1.19</v>
      </c>
      <c r="AA28" s="49"/>
      <c r="AB28" s="11">
        <f t="shared" si="2"/>
        <v>99.850000000000009</v>
      </c>
      <c r="AD28" s="54">
        <f t="shared" si="88"/>
        <v>706.18488815137073</v>
      </c>
      <c r="AE28" s="54">
        <f t="shared" si="89"/>
        <v>716.83077365283805</v>
      </c>
      <c r="AF28" s="54">
        <f t="shared" si="3"/>
        <v>705.65044237031725</v>
      </c>
      <c r="AH28" s="60">
        <f t="shared" si="4"/>
        <v>1.0212430234643162E-2</v>
      </c>
      <c r="AI28" s="60">
        <f t="shared" si="5"/>
        <v>0.32709666631744561</v>
      </c>
      <c r="AJ28" s="60">
        <f t="shared" si="6"/>
        <v>0.66269090344791137</v>
      </c>
      <c r="AK28" s="60"/>
      <c r="AL28" s="60">
        <f t="shared" si="90"/>
        <v>0.13244639392863045</v>
      </c>
      <c r="AM28" s="60">
        <f t="shared" si="91"/>
        <v>0.80004988584005687</v>
      </c>
      <c r="AN28" s="60">
        <f t="shared" si="92"/>
        <v>6.7503720231312611E-2</v>
      </c>
      <c r="AO28" s="57"/>
      <c r="AP28" s="61">
        <f t="shared" si="93"/>
        <v>1.0949578024613869</v>
      </c>
      <c r="AQ28" s="61">
        <f t="shared" si="94"/>
        <v>0.72361111693517688</v>
      </c>
      <c r="AR28" s="61">
        <f t="shared" si="7"/>
        <v>0.74302253329510226</v>
      </c>
      <c r="AS28" s="62"/>
      <c r="AT28" s="61">
        <f t="shared" si="95"/>
        <v>0.70042111480296931</v>
      </c>
      <c r="AU28" s="61">
        <f t="shared" si="96"/>
        <v>0.78440693622350655</v>
      </c>
      <c r="AV28" s="61">
        <f t="shared" si="97"/>
        <v>0.65543377509582001</v>
      </c>
      <c r="AX28" s="94">
        <f t="shared" si="111"/>
        <v>-0.39453668765841754</v>
      </c>
      <c r="AY28" s="94">
        <f t="shared" si="98"/>
        <v>6.0795819288329667E-2</v>
      </c>
      <c r="AZ28" s="94">
        <f t="shared" si="99"/>
        <v>-8.7588758199282246E-2</v>
      </c>
      <c r="BB28" s="11">
        <f t="shared" si="8"/>
        <v>973.15</v>
      </c>
      <c r="BD28" s="9">
        <f t="shared" si="100"/>
        <v>705.65044237031725</v>
      </c>
      <c r="BF28" s="29">
        <f t="shared" si="101"/>
        <v>978.80044237031723</v>
      </c>
      <c r="BG28" s="11">
        <f t="shared" si="102"/>
        <v>0.13244639392863045</v>
      </c>
      <c r="BH28" s="11">
        <f t="shared" si="103"/>
        <v>0.80004988584005687</v>
      </c>
      <c r="BI28" s="11">
        <f t="shared" si="104"/>
        <v>6.7503720231312611E-2</v>
      </c>
      <c r="BJ28" s="11">
        <f t="shared" si="116"/>
        <v>0.99999999999999989</v>
      </c>
      <c r="BK28" s="11">
        <f t="shared" si="112"/>
        <v>332.43315557256614</v>
      </c>
      <c r="BL28" s="11">
        <f t="shared" si="9"/>
        <v>-53.773749702631783</v>
      </c>
      <c r="BM28" s="11">
        <f t="shared" si="10"/>
        <v>-353.13781154450197</v>
      </c>
      <c r="BN28" s="11">
        <f t="shared" si="11"/>
        <v>451.14093586733628</v>
      </c>
      <c r="BO28" s="11">
        <f t="shared" si="12"/>
        <v>-309.17505557383129</v>
      </c>
      <c r="BP28" s="11">
        <f t="shared" si="13"/>
        <v>-190.27336993262821</v>
      </c>
      <c r="BQ28" s="11">
        <f t="shared" si="14"/>
        <v>-37.910973894188416</v>
      </c>
      <c r="BR28" s="11">
        <f t="shared" si="117"/>
        <v>-160.69686920787927</v>
      </c>
      <c r="BS28" s="11">
        <f t="shared" si="115"/>
        <v>0.78440693622350655</v>
      </c>
      <c r="BU28" s="79">
        <f t="shared" si="113"/>
        <v>-1169.9224459930772</v>
      </c>
      <c r="BV28" s="79">
        <f t="shared" si="15"/>
        <v>124.6677947817487</v>
      </c>
      <c r="BW28" s="79">
        <f t="shared" si="16"/>
        <v>5445.8242907889153</v>
      </c>
      <c r="BX28" s="79">
        <f t="shared" si="17"/>
        <v>5573.6116263432878</v>
      </c>
      <c r="BY28" s="79">
        <f t="shared" si="114"/>
        <v>2164.6285667089583</v>
      </c>
      <c r="BZ28" s="79">
        <f t="shared" si="18"/>
        <v>1134.8809614132397</v>
      </c>
      <c r="CA28" s="79">
        <f t="shared" si="19"/>
        <v>280.52339898653253</v>
      </c>
      <c r="CB28" s="79">
        <f t="shared" si="118"/>
        <v>13554.214193029604</v>
      </c>
      <c r="CC28" s="79">
        <f t="shared" si="105"/>
        <v>0.70042111480296931</v>
      </c>
      <c r="CE28" s="11">
        <f t="shared" si="20"/>
        <v>10536.426989201287</v>
      </c>
      <c r="CF28" s="11">
        <f t="shared" si="21"/>
        <v>1454.7459720445488</v>
      </c>
      <c r="CG28" s="11">
        <f t="shared" si="22"/>
        <v>474.78220477842564</v>
      </c>
      <c r="CH28" s="11">
        <f t="shared" si="23"/>
        <v>-1406.237720626719</v>
      </c>
      <c r="CI28" s="11">
        <f t="shared" si="24"/>
        <v>3734.0571854751656</v>
      </c>
      <c r="CJ28" s="11">
        <f t="shared" si="25"/>
        <v>3057.4919967620026</v>
      </c>
      <c r="CK28" s="11">
        <f t="shared" si="26"/>
        <v>647.6542367230702</v>
      </c>
      <c r="CL28" s="11">
        <f t="shared" si="119"/>
        <v>18498.920864357777</v>
      </c>
      <c r="CM28" s="11">
        <f t="shared" si="27"/>
        <v>0.65543377509582001</v>
      </c>
      <c r="CO28" s="11">
        <f t="shared" si="106"/>
        <v>2</v>
      </c>
      <c r="CP28" s="9">
        <f t="shared" si="107"/>
        <v>978.80044237031723</v>
      </c>
      <c r="CQ28" s="11">
        <f t="shared" si="149"/>
        <v>1.0212430234643162E-2</v>
      </c>
      <c r="CR28" s="11">
        <f t="shared" si="150"/>
        <v>0.32709666631744561</v>
      </c>
      <c r="CS28" s="11">
        <f t="shared" si="151"/>
        <v>0.66269090344791137</v>
      </c>
      <c r="CT28" s="11">
        <f t="shared" si="120"/>
        <v>1.0000000000000002</v>
      </c>
      <c r="CU28" s="11">
        <f t="shared" si="108"/>
        <v>5147.7501549871722</v>
      </c>
      <c r="CV28" s="11">
        <f t="shared" si="31"/>
        <v>1519.1100303151154</v>
      </c>
      <c r="CW28" s="11">
        <f t="shared" si="32"/>
        <v>32.24637804720907</v>
      </c>
      <c r="CX28" s="11">
        <f t="shared" si="33"/>
        <v>64.396779084704335</v>
      </c>
      <c r="CY28" s="11">
        <f t="shared" si="34"/>
        <v>63.165635023654779</v>
      </c>
      <c r="CZ28" s="11">
        <f t="shared" si="35"/>
        <v>-381.53695647070742</v>
      </c>
      <c r="DA28" s="11">
        <f t="shared" si="36"/>
        <v>16.536633736746222</v>
      </c>
      <c r="DB28" s="11">
        <f t="shared" si="121"/>
        <v>6461.6686547238942</v>
      </c>
      <c r="DC28" s="11">
        <f t="shared" si="122"/>
        <v>0.72361111693517688</v>
      </c>
      <c r="DE28" s="11">
        <f t="shared" si="37"/>
        <v>-626.34449761920439</v>
      </c>
      <c r="DF28" s="11">
        <f t="shared" si="38"/>
        <v>-1797.971825675286</v>
      </c>
      <c r="DG28" s="11">
        <f t="shared" si="39"/>
        <v>3015.0188552759059</v>
      </c>
      <c r="DH28" s="11">
        <f t="shared" si="40"/>
        <v>2397.9362218599813</v>
      </c>
      <c r="DI28" s="11">
        <f t="shared" si="41"/>
        <v>7318.7667689717091</v>
      </c>
      <c r="DJ28" s="11">
        <f t="shared" si="42"/>
        <v>26237.246523085661</v>
      </c>
      <c r="DK28" s="11">
        <f t="shared" si="43"/>
        <v>1500.3704944696169</v>
      </c>
      <c r="DL28" s="11">
        <f t="shared" si="123"/>
        <v>38045.02254036838</v>
      </c>
      <c r="DM28" s="11">
        <f t="shared" si="124"/>
        <v>1.0949578024613869</v>
      </c>
      <c r="DO28" s="11">
        <f t="shared" si="44"/>
        <v>-621.41521466175004</v>
      </c>
      <c r="DP28" s="11">
        <f t="shared" si="45"/>
        <v>1446.200386106779</v>
      </c>
      <c r="DQ28" s="11">
        <f t="shared" si="46"/>
        <v>-16.352536153667252</v>
      </c>
      <c r="DR28" s="11">
        <f t="shared" si="47"/>
        <v>-31.015007318013904</v>
      </c>
      <c r="DS28" s="11">
        <f t="shared" si="48"/>
        <v>-35.343235553049666</v>
      </c>
      <c r="DT28" s="11">
        <f t="shared" si="49"/>
        <v>196.75287168398418</v>
      </c>
      <c r="DU28" s="11">
        <f t="shared" si="50"/>
        <v>-7.6801927605896578</v>
      </c>
      <c r="DV28" s="11">
        <f t="shared" si="125"/>
        <v>931.14707134369257</v>
      </c>
      <c r="DW28" s="11">
        <f t="shared" si="126"/>
        <v>0.74302253329510226</v>
      </c>
      <c r="DY28" s="11">
        <f t="shared" si="51"/>
        <v>1.0868063703829454</v>
      </c>
      <c r="DZ28" s="11">
        <f t="shared" si="52"/>
        <v>0</v>
      </c>
      <c r="EA28" s="11">
        <f t="shared" si="109"/>
        <v>0.37072897418959383</v>
      </c>
      <c r="EB28" s="11">
        <f t="shared" si="53"/>
        <v>0</v>
      </c>
      <c r="EC28" s="11">
        <f t="shared" si="54"/>
        <v>0</v>
      </c>
      <c r="ED28" s="11">
        <f t="shared" si="55"/>
        <v>0</v>
      </c>
      <c r="EE28" s="11">
        <f t="shared" si="56"/>
        <v>3.5664991600894481E-3</v>
      </c>
      <c r="EF28" s="11">
        <f t="shared" si="57"/>
        <v>0.11423235790946783</v>
      </c>
      <c r="EG28" s="11">
        <f t="shared" si="58"/>
        <v>0.23143233258312457</v>
      </c>
      <c r="EH28" s="11">
        <f t="shared" si="59"/>
        <v>0</v>
      </c>
      <c r="EI28" s="11">
        <f t="shared" si="127"/>
        <v>1.806766534225221</v>
      </c>
      <c r="EJ28" s="11"/>
      <c r="EK28" s="11">
        <f t="shared" si="128"/>
        <v>0.60152009116606231</v>
      </c>
      <c r="EL28" s="11">
        <f t="shared" si="60"/>
        <v>0</v>
      </c>
      <c r="EM28" s="11">
        <f t="shared" si="61"/>
        <v>0.20518919692552867</v>
      </c>
      <c r="EN28" s="11">
        <f t="shared" si="62"/>
        <v>0</v>
      </c>
      <c r="EO28" s="11">
        <f t="shared" si="63"/>
        <v>0</v>
      </c>
      <c r="EP28" s="11">
        <f t="shared" si="64"/>
        <v>0</v>
      </c>
      <c r="EQ28" s="11">
        <f t="shared" si="65"/>
        <v>1.9739679103691374E-3</v>
      </c>
      <c r="ER28" s="11">
        <f t="shared" si="66"/>
        <v>6.3224747495366371E-2</v>
      </c>
      <c r="ES28" s="11">
        <f t="shared" si="67"/>
        <v>0.12809199650267353</v>
      </c>
      <c r="ET28" s="11">
        <f t="shared" si="68"/>
        <v>0</v>
      </c>
      <c r="EU28" s="9">
        <f t="shared" si="129"/>
        <v>1</v>
      </c>
      <c r="EV28" s="9">
        <f t="shared" si="130"/>
        <v>1.0212430234643162E-2</v>
      </c>
      <c r="EW28" s="9">
        <f t="shared" si="131"/>
        <v>0.32709666631744561</v>
      </c>
      <c r="EX28" s="9">
        <f t="shared" si="132"/>
        <v>0.66269090344791137</v>
      </c>
      <c r="EZ28" s="11">
        <f t="shared" si="69"/>
        <v>1.0801490572412429</v>
      </c>
      <c r="FA28" s="11">
        <f t="shared" si="70"/>
        <v>0</v>
      </c>
      <c r="FB28" s="11">
        <f t="shared" si="71"/>
        <v>0.42565178518064478</v>
      </c>
      <c r="FC28" s="11">
        <f t="shared" si="72"/>
        <v>0</v>
      </c>
      <c r="FD28" s="11">
        <f t="shared" si="73"/>
        <v>0</v>
      </c>
      <c r="FE28" s="11">
        <f t="shared" si="74"/>
        <v>0</v>
      </c>
      <c r="FF28" s="11">
        <f t="shared" si="75"/>
        <v>4.9574338325243321E-2</v>
      </c>
      <c r="FG28" s="11">
        <f t="shared" si="76"/>
        <v>0.29945657666662751</v>
      </c>
      <c r="FH28" s="11">
        <f t="shared" si="77"/>
        <v>2.5266465667331945E-2</v>
      </c>
      <c r="FI28" s="11">
        <f t="shared" si="110"/>
        <v>0</v>
      </c>
      <c r="FJ28" s="11">
        <f t="shared" si="133"/>
        <v>1.8800982230810905</v>
      </c>
      <c r="FK28" s="34" t="e">
        <f t="shared" si="134"/>
        <v>#DIV/0!</v>
      </c>
      <c r="FL28" s="11">
        <f t="shared" si="135"/>
        <v>0.57451735445561081</v>
      </c>
      <c r="FM28" s="11">
        <f t="shared" si="78"/>
        <v>0</v>
      </c>
      <c r="FN28" s="11">
        <f t="shared" si="79"/>
        <v>0.22639869553362479</v>
      </c>
      <c r="FO28" s="11">
        <f t="shared" si="80"/>
        <v>0</v>
      </c>
      <c r="FP28" s="11">
        <f t="shared" si="81"/>
        <v>0</v>
      </c>
      <c r="FQ28" s="11">
        <f t="shared" si="82"/>
        <v>0</v>
      </c>
      <c r="FR28" s="11">
        <f t="shared" si="83"/>
        <v>2.6367951267993475E-2</v>
      </c>
      <c r="FS28" s="11">
        <f t="shared" si="84"/>
        <v>0.15927709147869965</v>
      </c>
      <c r="FT28" s="11">
        <f t="shared" si="85"/>
        <v>1.3438907264071265E-2</v>
      </c>
      <c r="FU28" s="11">
        <f t="shared" si="86"/>
        <v>0</v>
      </c>
      <c r="FV28" s="11">
        <f t="shared" si="136"/>
        <v>1</v>
      </c>
      <c r="FX28" s="11">
        <f t="shared" si="137"/>
        <v>0.13244639392863045</v>
      </c>
      <c r="FY28" s="11">
        <f t="shared" si="138"/>
        <v>0.80004988584005687</v>
      </c>
      <c r="FZ28" s="11">
        <f t="shared" si="139"/>
        <v>6.7503720231312611E-2</v>
      </c>
      <c r="GA28" s="11">
        <f t="shared" si="140"/>
        <v>0.99999999999999989</v>
      </c>
      <c r="GC28" s="11">
        <f t="shared" si="141"/>
        <v>0.40884533840535742</v>
      </c>
      <c r="GD28" s="11">
        <f t="shared" si="142"/>
        <v>553.09223712405753</v>
      </c>
      <c r="GE28" s="11">
        <f t="shared" si="143"/>
        <v>600.92253424440878</v>
      </c>
      <c r="GF28" s="11">
        <f t="shared" si="144"/>
        <v>659.78917572041132</v>
      </c>
      <c r="GG28" s="11">
        <f t="shared" si="145"/>
        <v>694.14979000865765</v>
      </c>
      <c r="GI28" s="11">
        <f t="shared" si="146"/>
        <v>3262.8446591741927</v>
      </c>
      <c r="GJ28" s="11">
        <f t="shared" si="87"/>
        <v>95.379542197815439</v>
      </c>
      <c r="GK28" s="11">
        <f t="shared" si="147"/>
        <v>3.6451820370119807</v>
      </c>
      <c r="GL28" s="11">
        <f t="shared" si="148"/>
        <v>648.12750199405764</v>
      </c>
      <c r="GN28" s="11">
        <f t="shared" si="0"/>
        <v>700</v>
      </c>
    </row>
    <row r="29" spans="1:196" ht="12.6">
      <c r="A29" s="11" t="s">
        <v>79</v>
      </c>
      <c r="B29" s="11" t="s">
        <v>93</v>
      </c>
      <c r="C29" s="50">
        <v>2</v>
      </c>
      <c r="D29" s="9">
        <v>700</v>
      </c>
      <c r="E29" s="11"/>
      <c r="F29" s="49">
        <v>66.400000000000006</v>
      </c>
      <c r="G29" s="49"/>
      <c r="H29" s="49">
        <v>18.8</v>
      </c>
      <c r="I29" s="49">
        <v>0.12</v>
      </c>
      <c r="J29" s="49"/>
      <c r="K29" s="49">
        <v>0</v>
      </c>
      <c r="L29" s="49">
        <v>0.25</v>
      </c>
      <c r="M29" s="49">
        <v>3.57</v>
      </c>
      <c r="N29" s="49">
        <v>11.3</v>
      </c>
      <c r="O29" s="49"/>
      <c r="P29" s="11">
        <f t="shared" si="1"/>
        <v>100.44</v>
      </c>
      <c r="Q29" s="11"/>
      <c r="R29" s="49">
        <v>64.900000000000006</v>
      </c>
      <c r="S29" s="49"/>
      <c r="T29" s="49">
        <v>22.1</v>
      </c>
      <c r="U29" s="49">
        <v>0.14000000000000001</v>
      </c>
      <c r="V29" s="49"/>
      <c r="W29" s="49">
        <v>0</v>
      </c>
      <c r="X29" s="49">
        <v>3.18</v>
      </c>
      <c r="Y29" s="49">
        <v>9.07</v>
      </c>
      <c r="Z29" s="49">
        <v>1.21</v>
      </c>
      <c r="AA29" s="49"/>
      <c r="AB29" s="11">
        <f t="shared" si="2"/>
        <v>100.60000000000001</v>
      </c>
      <c r="AD29" s="54">
        <f t="shared" si="88"/>
        <v>728.4802919399275</v>
      </c>
      <c r="AE29" s="54">
        <f t="shared" si="89"/>
        <v>738.65396556839278</v>
      </c>
      <c r="AF29" s="54">
        <f t="shared" si="3"/>
        <v>727.83287412137383</v>
      </c>
      <c r="AH29" s="60">
        <f t="shared" si="4"/>
        <v>1.2398010603580525E-2</v>
      </c>
      <c r="AI29" s="60">
        <f t="shared" si="5"/>
        <v>0.32037156279827439</v>
      </c>
      <c r="AJ29" s="60">
        <f t="shared" si="6"/>
        <v>0.66723042659814513</v>
      </c>
      <c r="AK29" s="60"/>
      <c r="AL29" s="60">
        <f t="shared" si="90"/>
        <v>0.15118790376480601</v>
      </c>
      <c r="AM29" s="60">
        <f t="shared" si="91"/>
        <v>0.78031680760082744</v>
      </c>
      <c r="AN29" s="60">
        <f t="shared" si="92"/>
        <v>6.8495288634366575E-2</v>
      </c>
      <c r="AO29" s="57"/>
      <c r="AP29" s="61">
        <f t="shared" si="93"/>
        <v>1.1872324508456085</v>
      </c>
      <c r="AQ29" s="61">
        <f t="shared" si="94"/>
        <v>0.69206189154460751</v>
      </c>
      <c r="AR29" s="61">
        <f t="shared" si="7"/>
        <v>0.74240488264869209</v>
      </c>
      <c r="AS29" s="62"/>
      <c r="AT29" s="61">
        <f t="shared" si="95"/>
        <v>0.75563168392253388</v>
      </c>
      <c r="AU29" s="61">
        <f t="shared" si="96"/>
        <v>0.76433906299322574</v>
      </c>
      <c r="AV29" s="61">
        <f t="shared" si="97"/>
        <v>0.65635077140892928</v>
      </c>
      <c r="AX29" s="94">
        <f t="shared" si="111"/>
        <v>-0.43160076692307459</v>
      </c>
      <c r="AY29" s="94">
        <f t="shared" si="98"/>
        <v>7.2277171448618227E-2</v>
      </c>
      <c r="AZ29" s="94">
        <f t="shared" si="99"/>
        <v>-8.6054111239762809E-2</v>
      </c>
      <c r="BB29" s="11">
        <f t="shared" si="8"/>
        <v>973.15</v>
      </c>
      <c r="BD29" s="9">
        <f t="shared" si="100"/>
        <v>727.83287412137383</v>
      </c>
      <c r="BF29" s="29">
        <f t="shared" si="101"/>
        <v>1000.9828741213738</v>
      </c>
      <c r="BG29" s="11">
        <f t="shared" si="102"/>
        <v>0.15118790376480601</v>
      </c>
      <c r="BH29" s="11">
        <f t="shared" si="103"/>
        <v>0.78031680760082744</v>
      </c>
      <c r="BI29" s="11">
        <f t="shared" si="104"/>
        <v>6.8495288634366575E-2</v>
      </c>
      <c r="BJ29" s="11">
        <f t="shared" si="116"/>
        <v>1</v>
      </c>
      <c r="BK29" s="11">
        <f t="shared" si="112"/>
        <v>358.83590427059022</v>
      </c>
      <c r="BL29" s="11">
        <f t="shared" si="9"/>
        <v>-53.63645392918027</v>
      </c>
      <c r="BM29" s="11">
        <f t="shared" si="10"/>
        <v>-418.61874462438931</v>
      </c>
      <c r="BN29" s="11">
        <f t="shared" si="11"/>
        <v>557.99470499149822</v>
      </c>
      <c r="BO29" s="11">
        <f t="shared" si="12"/>
        <v>-365.4110271348863</v>
      </c>
      <c r="BP29" s="11">
        <f t="shared" si="13"/>
        <v>-210.32270841079887</v>
      </c>
      <c r="BQ29" s="11">
        <f t="shared" si="14"/>
        <v>-41.023292438072595</v>
      </c>
      <c r="BR29" s="11">
        <f t="shared" si="117"/>
        <v>-172.18161727523889</v>
      </c>
      <c r="BS29" s="11">
        <f t="shared" si="115"/>
        <v>0.76433906299322574</v>
      </c>
      <c r="BU29" s="79">
        <f t="shared" si="113"/>
        <v>-1129.3079803938822</v>
      </c>
      <c r="BV29" s="79">
        <f t="shared" si="15"/>
        <v>109.74643225318822</v>
      </c>
      <c r="BW29" s="79">
        <f t="shared" si="16"/>
        <v>5830.6125470306051</v>
      </c>
      <c r="BX29" s="79">
        <f t="shared" si="17"/>
        <v>5056.6468315150159</v>
      </c>
      <c r="BY29" s="79">
        <f t="shared" si="114"/>
        <v>2193.5766897682993</v>
      </c>
      <c r="BZ29" s="79">
        <f t="shared" si="18"/>
        <v>1066.643956210936</v>
      </c>
      <c r="CA29" s="79">
        <f t="shared" si="19"/>
        <v>263.46736470375106</v>
      </c>
      <c r="CB29" s="79">
        <f t="shared" si="118"/>
        <v>13391.385841087911</v>
      </c>
      <c r="CC29" s="79">
        <f t="shared" si="105"/>
        <v>0.75563168392253388</v>
      </c>
      <c r="CE29" s="11">
        <f t="shared" si="20"/>
        <v>10049.791697904777</v>
      </c>
      <c r="CF29" s="11">
        <f t="shared" si="21"/>
        <v>1458.7118267825076</v>
      </c>
      <c r="CG29" s="11">
        <f t="shared" si="22"/>
        <v>405.73359623179056</v>
      </c>
      <c r="CH29" s="11">
        <f t="shared" si="23"/>
        <v>-1519.0644726145822</v>
      </c>
      <c r="CI29" s="11">
        <f t="shared" si="24"/>
        <v>4277.3240278990688</v>
      </c>
      <c r="CJ29" s="11">
        <f t="shared" si="25"/>
        <v>3416.5255964304542</v>
      </c>
      <c r="CK29" s="11">
        <f t="shared" si="26"/>
        <v>719.41117173073906</v>
      </c>
      <c r="CL29" s="11">
        <f t="shared" si="119"/>
        <v>18808.433444364753</v>
      </c>
      <c r="CM29" s="11">
        <f t="shared" si="27"/>
        <v>0.65635077140892928</v>
      </c>
      <c r="CO29" s="11">
        <f t="shared" si="106"/>
        <v>2</v>
      </c>
      <c r="CP29" s="9">
        <f t="shared" si="107"/>
        <v>1000.9828741213738</v>
      </c>
      <c r="CQ29" s="11">
        <f t="shared" si="149"/>
        <v>1.2398010603580525E-2</v>
      </c>
      <c r="CR29" s="11">
        <f t="shared" si="150"/>
        <v>0.32037156279827439</v>
      </c>
      <c r="CS29" s="11">
        <f t="shared" si="151"/>
        <v>0.66723042659814513</v>
      </c>
      <c r="CT29" s="11">
        <f t="shared" si="120"/>
        <v>1</v>
      </c>
      <c r="CU29" s="11">
        <f t="shared" si="108"/>
        <v>5092.0046694454441</v>
      </c>
      <c r="CV29" s="11">
        <f t="shared" si="31"/>
        <v>1564.8102916393505</v>
      </c>
      <c r="CW29" s="11">
        <f t="shared" si="32"/>
        <v>41.046798228216176</v>
      </c>
      <c r="CX29" s="11">
        <f t="shared" si="33"/>
        <v>78.512828800080484</v>
      </c>
      <c r="CY29" s="11">
        <f t="shared" si="34"/>
        <v>77.562915601349658</v>
      </c>
      <c r="CZ29" s="11">
        <f t="shared" si="35"/>
        <v>-464.94240926067999</v>
      </c>
      <c r="DA29" s="11">
        <f t="shared" si="36"/>
        <v>20.999384528837702</v>
      </c>
      <c r="DB29" s="11">
        <f t="shared" si="121"/>
        <v>6409.9944789825977</v>
      </c>
      <c r="DC29" s="11">
        <f t="shared" si="122"/>
        <v>0.69206189154460751</v>
      </c>
      <c r="DE29" s="11">
        <f t="shared" si="37"/>
        <v>-570.77342262399827</v>
      </c>
      <c r="DF29" s="11">
        <f t="shared" si="38"/>
        <v>-1754.8076168240996</v>
      </c>
      <c r="DG29" s="11">
        <f t="shared" si="39"/>
        <v>2984.9863549667289</v>
      </c>
      <c r="DH29" s="11">
        <f t="shared" si="40"/>
        <v>2330.0383332065121</v>
      </c>
      <c r="DI29" s="11">
        <f t="shared" si="41"/>
        <v>7301.3670167578593</v>
      </c>
      <c r="DJ29" s="11">
        <f t="shared" si="42"/>
        <v>26202.798717158235</v>
      </c>
      <c r="DK29" s="11">
        <f t="shared" si="43"/>
        <v>1472.9869522358993</v>
      </c>
      <c r="DL29" s="11">
        <f t="shared" si="123"/>
        <v>37966.59633487714</v>
      </c>
      <c r="DM29" s="11">
        <f t="shared" si="124"/>
        <v>1.1872324508456085</v>
      </c>
      <c r="DO29" s="11">
        <f t="shared" si="44"/>
        <v>-610.12436705744665</v>
      </c>
      <c r="DP29" s="11">
        <f t="shared" si="45"/>
        <v>1372.6494416127705</v>
      </c>
      <c r="DQ29" s="11">
        <f t="shared" si="46"/>
        <v>-20.314049688672227</v>
      </c>
      <c r="DR29" s="11">
        <f t="shared" si="47"/>
        <v>-36.597193575014231</v>
      </c>
      <c r="DS29" s="11">
        <f t="shared" si="48"/>
        <v>-43.337284314282336</v>
      </c>
      <c r="DT29" s="11">
        <f t="shared" si="49"/>
        <v>235.62241375229331</v>
      </c>
      <c r="DU29" s="11">
        <f t="shared" si="50"/>
        <v>-9.3869583220273558</v>
      </c>
      <c r="DV29" s="11">
        <f t="shared" si="125"/>
        <v>888.51200240762114</v>
      </c>
      <c r="DW29" s="11">
        <f t="shared" si="126"/>
        <v>0.74240488264869209</v>
      </c>
      <c r="DY29" s="11">
        <f t="shared" si="51"/>
        <v>1.1051139815226274</v>
      </c>
      <c r="DZ29" s="11">
        <f t="shared" si="52"/>
        <v>0</v>
      </c>
      <c r="EA29" s="11">
        <f t="shared" si="109"/>
        <v>0.36876744522562777</v>
      </c>
      <c r="EB29" s="11">
        <f t="shared" si="53"/>
        <v>1.6702298236237305E-3</v>
      </c>
      <c r="EC29" s="11">
        <f t="shared" si="54"/>
        <v>0</v>
      </c>
      <c r="ED29" s="11">
        <f t="shared" si="55"/>
        <v>0</v>
      </c>
      <c r="EE29" s="11">
        <f t="shared" si="56"/>
        <v>4.45812395011181E-3</v>
      </c>
      <c r="EF29" s="11">
        <f t="shared" si="57"/>
        <v>0.11520042873920908</v>
      </c>
      <c r="EG29" s="11">
        <f t="shared" si="58"/>
        <v>0.23992526221920255</v>
      </c>
      <c r="EH29" s="11">
        <f t="shared" si="59"/>
        <v>0</v>
      </c>
      <c r="EI29" s="11">
        <f t="shared" si="127"/>
        <v>1.8351354714804022</v>
      </c>
      <c r="EJ29" s="11"/>
      <c r="EK29" s="11">
        <f t="shared" si="128"/>
        <v>0.60219749369845321</v>
      </c>
      <c r="EL29" s="11">
        <f t="shared" si="60"/>
        <v>0</v>
      </c>
      <c r="EM29" s="11">
        <f t="shared" si="61"/>
        <v>0.2009483501118004</v>
      </c>
      <c r="EN29" s="11">
        <f t="shared" si="62"/>
        <v>9.1013979598811713E-4</v>
      </c>
      <c r="EO29" s="11">
        <f t="shared" si="63"/>
        <v>0</v>
      </c>
      <c r="EP29" s="11">
        <f t="shared" si="64"/>
        <v>0</v>
      </c>
      <c r="EQ29" s="11">
        <f t="shared" si="65"/>
        <v>2.4293159929579724E-3</v>
      </c>
      <c r="ER29" s="11">
        <f t="shared" si="66"/>
        <v>6.2774890753039062E-2</v>
      </c>
      <c r="ES29" s="11">
        <f t="shared" si="67"/>
        <v>0.13073980964776133</v>
      </c>
      <c r="ET29" s="11">
        <f t="shared" si="68"/>
        <v>0</v>
      </c>
      <c r="EU29" s="9">
        <f t="shared" si="129"/>
        <v>1</v>
      </c>
      <c r="EV29" s="9">
        <f t="shared" si="130"/>
        <v>1.2398010603580525E-2</v>
      </c>
      <c r="EW29" s="9">
        <f t="shared" si="131"/>
        <v>0.32037156279827439</v>
      </c>
      <c r="EX29" s="9">
        <f t="shared" si="132"/>
        <v>0.66723042659814513</v>
      </c>
      <c r="EZ29" s="11">
        <f t="shared" si="69"/>
        <v>1.0801490572412429</v>
      </c>
      <c r="FA29" s="11">
        <f t="shared" si="70"/>
        <v>0</v>
      </c>
      <c r="FB29" s="11">
        <f t="shared" si="71"/>
        <v>0.43349790103650926</v>
      </c>
      <c r="FC29" s="11">
        <f t="shared" si="72"/>
        <v>1.9486014608943525E-3</v>
      </c>
      <c r="FD29" s="11">
        <f t="shared" si="73"/>
        <v>0</v>
      </c>
      <c r="FE29" s="11">
        <f t="shared" si="74"/>
        <v>0</v>
      </c>
      <c r="FF29" s="11">
        <f t="shared" si="75"/>
        <v>5.6707336645422227E-2</v>
      </c>
      <c r="FG29" s="11">
        <f t="shared" si="76"/>
        <v>0.29268008085843877</v>
      </c>
      <c r="FH29" s="11">
        <f t="shared" si="77"/>
        <v>2.5691112149135845E-2</v>
      </c>
      <c r="FI29" s="11">
        <f t="shared" si="110"/>
        <v>0</v>
      </c>
      <c r="FJ29" s="11">
        <f t="shared" si="133"/>
        <v>1.8906740893916432</v>
      </c>
      <c r="FK29" s="34" t="e">
        <f t="shared" si="134"/>
        <v>#DIV/0!</v>
      </c>
      <c r="FL29" s="11">
        <f t="shared" si="135"/>
        <v>0.5713036759226966</v>
      </c>
      <c r="FM29" s="11">
        <f t="shared" si="78"/>
        <v>0</v>
      </c>
      <c r="FN29" s="11">
        <f t="shared" si="79"/>
        <v>0.22928219277389825</v>
      </c>
      <c r="FO29" s="11">
        <f t="shared" si="80"/>
        <v>1.0306384753605781E-3</v>
      </c>
      <c r="FP29" s="11">
        <f t="shared" si="81"/>
        <v>0</v>
      </c>
      <c r="FQ29" s="11">
        <f t="shared" si="82"/>
        <v>0</v>
      </c>
      <c r="FR29" s="11">
        <f t="shared" si="83"/>
        <v>2.9993184422212497E-2</v>
      </c>
      <c r="FS29" s="11">
        <f t="shared" si="84"/>
        <v>0.15480197380428143</v>
      </c>
      <c r="FT29" s="11">
        <f t="shared" si="85"/>
        <v>1.3588334601550709E-2</v>
      </c>
      <c r="FU29" s="11">
        <f t="shared" si="86"/>
        <v>0</v>
      </c>
      <c r="FV29" s="11">
        <f t="shared" si="136"/>
        <v>1</v>
      </c>
      <c r="FX29" s="11">
        <f t="shared" si="137"/>
        <v>0.15118790376480601</v>
      </c>
      <c r="FY29" s="11">
        <f t="shared" si="138"/>
        <v>0.78031680760082744</v>
      </c>
      <c r="FZ29" s="11">
        <f t="shared" si="139"/>
        <v>6.8495288634366575E-2</v>
      </c>
      <c r="GA29" s="11">
        <f t="shared" si="140"/>
        <v>1</v>
      </c>
      <c r="GC29" s="11">
        <f t="shared" si="141"/>
        <v>0.41056601585104019</v>
      </c>
      <c r="GD29" s="11">
        <f t="shared" si="142"/>
        <v>555.14525462875895</v>
      </c>
      <c r="GE29" s="11">
        <f t="shared" si="143"/>
        <v>602.9325554834079</v>
      </c>
      <c r="GF29" s="11">
        <f t="shared" si="144"/>
        <v>661.7692607094242</v>
      </c>
      <c r="GG29" s="11">
        <f t="shared" si="145"/>
        <v>695.72419550307416</v>
      </c>
      <c r="GI29" s="11">
        <f t="shared" si="146"/>
        <v>3320.0523134024247</v>
      </c>
      <c r="GJ29" s="11">
        <f t="shared" si="87"/>
        <v>97.052012638339335</v>
      </c>
      <c r="GK29" s="11">
        <f t="shared" si="147"/>
        <v>3.6791699865070244</v>
      </c>
      <c r="GL29" s="11">
        <f t="shared" si="148"/>
        <v>655.62043968412468</v>
      </c>
      <c r="GN29" s="11">
        <f t="shared" si="0"/>
        <v>700</v>
      </c>
    </row>
    <row r="30" spans="1:196" ht="12.6">
      <c r="A30" s="11" t="s">
        <v>79</v>
      </c>
      <c r="B30" s="11" t="s">
        <v>94</v>
      </c>
      <c r="C30" s="50">
        <v>2</v>
      </c>
      <c r="D30" s="9">
        <v>700</v>
      </c>
      <c r="E30" s="11"/>
      <c r="F30" s="49">
        <v>66</v>
      </c>
      <c r="G30" s="49"/>
      <c r="H30" s="49">
        <v>18.7</v>
      </c>
      <c r="I30" s="49">
        <v>0</v>
      </c>
      <c r="J30" s="49"/>
      <c r="K30" s="49">
        <v>0</v>
      </c>
      <c r="L30" s="49">
        <v>0.14000000000000001</v>
      </c>
      <c r="M30" s="49">
        <v>2.48</v>
      </c>
      <c r="N30" s="49">
        <v>12.7</v>
      </c>
      <c r="O30" s="49"/>
      <c r="P30" s="11">
        <f t="shared" si="1"/>
        <v>100.02000000000001</v>
      </c>
      <c r="Q30" s="11"/>
      <c r="R30" s="49">
        <v>63.5</v>
      </c>
      <c r="S30" s="49"/>
      <c r="T30" s="49">
        <v>23.1</v>
      </c>
      <c r="U30" s="49">
        <v>0</v>
      </c>
      <c r="V30" s="49"/>
      <c r="W30" s="49">
        <v>0</v>
      </c>
      <c r="X30" s="49">
        <v>4.2300000000000004</v>
      </c>
      <c r="Y30" s="49">
        <v>8.26</v>
      </c>
      <c r="Z30" s="49">
        <v>1.0900000000000001</v>
      </c>
      <c r="AA30" s="49"/>
      <c r="AB30" s="11">
        <f t="shared" si="2"/>
        <v>100.18</v>
      </c>
      <c r="AD30" s="54">
        <f t="shared" si="88"/>
        <v>670.76264339863428</v>
      </c>
      <c r="AE30" s="54">
        <f t="shared" si="89"/>
        <v>684.61479100358542</v>
      </c>
      <c r="AF30" s="54">
        <f t="shared" si="3"/>
        <v>681.16833888786289</v>
      </c>
      <c r="AH30" s="60">
        <f t="shared" si="4"/>
        <v>7.0889606042034434E-3</v>
      </c>
      <c r="AI30" s="60">
        <f t="shared" si="5"/>
        <v>0.22723747603487002</v>
      </c>
      <c r="AJ30" s="60">
        <f t="shared" si="6"/>
        <v>0.76567356336092651</v>
      </c>
      <c r="AK30" s="60"/>
      <c r="AL30" s="60">
        <f t="shared" si="90"/>
        <v>0.20659538278482559</v>
      </c>
      <c r="AM30" s="60">
        <f t="shared" si="91"/>
        <v>0.73001879240037104</v>
      </c>
      <c r="AN30" s="60">
        <f t="shared" si="92"/>
        <v>6.3385824814803329E-2</v>
      </c>
      <c r="AO30" s="57"/>
      <c r="AP30" s="61">
        <f t="shared" si="93"/>
        <v>1.4202609809224025</v>
      </c>
      <c r="AQ30" s="61">
        <f t="shared" si="94"/>
        <v>0.61680330892621138</v>
      </c>
      <c r="AR30" s="61">
        <f t="shared" si="7"/>
        <v>0.80289279052212859</v>
      </c>
      <c r="AS30" s="62"/>
      <c r="AT30" s="61">
        <f t="shared" si="95"/>
        <v>1.0249902413706364</v>
      </c>
      <c r="AU30" s="61">
        <f t="shared" si="96"/>
        <v>0.7142010536917105</v>
      </c>
      <c r="AV30" s="61">
        <f t="shared" si="97"/>
        <v>0.90341229298655912</v>
      </c>
      <c r="AX30" s="94">
        <f t="shared" si="111"/>
        <v>-0.39527073955176606</v>
      </c>
      <c r="AY30" s="94">
        <f t="shared" si="98"/>
        <v>9.7397744765499117E-2</v>
      </c>
      <c r="AZ30" s="94">
        <f t="shared" si="99"/>
        <v>0.10051950246443053</v>
      </c>
      <c r="BB30" s="11">
        <f t="shared" si="8"/>
        <v>973.15</v>
      </c>
      <c r="BD30" s="9">
        <f t="shared" si="100"/>
        <v>681.16833888786289</v>
      </c>
      <c r="BF30" s="29">
        <f t="shared" si="101"/>
        <v>954.31833888786286</v>
      </c>
      <c r="BG30" s="11">
        <f t="shared" si="102"/>
        <v>0.20659538278482559</v>
      </c>
      <c r="BH30" s="11">
        <f t="shared" si="103"/>
        <v>0.73001879240037104</v>
      </c>
      <c r="BI30" s="11">
        <f t="shared" si="104"/>
        <v>6.3385824814803329E-2</v>
      </c>
      <c r="BJ30" s="11">
        <f t="shared" si="116"/>
        <v>1</v>
      </c>
      <c r="BK30" s="11">
        <f t="shared" si="112"/>
        <v>389.58474896393358</v>
      </c>
      <c r="BL30" s="11">
        <f t="shared" si="9"/>
        <v>-49.497344071569991</v>
      </c>
      <c r="BM30" s="11">
        <f t="shared" si="10"/>
        <v>-607.93460991896507</v>
      </c>
      <c r="BN30" s="11">
        <f t="shared" si="11"/>
        <v>888.1021879623961</v>
      </c>
      <c r="BO30" s="11">
        <f t="shared" si="12"/>
        <v>-521.66492181270451</v>
      </c>
      <c r="BP30" s="11">
        <f t="shared" si="13"/>
        <v>-229.83555983312544</v>
      </c>
      <c r="BQ30" s="11">
        <f t="shared" si="14"/>
        <v>-42.567652938439451</v>
      </c>
      <c r="BR30" s="11">
        <f t="shared" si="117"/>
        <v>-173.81315164847479</v>
      </c>
      <c r="BS30" s="11">
        <f t="shared" si="115"/>
        <v>0.7142010536917105</v>
      </c>
      <c r="BU30" s="79">
        <f t="shared" si="113"/>
        <v>-957.11502058435167</v>
      </c>
      <c r="BV30" s="79">
        <f t="shared" si="15"/>
        <v>78.52191757089372</v>
      </c>
      <c r="BW30" s="79">
        <f t="shared" si="16"/>
        <v>6788.6542801825417</v>
      </c>
      <c r="BX30" s="79">
        <f t="shared" si="17"/>
        <v>3695.1711116007605</v>
      </c>
      <c r="BY30" s="79">
        <f t="shared" si="114"/>
        <v>2127.808405911102</v>
      </c>
      <c r="BZ30" s="79">
        <f t="shared" si="18"/>
        <v>783.83555098647741</v>
      </c>
      <c r="CA30" s="79">
        <f t="shared" si="19"/>
        <v>191.86544210259325</v>
      </c>
      <c r="CB30" s="79">
        <f t="shared" si="118"/>
        <v>12708.741687770018</v>
      </c>
      <c r="CC30" s="79">
        <f t="shared" si="105"/>
        <v>1.0249902413706364</v>
      </c>
      <c r="CE30" s="11">
        <f t="shared" si="20"/>
        <v>9418.36551472889</v>
      </c>
      <c r="CF30" s="11">
        <f t="shared" si="21"/>
        <v>1553.3041251985912</v>
      </c>
      <c r="CG30" s="11">
        <f t="shared" si="22"/>
        <v>94.82983543807471</v>
      </c>
      <c r="CH30" s="11">
        <f t="shared" si="23"/>
        <v>-1747.9256003324615</v>
      </c>
      <c r="CI30" s="11">
        <f t="shared" si="24"/>
        <v>6386.6141295850866</v>
      </c>
      <c r="CJ30" s="11">
        <f t="shared" si="25"/>
        <v>4445.9318266130085</v>
      </c>
      <c r="CK30" s="11">
        <f t="shared" si="26"/>
        <v>930.58513621444411</v>
      </c>
      <c r="CL30" s="11">
        <f t="shared" si="119"/>
        <v>21081.704967445636</v>
      </c>
      <c r="CM30" s="11">
        <f t="shared" si="27"/>
        <v>0.90341229298655912</v>
      </c>
      <c r="CO30" s="11">
        <f t="shared" si="106"/>
        <v>2</v>
      </c>
      <c r="CP30" s="9">
        <f t="shared" si="107"/>
        <v>954.31833888786286</v>
      </c>
      <c r="CQ30" s="11">
        <f t="shared" si="149"/>
        <v>7.0889606042034434E-3</v>
      </c>
      <c r="CR30" s="11">
        <f t="shared" si="150"/>
        <v>0.22723747603487002</v>
      </c>
      <c r="CS30" s="11">
        <f t="shared" si="151"/>
        <v>0.76567356336092651</v>
      </c>
      <c r="CT30" s="11">
        <f t="shared" si="120"/>
        <v>1</v>
      </c>
      <c r="CU30" s="11">
        <f t="shared" si="108"/>
        <v>4793.8880510749932</v>
      </c>
      <c r="CV30" s="11">
        <f t="shared" si="31"/>
        <v>3271.9871811292687</v>
      </c>
      <c r="CW30" s="11">
        <f t="shared" si="32"/>
        <v>40.478032898786985</v>
      </c>
      <c r="CX30" s="11">
        <f t="shared" si="33"/>
        <v>44.959447326589313</v>
      </c>
      <c r="CY30" s="11">
        <f t="shared" si="34"/>
        <v>86.927114708194011</v>
      </c>
      <c r="CZ30" s="11">
        <f t="shared" si="35"/>
        <v>-336.04689244198579</v>
      </c>
      <c r="DA30" s="11">
        <f t="shared" si="36"/>
        <v>20.922546628081164</v>
      </c>
      <c r="DB30" s="11">
        <f t="shared" si="121"/>
        <v>7923.1154813239291</v>
      </c>
      <c r="DC30" s="11">
        <f t="shared" si="122"/>
        <v>0.61680330892621138</v>
      </c>
      <c r="DE30" s="11">
        <f t="shared" si="37"/>
        <v>118.56772353519722</v>
      </c>
      <c r="DF30" s="11">
        <f t="shared" si="38"/>
        <v>-1839.9548384377908</v>
      </c>
      <c r="DG30" s="11">
        <f t="shared" si="39"/>
        <v>2388.0137970065798</v>
      </c>
      <c r="DH30" s="11">
        <f t="shared" si="40"/>
        <v>1547.6549558454794</v>
      </c>
      <c r="DI30" s="11">
        <f t="shared" si="41"/>
        <v>5979.0806330920905</v>
      </c>
      <c r="DJ30" s="11">
        <f t="shared" si="42"/>
        <v>32648.761975340578</v>
      </c>
      <c r="DK30" s="11">
        <f t="shared" si="43"/>
        <v>1211.9809198633714</v>
      </c>
      <c r="DL30" s="11">
        <f t="shared" si="123"/>
        <v>42054.105166245507</v>
      </c>
      <c r="DM30" s="11">
        <f t="shared" si="124"/>
        <v>1.4202609809224025</v>
      </c>
      <c r="DO30" s="11">
        <f t="shared" si="44"/>
        <v>-494.04197006819965</v>
      </c>
      <c r="DP30" s="11">
        <f t="shared" si="45"/>
        <v>826.02515651761939</v>
      </c>
      <c r="DQ30" s="11">
        <f t="shared" si="46"/>
        <v>-12.101253738492787</v>
      </c>
      <c r="DR30" s="11">
        <f t="shared" si="47"/>
        <v>-13.137040373030308</v>
      </c>
      <c r="DS30" s="11">
        <f t="shared" si="48"/>
        <v>-28.159326098130986</v>
      </c>
      <c r="DT30" s="11">
        <f t="shared" si="49"/>
        <v>104.07968151370197</v>
      </c>
      <c r="DU30" s="11">
        <f t="shared" si="50"/>
        <v>-6.0480376943916232</v>
      </c>
      <c r="DV30" s="11">
        <f t="shared" si="125"/>
        <v>376.61721005907606</v>
      </c>
      <c r="DW30" s="11">
        <f t="shared" si="126"/>
        <v>0.80289279052212859</v>
      </c>
      <c r="DY30" s="11">
        <f t="shared" si="51"/>
        <v>1.0984566683809249</v>
      </c>
      <c r="DZ30" s="11">
        <f t="shared" si="52"/>
        <v>0</v>
      </c>
      <c r="EA30" s="11">
        <f t="shared" si="109"/>
        <v>0.36680591626166165</v>
      </c>
      <c r="EB30" s="11">
        <f t="shared" si="53"/>
        <v>0</v>
      </c>
      <c r="EC30" s="11">
        <f t="shared" si="54"/>
        <v>0</v>
      </c>
      <c r="ED30" s="11">
        <f t="shared" si="55"/>
        <v>0</v>
      </c>
      <c r="EE30" s="11">
        <f t="shared" si="56"/>
        <v>2.4965494120626139E-3</v>
      </c>
      <c r="EF30" s="11">
        <f t="shared" si="57"/>
        <v>8.0027188591943563E-2</v>
      </c>
      <c r="EG30" s="11">
        <f t="shared" si="58"/>
        <v>0.2696505159454754</v>
      </c>
      <c r="EH30" s="11">
        <f t="shared" si="59"/>
        <v>0</v>
      </c>
      <c r="EI30" s="11">
        <f t="shared" si="127"/>
        <v>1.8174368385920681</v>
      </c>
      <c r="EJ30" s="11"/>
      <c r="EK30" s="11">
        <f t="shared" si="128"/>
        <v>0.60439881323847122</v>
      </c>
      <c r="EL30" s="11">
        <f t="shared" si="60"/>
        <v>0</v>
      </c>
      <c r="EM30" s="11">
        <f t="shared" si="61"/>
        <v>0.20182594986124461</v>
      </c>
      <c r="EN30" s="11">
        <f t="shared" si="62"/>
        <v>0</v>
      </c>
      <c r="EO30" s="11">
        <f t="shared" si="63"/>
        <v>0</v>
      </c>
      <c r="EP30" s="11">
        <f t="shared" si="64"/>
        <v>0</v>
      </c>
      <c r="EQ30" s="11">
        <f t="shared" si="65"/>
        <v>1.3736650204563042E-3</v>
      </c>
      <c r="ER30" s="11">
        <f t="shared" si="66"/>
        <v>4.4032995751279599E-2</v>
      </c>
      <c r="ES30" s="11">
        <f t="shared" si="67"/>
        <v>0.14836857612854831</v>
      </c>
      <c r="ET30" s="11">
        <f t="shared" si="68"/>
        <v>0</v>
      </c>
      <c r="EU30" s="9">
        <f t="shared" si="129"/>
        <v>1</v>
      </c>
      <c r="EV30" s="9">
        <f t="shared" si="130"/>
        <v>7.0889606042034434E-3</v>
      </c>
      <c r="EW30" s="9">
        <f t="shared" si="131"/>
        <v>0.22723747603487002</v>
      </c>
      <c r="EX30" s="9">
        <f t="shared" si="132"/>
        <v>0.76567356336092651</v>
      </c>
      <c r="EZ30" s="11">
        <f t="shared" si="69"/>
        <v>1.0568484612452838</v>
      </c>
      <c r="FA30" s="11">
        <f t="shared" si="70"/>
        <v>0</v>
      </c>
      <c r="FB30" s="11">
        <f t="shared" si="71"/>
        <v>0.45311319067617029</v>
      </c>
      <c r="FC30" s="11">
        <f t="shared" si="72"/>
        <v>0</v>
      </c>
      <c r="FD30" s="11">
        <f t="shared" si="73"/>
        <v>0</v>
      </c>
      <c r="FE30" s="11">
        <f t="shared" si="74"/>
        <v>0</v>
      </c>
      <c r="FF30" s="11">
        <f t="shared" si="75"/>
        <v>7.5431457235891827E-2</v>
      </c>
      <c r="FG30" s="11">
        <f t="shared" si="76"/>
        <v>0.26654216845542494</v>
      </c>
      <c r="FH30" s="11">
        <f t="shared" si="77"/>
        <v>2.3143233258312457E-2</v>
      </c>
      <c r="FI30" s="11">
        <f t="shared" si="110"/>
        <v>0</v>
      </c>
      <c r="FJ30" s="11">
        <f t="shared" si="133"/>
        <v>1.8750785108710832</v>
      </c>
      <c r="FK30" s="34" t="e">
        <f t="shared" si="134"/>
        <v>#DIV/0!</v>
      </c>
      <c r="FL30" s="11">
        <f t="shared" si="135"/>
        <v>0.56362891213249311</v>
      </c>
      <c r="FM30" s="11">
        <f t="shared" si="78"/>
        <v>0</v>
      </c>
      <c r="FN30" s="11">
        <f t="shared" si="79"/>
        <v>0.24165024986909631</v>
      </c>
      <c r="FO30" s="11">
        <f t="shared" si="80"/>
        <v>0</v>
      </c>
      <c r="FP30" s="11">
        <f t="shared" si="81"/>
        <v>0</v>
      </c>
      <c r="FQ30" s="11">
        <f t="shared" si="82"/>
        <v>0</v>
      </c>
      <c r="FR30" s="11">
        <f t="shared" si="83"/>
        <v>4.0228426062463657E-2</v>
      </c>
      <c r="FS30" s="11">
        <f t="shared" si="84"/>
        <v>0.14214987101078802</v>
      </c>
      <c r="FT30" s="11">
        <f t="shared" si="85"/>
        <v>1.2342540925158955E-2</v>
      </c>
      <c r="FU30" s="11">
        <f t="shared" si="86"/>
        <v>0</v>
      </c>
      <c r="FV30" s="11">
        <f t="shared" si="136"/>
        <v>1</v>
      </c>
      <c r="FX30" s="11">
        <f t="shared" si="137"/>
        <v>0.20659538278482559</v>
      </c>
      <c r="FY30" s="11">
        <f t="shared" si="138"/>
        <v>0.73001879240037104</v>
      </c>
      <c r="FZ30" s="11">
        <f t="shared" si="139"/>
        <v>6.3385824814803329E-2</v>
      </c>
      <c r="GA30" s="11">
        <f t="shared" si="140"/>
        <v>1</v>
      </c>
      <c r="GC30" s="11">
        <f t="shared" si="141"/>
        <v>0.31127620055874405</v>
      </c>
      <c r="GD30" s="11">
        <f t="shared" si="142"/>
        <v>438.56675948140082</v>
      </c>
      <c r="GE30" s="11">
        <f t="shared" si="143"/>
        <v>487.60709989568295</v>
      </c>
      <c r="GF30" s="11">
        <f t="shared" si="144"/>
        <v>547.01757157176348</v>
      </c>
      <c r="GG30" s="11">
        <f t="shared" si="145"/>
        <v>601.84154312496003</v>
      </c>
      <c r="GI30" s="11">
        <f t="shared" si="146"/>
        <v>4142.9629939115293</v>
      </c>
      <c r="GJ30" s="11">
        <f t="shared" si="87"/>
        <v>121.11364417543258</v>
      </c>
      <c r="GK30" s="11">
        <f t="shared" si="147"/>
        <v>4.8749213081729685</v>
      </c>
      <c r="GL30" s="11">
        <f t="shared" si="148"/>
        <v>601.5465065750077</v>
      </c>
      <c r="GN30" s="11">
        <f t="shared" si="0"/>
        <v>700</v>
      </c>
    </row>
    <row r="31" spans="1:196" ht="12.6">
      <c r="A31" s="11" t="s">
        <v>79</v>
      </c>
      <c r="B31" s="11" t="s">
        <v>95</v>
      </c>
      <c r="C31" s="50">
        <v>2</v>
      </c>
      <c r="D31" s="9">
        <v>700</v>
      </c>
      <c r="E31" s="11"/>
      <c r="F31" s="49">
        <v>65.900000000000006</v>
      </c>
      <c r="G31" s="49"/>
      <c r="H31" s="49">
        <v>18.600000000000001</v>
      </c>
      <c r="I31" s="49">
        <v>0.11</v>
      </c>
      <c r="J31" s="49"/>
      <c r="K31" s="49">
        <v>0</v>
      </c>
      <c r="L31" s="49">
        <v>0.1</v>
      </c>
      <c r="M31" s="49">
        <v>2.54</v>
      </c>
      <c r="N31" s="49">
        <v>12.7</v>
      </c>
      <c r="O31" s="49"/>
      <c r="P31" s="11">
        <f t="shared" si="1"/>
        <v>99.95</v>
      </c>
      <c r="Q31" s="11"/>
      <c r="R31" s="49">
        <v>64.7</v>
      </c>
      <c r="S31" s="49"/>
      <c r="T31" s="49">
        <v>22.3</v>
      </c>
      <c r="U31" s="49">
        <v>0.06</v>
      </c>
      <c r="V31" s="49"/>
      <c r="W31" s="49">
        <v>0</v>
      </c>
      <c r="X31" s="49">
        <v>3.41</v>
      </c>
      <c r="Y31" s="49">
        <v>8.69</v>
      </c>
      <c r="Z31" s="49">
        <v>1.03</v>
      </c>
      <c r="AA31" s="49"/>
      <c r="AB31" s="11">
        <f t="shared" si="2"/>
        <v>100.19</v>
      </c>
      <c r="AD31" s="54">
        <f t="shared" si="88"/>
        <v>628.65203550778676</v>
      </c>
      <c r="AE31" s="54">
        <f t="shared" si="89"/>
        <v>644.01233101972832</v>
      </c>
      <c r="AF31" s="54">
        <f t="shared" si="3"/>
        <v>639.92240057466688</v>
      </c>
      <c r="AH31" s="60">
        <f t="shared" si="4"/>
        <v>5.0460221698320302E-3</v>
      </c>
      <c r="AI31" s="60">
        <f t="shared" si="5"/>
        <v>0.2319298353916267</v>
      </c>
      <c r="AJ31" s="60">
        <f t="shared" si="6"/>
        <v>0.76302414243854122</v>
      </c>
      <c r="AK31" s="60"/>
      <c r="AL31" s="60">
        <f t="shared" si="90"/>
        <v>0.16747311521601874</v>
      </c>
      <c r="AM31" s="60">
        <f t="shared" si="91"/>
        <v>0.7722968174385908</v>
      </c>
      <c r="AN31" s="60">
        <f t="shared" si="92"/>
        <v>6.0230067345390464E-2</v>
      </c>
      <c r="AO31" s="57"/>
      <c r="AP31" s="61">
        <f t="shared" si="93"/>
        <v>1.3436739613642068</v>
      </c>
      <c r="AQ31" s="61">
        <f t="shared" si="94"/>
        <v>0.67685740360635638</v>
      </c>
      <c r="AR31" s="61">
        <f t="shared" si="7"/>
        <v>0.80484504632301224</v>
      </c>
      <c r="AS31" s="62"/>
      <c r="AT31" s="61">
        <f t="shared" si="95"/>
        <v>0.94190689407714667</v>
      </c>
      <c r="AU31" s="61">
        <f t="shared" si="96"/>
        <v>0.75262184209112726</v>
      </c>
      <c r="AV31" s="61">
        <f t="shared" si="97"/>
        <v>0.89298330947993954</v>
      </c>
      <c r="AX31" s="94">
        <f t="shared" si="111"/>
        <v>-0.40176706728706013</v>
      </c>
      <c r="AY31" s="94">
        <f t="shared" si="98"/>
        <v>7.576443848477088E-2</v>
      </c>
      <c r="AZ31" s="94">
        <f t="shared" si="99"/>
        <v>8.8138263156927299E-2</v>
      </c>
      <c r="BB31" s="11">
        <f t="shared" si="8"/>
        <v>973.15</v>
      </c>
      <c r="BD31" s="9">
        <f t="shared" si="100"/>
        <v>639.92240057466688</v>
      </c>
      <c r="BF31" s="29">
        <f t="shared" si="101"/>
        <v>913.07240057466686</v>
      </c>
      <c r="BG31" s="11">
        <f t="shared" si="102"/>
        <v>0.16747311521601874</v>
      </c>
      <c r="BH31" s="11">
        <f t="shared" si="103"/>
        <v>0.7722968174385908</v>
      </c>
      <c r="BI31" s="11">
        <f t="shared" si="104"/>
        <v>6.0230067345390464E-2</v>
      </c>
      <c r="BJ31" s="11">
        <f t="shared" si="116"/>
        <v>1</v>
      </c>
      <c r="BK31" s="11">
        <f t="shared" si="112"/>
        <v>331.67172736384936</v>
      </c>
      <c r="BL31" s="11">
        <f t="shared" si="9"/>
        <v>-50.134756122625937</v>
      </c>
      <c r="BM31" s="11">
        <f t="shared" si="10"/>
        <v>-487.09237336153933</v>
      </c>
      <c r="BN31" s="11">
        <f t="shared" si="11"/>
        <v>631.98255665786428</v>
      </c>
      <c r="BO31" s="11">
        <f t="shared" si="12"/>
        <v>-386.80925656800815</v>
      </c>
      <c r="BP31" s="11">
        <f t="shared" si="13"/>
        <v>-196.71296066464726</v>
      </c>
      <c r="BQ31" s="11">
        <f t="shared" si="14"/>
        <v>-38.815451459324414</v>
      </c>
      <c r="BR31" s="11">
        <f t="shared" si="117"/>
        <v>-195.91051415443147</v>
      </c>
      <c r="BS31" s="11">
        <f t="shared" si="115"/>
        <v>0.75262184209112726</v>
      </c>
      <c r="BU31" s="79">
        <f t="shared" si="113"/>
        <v>-1014.2539265657084</v>
      </c>
      <c r="BV31" s="79">
        <f t="shared" si="15"/>
        <v>104.72764752507297</v>
      </c>
      <c r="BW31" s="79">
        <f t="shared" si="16"/>
        <v>6238.9811179029084</v>
      </c>
      <c r="BX31" s="79">
        <f t="shared" si="17"/>
        <v>4638.246850602246</v>
      </c>
      <c r="BY31" s="79">
        <f t="shared" si="114"/>
        <v>2037.4145127531951</v>
      </c>
      <c r="BZ31" s="79">
        <f t="shared" si="18"/>
        <v>887.81810959974598</v>
      </c>
      <c r="CA31" s="79">
        <f t="shared" si="19"/>
        <v>218.58884053227189</v>
      </c>
      <c r="CB31" s="79">
        <f t="shared" si="118"/>
        <v>13111.523152349733</v>
      </c>
      <c r="CC31" s="79">
        <f t="shared" si="105"/>
        <v>0.94190689407714667</v>
      </c>
      <c r="CE31" s="11">
        <f t="shared" si="20"/>
        <v>10460.514294585597</v>
      </c>
      <c r="CF31" s="11">
        <f t="shared" si="21"/>
        <v>1532.0709266787571</v>
      </c>
      <c r="CG31" s="11">
        <f t="shared" si="22"/>
        <v>366.45581326249641</v>
      </c>
      <c r="CH31" s="11">
        <f t="shared" si="23"/>
        <v>-1608.1918106170292</v>
      </c>
      <c r="CI31" s="11">
        <f t="shared" si="24"/>
        <v>5149.7892158473715</v>
      </c>
      <c r="CJ31" s="11">
        <f t="shared" si="25"/>
        <v>3765.6361245052881</v>
      </c>
      <c r="CK31" s="11">
        <f t="shared" si="26"/>
        <v>803.81944113372788</v>
      </c>
      <c r="CL31" s="11">
        <f t="shared" si="119"/>
        <v>20470.094005396211</v>
      </c>
      <c r="CM31" s="11">
        <f t="shared" si="27"/>
        <v>0.89298330947993954</v>
      </c>
      <c r="CO31" s="11">
        <f t="shared" si="106"/>
        <v>2</v>
      </c>
      <c r="CP31" s="9">
        <f t="shared" si="107"/>
        <v>913.07240057466686</v>
      </c>
      <c r="CQ31" s="11">
        <f t="shared" si="149"/>
        <v>5.0460221698320302E-3</v>
      </c>
      <c r="CR31" s="11">
        <f t="shared" si="150"/>
        <v>0.2319298353916267</v>
      </c>
      <c r="CS31" s="11">
        <f t="shared" si="151"/>
        <v>0.76302414243854122</v>
      </c>
      <c r="CT31" s="11">
        <f t="shared" si="120"/>
        <v>1</v>
      </c>
      <c r="CU31" s="11">
        <f t="shared" si="108"/>
        <v>4909.0124615498289</v>
      </c>
      <c r="CV31" s="11">
        <f t="shared" si="31"/>
        <v>3324.9098573859847</v>
      </c>
      <c r="CW31" s="11">
        <f t="shared" si="32"/>
        <v>28.266704494167435</v>
      </c>
      <c r="CX31" s="11">
        <f t="shared" si="33"/>
        <v>31.848484525383775</v>
      </c>
      <c r="CY31" s="11">
        <f t="shared" si="34"/>
        <v>62.725793958368605</v>
      </c>
      <c r="CZ31" s="11">
        <f t="shared" si="35"/>
        <v>-240.4978329360535</v>
      </c>
      <c r="DA31" s="11">
        <f t="shared" si="36"/>
        <v>14.586111983871584</v>
      </c>
      <c r="DB31" s="11">
        <f t="shared" si="121"/>
        <v>8130.8515809615519</v>
      </c>
      <c r="DC31" s="11">
        <f t="shared" si="122"/>
        <v>0.67685740360635638</v>
      </c>
      <c r="DE31" s="11">
        <f t="shared" si="37"/>
        <v>98.991600980146842</v>
      </c>
      <c r="DF31" s="11">
        <f t="shared" si="38"/>
        <v>-1937.2446114943109</v>
      </c>
      <c r="DG31" s="11">
        <f t="shared" si="39"/>
        <v>2430.4601634349219</v>
      </c>
      <c r="DH31" s="11">
        <f t="shared" si="40"/>
        <v>1585.0406142764484</v>
      </c>
      <c r="DI31" s="11">
        <f t="shared" si="41"/>
        <v>6015.2404098011821</v>
      </c>
      <c r="DJ31" s="11">
        <f t="shared" si="42"/>
        <v>32966.072547932548</v>
      </c>
      <c r="DK31" s="11">
        <f t="shared" si="43"/>
        <v>1237.8366776841992</v>
      </c>
      <c r="DL31" s="11">
        <f t="shared" si="123"/>
        <v>42396.397402615141</v>
      </c>
      <c r="DM31" s="11">
        <f t="shared" si="124"/>
        <v>1.3436739613642068</v>
      </c>
      <c r="DO31" s="11">
        <f t="shared" si="44"/>
        <v>-514.58877051666991</v>
      </c>
      <c r="DP31" s="11">
        <f t="shared" si="45"/>
        <v>887.20372347584043</v>
      </c>
      <c r="DQ31" s="11">
        <f t="shared" si="46"/>
        <v>-8.6394479300098972</v>
      </c>
      <c r="DR31" s="11">
        <f t="shared" si="47"/>
        <v>-9.5738427797881211</v>
      </c>
      <c r="DS31" s="11">
        <f t="shared" si="48"/>
        <v>-20.285011427683092</v>
      </c>
      <c r="DT31" s="11">
        <f t="shared" si="49"/>
        <v>75.324647547110828</v>
      </c>
      <c r="DU31" s="11">
        <f t="shared" si="50"/>
        <v>-4.3501578502841864</v>
      </c>
      <c r="DV31" s="11">
        <f t="shared" si="125"/>
        <v>405.09114051851606</v>
      </c>
      <c r="DW31" s="11">
        <f t="shared" si="126"/>
        <v>0.80484504632301224</v>
      </c>
      <c r="DY31" s="11">
        <f t="shared" si="51"/>
        <v>1.0967923400954993</v>
      </c>
      <c r="DZ31" s="11">
        <f t="shared" si="52"/>
        <v>0</v>
      </c>
      <c r="EA31" s="11">
        <f t="shared" si="109"/>
        <v>0.36484438729769558</v>
      </c>
      <c r="EB31" s="11">
        <f t="shared" si="53"/>
        <v>1.5310440049884197E-3</v>
      </c>
      <c r="EC31" s="11">
        <f t="shared" si="54"/>
        <v>0</v>
      </c>
      <c r="ED31" s="11">
        <f t="shared" si="55"/>
        <v>0</v>
      </c>
      <c r="EE31" s="11">
        <f t="shared" si="56"/>
        <v>1.783249580044724E-3</v>
      </c>
      <c r="EF31" s="11">
        <f t="shared" si="57"/>
        <v>8.1963330251426075E-2</v>
      </c>
      <c r="EG31" s="11">
        <f t="shared" si="58"/>
        <v>0.2696505159454754</v>
      </c>
      <c r="EH31" s="11">
        <f t="shared" si="59"/>
        <v>0</v>
      </c>
      <c r="EI31" s="11">
        <f t="shared" si="127"/>
        <v>1.8165648671751295</v>
      </c>
      <c r="EJ31" s="11"/>
      <c r="EK31" s="11">
        <f t="shared" si="128"/>
        <v>0.60377273606589066</v>
      </c>
      <c r="EL31" s="11">
        <f t="shared" si="60"/>
        <v>0</v>
      </c>
      <c r="EM31" s="11">
        <f t="shared" si="61"/>
        <v>0.2008430273481239</v>
      </c>
      <c r="EN31" s="11">
        <f t="shared" si="62"/>
        <v>8.4282374533054113E-4</v>
      </c>
      <c r="EO31" s="11">
        <f t="shared" si="63"/>
        <v>0</v>
      </c>
      <c r="EP31" s="11">
        <f t="shared" si="64"/>
        <v>0</v>
      </c>
      <c r="EQ31" s="11">
        <f t="shared" si="65"/>
        <v>9.8166028214438997E-4</v>
      </c>
      <c r="ER31" s="11">
        <f t="shared" si="66"/>
        <v>4.5119957856987573E-2</v>
      </c>
      <c r="ES31" s="11">
        <f t="shared" si="67"/>
        <v>0.14843979470152288</v>
      </c>
      <c r="ET31" s="11">
        <f t="shared" si="68"/>
        <v>0</v>
      </c>
      <c r="EU31" s="9">
        <f t="shared" si="129"/>
        <v>0.99999999999999989</v>
      </c>
      <c r="EV31" s="9">
        <f t="shared" si="130"/>
        <v>5.0460221698320302E-3</v>
      </c>
      <c r="EW31" s="9">
        <f t="shared" si="131"/>
        <v>0.2319298353916267</v>
      </c>
      <c r="EX31" s="9">
        <f t="shared" si="132"/>
        <v>0.76302414243854122</v>
      </c>
      <c r="EZ31" s="11">
        <f t="shared" si="69"/>
        <v>1.0768204006703914</v>
      </c>
      <c r="FA31" s="11">
        <f t="shared" si="70"/>
        <v>0</v>
      </c>
      <c r="FB31" s="11">
        <f t="shared" si="71"/>
        <v>0.43742095896444144</v>
      </c>
      <c r="FC31" s="11">
        <f t="shared" si="72"/>
        <v>8.3511491181186524E-4</v>
      </c>
      <c r="FD31" s="11">
        <f t="shared" si="73"/>
        <v>0</v>
      </c>
      <c r="FE31" s="11">
        <f t="shared" si="74"/>
        <v>0</v>
      </c>
      <c r="FF31" s="11">
        <f t="shared" si="75"/>
        <v>6.0808810679525094E-2</v>
      </c>
      <c r="FG31" s="11">
        <f t="shared" si="76"/>
        <v>0.28041785034838285</v>
      </c>
      <c r="FH31" s="11">
        <f t="shared" si="77"/>
        <v>2.1869293812900762E-2</v>
      </c>
      <c r="FI31" s="11">
        <f t="shared" si="110"/>
        <v>0</v>
      </c>
      <c r="FJ31" s="11">
        <f t="shared" si="133"/>
        <v>1.8781724293874533</v>
      </c>
      <c r="FK31" s="34" t="e">
        <f t="shared" si="134"/>
        <v>#DIV/0!</v>
      </c>
      <c r="FL31" s="11">
        <f t="shared" si="135"/>
        <v>0.57333415389426479</v>
      </c>
      <c r="FM31" s="11">
        <f t="shared" si="78"/>
        <v>0</v>
      </c>
      <c r="FN31" s="11">
        <f t="shared" si="79"/>
        <v>0.23289712494986511</v>
      </c>
      <c r="FO31" s="11">
        <f t="shared" si="80"/>
        <v>4.4464230160392112E-4</v>
      </c>
      <c r="FP31" s="11">
        <f t="shared" si="81"/>
        <v>0</v>
      </c>
      <c r="FQ31" s="11">
        <f t="shared" si="82"/>
        <v>0</v>
      </c>
      <c r="FR31" s="11">
        <f t="shared" si="83"/>
        <v>3.237658573199121E-2</v>
      </c>
      <c r="FS31" s="11">
        <f t="shared" si="84"/>
        <v>0.14930357083339693</v>
      </c>
      <c r="FT31" s="11">
        <f t="shared" si="85"/>
        <v>1.1643922288878028E-2</v>
      </c>
      <c r="FU31" s="11">
        <f t="shared" si="86"/>
        <v>0</v>
      </c>
      <c r="FV31" s="11">
        <f t="shared" si="136"/>
        <v>1</v>
      </c>
      <c r="FX31" s="11">
        <f t="shared" si="137"/>
        <v>0.16747311521601874</v>
      </c>
      <c r="FY31" s="11">
        <f t="shared" si="138"/>
        <v>0.7722968174385908</v>
      </c>
      <c r="FZ31" s="11">
        <f t="shared" si="139"/>
        <v>6.0230067345390464E-2</v>
      </c>
      <c r="GA31" s="11">
        <f t="shared" si="140"/>
        <v>1</v>
      </c>
      <c r="GC31" s="11">
        <f t="shared" si="141"/>
        <v>0.30031178447795248</v>
      </c>
      <c r="GD31" s="11">
        <f t="shared" si="142"/>
        <v>425.82458247531167</v>
      </c>
      <c r="GE31" s="11">
        <f t="shared" si="143"/>
        <v>474.85350096326306</v>
      </c>
      <c r="GF31" s="11">
        <f t="shared" si="144"/>
        <v>534.1828461874112</v>
      </c>
      <c r="GG31" s="11">
        <f t="shared" si="145"/>
        <v>590.99593196189517</v>
      </c>
      <c r="GI31" s="11">
        <f t="shared" si="146"/>
        <v>4100.2406470662072</v>
      </c>
      <c r="GJ31" s="11">
        <f t="shared" si="87"/>
        <v>119.86428484639185</v>
      </c>
      <c r="GK31" s="11">
        <f t="shared" si="147"/>
        <v>4.9109468320241234</v>
      </c>
      <c r="GL31" s="11">
        <f t="shared" si="148"/>
        <v>586.17612920861473</v>
      </c>
      <c r="GN31" s="11">
        <f t="shared" si="0"/>
        <v>700</v>
      </c>
    </row>
    <row r="32" spans="1:196" s="12" customFormat="1" ht="12.6">
      <c r="C32" s="35"/>
      <c r="D32" s="35"/>
      <c r="AD32" s="35"/>
      <c r="AE32" s="35"/>
      <c r="AF32" s="35"/>
      <c r="AW32" s="11"/>
      <c r="BU32" s="79"/>
      <c r="BV32" s="79"/>
      <c r="BW32" s="79"/>
      <c r="BX32" s="79"/>
      <c r="BY32" s="79"/>
      <c r="BZ32" s="79"/>
      <c r="CA32" s="79"/>
      <c r="CB32" s="79"/>
      <c r="CC32" s="79"/>
    </row>
    <row r="33" spans="1:31">
      <c r="B33" s="11"/>
      <c r="E33" s="11"/>
      <c r="F33" s="11"/>
      <c r="G33" s="11"/>
      <c r="H33" s="11"/>
      <c r="I33" s="11"/>
      <c r="J33" s="11"/>
      <c r="K33" s="11"/>
    </row>
    <row r="34" spans="1:31">
      <c r="B34" s="11"/>
    </row>
    <row r="35" spans="1:31">
      <c r="B35" s="11"/>
    </row>
    <row r="36" spans="1:31">
      <c r="B36" s="11"/>
    </row>
    <row r="37" spans="1:31">
      <c r="B37" s="11"/>
      <c r="AE37"/>
    </row>
    <row r="38" spans="1:31">
      <c r="B38" s="11"/>
      <c r="AE38"/>
    </row>
    <row r="39" spans="1:31">
      <c r="B39" s="11"/>
      <c r="AE39"/>
    </row>
    <row r="40" spans="1:31">
      <c r="B40" s="11"/>
      <c r="AE40"/>
    </row>
    <row r="41" spans="1:31">
      <c r="B41" s="11"/>
      <c r="AE41"/>
    </row>
    <row r="42" spans="1:31">
      <c r="B42" s="11"/>
      <c r="AE42"/>
    </row>
    <row r="43" spans="1:31">
      <c r="A43" s="11"/>
      <c r="B43" s="11"/>
      <c r="E43" s="11"/>
      <c r="F43" s="11"/>
      <c r="G43" s="11"/>
      <c r="H43" s="11"/>
      <c r="I43" s="11"/>
      <c r="J43" s="11"/>
      <c r="K43" s="11"/>
      <c r="AE43"/>
    </row>
    <row r="44" spans="1:31">
      <c r="A44" s="11"/>
      <c r="B44" s="11"/>
      <c r="E44" s="11"/>
      <c r="F44" s="11"/>
      <c r="G44" s="11"/>
      <c r="H44" s="11"/>
      <c r="I44" s="11"/>
      <c r="J44" s="11"/>
      <c r="K44" s="11"/>
      <c r="AE44"/>
    </row>
    <row r="45" spans="1:31">
      <c r="AE45"/>
    </row>
    <row r="46" spans="1:31">
      <c r="AE46"/>
    </row>
  </sheetData>
  <phoneticPr fontId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Plag P-T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 Student Assistant</dc:creator>
  <cp:lastModifiedBy>penny wieser</cp:lastModifiedBy>
  <dcterms:created xsi:type="dcterms:W3CDTF">2007-06-11T17:28:23Z</dcterms:created>
  <dcterms:modified xsi:type="dcterms:W3CDTF">2021-06-01T02:18:46Z</dcterms:modified>
</cp:coreProperties>
</file>